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<sst xmlns="http://schemas.openxmlformats.org/spreadsheetml/2006/main" count="11211" uniqueCount="11211">
  <si>
    <t>Date Type:</t>
  </si>
  <si>
    <t>Shipped Date</t>
  </si>
  <si>
    <t>Start Date:</t>
  </si>
  <si>
    <t>01/01/2024</t>
  </si>
  <si>
    <t>End Date:</t>
  </si>
  <si>
    <t>06/13/2024</t>
  </si>
  <si>
    <t>Report Run Date:</t>
  </si>
  <si>
    <t>06/14/2024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</si>
  <si>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</si>
  <si>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</si>
  <si>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</si>
  <si>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</si>
  <si>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</si>
  <si>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</si>
  <si>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</si>
  <si>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</si>
  <si>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ROOMECOM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</si>
  <si>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</si>
  <si>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</si>
  <si>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</si>
  <si>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</si>
  <si>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</si>
  <si>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</si>
  <si>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</si>
  <si>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</si>
  <si>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</si>
  <si>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</si>
  <si>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</si>
  <si>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</si>
  <si>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</si>
  <si>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</si>
  <si>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</si>
  <si>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</si>
  <si>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</si>
  <si>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</si>
  <si>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</si>
  <si>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</si>
  <si>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</si>
  <si>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</si>
  <si>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</si>
  <si>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</si>
  <si>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</si>
  <si>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</si>
  <si>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</si>
  <si>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</si>
  <si>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</si>
  <si>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</si>
  <si>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</si>
  <si>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</si>
  <si>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</si>
  <si>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</si>
  <si>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</si>
  <si>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</si>
  <si>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</si>
  <si>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</si>
  <si>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</si>
  <si>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</si>
  <si>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</si>
  <si>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</si>
  <si>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</si>
  <si>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</si>
  <si>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</si>
  <si>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</si>
  <si>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</si>
  <si>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</si>
  <si>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</si>
  <si>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</si>
  <si>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</si>
  <si>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</si>
  <si>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</si>
  <si>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</si>
  <si>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</si>
  <si>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</si>
  <si>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</si>
  <si>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</si>
  <si>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</si>
  <si>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</si>
  <si>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</si>
  <si>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</si>
  <si>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</si>
  <si>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</si>
  <si>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</si>
  <si>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</si>
  <si>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</si>
  <si>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</si>
  <si>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</si>
  <si>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MP10-2266</t>
  </si>
  <si>
    <t>ADUL</t>
  </si>
  <si>
    <t>Madison Park</t>
  </si>
  <si>
    <t>COMFORTER (SET)</t>
  </si>
  <si>
    <t>Comforter (Set)</t>
  </si>
  <si>
    <t>Palmer</t>
  </si>
  <si>
    <t>Teagan</t>
  </si>
  <si>
    <t>Dakota</t>
  </si>
  <si>
    <t>7 PC Pieced Faux Suede Comforter Set</t>
  </si>
  <si>
    <t>Queen</t>
  </si>
  <si>
    <t>Red</t>
  </si>
  <si>
    <t>Active</t>
  </si>
  <si>
    <t>B+</t>
  </si>
  <si>
    <t>NO</t>
  </si>
  <si>
    <t/>
  </si>
  <si>
    <t>PF002446</t>
  </si>
  <si>
    <t>7</t>
  </si>
  <si>
    <t>Pieced</t>
  </si>
  <si>
    <t>Transitional</t>
  </si>
  <si>
    <t>Traditional|Casual</t>
  </si>
  <si>
    <t>4/2/2017</t>
  </si>
  <si>
    <t>7/2/2024</t>
  </si>
  <si>
    <t>AMAZON,AMAZONDS,AMERSIGNDS,BBBDROP,BLK01,CASTLEGATE,CSNSTORES,DESINC,FINGERHUTDS,JCPENNEY01,KOHLDSN,LAMPDS,MACY02,NRTPORT,OLLIIX,OVERSCONSIGN,OVERSTOCK01,ROOMECOM,TGTDVS,Zulily</t>
  </si>
  <si>
    <t>Setup</t>
  </si>
  <si>
    <t>8/25/2022</t>
  </si>
  <si>
    <t>12/13/2022</t>
  </si>
  <si>
    <t>No</t>
  </si>
  <si>
    <t>MP10-2267</t>
  </si>
  <si>
    <t>King</t>
  </si>
  <si>
    <t>AAFESDS,AMAZON,AMAZONDS,AMERSIGNDS,BBBDROP,BEALLSDS,BLK01,CASTLEGATE,CSNSTORES,FINGERHUTDS,JCPENNEY01,KOHLDSN,LAMPDS,MACY02,NRTPORT,OLLIIX,OVERSTOCK01,ROOMECOM,TGTDVS,Zulily</t>
  </si>
  <si>
    <t>4/18/2023</t>
  </si>
  <si>
    <t>MP10-2268</t>
  </si>
  <si>
    <t>Cal King</t>
  </si>
  <si>
    <t>AMAZON,AMAZONDS,AMERSIGNDS,BBBDROP,BLK01,CSNSTORES,FINGERHUTDS,HOUZZ,JCPENNEY01,KOHLDSN,MACY02,NRTPORT,OLLIIX,OVERSTOCK01,ROOMECOM,TGTDVS,WALMARTDS</t>
  </si>
  <si>
    <t>4/23/2023</t>
  </si>
  <si>
    <t>MP10-2583</t>
  </si>
  <si>
    <t>Full</t>
  </si>
  <si>
    <t>Natural</t>
  </si>
  <si>
    <t>A+</t>
  </si>
  <si>
    <t>PF002444</t>
  </si>
  <si>
    <t>7/8/2024</t>
  </si>
  <si>
    <t>AAFESDS,AMAZON,AMAZONDS,BBBDROP,BLK01,CASTLEGATE,CSNSTORES,FINGERHUTDS,HDDS,HOUZZ,JCPENNEY01,KOHLDSN,LOWESDS,MACY02,NRTPORT,OLLIIX,OVERSCONSIGN,OVERSTOCK01,ROOMECOM,TGTDVS</t>
  </si>
  <si>
    <t>1/3/2023</t>
  </si>
  <si>
    <t>MP10-301</t>
  </si>
  <si>
    <t>6/14/2024</t>
  </si>
  <si>
    <t>AAFESDS,AMAZON,AMAZONDS,AMERSIGNDS,BBBDROP,BLK01,CASTLEGATE,CSNSTORES,FINGERHUTDS,HDDS,JCPENNEY01,KOHLDSN,MACY02,NRTPORT,OLLIIX,OVERSCONSIGN,OVERSTOCK01,ROOMECOM,TGTDVS</t>
  </si>
  <si>
    <t>12/15/2020</t>
  </si>
  <si>
    <t>2/23/2021</t>
  </si>
  <si>
    <t>MP10-302</t>
  </si>
  <si>
    <t>AAFESDS,AMAZON,AMAZONDS,AMERSIGNDS,BBBDROP,BLK01,CASTLEGATE,CSNSTORES,FINGERHUTDS,HDDS,JCPENNEY01,KOHLDSN,LAMPDS,MACY02,NRTPORT,OLLIIX,OVERSCONSIGN,OVERSTOCK01,ROOMECOM,TGTDVS,WALMARTDS</t>
  </si>
  <si>
    <t>2/9/2021</t>
  </si>
  <si>
    <t>MP10-303</t>
  </si>
  <si>
    <t>8/23/2024</t>
  </si>
  <si>
    <t>AMAZON,AMAZONDS,AMERSIGNDS,BBBDROP,BLK01,CASTLEGATE,CSNSTORES,HDDS,JCPENNEY01,KOHLDSN,LAMPDS,MACY02,NRTPORT,OLLIIX,OVERSTOCK01,ROOMECOM,TGTDVS,WALMARTDS,Zulily</t>
  </si>
  <si>
    <t>5/25/2021</t>
  </si>
  <si>
    <t>MP10-2585</t>
  </si>
  <si>
    <t>Black</t>
  </si>
  <si>
    <t>A</t>
  </si>
  <si>
    <t>PF002441</t>
  </si>
  <si>
    <t>7/1/2024</t>
  </si>
  <si>
    <t>AAFESDS,AMAZON,AMAZONDS,AMERSIGNDS,BBBDROP,CSNSTORES,FINGERHUTDS,HDDS,JCPENNEY01,KOHLDSN,MACY02,NEBFUR01,NRTPORT,OLLIIX,OVERSTOCK01,TGTDVS</t>
  </si>
  <si>
    <t>Open</t>
  </si>
  <si>
    <t>MP10-423</t>
  </si>
  <si>
    <t>AAFESDS,AMAZON,AMAZONDS,AMERSIGNDS,BBBDROP,BEALLSDS,BLK01,CASTLEGATE,CSNSTORES,FINGERHUTDS,HDDS,HOUZZ,JCPENNEY01,KOHLDSN,LAMPDS,MACY02,NEBFUR01,NRTPORT,OLLIIX,OVERSCONSIGN,OVERSTOCK01,ROOMECOM,TGTDVS</t>
  </si>
  <si>
    <t>2/10/2021</t>
  </si>
  <si>
    <t>MP10-424</t>
  </si>
  <si>
    <t>AAFESDS,AMAZON,AMAZONDS,AMERSIGNDS,BBBDROP,BEALLSDS,BLK01,CSNSTORES,FINGERHUTDS,HDDS,JCPENNEY01,KOHLDSN,LAMPDS,MACY02,NEBFUR01,NRTPORT,OLLIIX,OVERSCONSIGN,OVERSTOCK01,ROOMECOM,TGTDVS,WALMARTDS</t>
  </si>
  <si>
    <t>3/5/2021</t>
  </si>
  <si>
    <t>MP10-425</t>
  </si>
  <si>
    <t>AAFESDS,AMAZON,AMAZONDS,AMERSIGNDS,BBBDROP,BLK01,CSNSTORES,HDDS,JCPENNEY01,KOHLDSN,LAMPDS,MACY02,NEBFUR01,NRTPORT,OLLIIX,OVERSTOCK01,ROOMECOM,TGTDVS,WALMARTDS</t>
  </si>
  <si>
    <t>7/25/2022</t>
  </si>
  <si>
    <t>MP10-2263</t>
  </si>
  <si>
    <t>Blue</t>
  </si>
  <si>
    <t>PF002445</t>
  </si>
  <si>
    <t>AAFESDS,AMAZON,AMAZONDS,AMERSIGNDS,BBBDROP,BEALLSDS,BLK01,CASTLEGATE,CSNSTORES,DESINC,FINGERHUTDS,HOUZZ,JCPENNEY01,KOHLDSN,MACY02,NRTPORT,OLLIIX,OVERSTOCK01,ROOMECOM,TGTDVS,Zulily</t>
  </si>
  <si>
    <t>MP10-2264</t>
  </si>
  <si>
    <t>4/4/2017</t>
  </si>
  <si>
    <t>AAFESDS,AMAZON,AMAZONDS,AMERSIGNDS,BBBDROP,BEALLSDS,BLK01,CASTLEGATE,CSNSTORES,FINGERHUTDS,JCPENNEY01,KOHLDSN,MACY02,NRTPORT,OLLIIX,OVERSTOCK01,ROOMECOM,TGTDVS</t>
  </si>
  <si>
    <t>2/6/2023</t>
  </si>
  <si>
    <t>MP10-2265</t>
  </si>
  <si>
    <t>AMAZON,AMAZONDS,AMERSIGNDS,BBBDROP,BLK01,CSNSTORES,DESINC,FINGERHUTDS,JCPENNEY01,KOHLDSN,MACY02,NRTPORT,OLLIIX,OVERSCONSIGN,OVERSTOCK01,TGTDVS</t>
  </si>
  <si>
    <t>MP10-2584</t>
  </si>
  <si>
    <t>Purple</t>
  </si>
  <si>
    <t>PF002443</t>
  </si>
  <si>
    <t>AMAZON,AMAZONDS,AMERSIGNDS,BBBDROP,BLK01,CSNSTORES,DESINC,FINGERHUTDS,HDDS,JCPENNEY01,KOHLDSN,MACY02,NEBFUR01,NRTPORT,OLLIIX,OVERSTOCK01,TGTDVS</t>
  </si>
  <si>
    <t>MP10-304</t>
  </si>
  <si>
    <t>AMAZON,AMAZONDS,AMERSIGNDS,BBBDROP,BEALLSDS,BLK01,CASTLEGATE,CSNSTORES,FINGERHUTDS,HDDS,HSNDS,JCPENNEY01,KOHLDSN,LAMPDS,MACY02,NEBFUR01,NRTPORT,OLLIIX,OVERSTOCK01,ROOMECOM,TGTDVS,WALMARTDS</t>
  </si>
  <si>
    <t>2/16/2021</t>
  </si>
  <si>
    <t>MP10-305</t>
  </si>
  <si>
    <t>AMAZON,AMAZONDS,AMERSIGNDS,BBBDROP,BEALLSDS,BLK01,CASTLEGATE,CSNSTORES,FINGERHUTDS,HDDS,HOUZZ,HSNDS,JCPENNEY01,KOHLDSN,MACY02,NEBFUR01,NRTPORT,OLLIIX,OVERSTOCK01,ROOMECOM,TGTDVS,WALMARTDS</t>
  </si>
  <si>
    <t>4/8/2021</t>
  </si>
  <si>
    <t>MP10-306</t>
  </si>
  <si>
    <t>AMAZON,AMAZONDS,AMERSIGNDS,BBBDROP,BLK01,CSNSTORES,HDDS,HSNDS,JCPENNEY01,KOHLDSN,MACY02,NEBFUR01,NRTPORT,OLLIIX,OVERSTOCK01,ROOMECOM,TGTDVS</t>
  </si>
  <si>
    <t>3/24/2022</t>
  </si>
  <si>
    <t>MP10-7488</t>
  </si>
  <si>
    <t>Green</t>
  </si>
  <si>
    <t>B</t>
  </si>
  <si>
    <t>PP001625;PF005454</t>
  </si>
  <si>
    <t>Microfiber</t>
  </si>
  <si>
    <t>Casual|Transitional</t>
  </si>
  <si>
    <t>5/20/2021</t>
  </si>
  <si>
    <t>AAFESDS,AMAZON,AMAZONDS,ASHFURNDS,BBBDROP,BLK01,CSNSTORES,DESINC,JCPENNEY01,KOHLDSN,MACY02,NRTPORT,OLLIIX,OVERSCONSIGN,OVERSTOCK01,TGTDVS</t>
  </si>
  <si>
    <t>MP10-7489</t>
  </si>
  <si>
    <t>AMAZON,AMAZONDS,BBBDROP,BLK01,CSNSTORES,DESINC,HOUZZ,JCPENNEY01,KOHLDSN,MACY02,NRTPORT,OLLIIX,OVERSTOCK01,TGTDVS</t>
  </si>
  <si>
    <t>MP10-7490</t>
  </si>
  <si>
    <t>AMAZON,AMAZONDS,ASHFURNDS,BBBDROP,BLK01,CSNSTORES,DESINC,JCPENNEY01,KOHLDSN,MACY02,NEBFUR01,NRTPORT,OLLIIX,OVERSTOCK01,TGTDVS</t>
  </si>
  <si>
    <t>MP10-2207</t>
  </si>
  <si>
    <t>Amherst</t>
  </si>
  <si>
    <t>Eastridge</t>
  </si>
  <si>
    <t>Salem</t>
  </si>
  <si>
    <t>7 Piece Comforter Set</t>
  </si>
  <si>
    <t>Navy</t>
  </si>
  <si>
    <t>C</t>
  </si>
  <si>
    <t>PF002414;PP000373</t>
  </si>
  <si>
    <t>Color Block</t>
  </si>
  <si>
    <t>Modern/Contemporary|Casual</t>
  </si>
  <si>
    <t>AMAZON,AMAZONDS,AMERSIGNDS,BBBDROP,BEALLSDS,BLK01,CSNSTORES,DESINC,FINGERHUTDS,JCPENNEY01,KIRKLANDDS,KOHLDSN,LAMPDS,MACY02,NRTPORT,OLLIIX,OVERSTOCK01,ROOMECOM,TGTDVS</t>
  </si>
  <si>
    <t>2/3/2021</t>
  </si>
  <si>
    <t>MP10-2208</t>
  </si>
  <si>
    <t>AMAZON,AMAZONDS,AMERSIGNDS,BBBDROP,BEALLSDS,BLK01,CSNSTORES,DESINC,FINGERHUTDS,HSNDS,JCPENNEY01,KOHLDSN,MACY02,NRTPORT,OLLIIX,OVERSCONSIGN,OVERSTOCK01,ROOMECOM,TGTDVS,Zulily</t>
  </si>
  <si>
    <t>2/12/2021</t>
  </si>
  <si>
    <t>MP10-2209</t>
  </si>
  <si>
    <t>AMAZON,AMAZONDS,AMERSIGNDS,BBBDROP,BEALLSDS,BLK01,CSNSTORES,DESINC,FINGERHUTDS,HOUZZ,JCPENNEY01,KOHLDSN,LAMPDS,MACY02,NRTPORT,OLLIIX,OVERSTOCK01,ROOMECOM,TGTDVS,Zulily</t>
  </si>
  <si>
    <t>7/28/2022</t>
  </si>
  <si>
    <t>MP10-2588</t>
  </si>
  <si>
    <t>PP000373</t>
  </si>
  <si>
    <t>AMAZON,AMAZONDS,BBBDROP,BLK01,CSNSTORES,FINGERHUTDS,JCPENNEY01,KOHLDSN,LAMPDS,MACY02,OLLIIX,OVERSTOCK01,ROOMECOM,TGTDVS</t>
  </si>
  <si>
    <t>1/24/2023</t>
  </si>
  <si>
    <t>MP10-846</t>
  </si>
  <si>
    <t>PP000373;PF005901</t>
  </si>
  <si>
    <t>AMAZON,AMAZONDS,BBBDROP,BEALLSDS,BLK01,CSNSTORES,DESINC,HOUZZ,JCPENNEY01,KOHLDSN,LAMPDS,MACY02,OLLIIX,OVERSTOCK01,ROOMECOM,TGTDVS,Zulily</t>
  </si>
  <si>
    <t>6/16/2018</t>
  </si>
  <si>
    <t>7/3/2018</t>
  </si>
  <si>
    <t>MP10-847</t>
  </si>
  <si>
    <t>AMAZON,AMAZONDS,BBBDROP,BEALLSDS,BLK01,CSNSTORES,DESINC,HOUZZ,JCPENNEY01,KOHLDSN,LAMPDS,MACY02,OLLIIX,OVERSTOCK01,ROOMECOM,TGTDVS</t>
  </si>
  <si>
    <t>6/24/2018</t>
  </si>
  <si>
    <t>MP10-848</t>
  </si>
  <si>
    <t>AMAZON,AMAZONDS,BBBDROP,BLK01,CSNSTORES,HOUZZ,JCPENNEY01,KOHLDSN,MACY02,NRTPORT,OLLIIX,OVERSTOCK01,ROOMECOM,TGTDVS</t>
  </si>
  <si>
    <t>3/21/2023</t>
  </si>
  <si>
    <t>MP10-2586</t>
  </si>
  <si>
    <t>PF002412;PP000373</t>
  </si>
  <si>
    <t>AMAZON,AMAZONDS,BBBDROP,CSNSTORES,DESINC,KOHLDSN,MACY02,NRTPORT,OLLIIX,OVERSCONSIGN,OVERSTOCK01,TGTDVS</t>
  </si>
  <si>
    <t>MP10-121</t>
  </si>
  <si>
    <t>Close-out</t>
  </si>
  <si>
    <t>AMAZON,AMAZONDS,BBBDROP,BEALLSDS,CSNSTORES,FINGERHUTDS,HSNDS,JCPENNEY01,KOHLDSN,MACY02,NRTPORT,OLLIIX,OVERSCONSIGN,OVERSTOCK01,ROOMECOM,TGTDVS</t>
  </si>
  <si>
    <t>MP10-122</t>
  </si>
  <si>
    <t>AMAZON,AMAZONDS,BBBDROP,BEALLSDS,CSNSTORES,DESINC,FINGERHUTDS,JCPENNEY01,KOHLDSN,MACY02,OLLIIX,OVERSTOCK01,ROOMECOM,TGTDVS</t>
  </si>
  <si>
    <t>7/9/2018</t>
  </si>
  <si>
    <t>MP10-123</t>
  </si>
  <si>
    <t>AMAZON,AMAZONDS,CSNSTORES,FINGERHUTDS,HSNDS,JCPENNEY01,KOHLDSN,MACY02,NRTPORT,OLLIIX,OVERSTOCK01,TGTDVS</t>
  </si>
  <si>
    <t>MP10-2587</t>
  </si>
  <si>
    <t>PF002411;PP000373</t>
  </si>
  <si>
    <t>AMAZON,AMAZONDS,AMERSIGNDS,BBBDROP,BLK01,CSNSTORES,FINGERHUTDS,JCPENNEY01,KOHLDSN,MACY02,NRTPORT,OLLIIX,OVERSTOCK01,TGTDVS</t>
  </si>
  <si>
    <t>MP10-225</t>
  </si>
  <si>
    <t>AMAZON,AMAZONDS,AMERSIGNDS,ASHFURNDS,BBBDROP,BEALLSDS,BLK01,CSNSTORES,DESINC,FINGERHUTDS,JCPENNEY01,KOHLDSN,MACY02,NRTPORT,OLLIIX,OVERSTOCK01,ROOMECOM,TGTDVS,Zulily</t>
  </si>
  <si>
    <t>6/21/2018</t>
  </si>
  <si>
    <t>MP10-226</t>
  </si>
  <si>
    <t>AMAZON,AMAZONDS,AMERSIGNDS,BBBDROP,BEALLSDS,BLK01,CSNSTORES,FINGERHUTDS,JCPENNEY01,KOHLDSN,MACY02,NRTPORT,OLLIIX,OVERSTOCK01,ROOMECOM,TGTDVS,Zulily</t>
  </si>
  <si>
    <t>MP10-227</t>
  </si>
  <si>
    <t>AMAZON,AMAZONDS,AMERSIGNDS,BBBDROP,BLK01,CSNSTORES,DESINC,FINGERHUTDS,JCPENNEY01,KOHLDSN,MACY02,OLLIIX,OVERSCONSIGN,OVERSTOCK01,TGTDVS,Zulily</t>
  </si>
  <si>
    <t>MP10-2320</t>
  </si>
  <si>
    <t>Coral</t>
  </si>
  <si>
    <t>PF002415;PP000373</t>
  </si>
  <si>
    <t>AMAZON,AMAZONDS,BBBDROP,BEALLSDS,BLK01,CSNSTORES,FINGERHUTDS,HOUZZ,JCPENNEY01,KOHLDSN,MACY02,OLLIIX,OVERSTOCK01,ROOMECOM,TGTDVS,Zulily</t>
  </si>
  <si>
    <t>5/15/2023</t>
  </si>
  <si>
    <t>MP10-2321</t>
  </si>
  <si>
    <t>AMAZON,AMAZONDS,BBBDROP,BEALLSDS,BLK01,CASTLEGATE,CSNSTORES,FINGERHUTDS,HSNDS,JCPENNEY01,KOHLDSN,MACY02,NRTPORT,OLLIIX,OVERSTOCK01,ROOMECOM,TGTDVS,Zulily</t>
  </si>
  <si>
    <t>10/13/2022</t>
  </si>
  <si>
    <t>3/5/2023</t>
  </si>
  <si>
    <t>MP10-2322</t>
  </si>
  <si>
    <t>AMAZON,AMAZONDS,BBBDROP,BEALLSDS,BLK01,CSNSTORES,FINGERHUTDS,HSNDS,JCPENNEY01,KOHLDSN,MACY02,OLLIIX,OVERSTOCK01,ROOMECOM,TGTDVS</t>
  </si>
  <si>
    <t>2/20/2023</t>
  </si>
  <si>
    <t>MP10-126</t>
  </si>
  <si>
    <t>PF002413;PP000373</t>
  </si>
  <si>
    <t>AMAZON,AMAZONDS,BBBDROP,BLK01,CSNSTORES,DESINC,FINGERHUTDS,JCPENNEY01,KOHLDSN,MACY02,NRTPORT,OLLIIX,OVERSTOCK01,ROOMECOM,TGTDVS</t>
  </si>
  <si>
    <t>6/27/2018</t>
  </si>
  <si>
    <t>MP10-127</t>
  </si>
  <si>
    <t>9/2/2018</t>
  </si>
  <si>
    <t>MP10-128</t>
  </si>
  <si>
    <t>AMAZON,AMAZONDS,BLK01,CSNSTORES,FINGERHUTDS,HOUZZ,JCPENNEY01,KOHLDSN,MACY02,OLLIIX,OVERSTOCK01,TGTDVS,WALMARTDS</t>
  </si>
  <si>
    <t>MP10-2979</t>
  </si>
  <si>
    <t>Aqua</t>
  </si>
  <si>
    <t>PF002417;PP000373</t>
  </si>
  <si>
    <t>6/28/2024</t>
  </si>
  <si>
    <t>AMAZON,AMAZONDS,BBBDROP,BEALLSDS,BLK01,CSNSTORES,DESINC,FINGERHUTDS,JCPENNEY01,KOHLDSN,MACY02,NRTPORT,OLLIIX,OVERSTOCK01,TGTDVS,Zulily</t>
  </si>
  <si>
    <t>MP10-2980</t>
  </si>
  <si>
    <t>AMAZON,AMAZONDS,BBBDROP,BEALLSDS,BLK01,CSNSTORES,FINGERHUTDS,HOUZZ,JCPENNEY01,KOHLDSN,MACY02,OLLIIX,OVERSTOCK01,TGTDVS,Zulily</t>
  </si>
  <si>
    <t>MP10-2981</t>
  </si>
  <si>
    <t>AMAZON,AMAZONDS,BEALLSDS,BLK01,CSNSTORES,DESINC,FINGERHUTDS,JCPENNEY01,KOHLDSN,MACY02,OLLIIX,OVERSTOCK01,TGTDVS</t>
  </si>
  <si>
    <t>MP10-042</t>
  </si>
  <si>
    <t>AMAZON,AMAZONDS,BBBDROP,BEALLSDS,CSNSTORES,FINGERHUTDS,JCPENNEY01,KOHLDSN,MACY02,OLLIIX,OVERSTOCK01,TGTDVS</t>
  </si>
  <si>
    <t>MP10-043</t>
  </si>
  <si>
    <t>AMAZON,AMAZONDS,BBBDROP,BEALLSDS,CSNSTORES,JCPENNEY01,KOHLDSN,MACY02,NRTPORT,OLLIIX,OVERSTOCK01,TGTDVS</t>
  </si>
  <si>
    <t>MP10-044</t>
  </si>
  <si>
    <t>AMAZON,AMAZONDS,BBBDROP,BLK01,CSNSTORES,FINGERHUTDS,JCPENNEY01,KOHLDSN,MACY02,NRTPORT,OLLIIX,OVERSTOCK01,TGTDVS</t>
  </si>
  <si>
    <t>MP10-6722</t>
  </si>
  <si>
    <t>Blush/Taupe</t>
  </si>
  <si>
    <t>PP000373;PF004927</t>
  </si>
  <si>
    <t>Casual|Modern/Contemporary</t>
  </si>
  <si>
    <t>10/16/2019</t>
  </si>
  <si>
    <t>AMAZON,AMAZONDS,ASHFURNDS,BBBDROP,BLK01,CSNSTORES,DESINC,FINGERHUTDS,HSNDS,JCPENNEY01,KOHLDSN,MACY02,OLLIIX,OVERSTOCK01,TGTDVS,Zulily</t>
  </si>
  <si>
    <t>MP10-6723</t>
  </si>
  <si>
    <t>AMAZONDS,BBBDROP,BLK01,CASTLEGATE,CSNSTORES,HSNDS,JCPENNEY01,KOHLDSN,MACY02,OLLIIX,OVERSTOCK01,TGTDVS,Zulily</t>
  </si>
  <si>
    <t>MP10-6724</t>
  </si>
  <si>
    <t>AMAZON,AMAZONDS,BBBDROP,BLK01,CSNSTORES,JCPENNEY01,KOHLDSN,MACY02,OLLIIX,OVERSTOCK01,TGTDVS</t>
  </si>
  <si>
    <t>MP10-037</t>
  </si>
  <si>
    <t>AMAZON,AMAZONDS,ASHFURNDS,BBBDROP,BLK01,CSNSTORES,DESINC,FINGERHUTDS,JCPENNEY01,KOHLDSN,MACY02,NRTPORT,OLLIIX,OVERSTOCK01,TGTDVS</t>
  </si>
  <si>
    <t>MP10-038</t>
  </si>
  <si>
    <t>AMAZON,AMAZONDS,BBBDROP,BLK01,CSNSTORES,DESINC,FINGERHUTDS,JCPENNEY01,KOHLDSN,MACY02,OLLIIX,OVERSTOCK01,TGTDVS</t>
  </si>
  <si>
    <t>MP10-039</t>
  </si>
  <si>
    <t>AMAZON,AMAZONDS,BLK01,CSNSTORES,DESINC,FINGERHUTDS,JCPENNEY01,KOHLDSN,MACY02,OLLIIX,OVERSTOCK01,TGTDVS</t>
  </si>
  <si>
    <t>MP10-2448</t>
  </si>
  <si>
    <t>Yellow</t>
  </si>
  <si>
    <t>PF002416;PP000373</t>
  </si>
  <si>
    <t>AMAZON,AMAZONDS,BBBDROP,BEALLSDS,BLK01,CASTLEGATE,CSNSTORES,FINGERHUTDS,HOUZZ,JCPENNEY01,KOHLDSN,MACY02,NRTPORT,OLLIIX,OVERSTOCK01,TGTDVS,Zulily</t>
  </si>
  <si>
    <t>MP10-2449</t>
  </si>
  <si>
    <t>AMAZON,AMAZONDS,BBBDROP,BEALLSDS,BLK01,CSNSTORES,FINGERHUTDS,JCPENNEY01,KOHLDSN,MACY02,NRTPORT,OLLIIX,OVERSTOCK01,TGTDVS,Zulily</t>
  </si>
  <si>
    <t>MP10-2450</t>
  </si>
  <si>
    <t>AAFESDS,AMAZON,AMAZONDS,BBBDROP,BLK01,CSNSTORES,DESINC,FINGERHUTDS,JCPENNEY01,KOHLDSN,MACY02,NRTPORT,OLLIIX,OVERSTOCK01,TGTDVS,Zulily</t>
  </si>
  <si>
    <t>MP10-6434</t>
  </si>
  <si>
    <t>Boone</t>
  </si>
  <si>
    <t>Westbrook</t>
  </si>
  <si>
    <t>Powell</t>
  </si>
  <si>
    <t>7 Piece Faux Suede Comforter Set</t>
  </si>
  <si>
    <t>Tan</t>
  </si>
  <si>
    <t>PF004738</t>
  </si>
  <si>
    <t>Lodge/Cabin</t>
  </si>
  <si>
    <t>9/1/2019</t>
  </si>
  <si>
    <t>AMAZON,AMAZONDS,AMERSIGNDS,ASHFURNDS,BBBDROP,BLK01,CSNSTORES,DESINC,FINGERHUTDS,JCPENNEY01,KOHLDSN,MACY02,NRTPORT,OLLIIX,OVERSTOCK01,ROOMECOM,TGTDVS</t>
  </si>
  <si>
    <t>8/5/2021</t>
  </si>
  <si>
    <t>MP10-6435</t>
  </si>
  <si>
    <t>AMAZON,AMAZONDS,AMERSIGNDS,BBBDROP,BLK01,CSNSTORES,DESINC,FINGERHUTDS,JCPENNEY01,KIRKLANDDS,KOHLDSN,MACY02,NRTPORT,OLLIIX,OVERSCONSIGN,OVERSTOCK01,ROOMECOM,TGTDVS</t>
  </si>
  <si>
    <t>11/16/2021</t>
  </si>
  <si>
    <t>MP10-6436</t>
  </si>
  <si>
    <t>AMAZON,AMAZONDS,AMERSIGNDS,BBBDROP,BLK01,CSNSTORES,FINGERHUTDS,JCPENNEY01,KOHLDSN,MACY02,NRTPORT,OLLIIX,OVERSTOCK01,ROOMECOM,TGTDVS</t>
  </si>
  <si>
    <t>7/11/2021</t>
  </si>
  <si>
    <t>MP10-904</t>
  </si>
  <si>
    <t>Brown</t>
  </si>
  <si>
    <t>PF002685</t>
  </si>
  <si>
    <t>8/21/2024</t>
  </si>
  <si>
    <t>AMAZON,AMAZONDS,ASHFURNDS,BBBDROP,BLK01,CASTLEGATE,CSNSTORES,DESINC,FINGERHUTDS,HOUZZ,JCPENNEY01,KOHLDSN,LAMPDS,MACY02,NRTPORT,OLLIIX,OVERSCONSIGN,OVERSTOCK01,TGTDVS,Zulily</t>
  </si>
  <si>
    <t>MP10-905</t>
  </si>
  <si>
    <t>AMAZON,AMAZONDS,BBBDROP,BLK01,CSNSTORES,DESINC,FINGERHUTDS,JCPENNEY01,KOHLDSN,LAMPDS,MACY02,NRTPORT,OLLIIX,OVERSTOCK01,TGTDVS,Zulily</t>
  </si>
  <si>
    <t>MP10-906</t>
  </si>
  <si>
    <t>9/6/2024</t>
  </si>
  <si>
    <t>AMAZON,AMAZONDS,BBBDROP,BLK01,CSNSTORES,DESINC,FINGERHUTDS,HOUZZ,JCPENNEY01,KOHLDSN,MACY02,NRTPORT,OLLIIX,OVERSTOCK01,TGTDVS,Zulily</t>
  </si>
  <si>
    <t>MP10-2790</t>
  </si>
  <si>
    <t>Grey</t>
  </si>
  <si>
    <t>PF002686</t>
  </si>
  <si>
    <t>7/19/2024</t>
  </si>
  <si>
    <t>AMAZON,AMAZONDS,ASHFURNDS,BBBDROP,BEALLSDS,BLK01,CSNSTORES,DESINC,FINGERHUTDS,HOUZZ,JCPENNEY01,KOHLDSN,MACY02,NRTPORT,OLLIIX,OVERSCONSIGN,OVERSTOCK01,TGTDVS,Zulily</t>
  </si>
  <si>
    <t>MP10-2791</t>
  </si>
  <si>
    <t>AAFESDS,AMAZON,AMAZONDS,BBBDROP,BEALLSDS,BLK01,CSNSTORES,FINGERHUTDS,HOUZZ,JCPENNEY01,KOHLDSN,MACY02,NRTPORT,OLLIIX,OVERSCONSIGN,OVERSTOCK01,TGTDVS,Zulily</t>
  </si>
  <si>
    <t>MP10-2792</t>
  </si>
  <si>
    <t>AAFESDS,AMAZON,BBBDROP,BEALLSDS,BLK01,CSNSTORES,FINGERHUTDS,HOUZZ,JCPENNEY01,KOHLDSN,MACY02,NRTPORT,OLLIIX,OVERSTOCK01,TGTDVS</t>
  </si>
  <si>
    <t>MP10-1316</t>
  </si>
  <si>
    <t>Palisades</t>
  </si>
  <si>
    <t>Hanover</t>
  </si>
  <si>
    <t>Overland</t>
  </si>
  <si>
    <t>PF002695;PP000481</t>
  </si>
  <si>
    <t>AMAZON,AMAZONDS,AMERSIGNDS,ASHFURNDS,BBBDROP,BEALLSDS,BLK01,CSNSTORES,FINGERHUTDS,JCPENNEY01,KOHLDSN,LAMPDS,MACY02,NEBFUR01,NRTPORT,OLLIIX,OVERSCONSIGN,OVERSTOCK01,ROOMECOM,TGTDVS</t>
  </si>
  <si>
    <t>7/5/2018</t>
  </si>
  <si>
    <t>MP10-1317</t>
  </si>
  <si>
    <t>AMAZON,AMAZONDS,AMERSIGNDS,BBBDROP,BEALLSDS,BLK01,CSNSTORES,DESINC,HOUZZ,JCPENNEY01,KOHLDSN,LAMPDS,MACY02,NEBFUR01,NRTPORT,OLLIIX,OVERSTOCK01,ROOMECOM,TGTDVS</t>
  </si>
  <si>
    <t>7/24/2018</t>
  </si>
  <si>
    <t>MP10-1318</t>
  </si>
  <si>
    <t>AAFESDS,AMAZON,AMAZONDS,AMERSIGNDS,BBBDROP,BLK01,CSNSTORES,DESINC,FINGERHUTDS,JCPENNEY01,KOHLDSN,LAMPDS,MACY02,NEBFUR01,NRTPORT,OLLIIX,OVERSTOCK01,ROOMECOM,TGTDVS,WALMARTDS</t>
  </si>
  <si>
    <t>2/14/2023</t>
  </si>
  <si>
    <t>MP10-4024</t>
  </si>
  <si>
    <t>PF002698</t>
  </si>
  <si>
    <t>8/14/2024</t>
  </si>
  <si>
    <t>AMAZON,AMAZONDS,BBBDROP,BEALLSDS,BLK01,CSNSTORES,DESINC,FINGERHUTDS,JCPENNEY01,KOHLDSN,MACY02,NEBFUR01,NRTPORT,OLLIIX,OVERSTOCK01,ROOMECOM,TGTDVS</t>
  </si>
  <si>
    <t>8/1/2023</t>
  </si>
  <si>
    <t>MP10-4025</t>
  </si>
  <si>
    <t>AMAZON,AMAZONDS,BBBDROP,BEALLSDS,BLK01,CSNSTORES,FINGERHUTDS,JCPENNEY01,KOHLDSN,MACY02,NEBFUR01,NRTPORT,OLLIIX,OVERSCONSIGN,OVERSTOCK01,ROOMECOM,TGTDVS,WALMARTDS</t>
  </si>
  <si>
    <t>2/27/2023</t>
  </si>
  <si>
    <t>MP10-4026</t>
  </si>
  <si>
    <t>4/8/2017</t>
  </si>
  <si>
    <t>AMAZON,AMAZONDS,BBBDROP,BEALLSDS,BLK01,CSNSTORES,DESINC,FINGERHUTDS,JCPENNEY01,KOHLDSN,MACY02,NEBFUR01,NRTPORT,OLLIIX,OVERSCONSIGN,OVERSTOCK01,ROOMECOM,TGTDVS,WALMARTDS</t>
  </si>
  <si>
    <t>6/8/2023</t>
  </si>
  <si>
    <t>MP10-184</t>
  </si>
  <si>
    <t>PF002694</t>
  </si>
  <si>
    <t>AMAZON,AMAZONDS,BBBDROP,BEALLSDS,BLK01,CSNSTORES,DESINC,FINGERHUTDS,HSNDS,JCPENNEY01,KOHLDSN,MACY02,NEBFUR01,NRTPORT,OLLIIX,OVERSCONSIGN,OVERSTOCK01,ROOMECOM,TGTDVS</t>
  </si>
  <si>
    <t>11/12/2022</t>
  </si>
  <si>
    <t>2/28/2023</t>
  </si>
  <si>
    <t>MP10-185</t>
  </si>
  <si>
    <t>AMAZON,AMAZONDS,BBBDROP,BEALLSDS,BLK01,CSNSTORES,FINGERHUTDS,HSNDS,JCPENNEY01,KOHLDSN,MACY02,NRTPORT,OLLIIX,OVERSTOCK01,ROOMECOM,TGTDVS,WALMARTDS</t>
  </si>
  <si>
    <t>4/25/2023</t>
  </si>
  <si>
    <t>MP10-186</t>
  </si>
  <si>
    <t>AMAZON,AMAZONDS,BBBDROP,BLK01,CSNSTORES,DESINC,HSNDS,JCPENNEY01,KOHLDSN,MACY02,NRTPORT,OLLIIX,OVERSTOCK01,ROOMECOM,TGTDVS,WALMARTDS</t>
  </si>
  <si>
    <t>10/23/2023</t>
  </si>
  <si>
    <t>MP10-7483</t>
  </si>
  <si>
    <t>PP000481;PF005455</t>
  </si>
  <si>
    <t>Suede</t>
  </si>
  <si>
    <t>Casual|Traditional</t>
  </si>
  <si>
    <t>7/5/2021</t>
  </si>
  <si>
    <t>7/30/2024</t>
  </si>
  <si>
    <t>AAFESDS,AMAZON,AMAZONDS,BBBDROP,BLK01,CSNSTORES,FINGERHUTDS,JCPENNEY01,KOHLDSN,MACY02,NRTPORT,OLLIIX,OVERSTOCK01,TGTDVS,Zulily</t>
  </si>
  <si>
    <t>MP10-7484</t>
  </si>
  <si>
    <t>AMAZON,AMAZONDS,BBBDROP,BLK01,CSNSTORES,DESINC,FINGERHUTDS,HOUZZ,JCPENNEY01,KOHLDSN,MACY02,NRTPORT,OLLIIX,OVERSTOCK01,TGTDVS</t>
  </si>
  <si>
    <t>MP10-7485</t>
  </si>
  <si>
    <t>7/6/2021</t>
  </si>
  <si>
    <t>AMAZON,AMAZONDS,BLK01,CSNSTORES,FINGERHUTDS,JCPENNEY01,KOHLDSN,MACY02,NRTPORT,OLLIIX,OVERSTOCK01,TGTDVS</t>
  </si>
  <si>
    <t>MP10-6175</t>
  </si>
  <si>
    <t>PP000481;PF004572</t>
  </si>
  <si>
    <t>2/15/2019</t>
  </si>
  <si>
    <t>AMAZON,AMAZONDS,BBBDROP,BLK01,CSNSTORES,FINGERHUTDS,JCPENNEY01,KOHLDSN,MACY02,NRTPORT,OLLIIX,OVERSTOCK01,TGTDVS,Zulily</t>
  </si>
  <si>
    <t>MP10-6176</t>
  </si>
  <si>
    <t>MP10-6177</t>
  </si>
  <si>
    <t>AMAZON,AMAZONDS,BBBDROP,BLK01,CSNSTORES,DESINC,FINGERHUTDS,JCPENNEY01,KOHLDSN,MACY02,NRTPORT,OLLIIX,OVERSTOCK01,TGTDVS,Zulily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</si>
  <si>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</si>
  <si>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</si>
  <si>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</si>
  <si>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</si>
  <si>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</si>
  <si>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</si>
  <si>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</si>
  <si>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8</t>
  </si>
  <si>
    <t>Damask</t>
  </si>
  <si>
    <t>Traditional</t>
  </si>
  <si>
    <t>Glam/Luxury|Transitional</t>
  </si>
  <si>
    <t>5/3/2019</t>
  </si>
  <si>
    <t>AMAZON,AMAZONDS,AMERSIGNDS,BBBDROP,BIGLOTSDS,BLK01,CASTLEGATE,CSNSTORES,FINGERHUTDS,JCPENNEY01,KOHLDSN,MACY02,OLLIIX,OVERSCONSIGN,OVERSTOCK01,ROOMECOM,TGTDVS,WALMARTDS,Zulily</t>
  </si>
  <si>
    <t>2/2/2021</t>
  </si>
  <si>
    <t>MP10-6288</t>
  </si>
  <si>
    <t>AMAZON,AMAZONDS,AMERSIGNDS,BBBDROP,BIGLOTSDS,BLK01,CASTLEGATE,CSNSTORES,DESINC,FINGERHUTDS,JCPENNEY01,KOHLDSN,LAMPDS,MACY02,OLLIIX,OVERSCONSIGN,OVERSTOCK01,ROOMECOM,TGTDVS,Zulily</t>
  </si>
  <si>
    <t>4/2/2021</t>
  </si>
  <si>
    <t>MP10-6289</t>
  </si>
  <si>
    <t>AMAZON,AMAZONDS,BBBDROP,BIGLOTSDS,BLK01,CASTLEGATE,CSNSTORES,DESINC,FINGERHUTDS,HSNDS,JCPENNEY01,KOHLDSN,MACY02,NEBFUR01,OLLIIX,OVERSCONSIGN,OVERSTOCK01,ROOMECOM,TGTDVS,Zulily</t>
  </si>
  <si>
    <t>11/24/2021</t>
  </si>
  <si>
    <t>MP10-5885</t>
  </si>
  <si>
    <t>Silver/Silver</t>
  </si>
  <si>
    <t>PF004304;PP000900</t>
  </si>
  <si>
    <t>5/1/2018</t>
  </si>
  <si>
    <t>AMAZON,AMAZONDS,AMERSIGNDS,BBBDROP,BIGLOTSDS,BLK01,CASTLEGATE,CSNSTORES,DESINC,FINGERHUTDS,HDDS,JCPENNEY01,KOHLDSN,MACY02,OLLIIX,OVERSCONSIGN,OVERSTOCK01,ROOMECOM,TGTDVS,ZOLA,Zulily</t>
  </si>
  <si>
    <t>MP10-5886</t>
  </si>
  <si>
    <t>AMAZON,AMAZONDS,AMERSIGNDS,BBBDROP,BEALLSDS,BIGLOTSDS,BLK01,CASTLEGATE,CSNSTORES,FINGERHUTDS,HDDS,HSNDS,JCPENNEY01,KOHLDSN,MACY02,NRTPORT,OLLIIX,OVERSCONSIGN,OVERSTOCK01,ROOMECOM,TGTDVS,Zulily</t>
  </si>
  <si>
    <t>MP10-5887</t>
  </si>
  <si>
    <t>AMAZON,AMAZONDS,AMERSIGNDS,BBBDROP,BIGLOTSDS,BLK01,CASTLEGATE,CSNSTORES,FINGERHUTDS,HDDS,HSNDS,JCPENNEY01,KOHLDSN,LAMPDS,MACY02,NEBFUR01,OLLIIX,OVERSTOCK01,ROOMECOM,TGTDVS,WALMARTDS,Zulily</t>
  </si>
  <si>
    <t>7/23/2021</t>
  </si>
  <si>
    <t>MP10-6836</t>
  </si>
  <si>
    <t>Navy/Silver</t>
  </si>
  <si>
    <t>PP000900;PF004968</t>
  </si>
  <si>
    <t>12/17/2019</t>
  </si>
  <si>
    <t>7/13/2024</t>
  </si>
  <si>
    <t>AMAZON,AMAZONDS,BBBDROP,BLK01,CASTLEGATE,CSNSTORES,FINGERHUTDS,JCPENNEY01,KOHLDSN,MACY02,OLLIIX,OVERSTOCK01,ROOMECOM,TGTDVS,WALMARTDS,ZOLA,Zulily</t>
  </si>
  <si>
    <t>1/15/2023</t>
  </si>
  <si>
    <t>MP10-6837</t>
  </si>
  <si>
    <t>AMAZON,AMAZONDS,BBBDROP,BIGLOTSDS,BLK01,CASTLEGATE,CSNSTORES,FINGERHUTDS,JCPENNEY01,KOHLDSN,MACY02,OLLIIX,OVERSTOCK01,ROOMECOM,TGTDVS,ZOLA</t>
  </si>
  <si>
    <t>6/20/2023</t>
  </si>
  <si>
    <t>MP10-6838</t>
  </si>
  <si>
    <t>AMAZON,AMAZONDS,BBBDROP,BLK01,CASTLEGATE,CSNSTORES,JCPENNEY01,KOHLDSN,LAMPDS,MACY02,OLLIIX,OVERSCONSIGN,OVERSTOCK01,ROOMECOM,TGTDVS,WALMARTDS</t>
  </si>
  <si>
    <t>2/13/2023</t>
  </si>
  <si>
    <t>MP10-8079</t>
  </si>
  <si>
    <t>Eilot</t>
  </si>
  <si>
    <t>Aqua/Silver</t>
  </si>
  <si>
    <t>PP000900;PF005801</t>
  </si>
  <si>
    <t>9/8/2022</t>
  </si>
  <si>
    <t>AMAZONDS,BBBDROP,BLK01,CSNSTORES,JCPENNEY01,KOHLDSN,MACY02,OLLIIX,OVERSCONSIGN,OVERSTOCK01,TGTDVS</t>
  </si>
  <si>
    <t>MP10-8080</t>
  </si>
  <si>
    <t>AMAZONDS,BBBDROP,BLK01,CSNSTORES,DESINC,JCPENNEY01,KOHLDSN,MACY02,OLLIIX,OVERSCONSIGN,OVERSTOCK01,TGTDVS</t>
  </si>
  <si>
    <t>MP10-8081</t>
  </si>
  <si>
    <t>AMAZONDS,BLK01,CSNSTORES,JCPENNEY01,KOHLDSN,MACY02,OLLIIX,OVERSCONSIGN,OVERSTOCK01,TGTDVS</t>
  </si>
  <si>
    <t>MP10-749</t>
  </si>
  <si>
    <t>Donovan</t>
  </si>
  <si>
    <t>Blaine</t>
  </si>
  <si>
    <t>Perry</t>
  </si>
  <si>
    <t>7 Piece Jacquard Comforter Set with Throw Pillows</t>
  </si>
  <si>
    <t>PF002757;PP000411</t>
  </si>
  <si>
    <t>Medallion</t>
  </si>
  <si>
    <t>Transitional|Glam/Luxury</t>
  </si>
  <si>
    <t>AAFESDS,AMAZON,AMAZONDS,BBBDROP,BEALLSDS,BIGLOTSDS,BLK01,CSNSTORES,FINGERHUTDS,JCPENNEY01,KOHLDSN,MACY02,NRTPORT,OLLIIX,OVERSTOCK01,ROOMECOM,TGTDVS,WALMARTDS</t>
  </si>
  <si>
    <t>MP10-750</t>
  </si>
  <si>
    <t>AMAZON,BBBDROP,BEALLSDS,BIGLOTSDS,BLK01,CSNSTORES,FINGERHUTDS,JCPENNEY01,KOHLDSN,MACY02,NRTPORT,OLLIIX,OVERSCONSIGN,OVERSTOCK01,ROOMECOM,TGTDVS,WALMARTDS</t>
  </si>
  <si>
    <t>12/27/2022</t>
  </si>
  <si>
    <t>MP10-751</t>
  </si>
  <si>
    <t>AMAZON,AMAZONDS,BBBDROP,BIGLOTSDS,BLK01,CSNSTORES,FINGERHUTDS,JCPENNEY01,KOHLDSN,MACY02,NRTPORT,OLLIIX,OVERSTOCK01,ROOMECOM,TGTDVS</t>
  </si>
  <si>
    <t>MP10-8280</t>
  </si>
  <si>
    <t>PP000411;PF006063</t>
  </si>
  <si>
    <t>8/24/2023</t>
  </si>
  <si>
    <t>BLK01,CSNSTORES,DESINC,JCPENNEY01,KOHLDSN,NRTPORT,OLLIIX,OVERSCONSIGN,OVERSTOCK01,TGTDVS</t>
  </si>
  <si>
    <t>MP10-8281</t>
  </si>
  <si>
    <t>CSNSTORES,DESINC,JCPENNEY01,KOHLDSN,NRTPORT,OLLIIX,OVERSCONSIGN,OVERSTOCK01,TGTDVS</t>
  </si>
  <si>
    <t>MP10-8282</t>
  </si>
  <si>
    <t>BLK01,CSNSTORES,JCPENNEY01,KOHLDSN,OLLIIX,OVERSTOCK01,TGTDVS</t>
  </si>
  <si>
    <t>MP10-4344</t>
  </si>
  <si>
    <t>PF002605</t>
  </si>
  <si>
    <t>6/2/2017</t>
  </si>
  <si>
    <t>10/9/2024</t>
  </si>
  <si>
    <t>AMAZON,AMAZONDS,BBBDROP,BIGLOTSDS,BLK01,CSNSTORES,HOUZZ,JCPENNEY01,KOHLDSN,MACY02,NRTPORT,OLLIIX,OVERSCONSIGN,OVERSTOCK01,TGTDVS,WALMARTDS,Zulily</t>
  </si>
  <si>
    <t>MP10-4345</t>
  </si>
  <si>
    <t>6/7/2017</t>
  </si>
  <si>
    <t>AMAZON,AMAZONDS,BBBDROP,BIGLOTSDS,BLK01,CSNSTORES,JCPENNEY01,KOHLDSN,MACY02,NRTPORT,OLLIIX,OVERSCONSIGN,OVERSTOCK01,TGTDVS,WALMARTDS,Zulily</t>
  </si>
  <si>
    <t>MP10-4346</t>
  </si>
  <si>
    <t>9/20/2024</t>
  </si>
  <si>
    <t>AAFESDS,AMAZON,AMAZONDS,BIGLOTSDS,BLK01,CASTLEGATE,CSNSTORES,JCPENNEY01,KOHLDSN,MACY02,NRTPORT,OLLIIX,OVERSTOCK01,TGTDVS,WALMARTDS,Zulily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</si>
  <si>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</si>
  <si>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</si>
  <si>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</si>
  <si>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</si>
  <si>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</si>
  <si>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</si>
  <si>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</si>
  <si>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</si>
  <si>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</si>
  <si>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Floral</t>
  </si>
  <si>
    <t>Farm House|Casual</t>
  </si>
  <si>
    <t>12/31/2019</t>
  </si>
  <si>
    <t>6/9/2024</t>
  </si>
  <si>
    <t>AMAZON,AMAZONDS,AMERSIGNDS,BBBDROP,BIGLOTSDS,BLK01,CSNSTORES,DESINC,FINGERHUTDS,JCPENNEY01,KOHLDSN,MACY02,NEBFUR01,OLLIIX,OVERSCONSIGN,OVERSTOCK01,ROOMECOM,TGTDVS</t>
  </si>
  <si>
    <t>5/11/2023</t>
  </si>
  <si>
    <t>MP10-5670</t>
  </si>
  <si>
    <t>2/28/2018</t>
  </si>
  <si>
    <t>AMAZON,AMAZONDS,AMERSIGNDS,BBBDROP,BEALLSDS,BIGLOTSDS,BLK01,CSNSTORES,DESINC,FINGERHUTDS,JCPENNEY01,KOHLDSN,LAMPDS,MACY02,NEBFUR01,NRTPORT,OLLIIX,OVERSTOCK01,ROOMECOM,TGTDVS</t>
  </si>
  <si>
    <t>7/3/2023</t>
  </si>
  <si>
    <t>MP10-5671</t>
  </si>
  <si>
    <t>4/16/2018</t>
  </si>
  <si>
    <t>AMAZON,AMERSIGNDS,BBBDROP,BEALLSDS,BIGLOTSDS,BLK01,CSNSTORES,DESINC,FINGERHUTDS,JCPENNEY01,KOHLDSN,LAMPDS,MACY02,NRTPORT,OLLIIX,OVERSTOCK01,ROOMECOM,TGTDVS</t>
  </si>
  <si>
    <t>3/28/2023</t>
  </si>
  <si>
    <t>MP10-5672</t>
  </si>
  <si>
    <t>AMAZON,AMAZONDS,AMERSIGNDS,BIGLOTSDS,BLK01,CASTLEGATE,CSNSTORES,DESINC,FINGERHUTDS,JCPENNEY01,KOHLDSN,MACY02,NRTPORT,OLLIIX,OVERSTOCK01,ROOMECOM,TGTDVS</t>
  </si>
  <si>
    <t>9/2/2022</t>
  </si>
  <si>
    <t>5/18/2023</t>
  </si>
  <si>
    <t>MP10-173</t>
  </si>
  <si>
    <t>Taupe Grey/Yellow</t>
  </si>
  <si>
    <t>PF002450;PP000448</t>
  </si>
  <si>
    <t>7/27/2024</t>
  </si>
  <si>
    <t>AMAZON,AMAZONDS,BBBDROP,BLK01,CSNSTORES,DESINC,HSNDS,JCPENNEY01,KOHLDSN,MACY02,NRTPORT,OLLIIX,OVERSTOCK01,ROOMECOM,TGTDVS</t>
  </si>
  <si>
    <t>MP10-174</t>
  </si>
  <si>
    <t>AMAZON,AMAZONDS,BBBDROP,BLK01,CASTLEGATE,CSNSTORES,DESINC,FINGERHUTDS,HSNDS,JCPENNEY01,KOHLDSN,MACY02,OLLIIX,OVERSTOCK01,ROOMECOM,TGTDVS</t>
  </si>
  <si>
    <t>6/26/2018</t>
  </si>
  <si>
    <t>MP10-175</t>
  </si>
  <si>
    <t>8/28/2024</t>
  </si>
  <si>
    <t>AMAZON,AMAZONDS,BBBDROP,BLK01,CSNSTORES,DESINC,FINGERHUTDS,HOUZZ,HSNDS,JCPENNEY01,KOHLDSN,MACY02,OLLIIX,OVERSTOCK01,ROOMECOM,TGTDVS,Zulily</t>
  </si>
  <si>
    <t>3/12/2023</t>
  </si>
  <si>
    <t>MP10-6833</t>
  </si>
  <si>
    <t>PF002455;PP000448</t>
  </si>
  <si>
    <t>11/26/2019</t>
  </si>
  <si>
    <t>AMAZON,AMAZONDS,BLK01,CSNSTORES,JCPENNEY01,KOHLDSN,MACY02,OVERSTOCK01,TGTDVS</t>
  </si>
  <si>
    <t>MP10-2639</t>
  </si>
  <si>
    <t>PF002455</t>
  </si>
  <si>
    <t>7/11/2024</t>
  </si>
  <si>
    <t>AMAZON,AMAZONDS,BBBDROP,BIGLOTSDS,BLK01,CSNSTORES,DESINC,FINGERHUTDS,JCPENNEY01,KOHLDSN,MACY02,OLLIIX,OVERSTOCK01,ROOMECOM,TGTDVS,Zulily</t>
  </si>
  <si>
    <t>MP10-2640</t>
  </si>
  <si>
    <t>AMAZON,AMAZONDS,BBBDROP,BEALLSDS,BIGLOTSDS,BLK01,CSNSTORES,FINGERHUTDS,JCPENNEY01,KOHLDSN,MACY02,NRTPORT,OLLIIX,OVERSCONSIGN,OVERSTOCK01,ROOMECOM,TGTDVS,Zulily</t>
  </si>
  <si>
    <t>4/21/2023</t>
  </si>
  <si>
    <t>MP10-2641</t>
  </si>
  <si>
    <t>9/25/2024</t>
  </si>
  <si>
    <t>AMAZON,AMAZONDS,BBBDROP,BIGLOTSDS,BLK01,CSNSTORES,JCPENNEY01,KOHLDSN,MACY02,NRTPORT,OLLIIX,OVERSCONSIGN,OVERSTOCK01,TGTDVS,Zulily</t>
  </si>
  <si>
    <t>MP10-436</t>
  </si>
  <si>
    <t>Taupe Grey/Purple</t>
  </si>
  <si>
    <t>PF002454;PP000448</t>
  </si>
  <si>
    <t>AMAZON,AMAZONDS,BBBDROP,BLK01,CSNSTORES,HOUZZ,JCPENNEY01,KOHLDSN,MACY02,OLLIIX,OVERSTOCK01,TGTDVS,WALMARTDS,Zulily</t>
  </si>
  <si>
    <t>MP10-257</t>
  </si>
  <si>
    <t>AMAZON,AMAZONDS,BBBDROP,BLK01,CSNSTORES,DESINC,FINGERHUTDS,HSNDS,JCPENNEY01,KOHLDSN,MACY02,NRTPORT,OLLIIX,OVERSTOCK01,ROOMECOM,TGTDVS,Zulily</t>
  </si>
  <si>
    <t>11/13/2018</t>
  </si>
  <si>
    <t>MP10-258</t>
  </si>
  <si>
    <t>AMAZON,AMAZONDS,BBBDROP,BLK01,CSNSTORES,DESINC,FINGERHUTDS,JCPENNEY01,KOHLDSN,MACY02,OLLIIX,OVERSTOCK01,ROOMECOM,TGTDVS,Zulily</t>
  </si>
  <si>
    <t>11/15/2018</t>
  </si>
  <si>
    <t>MP10-259</t>
  </si>
  <si>
    <t>AMAZON,AMAZONDS,BBBDROP,BLK01,CSNSTORES,JCPENNEY01,KOHLDSN,MACY02,OLLIIX,OVERSTOCK01,ROOMECOM,TGTDVS,WALMARTDS,Zulily</t>
  </si>
  <si>
    <t>3/20/2023</t>
  </si>
  <si>
    <t>MP10-435</t>
  </si>
  <si>
    <t>Comforter Set</t>
  </si>
  <si>
    <t>Donation</t>
  </si>
  <si>
    <t>AMAZON,AMAZONDS,CSNSTORES,JCPENNEY01,KOHLDSN,MACY02,OVERSTOCK01,ROOMECOM,TGTDVS</t>
  </si>
  <si>
    <t>Discontinued</t>
  </si>
  <si>
    <t>1/17/2023</t>
  </si>
  <si>
    <t>MP10-3396</t>
  </si>
  <si>
    <t>Rhapsody</t>
  </si>
  <si>
    <t>Melody</t>
  </si>
  <si>
    <t>Harmony</t>
  </si>
  <si>
    <t>7 Piece Jacquard Comforter Set</t>
  </si>
  <si>
    <t>Grey/Taupe</t>
  </si>
  <si>
    <t>PF002618</t>
  </si>
  <si>
    <t>Stripe</t>
  </si>
  <si>
    <t>Modern/Contemporary|Glam/Luxury</t>
  </si>
  <si>
    <t>8/7/2024</t>
  </si>
  <si>
    <t>AMAZON,AMAZONDS,AMERSIGNDS,BBBDROP,BEALLSDS,BLK01,CSNSTORES,DESINC,HOUZZ,JCPENNEY01,KOHLDSN,LAMPDS,MACY02,NEBFUR01,NRTPORT,OLLIIX,OVERSCONSIGN,OVERSTOCK01,ROOMECOM,TGTDVS,WALMARTDS</t>
  </si>
  <si>
    <t>12/23/2020</t>
  </si>
  <si>
    <t>4/6/2021</t>
  </si>
  <si>
    <t>MP10-3397</t>
  </si>
  <si>
    <t>AMAZON,AMAZONDS,AMERSIGNDS,BBBDROP,BEALLSDS,BLK01,CSNSTORES,DESINC,JCPENNEY01,KOHLDSN,MACY02,NEBFUR01,NRTPORT,OLLIIX,OVERSCONSIGN,OVERSTOCK01,ROOMECOM,TGTDVS</t>
  </si>
  <si>
    <t>1/4/2021</t>
  </si>
  <si>
    <t>2/19/2021</t>
  </si>
  <si>
    <t>MP10-3398</t>
  </si>
  <si>
    <t>AMAZON,AMAZONDS,AMERSIGNDS,BBBDROP,BEALLSDS,BLK01,CSNSTORES,DESINC,FINGERHUTDS,HSNDS,JCPENNEY01,KOHLDSN,MACY02,NEBFUR01,NRTPORT,OLLIIX,OVERSTOCK01,ROOMECOM,TGTDVS,WALMARTDS</t>
  </si>
  <si>
    <t>12/24/2020</t>
  </si>
  <si>
    <t>6/9/2021</t>
  </si>
  <si>
    <t>MP10-7420</t>
  </si>
  <si>
    <t>PP001573</t>
  </si>
  <si>
    <t>Glam/Luxury|Modern/Contemporary</t>
  </si>
  <si>
    <t>6/29/2021</t>
  </si>
  <si>
    <t>AMAZON,AMAZONDS,BBBDROP,BLK01,CSNSTORES,DESINC,FINGERHUTDS,HOUZZ,JCPENNEY01,KOHLDSN,MACY02,NEBFUR01,NRTPORT,OLLIIX,OVERSCONSIGN,OVERSTOCK01,TGTDVS,Zulily</t>
  </si>
  <si>
    <t>5/8/2024</t>
  </si>
  <si>
    <t>MP10-7421</t>
  </si>
  <si>
    <t>6/23/2021</t>
  </si>
  <si>
    <t>AMAZONDS,BBBDROP,BLK01,CSNSTORES,DESINC,HOUZZ,JCPENNEY01,KOHLDSN,MACY02,NEBFUR01,NRTPORT,OLLIIX,OVERSCONSIGN,OVERSTOCK01,TGTDVS,Zulily</t>
  </si>
  <si>
    <t>MP10-7422</t>
  </si>
  <si>
    <t>AMAZON,AMAZONDS,BBBDROP,BLK01,CSNSTORES,FINGERHUTDS,HOUZZ,JCPENNEY01,KOHLDSN,MACY02,NEBFUR01,OLLIIX,OVERSTOCK01,TGTDVS,Zulily</t>
  </si>
  <si>
    <t>MP10-7327</t>
  </si>
  <si>
    <t>PF005291;PP001573</t>
  </si>
  <si>
    <t>1/28/2021</t>
  </si>
  <si>
    <t>8/6/2024</t>
  </si>
  <si>
    <t>AAFESDS,AMAZON,AMAZONDS,BBBDROP,BLK01,CSNSTORES,DESINC,JCPENNEY01,KOHLDSN,MACY02,NRTPORT,OLLIIX,OVERSCONSIGN,OVERSTOCK01,TGTDVS,Zulily</t>
  </si>
  <si>
    <t>MP10-7328</t>
  </si>
  <si>
    <t>AMAZON,AMAZONDS,BBBDROP,CSNSTORES,DESINC,JCPENNEY01,KOHLDSN,MACY02,OLLIIX,OVERSTOCK01,TGTDVS,Zulily</t>
  </si>
  <si>
    <t>MP10-7329</t>
  </si>
  <si>
    <t>AMAZONDS,BBBDROP,BLK01,CSNSTORES,FINGERHUTDS,JCPENNEY01,KOHLDSN,MACY02,OLLIIX,OVERSCONSIGN,OVERSTOCK01,TGTDVS,Zulily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</si>
  <si>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</si>
  <si>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</si>
  <si>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</si>
  <si>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</si>
  <si>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</si>
  <si>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</si>
  <si>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</si>
  <si>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Modern/Contemporary</t>
  </si>
  <si>
    <t>Transitional|Farm House</t>
  </si>
  <si>
    <t>5/19/2019</t>
  </si>
  <si>
    <t>AMAZON,AMAZONDS,AMERSIGNDS,BBBDROP,BIGLOTSDS,BLK01,CSNSTORES,DESINC,HSNDS,JCPENNEY01,KOHLDSN,MACY02,NRTPORT,OLLIIX,OVERSTOCK01,ROOMECOM,TGTDVS</t>
  </si>
  <si>
    <t>9/1/2022</t>
  </si>
  <si>
    <t>3/10/2023</t>
  </si>
  <si>
    <t>MP10-6291</t>
  </si>
  <si>
    <t>AMAZON,AMAZONDS,AMERSIGNDS,BBBDROP,BIGLOTSDS,BLK01,CSNSTORES,DESINC,HSNDS,JCPENNEY01,KIRKLANDDS,KOHLDSN,MACY02,NRTPORT,OLLIIX,OVERSTOCK01,ROOMECOM,TGTDVS,WALMARTDS,Zulily</t>
  </si>
  <si>
    <t>MP10-6292</t>
  </si>
  <si>
    <t>AMAZON,AMAZONDS,BBBDROP,BIGLOTSDS,BLK01,CSNSTORES,DESINC,HSNDS,JCPENNEY01,KOHLDSN,MACY02,NEBFUR01,NRTPORT,OLLIIX,OVERSTOCK01,ROOMECOM,TGTDVS,WALMARTDS,Zulily</t>
  </si>
  <si>
    <t>6/7/2023</t>
  </si>
  <si>
    <t>MP10-7129</t>
  </si>
  <si>
    <t>PP001162;PF005048</t>
  </si>
  <si>
    <t>2/5/2020</t>
  </si>
  <si>
    <t>AMAZON,AMAZONDS,ASHFURNDS,BBBDROP,BIGLOTSDS,BLK01,CSNSTORES,DESINC,FINGERHUTDS,HDDS,JCPENNEY01,KOHLDSN,OLLIIX,OVERSCONSIGN,OVERSTOCK01,TGTDVS</t>
  </si>
  <si>
    <t>MP10-7130</t>
  </si>
  <si>
    <t>AMAZON,AMAZONDS,ASHFURNDS,BBBDROP,BIGLOTSDS,BLK01,CSNSTORES,DESINC,FINGERHUTDS,HDDS,JCPENNEY01,KOHLDSN,NRTPORT,OLLIIX,OVERSTOCK01,TGTDVS</t>
  </si>
  <si>
    <t>MP10-7131</t>
  </si>
  <si>
    <t>AMAZON,AMAZONDS,BBBDROP,BIGLOTSDS,BLK01,CSNSTORES,DESINC,FINGERHUTDS,HDDS,JCPENNEY01,KOHLDSN,MACY02,NRTPORT,OLLIIX,OVERSTOCK01,TGTDVS</t>
  </si>
  <si>
    <t>MP10-7085</t>
  </si>
  <si>
    <t>Taupe</t>
  </si>
  <si>
    <t>PP001162;PF005033</t>
  </si>
  <si>
    <t>1/15/2020</t>
  </si>
  <si>
    <t>AMAZON,AMAZONDS,AMERSIGNDS,BBBDROP,BIGLOTSDS,BLK01,CSNSTORES,DESINC,FINGERHUTDS,JCPENNEY01,KOHLDSN,NRTPORT,OLLIIX,OVERSTOCK01,TGTDVS,Zulily</t>
  </si>
  <si>
    <t>MP10-7086</t>
  </si>
  <si>
    <t>AMAZON,AMAZONDS,BBBDROP,BIGLOTSDS,BLK01,CASTLEGATE,CSNSTORES,FINGERHUTDS,HOUZZ,JCPENNEY01,KOHLDSN,NRTPORT,OLLIIX,OVERSTOCK01,TGTDVS</t>
  </si>
  <si>
    <t>MP10-7087</t>
  </si>
  <si>
    <t>AMAZONDS,BBBDROP,BIGLOTSDS,BLK01,CSNSTORES,DESINC,HOUZZ,JCPENNEY01,KOHLDSN,NRTPORT,OLLIIX,OVERSCONSIGN,OVERSTOCK01,TGTDVS</t>
  </si>
  <si>
    <t>MP10-660</t>
  </si>
  <si>
    <t>Laurel</t>
  </si>
  <si>
    <t>Vivian</t>
  </si>
  <si>
    <t>Piedmont</t>
  </si>
  <si>
    <t>7 Piece Tufted Comforter Set</t>
  </si>
  <si>
    <t>Ivory</t>
  </si>
  <si>
    <t>PF002430;PP000440</t>
  </si>
  <si>
    <t>Border</t>
  </si>
  <si>
    <t>8/17/2024</t>
  </si>
  <si>
    <t>AAFESDS,AMAZON,AMAZONDS,ASHFURNDS,BEALLSDS,BIGLOTSDS,BLK01,CSNSTORES,JCPENNEY01,KOHLDSN,MACY02,NRTPORT,OLLIIX,OVERSTOCK01,ROOMECOM,TGTDVS</t>
  </si>
  <si>
    <t>5/3/2023</t>
  </si>
  <si>
    <t>MP10-432</t>
  </si>
  <si>
    <t>AAFESDS,AMAZON,AMAZONDS,ASHFURNDS,BBBDROP,BEALLSDS,BIGLOTSDS,BLK01,CSNSTORES,DESINC,FINGERHUTDS,JCPENNEY01,KOHLDSN,MACY02,NRTPORT,OLLIIX,OVERSCONSIGN,OVERSTOCK01,ROOMECOM,TGTDVS</t>
  </si>
  <si>
    <t>MP10-433</t>
  </si>
  <si>
    <t>AMAZON,AMAZONDS,ASHFURNDS,BBBDROP,BEALLSDS,BIGLOTSDS,BLK01,CSNSTORES,DESINC,FINGERHUTDS,HSNDS,JCPENNEY01,KOHLDSN,MACY02,NRTPORT,OLLIIX,OVERSCONSIGN,OVERSTOCK01,ROOMECOM,TGTDVS</t>
  </si>
  <si>
    <t>12/15/2022</t>
  </si>
  <si>
    <t>MP10-434</t>
  </si>
  <si>
    <t>AMAZON,AMAZONDS,ASHFURNDS,BBBDROP,BLK01,CSNSTORES,FINGERHUTDS,HSNDS,JCPENNEY01,KOHLDSN,MACY02,NRTPORT,OLLIIX,OVERSCONSIGN,OVERSTOCK01,ROOMECOM,TGTDVS</t>
  </si>
  <si>
    <t>3/21/2024</t>
  </si>
  <si>
    <t>MP10-6644</t>
  </si>
  <si>
    <t>Blush</t>
  </si>
  <si>
    <t>PF002423;PP000440</t>
  </si>
  <si>
    <t>9/16/2019</t>
  </si>
  <si>
    <t>AMAZON,AMAZONDS,BIGLOTSDS,BLK01,CSNSTORES,JCPENNEY01,KOHLDSN,MACY02,NEBFUR01,NRTPORT,OLLIIX,OVERSTOCK01,ROOMECOM,TGTDVS,WALMARTDS</t>
  </si>
  <si>
    <t>5/31/2024</t>
  </si>
  <si>
    <t>MP10-5114</t>
  </si>
  <si>
    <t>9/28/2017</t>
  </si>
  <si>
    <t>AMAZON,AMAZONDS,AMERSIGNDS,ASHFURNDS,BBBDROP,BEALLSDS,BIGLOTSDS,BLK01,CSNSTORES,FINGERHUTDS,JCPENNEY01,KOHLDSN,NEBFUR01,NRTPORT,OLLIIX,OVERSCONSIGN,OVERSTOCK01,ROOMECOM,TGTDVS,Zulily</t>
  </si>
  <si>
    <t>MP10-5115</t>
  </si>
  <si>
    <t>7/10/2024</t>
  </si>
  <si>
    <t>AMAZON,AMAZONDS,AMERSIGNDS,ASHFURNDS,BBBDROP,BEALLSDS,BIGLOTSDS,BLK01,CSNSTORES,FINGERHUTDS,JCPENNEY01,KOHLDSN,NRTPORT,OLLIIX,OVERSCONSIGN,OVERSTOCK01,TGTDVS,WALMARTDS</t>
  </si>
  <si>
    <t>MP10-5116</t>
  </si>
  <si>
    <t>9/29/2017</t>
  </si>
  <si>
    <t>AMAZON,AMAZONDS,AMERSIGNDS,BLK01,CSNSTORES,FINGERHUTDS,JCPENNEY01,KOHLDSN,NEBFUR01,NRTPORT,OLLIIX,OVERSCONSIGN,OVERSTOCK01,ROOMECOM,TGTDVS,WALMARTDS</t>
  </si>
  <si>
    <t>6/21/2023</t>
  </si>
  <si>
    <t>MP10-2578</t>
  </si>
  <si>
    <t>White</t>
  </si>
  <si>
    <t>PF002426;PP000440</t>
  </si>
  <si>
    <t>AAFESDS,AMAZON,ASHFURNDS,BBBDROP,BIGLOTSDS,BLK01,CSNSTORES,JCPENNEY01,KOHLDSN,MACY02,NRTPORT,OLLIIX,OVERSTOCK01,TGTDVS,WALMARTDS</t>
  </si>
  <si>
    <t>MP10-738</t>
  </si>
  <si>
    <t>AAFESDS,AMAZON,AMAZONDS,ASHFURNDS,BBBDROP,BIGLOTSDS,BLK01,CSNSTORES,DESINC,FINGERHUTDS,HSNDS,JCPENNEY01,KOHLDSN,MACY02,NRTPORT,OLLIIX,OVERSTOCK01,ROOMECOM,TGTDVS,Zulily</t>
  </si>
  <si>
    <t>MP10-739</t>
  </si>
  <si>
    <t>AMAZON,AMAZONDS,ASHFURNDS,BBBDROP,BIGLOTSDS,BLK01,CSNSTORES,DESINC,FINGERHUTDS,HSNDS,JCPENNEY01,KOHLDSN,MACY02,NRTPORT,OLLIIX,OVERSCONSIGN,OVERSTOCK01,ROOMECOM,TGTDVS,Zulily</t>
  </si>
  <si>
    <t>MP10-740</t>
  </si>
  <si>
    <t>AMAZON,AMAZONDS,ASHFURNDS,BBBDROP,BLK01,CSNSTORES,FINGERHUTDS,HOUZZ,HSNDS,JCPENNEY01,KOHLDSN,MACY02,NRTPORT,OLLIIX,OVERSTOCK01,TGTDVS,Zulily</t>
  </si>
  <si>
    <t>MP10-659</t>
  </si>
  <si>
    <t>Plum</t>
  </si>
  <si>
    <t>PF002424;PP000440</t>
  </si>
  <si>
    <t>AMAZON,AMAZONDS,ASHFURNDS,BBBDROP,BEALLSDS,BLK01,CSNSTORES,JCPENNEY01,KOHLDSN,MACY02,NRTPORT,OLLIIX,OVERSCONSIGN,OVERSTOCK01,TGTDVS,WALMARTDS</t>
  </si>
  <si>
    <t>MP10-254</t>
  </si>
  <si>
    <t>AMAZON,AMAZONDS,BBBDROP,BLK01,CSNSTORES,DESINC,FINGERHUTDS,JCPENNEY01,KOHLDSN,MACY02,NRTPORT,OLLIIX,OVERSCONSIGN,OVERSTOCK01,ROOMECOM,TGTDVS,Zulily</t>
  </si>
  <si>
    <t>7/17/2018</t>
  </si>
  <si>
    <t>MP10-255</t>
  </si>
  <si>
    <t>AAFESDS,AMAZONDS,ASHFURNDS,BBBDROP,BLK01,CSNSTORES,DESINC,FINGERHUTDS,HSNDS,JCPENNEY01,KOHLDSN,MACY02,NRTPORT,OLLIIX,OVERSTOCK01,TGTDVS,Zulily</t>
  </si>
  <si>
    <t>MP10-256</t>
  </si>
  <si>
    <t>AMAZON,AMAZONDS,BBBDROP,BEALLSDS,BLK01,CSNSTORES,FINGERHUTDS,JCPENNEY01,KOHLDSN,MACY02,NRTPORT,OLLIIX,OVERSTOCK01,TGTDVS,WALMARTDS,Zulily</t>
  </si>
  <si>
    <t>MP10-3279</t>
  </si>
  <si>
    <t>PF002432;PP000440</t>
  </si>
  <si>
    <t>5/13/2017</t>
  </si>
  <si>
    <t>6/10/2024</t>
  </si>
  <si>
    <t>AMAZON,AMAZONDS,ASHFURNDS,BBBDROP,BLK01,CSNSTORES,FINGERHUTDS,JCPENNEY01,KOHLDSN,MACY02,NRTPORT,OLLIIX,OVERSTOCK01,TGTDVS,Zulily</t>
  </si>
  <si>
    <t>MP10-3280</t>
  </si>
  <si>
    <t>AAFESDS,AMAZON,AMAZONDS,ASHFURNDS,BBBDROP,BLK01,CASTLEGATE,CSNSTORES,FINGERHUTDS,JCPENNEY01,KOHLDSN,MACY02,NRTPORT,OLLIIX,OVERSTOCK01,TGTDVS,Zulily</t>
  </si>
  <si>
    <t>MP10-3281</t>
  </si>
  <si>
    <t>AMAZON,AMAZONDS,ASHFURNDS,BBBDROP,BLK01,CSNSTORES,FINGERHUTDS,JCPENNEY01,KOHLDSN,MACY02,NRTPORT,OLLIIX,OVERSTOCK01,TGTDVS</t>
  </si>
  <si>
    <t>MP10-2577</t>
  </si>
  <si>
    <t>PF002428;PP000440</t>
  </si>
  <si>
    <t>4/13/2017</t>
  </si>
  <si>
    <t>AMAZON,AMAZONDS,ASHFURNDS,BBBDROP,BLK01,CSNSTORES,DESINC,JCPENNEY01,KOHLDSN,MACY02,NRTPORT,OLLIIX,OVERSTOCK01,TGTDVS</t>
  </si>
  <si>
    <t>MP10-1328</t>
  </si>
  <si>
    <t>AMAZON,AMAZONDS,ASHFURNDS,BBBDROP,BLK01,CSNSTORES,DESINC,FINGERHUTDS,HSNDS,JCPENNEY01,KOHLDSN,MACY02,NRTPORT,OLLIIX,OVERSCONSIGN,OVERSTOCK01,TGTDVS</t>
  </si>
  <si>
    <t>MP10-1329</t>
  </si>
  <si>
    <t>AMAZON,AMAZONDS,ASHFURNDS,BBBDROP,BLK01,CSNSTORES,DESINC,FINGERHUTDS,HSNDS,JCPENNEY01,KOHLDSN,MACY02,NRTPORT,OLLIIX,OVERSTOCK01,TGTDVS</t>
  </si>
  <si>
    <t>MP10-1330</t>
  </si>
  <si>
    <t>4/12/2017</t>
  </si>
  <si>
    <t>MP10-2240</t>
  </si>
  <si>
    <t>PF002429;PP000440</t>
  </si>
  <si>
    <t>AMAZON,AMAZONDS,ASHFURNDS,BBBDROP,BLK01,CSNSTORES,FINGERHUTDS,HOUZZ,JCPENNEY01,KOHLDSN,MACY02,NRTPORT,OLLIIX,OVERSTOCK01,TGTDVS,Zulily</t>
  </si>
  <si>
    <t>MP10-2241</t>
  </si>
  <si>
    <t>AMAZON,AMAZONDS,ASHFURNDS,BBBDROP,BLK01,CSNSTORES,DESINC,FINGERHUTDS,JCPENNEY01,KOHLDSN,MACY02,NRTPORT,OLLIIX,OVERSTOCK01,TGTDVS,Zulily</t>
  </si>
  <si>
    <t>MP10-2242</t>
  </si>
  <si>
    <t>AMAZON,AMAZONDS,ASHFURNDS,BBBDROP,BLK01,CSNSTORES,DESINC,FINGERHUTDS,JCPENNEY01,KOHLDSN,MACY02,NRTPORT,OVERSTOCK01,TGTDVS,Zulily</t>
  </si>
  <si>
    <t>MP10-639</t>
  </si>
  <si>
    <t>Seafoam</t>
  </si>
  <si>
    <t>PF002425;PP000440</t>
  </si>
  <si>
    <t>AAFESDS,AMAZON,AMAZONDS,BBBDROP,BLK01,CSNSTORES,DESINC,FINGERHUTDS,JCPENNEY01,KOHLDSN,MACY02,NRTPORT,OLLIIX,OVERSCONSIGN,OVERSTOCK01,TGTDVS</t>
  </si>
  <si>
    <t>MP10-640</t>
  </si>
  <si>
    <t>AMAZON,AMAZONDS,BEALLSDS,BLK01,CSNSTORES,DESINC,FINGERHUTDS,JCPENNEY01,KOHLDSN,MACY02,NRTPORT,OLLIIX,OVERSTOCK01,TGTDVS</t>
  </si>
  <si>
    <t>MP10-641</t>
  </si>
  <si>
    <t>MP10-251</t>
  </si>
  <si>
    <t>PF002422;PP000440</t>
  </si>
  <si>
    <t>AMAZON,AMAZONDS,BBBDROP,BIGLOTSDS,BLK01,CASTLEGATE,CSNSTORES,FINGERHUTDS,HSNDS,JCPENNEY01,KOHLDSN,MACY02,NRTPORT,OLLIIX,OVERSCONSIGN,OVERSTOCK01,TGTDVS</t>
  </si>
  <si>
    <t>MP10-252</t>
  </si>
  <si>
    <t>AAFESDS,AMAZON,AMAZONDS,BBBDROP,BEALLSDS,BIGLOTSDS,BLK01,CSNSTORES,DESINC,FINGERHUTDS,HOUZZ,HSNDS,JCPENNEY01,KOHLDSN,MACY02,NRTPORT,OLLIIX,OVERSTOCK01,TGTDVS</t>
  </si>
  <si>
    <t>MP10-253</t>
  </si>
  <si>
    <t>AMAZON,AMAZONDS,ASHFURNDS,BBBDROP,BEALLSDS,BLK01,CSNSTORES,DESINC,FINGERHUTDS,HSNDS,JCPENNEY01,KOHLDSN,MACY02,NRTPORT,OLLIIX,OVERSTOCK01,TGTDVS</t>
  </si>
  <si>
    <t>MP10-6164</t>
  </si>
  <si>
    <t>Cassandra</t>
  </si>
  <si>
    <t>Gisele</t>
  </si>
  <si>
    <t>Maddy</t>
  </si>
  <si>
    <t>8 Piece Cotton Printed Comforter Set</t>
  </si>
  <si>
    <t>PF004581;PP001093</t>
  </si>
  <si>
    <t>Cotton</t>
  </si>
  <si>
    <t>Shabby Chic</t>
  </si>
  <si>
    <t>5/1/2019</t>
  </si>
  <si>
    <t>8/9/2024</t>
  </si>
  <si>
    <t>AMAZON,AMAZONDS,BBBDROP,BEALLSDS,BLK01,CSNSTORES,FINGERHUTDS,HDDS,JCPENNEY01,KOHLDSN,MACY02,NRTPORT,OLLIIX,OVERSCONSIGN,OVERSTOCK01,ROOMECOM,TGTDVS,WALMARTDS,Zulily</t>
  </si>
  <si>
    <t>9/21/2022</t>
  </si>
  <si>
    <t>12/20/2022</t>
  </si>
  <si>
    <t>MP10-6165</t>
  </si>
  <si>
    <t>AMAZON,AMAZONDS,BBBDROP,BEALLSDS,BLK01,CSNSTORES,FINGERHUTDS,HDDS,HOUZZ,JCPENNEY01,KOHLDSN,MACY02,OLLIIX,OVERSCONSIGN,OVERSTOCK01,ROOMECOM,TGTDVS,WALMARTDS,Zulily</t>
  </si>
  <si>
    <t>MP10-6166</t>
  </si>
  <si>
    <t>AMAZON,AMAZONDS,BBBDROP,BEALLSDS,BLK01,CASTLEGATE,CSNSTORES,FINGERHUTDS,HDDS,JCPENNEY01,KOHLDSN,MACY02,NRTPORT,OLLIIX,OVERSTOCK01,ROOMECOM,TGTDVS,WALMARTDS</t>
  </si>
  <si>
    <t>MP10-7834</t>
  </si>
  <si>
    <t>PP001093;PF005653</t>
  </si>
  <si>
    <t>4/4/2022</t>
  </si>
  <si>
    <t>6/25/2024</t>
  </si>
  <si>
    <t>AMAZONDS,ASHFURNDS,BBBDROP,BLK01,CSNSTORES,HSNDS,JCPENNEY01,KOHLDSN,MACY02,OLLIIX,OVERSTOCK01,TGTDVS</t>
  </si>
  <si>
    <t>MP10-7835</t>
  </si>
  <si>
    <t>AMAZONDS,BBBDROP,BLK01,CSNSTORES,HSNDS,JCPENNEY01,KOHLDSN,MACY02,OLLIIX,OVERSCONSIGN,OVERSTOCK01,TGTDVS</t>
  </si>
  <si>
    <t>MP10-7836</t>
  </si>
  <si>
    <t>9/27/2024</t>
  </si>
  <si>
    <t>AMAZONDS,BBBDROP,BLK01,CSNSTORES,HSNDS,JCPENNEY01,KOHLDSN,MACY02,OLLIIX,OVERSTOCK01,TGTDVS</t>
  </si>
  <si>
    <t>MP10-1636</t>
  </si>
  <si>
    <t>Collins</t>
  </si>
  <si>
    <t>Saban</t>
  </si>
  <si>
    <t>Rodgers</t>
  </si>
  <si>
    <t>7 Piece Microsuede Comforter Set</t>
  </si>
  <si>
    <t>PF002736</t>
  </si>
  <si>
    <t>Casual</t>
  </si>
  <si>
    <t>AMAZON,AMAZONDS,BBBDROP,BLK01,CSNSTORES,DESINC,FINGERHUTDS,JCPENNEY01,KOHLDSN,MACY02,OLLIIX,OVERSCONSIGN,OVERSTOCK01,ROOMECOM,TGTDVS,Zulily</t>
  </si>
  <si>
    <t>3/30/2021</t>
  </si>
  <si>
    <t>MP10-1637</t>
  </si>
  <si>
    <t>AMAZON,AMAZONDS,BBBDROP,BLK01,CSNSTORES,DESINC,HOUZZ,JCPENNEY01,KOHLDSN,MACY02,OLLIIX,OVERSCONSIGN,OVERSTOCK01,ROOMECOM,TGTDVS,WALMARTDS</t>
  </si>
  <si>
    <t>3/10/2021</t>
  </si>
  <si>
    <t>MP10-1638</t>
  </si>
  <si>
    <t>9/4/2024</t>
  </si>
  <si>
    <t>AMAZON,AMAZONDS,BLK01,CSNSTORES,FINGERHUTDS,HOUZZ,JCPENNEY01,KOHLDSN,MACY02,OLLIIX,OVERSTOCK01,ROOMECOM,TGTDVS</t>
  </si>
  <si>
    <t>1/1/2021</t>
  </si>
  <si>
    <t>8/17/2021</t>
  </si>
  <si>
    <t>MP10-1658</t>
  </si>
  <si>
    <t>Medina</t>
  </si>
  <si>
    <t>Barrett</t>
  </si>
  <si>
    <t>Ryland</t>
  </si>
  <si>
    <t>PF002737</t>
  </si>
  <si>
    <t>AMAZON,AMAZONDS,BBBDROP,BLK01,CSNSTORES,DESINC,HSNDS,JCPENNEY01,KOHLDSN,MACY02,OLLIIX,OVERSCONSIGN,OVERSTOCK01,ROOMECOM,TGTDVS</t>
  </si>
  <si>
    <t>1/25/2021</t>
  </si>
  <si>
    <t>8/21/2021</t>
  </si>
  <si>
    <t>MP10-1659</t>
  </si>
  <si>
    <t>AMAZON,AMAZONDS,BBBDROP,BLK01,CSNSTORES,DESINC,JCPENNEY01,KOHLDSN,MACY02,OLLIIX,OVERSTOCK01,ROOMECOM,TGTDVS</t>
  </si>
  <si>
    <t>MP10-1660</t>
  </si>
  <si>
    <t>AMAZON,AMAZONDS,BBBDROP,BLK01,CSNSTORES,FINGERHUTDS,HSNDS,JCPENNEY01,KOHLDSN,MACY02,OLLIIX,OVERSCONSIGN,OVERSTOCK01,ROOMECOM,TGTDVS</t>
  </si>
  <si>
    <t>1/26/2021</t>
  </si>
  <si>
    <t>3/6/2021</t>
  </si>
  <si>
    <t>MP10-2527</t>
  </si>
  <si>
    <t>Celeste</t>
  </si>
  <si>
    <t>Isabella</t>
  </si>
  <si>
    <t>Alexis</t>
  </si>
  <si>
    <t>5 Piece Microfiber Ruffled Comforter Set</t>
  </si>
  <si>
    <t>PF002762</t>
  </si>
  <si>
    <t>5</t>
  </si>
  <si>
    <t>Cottage/Country|Farm House</t>
  </si>
  <si>
    <t>8/16/2024</t>
  </si>
  <si>
    <t>AMAZON,AMERSIGNDS,ASHFURNDS,BBBDROP,BEALLSDS,BLK01,CSNSTORES,HDDS,JCPENNEY01,KOHLDSN,LAMPDS,MACY02,OLLIIX,OVERSCONSIGN,OVERSTOCK01,ROOMECOM,TGTDVS</t>
  </si>
  <si>
    <t>4/21/2021</t>
  </si>
  <si>
    <t>MP10-2528</t>
  </si>
  <si>
    <t>AMAZON,AMAZONDS,AMERSIGNDS,ASHFURNDS,BBBDROP,BLK01,CSNSTORES,HDDS,JCPENNEY01,KIRKLANDDS,KOHLDSN,LOWESDS,MACY02,OLLIIX,OVERSTOCK01,ROOMECOM,TGTDVS,Zulily</t>
  </si>
  <si>
    <t>MP10-2529</t>
  </si>
  <si>
    <t>AMAZON,AMAZONDS,ASHFURNDS,BBBDROP,BEALLSDS,BLK01,CSNSTORES,FINGERHUTDS,HDDS,JCPENNEY01,KIRKLANDDS,KOHLDSN,MACY02,OLLIIX,OVERSCONSIGN,OVERSTOCK01,ROOMECOM,TGTDVS,WALMARTDS</t>
  </si>
  <si>
    <t>7/15/2021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</si>
  <si>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</si>
  <si>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</si>
  <si>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</si>
  <si>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</si>
  <si>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</si>
  <si>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</si>
  <si>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</si>
  <si>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9</t>
  </si>
  <si>
    <t>Cottage/Country</t>
  </si>
  <si>
    <t>Shabby Chic|Transitional</t>
  </si>
  <si>
    <t>AMAZON,AMAZONDS,AMERSIGNDS,BBBDROP,BEALLSDS,BLK01,CSNSTORES,DESINC,HDDS,HOUZZ,JCPENNEY01,KOHLDSN,LAMPDS,MACY02,NEBFUR01,NRTPORT,OLLIIX,OVERSCONSIGN,OVERSTOCK01,ROOMECOM,TGTDVS,Zulily</t>
  </si>
  <si>
    <t>6/15/2021</t>
  </si>
  <si>
    <t>MP10-387</t>
  </si>
  <si>
    <t>AMAZON,AMAZONDS,AMERSIGNDS,BBBDROP,BEALLSDS,BLK01,CASTLEGATE,CSNSTORES,DESINC,FINGERHUTDS,HDDS,HOUZZ,JCPENNEY01,KOHLDSN,MACY02,NEBFUR01,NRTPORT,OLLIIX,OVERSCONSIGN,OVERSTOCK01,ROOMECOM,TGTDVS,Zulily</t>
  </si>
  <si>
    <t>MP10-388</t>
  </si>
  <si>
    <t>AMAZON,AMAZONDS,BBBDROP,BLK01,CASTLEGATE,CSNSTORES,DESINC,HDDS,HSNDS,JCPENNEY01,KOHLDSN,MACY02,NRTPORT,OLLIIX,OVERSCONSIGN,OVERSTOCK01,ROOMECOM,TGTDVS,Zulily</t>
  </si>
  <si>
    <t>6/22/2021</t>
  </si>
  <si>
    <t>MP10-6866</t>
  </si>
  <si>
    <t>PP000407;PF004981</t>
  </si>
  <si>
    <t>1/10/2020</t>
  </si>
  <si>
    <t>AMAZON,AMAZONDS,BBBDROP,BEALLSDS,BLK01,CSNSTORES,DESINC,FINGERHUTDS,JCPENNEY01,KOHLDSN,NRTPORT,OLLIIX,OVERSCONSIGN,OVERSTOCK01,TGTDVS,Zulily</t>
  </si>
  <si>
    <t>MP10-6867</t>
  </si>
  <si>
    <t>AMAZON,AMAZONDS,BBBDROP,BEALLSDS,BLK01,CSNSTORES,HSNDS,JCPENNEY01,KOHLDSN,NRTPORT,OLLIIX,OVERSTOCK01,TGTDVS,Zulily</t>
  </si>
  <si>
    <t>MP10-6868</t>
  </si>
  <si>
    <t>AMAZON,AMAZONDS,BBBDROP,BLK01,CSNSTORES,HSNDS,JCPENNEY01,KOHLDSN,NRTPORT,OLLIIX,OVERSTOCK01,TGTDVS,Zulily</t>
  </si>
  <si>
    <t>MP10-2793</t>
  </si>
  <si>
    <t>PF003408;PP000407</t>
  </si>
  <si>
    <t>AMAZON,AMAZONDS,BBBDROP,BEALLSDS,BLK01,CSNSTORES,DESINC,FINGERHUTDS,HSNDS,JCPENNEY01,KOHLDSN,MACY02,NRTPORT,OLLIIX,OVERSCONSIGN,OVERSTOCK01,TGTDVS</t>
  </si>
  <si>
    <t>MP10-2794</t>
  </si>
  <si>
    <t>AMAZON,AMAZONDS,BBBDROP,BLK01,CSNSTORES,DESINC,FINGERHUTDS,HSNDS,JCPENNEY01,KOHLDSN,MACY02,NRTPORT,OLLIIX,OVERSTOCK01,TGTDVS</t>
  </si>
  <si>
    <t>MP10-2795</t>
  </si>
  <si>
    <t>AMAZON,AMAZONDS,BLK01,CSNSTORES,JCPENNEY01,KOHLDSN,MACY02,NRTPORT,OLLIIX,OVERSTOCK01,TGTDVS,Zulily</t>
  </si>
  <si>
    <t>MP10-7277</t>
  </si>
  <si>
    <t>PP000407;PF005240</t>
  </si>
  <si>
    <t>11/12/2020</t>
  </si>
  <si>
    <t>MP10-7278</t>
  </si>
  <si>
    <t>AMAZON,AMAZONDS,BBBDROP,BLK01,CSNSTORES,DESINC,JCPENNEY01,KOHLDSN,MACY02,NRTPORT,OLLIIX,OVERSCONSIGN,OVERSTOCK01,TGTDVS,Zulily</t>
  </si>
  <si>
    <t>MP10-7279</t>
  </si>
  <si>
    <t>AMAZON,AMAZONDS,BLK01,CSNSTORES,DESINC,JCPENNEY01,KOHLDSN,MACY02,NRTPORT,OLLIIX,OVERSTOCK01,TGTDVS,Zulily</t>
  </si>
  <si>
    <t>MP10-6138</t>
  </si>
  <si>
    <t>Heritage</t>
  </si>
  <si>
    <t>Lexington</t>
  </si>
  <si>
    <t>Lawrence</t>
  </si>
  <si>
    <t>8 Piece Comforter and Quilt Set Collection</t>
  </si>
  <si>
    <t>Full/Queen</t>
  </si>
  <si>
    <t>PP001055;PF004549</t>
  </si>
  <si>
    <t>1/14/2019</t>
  </si>
  <si>
    <t>9/18/2024</t>
  </si>
  <si>
    <t>AMAZON,AMAZONDS,BBBDROP,BLK01,CSNSTORES,DESINC,JCPENNEY01,KOHLDSN,MACY02,NRTPORT,OLLIIX,OVERSTOCK01,ROOMECOM,TGTDVS,Zulily</t>
  </si>
  <si>
    <t>MP10-6139</t>
  </si>
  <si>
    <t>King/Cal King</t>
  </si>
  <si>
    <t>AMAZON,AMAZONDS,BBBDROP,BLK01,CASTLEGATE,CSNSTORES,FINGERHUTDS,HOUZZ,JCPENNEY01,KOHLDSN,MACY02,NRTPORT,OLLIIX,OVERSTOCK01,ROOMECOM,TGTDVS,ZOLA,Zulily</t>
  </si>
  <si>
    <t>2/26/2021</t>
  </si>
  <si>
    <t>MP10-6140</t>
  </si>
  <si>
    <t>PP001055;PF004550</t>
  </si>
  <si>
    <t>9/9/2024</t>
  </si>
  <si>
    <t>AMAZON,AMAZONDS,ASHFURNDS,BBBDROP,BLK01,CASTLEGATE,CSNSTORES,DESINC,FINGERHUTDS,HSNDS,JCPENNEY01,KOHLDSN,LAMPDS,MACY02,NEBFUR01,NRTPORT,OLLIIX,OVERSTOCK01,TGTDVS,ZOLA,Zulily</t>
  </si>
  <si>
    <t>MP10-6141</t>
  </si>
  <si>
    <t>1/16/2019</t>
  </si>
  <si>
    <t>AMAZON,AMAZONDS,ASHFURNDS,BBBDROP,BLK01,CASTLEGATE,CSNSTORES,DESINC,FINGERHUTDS,HOUZZ,HSNDS,JCPENNEY01,KOHLDSN,MACY02,NEBFUR01,NRTPORT,OLLIIX,OVERSTOCK01,TGTDVS,ZOLA,Zulily</t>
  </si>
  <si>
    <t>MP10-8243</t>
  </si>
  <si>
    <t>PF006015;PP001885</t>
  </si>
  <si>
    <t>7/5/2023</t>
  </si>
  <si>
    <t>AMAZON,AMAZONDS,BLK01,CSNSTORES,JCPENNEY01,KOHLDSN,MACY02,NRTPORT,OLLIIX,OVERSTOCK01,TGTDVS</t>
  </si>
  <si>
    <t>MP10-8244</t>
  </si>
  <si>
    <t>AMAZON,AMAZONDS,BLK01,CSNSTORES,DESINC,JCPENNEY01,KOHLDSN,MACY02,NRTPORT,OLLIIX,OVERSTOCK01,TGTDVS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</si>
  <si>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</si>
  <si>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</si>
  <si>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</si>
  <si>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</si>
  <si>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</si>
  <si>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</si>
  <si>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</si>
  <si>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4/6/2017</t>
  </si>
  <si>
    <t>7/5/2024</t>
  </si>
  <si>
    <t>AMAZON,AMAZONDS,AMERSIGNDS,BBBDROP,BLK01,CASTLEGATE,CSNSTORES,DESINC,FINGERHUTDS,HOUZZ,HSNDS,JCPENNEY01,KOHLDSN,MACY02,NEBFUR01,OLLIIX,OVERSCONSIGN,OVERSTOCK01,ROOMECOM,TGTDVS,Zulily</t>
  </si>
  <si>
    <t>12/8/2023</t>
  </si>
  <si>
    <t>MP10-3830</t>
  </si>
  <si>
    <t>5/12/2017</t>
  </si>
  <si>
    <t>AMAZON,AMAZONDS,AMERSIGNDS,BBBDROP,BEALLSDS,BLK01,CSNSTORES,DESINC,FINGERHUTDS,HOUZZ,HSNDS,JCPENNEY01,KOHLDSN,MACY02,NEBFUR01,OLLIIX,OVERSCONSIGN,OVERSTOCK01,ROOMECOM,TGTDVS,Zulily</t>
  </si>
  <si>
    <t>7/24/2023</t>
  </si>
  <si>
    <t>MP10-3831</t>
  </si>
  <si>
    <t>AMAZON,AMAZONDS,AMERSIGNDS,BBBDROP,BLK01,CASTLEGATE,CSNSTORES,FINGERHUTDS,HOUZZ,HSNDS,JCPENNEY01,KOHLDSN,MACY02,NEBFUR01,NRTPORT,OLLIIX,OVERSCONSIGN,OVERSTOCK01,ROOMECOM,TGTDVS,Zulily</t>
  </si>
  <si>
    <t>7/2/2023</t>
  </si>
  <si>
    <t>MP10-501</t>
  </si>
  <si>
    <t>PF003375;PP000530</t>
  </si>
  <si>
    <t>AMAZON,AMAZONDS,BBBDROP,BLK01,CSNSTORES,DESINC,FINGERHUTDS,HSNDS,JCPENNEY01,KOHLDSN,MACY02,OLLIIX,OVERSCONSIGN,OVERSTOCK01,ROOMECOM,TGTDVS,Zulily</t>
  </si>
  <si>
    <t>MP10-502</t>
  </si>
  <si>
    <t>AMAZON,AMAZONDS,BBBDROP,BLK01,CSNSTORES,FINGERHUTDS,JCPENNEY01,KOHLDSN,MACY02,OLLIIX,OVERSTOCK01,ROOMECOM,TGTDVS</t>
  </si>
  <si>
    <t>9/11/2018</t>
  </si>
  <si>
    <t>MP10-503</t>
  </si>
  <si>
    <t>AMAZON,AMAZONDS,BBBDROP,BLK01,CSNSTORES,FINGERHUTDS,HSNDS,JCPENNEY01,KOHLDSN,MACY02,NRTPORT,OLLIIX,OVERSTOCK01,TGTDVS</t>
  </si>
  <si>
    <t>MP10-7953</t>
  </si>
  <si>
    <t>PP001783;PF005735</t>
  </si>
  <si>
    <t>8/13/2022</t>
  </si>
  <si>
    <t>AAFESDS,AMAZONDS,BBBDROP,BLK01,CASTLEGATE,CSNSTORES,HOUZZ,JCPENNEY01,KOHLDSN,MACY02,OLLIIX,OVERSCONSIGN,OVERSTOCK01,TGTDVS,Zulily</t>
  </si>
  <si>
    <t>MP10-7954</t>
  </si>
  <si>
    <t>AAFESDS,AMAZONDS,BBBDROP,BLK01,CSNSTORES,DESINC,JCPENNEY01,KOHLDSN,MACY02,OLLIIX,OVERSTOCK01,TGTDVS</t>
  </si>
  <si>
    <t>MP10-7955</t>
  </si>
  <si>
    <t>AMAZONDS,BBBDROP,BLK01,CSNSTORES,JCPENNEY01,KOHLDSN,MACY02,OLLIIX,OVERSTOCK01,TGTDVS,Zulily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</si>
  <si>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</si>
  <si>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</si>
  <si>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</si>
  <si>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</si>
  <si>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</si>
  <si>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</si>
  <si>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</si>
  <si>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</si>
  <si>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2/20/2019</t>
  </si>
  <si>
    <t>8/30/2024</t>
  </si>
  <si>
    <t>AMAZON,AMAZONDS,AMERSIGNDS,BBBDROP,BLK01,CASTLEGATE,CSNSTORES,DESINC,FINGERHUTDS,HDDS,HSNDS,JCPENNEY01,KIRKLANDDS,KOHLDSN,MACY02,NEBFUR01,OLLIIX,OVERSCONSIGN,OVERSTOCK01,ROOMECOM,TGTDVS,ZOLA,Zulily</t>
  </si>
  <si>
    <t>8/30/2022</t>
  </si>
  <si>
    <t>2/3/2023</t>
  </si>
  <si>
    <t>MP10-6156</t>
  </si>
  <si>
    <t>AMAZON,AMAZONDS,AMERSIGNDS,BBBDROP,BLK01,CSNSTORES,DESINC,FINGERHUTDS,HDDS,HSNDS,JCPENNEY01,KIRKLANDDS,KOHLDSN,LAMPDS,MACY02,NEBFUR01,OLLIIX,OVERSCONSIGN,OVERSTOCK01,ROOMECOM,TGTDVS,ZOLA,Zulily</t>
  </si>
  <si>
    <t>12/21/2022</t>
  </si>
  <si>
    <t>MP10-7946</t>
  </si>
  <si>
    <t>PP001782;PF005731</t>
  </si>
  <si>
    <t>8/16/2022</t>
  </si>
  <si>
    <t>7/24/2024</t>
  </si>
  <si>
    <t>AMAZONDS,BBBDROP,BLK01,CSNSTORES,JCPENNEY01,KOHLDSN,MACY02,OLLIIX,OVERSCONSIGN,OVERSTOCK01,TGTDVS,Zulily</t>
  </si>
  <si>
    <t>MP10-7947</t>
  </si>
  <si>
    <t>8/19/2022</t>
  </si>
  <si>
    <t>AMAZONDS,BBBDROP,BLK01,CSNSTORES,HOUZZ,JCPENNEY01,KOHLDSN,MACY02,OLLIIX,OVERSTOCK01,TGTDVS,Zulily</t>
  </si>
  <si>
    <t>MP10-7942</t>
  </si>
  <si>
    <t>PP001782;PF005730</t>
  </si>
  <si>
    <t>AMAZONDS,BBBDROP,BLK01,CSNSTORES,JCPENNEY01,KOHLDSN,MACY02,NEBFUR01,OLLIIX,OVERSTOCK01,TGTDVS,Zulily</t>
  </si>
  <si>
    <t>MP10-7943</t>
  </si>
  <si>
    <t>AMAZONDS,BBBDROP,CASTLEGATE,CSNSTORES,JCPENNEY01,KOHLDSN,MACY02,NEBFUR01,OLLIIX,OVERSTOCK01,TGTDVS</t>
  </si>
  <si>
    <t>MP10-4533</t>
  </si>
  <si>
    <t>Bellagio</t>
  </si>
  <si>
    <t>Venetian</t>
  </si>
  <si>
    <t>Mirage</t>
  </si>
  <si>
    <t>Brown/Gold</t>
  </si>
  <si>
    <t>PF003397</t>
  </si>
  <si>
    <t>6/14/2017</t>
  </si>
  <si>
    <t>6/13/2024</t>
  </si>
  <si>
    <t>AMAZON,AMAZONDS,BBBDROP,BEALLSDS,BLK01,CSNSTORES,DESINC,FINGERHUTDS,HSNDS,JCPENNEY01,KOHLDSN,LAMPDS,NEBFUR01,NRTPORT,OLLIIX,OVERSCONSIGN,OVERSTOCK01,ROOMECOM,TGTDVS,Zulily</t>
  </si>
  <si>
    <t>3/23/2023</t>
  </si>
  <si>
    <t>MP10-4534</t>
  </si>
  <si>
    <t>AMAZON,AMAZONDS,BBBDROP,BEALLSDS,BLK01,CSNSTORES,DESINC,FINGERHUTDS,HSNDS,JCPENNEY01,KOHLDSN,NRTPORT,OLLIIX,OVERSCONSIGN,OVERSTOCK01,ROOMECOM,TGTDVS,WALMARTDS,Zulily</t>
  </si>
  <si>
    <t>MP10-4535</t>
  </si>
  <si>
    <t>AMAZON,AMAZONDS,BBBDROP,BEALLSDS,BLK01,CSNSTORES,DESINC,FINGERHUTDS,HSNDS,JCPENNEY01,KOHLDSN,NRTPORT,OLLIIX,OVERSTOCK01,ROOMECOM,TGTDVS,WALMARTDS</t>
  </si>
  <si>
    <t>1/16/2024</t>
  </si>
  <si>
    <t>MP10-4882</t>
  </si>
  <si>
    <t>PF002677</t>
  </si>
  <si>
    <t>8/18/2017</t>
  </si>
  <si>
    <t>AMAZON,AMAZONDS,BBBDROP,BLK01,CSNSTORES,DESINC,FINGERHUTDS,HOUZZ,JCPENNEY01,KOHLDSN,MACY02,NRTPORT,OLLIIX,OVERSCONSIGN,OVERSTOCK01,TGTDVS,WALMARTDS</t>
  </si>
  <si>
    <t>MP10-4883</t>
  </si>
  <si>
    <t>AMAZON,AMAZONDS,BBBDROP,BLK01,CSNSTORES,DESINC,FINGERHUTDS,HOUZZ,JCPENNEY01,KOHLDSN,LAMPDS,MACY02,NRTPORT,OLLIIX,OVERSTOCK01,TGTDVS,WALMARTDS</t>
  </si>
  <si>
    <t>MP10-4884</t>
  </si>
  <si>
    <t>AMAZON,AMAZONDS,BBBDROP,BLK01,CSNSTORES,FINGERHUTDS,HOUZZ,JCPENNEY01,KOHLDSN,MACY02,NRTPORT,OLLIIX,OVERSTOCK01,TGTDVS,WALMARTDS</t>
  </si>
  <si>
    <t>MP10-1026</t>
  </si>
  <si>
    <t>Hampton</t>
  </si>
  <si>
    <t>Richmond</t>
  </si>
  <si>
    <t>Cullen</t>
  </si>
  <si>
    <t>7 Piece Jaquard Comforter Set</t>
  </si>
  <si>
    <t>PF002709</t>
  </si>
  <si>
    <t>AMAZON,AMAZONDS,BBBDROP,BLK01,CSNSTORES,HOUZZ,JCPENNEY01,KOHLDSN,MACY02,OLLIIX,OVERSCONSIGN,OVERSTOCK01,ROOMECOM,TGTDVS</t>
  </si>
  <si>
    <t>2/9/2022</t>
  </si>
  <si>
    <t>MP10-1027</t>
  </si>
  <si>
    <t>AMAZON,AMAZONDS,ASHFURNDS,BBBDROP,BLK01,CSNSTORES,HOUZZ,JCPENNEY01,KOHLDSN,MACY02,OLLIIX,OVERSCONSIGN,OVERSTOCK01,ROOMECOM,TGTDVS,WALMARTDS,Zulily</t>
  </si>
  <si>
    <t>2/8/2021</t>
  </si>
  <si>
    <t>10/24/2021</t>
  </si>
  <si>
    <t>MP10-1028</t>
  </si>
  <si>
    <t>AMAZON,AMAZONDS,BBBDROP,BLK01,CSNSTORES,DESINC,JCPENNEY01,KOHLDSN,MACY02,OLLIIX,OVERSTOCK01,ROOMECOM,TGTDVS,Zulily</t>
  </si>
  <si>
    <t>3/16/2021</t>
  </si>
  <si>
    <t>10/2/2021</t>
  </si>
  <si>
    <t>MP10-1029</t>
  </si>
  <si>
    <t>PF002710</t>
  </si>
  <si>
    <t>AMAZON,AMAZONDS,ASHFURNDS,BBBDROP,BLK01,CSNSTORES,JCPENNEY01,KOHLDSN,MACY02,OLLIIX,OVERSTOCK01,TGTDVS</t>
  </si>
  <si>
    <t>MP10-1031</t>
  </si>
  <si>
    <t>AMAZON,AMAZONDS,ASHFURNDS,BBBDROP,BLK01,CSNSTORES,JCPENNEY01,KOHLDSN,MACY02,OLLIIX,OVERSTOCK01,TGTDVS,WALMARTDS,Zulily</t>
  </si>
  <si>
    <t>MP10-504</t>
  </si>
  <si>
    <t>Bayside</t>
  </si>
  <si>
    <t>Nantucket</t>
  </si>
  <si>
    <t>Rockaway</t>
  </si>
  <si>
    <t>7 Piece Cotton Sateen Comforter Set</t>
  </si>
  <si>
    <t>PF003396;PP000384</t>
  </si>
  <si>
    <t>AMAZON,AMAZONDS,BBBDROP,BLK01,CASTLEGATE,CSNSTORES,DESINC,HOUZZ,HSNDS,JCPENNEY01,KOHLDSN,LAMPDS,MACY02,OLLIIX,OVERSCONSIGN,OVERSTOCK01,ROOMECOM,TGTDVS,Zulily</t>
  </si>
  <si>
    <t>6/29/2018</t>
  </si>
  <si>
    <t>MP10-505</t>
  </si>
  <si>
    <t>AMAZON,AMAZONDS,BBBDROP,BLK01,CSNSTORES,DESINC,JCPENNEY01,KOHLDSN,LAMPDS,MACY02,OLLIIX,OVERSTOCK01,ROOMECOM,TGTDVS,Zulily</t>
  </si>
  <si>
    <t>MP10-506</t>
  </si>
  <si>
    <t>AMAZON,AMAZONDS,BBBDROP,BLK01,CSNSTORES,DESINC,HOUZZ,JCPENNEY01,KOHLDSN,MACY02,NRTPORT,OLLIIX,OVERSTOCK01,TGTDVS,Zulily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</si>
  <si>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</si>
  <si>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</si>
  <si>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</si>
  <si>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</si>
  <si>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</si>
  <si>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</si>
  <si>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</si>
  <si>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</si>
  <si>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BBBDROP,BEALLSDS,BLK01,CSNSTORES,HOUZZ,JCPENNEY01,KOHLDSN,MACY02,OLLIIX,OVERSCONSIGN,OVERSTOCK01,TGTDVS</t>
  </si>
  <si>
    <t>MP10-349</t>
  </si>
  <si>
    <t>BBBDROP,BEALLSDS,BLK01,CSNSTORES,HOUZZ,JCPENNEY01,KOHLDSN,MACY02,OLLIIX,OVERSCONSIGN,OVERSTOCK01,ROOMECOM,TGTDVS</t>
  </si>
  <si>
    <t>7/2/2018</t>
  </si>
  <si>
    <t>MP10-350</t>
  </si>
  <si>
    <t>BBBDROP,BLK01,CSNSTORES,HOUZZ,JCPENNEY01,KOHLDSN,MACY02,OLLIIX,OVERSCONSIGN,OVERSTOCK01,TGTDVS,WALMARTDS,Zulily</t>
  </si>
  <si>
    <t>MP10-6584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</si>
  <si>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</si>
  <si>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</si>
  <si>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</si>
  <si>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</si>
  <si>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</si>
  <si>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</si>
  <si>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</si>
  <si>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AMAZON,AMAZONDS,BBBDROP,BLK01,CSNSTORES,FINGERHUTDS,JCPENNEY01,KOHLDSN,MACY02,OLLIIX,OVERSCONSIGN,OVERSTOCK01,ROOMECOM,TGTDVS,ZOLA,Zulily</t>
  </si>
  <si>
    <t>7/25/2023</t>
  </si>
  <si>
    <t>MP10-6585</t>
  </si>
  <si>
    <t>AMAZON,AMAZONDS,BBBDROP,BLK01,CSNSTORES,FINGERHUTDS,JCPENNEY01,KOHLDSN,MACY02,OLLIIX,OVERSTOCK01,ROOMECOM,TGTDVS,Zulily</t>
  </si>
  <si>
    <t>MP10-6586</t>
  </si>
  <si>
    <t>4/4/2024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</si>
  <si>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</si>
  <si>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</si>
  <si>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</si>
  <si>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</si>
  <si>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</si>
  <si>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</si>
  <si>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</si>
  <si>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</si>
  <si>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AMAZON,AMAZONDS,BBBDROP,BEALLSDS,BLK01,CSNSTORES,DESINC,HOUZZ,JCPENNEY01,KOHLDSN,LAMPDS,MACY02,NEBFUR01,OLLIIX,OVERSCONSIGN,OVERSTOCK01,ROOMECOM,TGTDVS,Zulily</t>
  </si>
  <si>
    <t>4/19/2024</t>
  </si>
  <si>
    <t>MP10-759</t>
  </si>
  <si>
    <t>AMAZON,AMAZONDS,BBBDROP,BEALLSDS,BLK01,CSNSTORES,DESINC,FINGERHUTDS,HOUZZ,JCPENNEY01,KOHLDSN,LAMPDS,MACY02,NEBFUR01,OLLIIX,OVERSCONSIGN,OVERSTOCK01,ROOMECOM,TGTDVS,ZOLA,Zulily</t>
  </si>
  <si>
    <t>9/28/2023</t>
  </si>
  <si>
    <t>MP10-760</t>
  </si>
  <si>
    <t>PF002722;PP001842</t>
  </si>
  <si>
    <t>AMAZON,AMAZONDS,BBBDROP,BLK01,CSNSTORES,HOUZZ,JCPENNEY01,KOHLDSN,MACY02,OLLIIX,OVERSCONSIGN,OVERSTOCK01,TGTDVS,Zulily</t>
  </si>
  <si>
    <t>MP10-1099</t>
  </si>
  <si>
    <t>Serena</t>
  </si>
  <si>
    <t>Alicia</t>
  </si>
  <si>
    <t>Jasmine</t>
  </si>
  <si>
    <t>PF002716</t>
  </si>
  <si>
    <t>BBBDROP,BEALLSDS,BLK01,CSNSTORES,FINGERHUTDS,HOUZZ,HSNDS,JCPENNEY01,KOHLDSN,MACY02,NRTPORT,OLLIIX,OVERSCONSIGN,OVERSTOCK01,ROOMECOM,TGTDVS,Zulily</t>
  </si>
  <si>
    <t>7/25/2018</t>
  </si>
  <si>
    <t>MP10-1100</t>
  </si>
  <si>
    <t>BBBDROP,BEALLSDS,BLK01,CSNSTORES,JCPENNEY01,KOHLDSN,MACY02,OLLIIX,OVERSTOCK01,ROOMECOM,TGTDVS,Zulily</t>
  </si>
  <si>
    <t>3/1/2019</t>
  </si>
  <si>
    <t>MP10-1101</t>
  </si>
  <si>
    <t>BBBDROP,BLK01,CSNSTORES,DESINC,FINGERHUTDS,HOUZZ,HSNDS,JCPENNEY01,KOHLDSN,MACY02,OLLIIX,OVERSTOCK01,TGTDVS,Zulily</t>
  </si>
  <si>
    <t>MP10-2704</t>
  </si>
  <si>
    <t>Pebble Beach</t>
  </si>
  <si>
    <t>Pacific Grove</t>
  </si>
  <si>
    <t>Ocean View</t>
  </si>
  <si>
    <t>PF002758;PP000484</t>
  </si>
  <si>
    <t>AMAZON,AMAZONDS,BBBDROP,BLK01,CASTLEGATE,CSNSTORES,DESINC,HOUZZ,JCPENNEY01,KOHLDSN,MACY02,OLLIIX,OVERSCONSIGN,OVERSTOCK01,ROOMECOM,TGTDVS,Zulily</t>
  </si>
  <si>
    <t>7/30/2023</t>
  </si>
  <si>
    <t>MP10-2705</t>
  </si>
  <si>
    <t>AMAZON,AMAZONDS,BBBDROP,BLK01,CSNSTORES,DESINC,HSNDS,JCPENNEY01,KOHLDSN,MACY02,OLLIIX,OVERSTOCK01,ROOMECOM,TGTDVS,Zulily</t>
  </si>
  <si>
    <t>1/2/2023</t>
  </si>
  <si>
    <t>MP10-2706</t>
  </si>
  <si>
    <t>AMAZON,AMAZONDS,BEALLSDS,BLK01,CSNSTORES,JCPENNEY01,KOHLDSN,MACY02,OLLIIX,OVERSTOCK01,ROOMECOM,TGTDVS,Zulily</t>
  </si>
  <si>
    <t>12/19/2023</t>
  </si>
  <si>
    <t>MP10-8072</t>
  </si>
  <si>
    <t>PP000484;PF005791</t>
  </si>
  <si>
    <t>9/19/2022</t>
  </si>
  <si>
    <t>7/31/2024</t>
  </si>
  <si>
    <t>AMAZONDS,BBBDROP,BEALLSDS,BLK01,CSNSTORES,DESINC,JCPENNEY01,KIRKLANDDS,KOHLDSN,MACY02,OLLIIX,OVERSTOCK01,TGTDVS,Zulily</t>
  </si>
  <si>
    <t>MP10-8073</t>
  </si>
  <si>
    <t>10/12/2024</t>
  </si>
  <si>
    <t>AMAZONDS,BBBDROP,BEALLSDS,BLK01,CSNSTORES,DESINC,HOUZZ,JCPENNEY01,KIRKLANDDS,KOHLDSN,MACY02,OLLIIX,OVERSTOCK01,TGTDVS,Zulily</t>
  </si>
  <si>
    <t>MP10-8074</t>
  </si>
  <si>
    <t>AMAZONDS,BBBDROP,BEALLSDS,BLK01,CSNSTORES,DESINC,JCPENNEY01,KOHLDSN,MACY02,OLLIIX,OVERSTOCK01,TGTDVS,Zulily</t>
  </si>
  <si>
    <t>MP10-307</t>
  </si>
  <si>
    <t>Serene</t>
  </si>
  <si>
    <t>Belle</t>
  </si>
  <si>
    <t>Monroe</t>
  </si>
  <si>
    <t>Embroidered 7 Piece Comforter Set</t>
  </si>
  <si>
    <t>PF003399;PP000505</t>
  </si>
  <si>
    <t>AMAZON,BBBDROP,BLK01,CSNSTORES,FINGERHUTDS,JCPENNEY01,KOHLDSN,MACY02,NEBFUR01,NRTPORT,OLLIIX,OVERSTOCK01,ROOMECOM,TGTDVS,WALMARTDS,Zulily</t>
  </si>
  <si>
    <t>7/29/2018</t>
  </si>
  <si>
    <t>MP10-308</t>
  </si>
  <si>
    <t>AMAZON,AMAZONDS,BBBDROP,BLK01,CSNSTORES,FINGERHUTDS,JCPENNEY01,KOHLDSN,MACY02,NRTPORT,OLLIIX,OVERSTOCK01,ROOMECOM,TGTDVS,Zulily</t>
  </si>
  <si>
    <t>MP10-309</t>
  </si>
  <si>
    <t>AMAZON,AMAZONDS,BBBDROP,BLK01,CSNSTORES,JCPENNEY01,KOHLDSN,MACY02,NEBFUR01,NRTPORT,OLLIIX,OVERSTOCK01,TGTDVS,Zulily</t>
  </si>
  <si>
    <t>MP10-636</t>
  </si>
  <si>
    <t>PF003400;PP000505</t>
  </si>
  <si>
    <t>AMAZON,AMAZONDS,AMERSIGNDS,BBBDROP,BEALLSDS,BIGLOTSDS,BLK01,CSNSTORES,FINGERHUTDS,HSNDS,JCPENNEY01,KOHLDSN,MACY02,NEBFUR01,NRTPORT,OLLIIX,OVERSTOCK01,ROOMECOM,TGTDVS</t>
  </si>
  <si>
    <t>8/22/2023</t>
  </si>
  <si>
    <t>MP10-637</t>
  </si>
  <si>
    <t>AMAZON,AMAZONDS,BBBDROP,BEALLSDS,BIGLOTSDS,BLK01,CSNSTORES,FINGERHUTDS,HSNDS,JCPENNEY01,KOHLDSN,MACY02,OLLIIX,OVERSTOCK01,ROOMECOM,TGTDVS,WALMARTDS,Zulily</t>
  </si>
  <si>
    <t>5/30/2023</t>
  </si>
  <si>
    <t>MP10-638</t>
  </si>
  <si>
    <t>AMAZON,AMAZONDS,BBBDROP,BEALLSDS,BLK01,CSNSTORES,HOUZZ,HSNDS,JCPENNEY01,KOHLDSN,MACY02,NRTPORT,OLLIIX,OVERSCONSIGN,OVERSTOCK01,TGTDVS</t>
  </si>
  <si>
    <t>MP10-3449</t>
  </si>
  <si>
    <t>PF003404;PP000505</t>
  </si>
  <si>
    <t>AMAZONDS,BBBDROP,BIGLOTSDS,BLK01,CSNSTORES,FINGERHUTDS,JCPENNEY01,KOHLDSN,MACY02,NRTPORT,OLLIIX,OVERSCONSIGN,OVERSTOCK01,TGTDVS,Zulily</t>
  </si>
  <si>
    <t>MP10-3450</t>
  </si>
  <si>
    <t>AMAZON,AMAZONDS,BBBDROP,BIGLOTSDS,BLK01,CSNSTORES,DESINC,JCPENNEY01,KOHLDSN,MACY02,OLLIIX,OVERSTOCK01,TGTDVS,Zulily</t>
  </si>
  <si>
    <t>MP10-3451</t>
  </si>
  <si>
    <t>MP10-3446</t>
  </si>
  <si>
    <t>PF003402;PP000505</t>
  </si>
  <si>
    <t>AMAZON,AMAZONDS,BBBDROP,BIGLOTSDS,BLK01,CSNSTORES,JCPENNEY01,KOHLDSN,MACY02,NRTPORT,OLLIIX,OVERSTOCK01,TGTDVS,Zulily</t>
  </si>
  <si>
    <t>MP10-3447</t>
  </si>
  <si>
    <t>AMAZON,BBBDROP,BIGLOTSDS,BLK01,CSNSTORES,DESINC,JCPENNEY01,KOHLDSN,MACY02,NRTPORT,OLLIIX,OVERSCONSIGN,OVERSTOCK01,TGTDVS,Zulily</t>
  </si>
  <si>
    <t>MP10-3448</t>
  </si>
  <si>
    <t>AMAZON,AMAZONDS,BBBDROP,BLK01,CSNSTORES,HOUZZ,JCPENNEY01,KOHLDSN,MACY02,OVERSTOCK01,TGTDVS,Zulily</t>
  </si>
  <si>
    <t>MP10-4185</t>
  </si>
  <si>
    <t>PF003405</t>
  </si>
  <si>
    <t>AMAZON,AMAZONDS,AMERSIGNDS,BBBDROP,BIGLOTSDS,BLK01,CSNSTORES,FINGERHUTDS,JCPENNEY01,KOHLDSN,MACY02,NRTPORT,OLLIIX,OVERSTOCK01,ROOMECOM,TGTDVS,Zulily</t>
  </si>
  <si>
    <t>MP10-4186</t>
  </si>
  <si>
    <t>AAFESDS,AMAZON,AMAZONDS,BBBDROP,BIGLOTSDS,BLK01,CSNSTORES,DESINC,FINGERHUTDS,JCPENNEY01,KOHLDSN,LAMPDS,MACY02,NRTPORT,OLLIIX,OVERSTOCK01,TGTDVS,Zulily</t>
  </si>
  <si>
    <t>MP10-4187</t>
  </si>
  <si>
    <t>AMAZON,AMAZONDS,BBBDROP,BIGLOTSDS,BLK01,CSNSTORES,FINGERHUTDS,JCPENNEY01,KOHLDSN,LAMPDS,MACY02,NRTPORT,OLLIIX,OVERSTOCK01,TGTDVS,Zulily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</si>
  <si>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</si>
  <si>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</si>
  <si>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</si>
  <si>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</si>
  <si>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</si>
  <si>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</si>
  <si>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</si>
  <si>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AMAZON,AMAZONDS,BBBDROP,BEALLSDS,BLK01,CSNSTORES,DESINC,FINGERHUTDS,HOUZZ,JCPENNEY01,KOHLDSN,MACY02,OLLIIX,OVERSCONSIGN,OVERSTOCK01,TGTDVS,Zulily</t>
  </si>
  <si>
    <t>MP10-459</t>
  </si>
  <si>
    <t>7/4/2024</t>
  </si>
  <si>
    <t>AMAZON,AMAZONDS,BBBDROP,BEALLSDS,BLK01,CSNSTORES,JCPENNEY01,KOHLDSN,MACY02,NRTPORT,OLLIIX,OVERSCONSIGN,OVERSTOCK01,ROOMECOM,Zulily</t>
  </si>
  <si>
    <t>2/21/2023</t>
  </si>
  <si>
    <t>MP10-922</t>
  </si>
  <si>
    <t>Quinn</t>
  </si>
  <si>
    <t>Crawford</t>
  </si>
  <si>
    <t>Garner</t>
  </si>
  <si>
    <t>PF002687;PP000489</t>
  </si>
  <si>
    <t>Abstract</t>
  </si>
  <si>
    <t>BBBDROP,CSNSTORES,JCPENNEY01,KOHLDSN,MACY02,OLLIIX,OVERSCONSIGN,OVERSTOCK01,ROOMECOM,TGTDVS</t>
  </si>
  <si>
    <t>MP10-923</t>
  </si>
  <si>
    <t>BBBDROP,CSNSTORES,FINGERHUTDS,HOUZZ,JCPENNEY01,KOHLDSN,MACY02,OLLIIX,OVERSCONSIGN,OVERSTOCK01,ROOMECOM,TGTDVS,Zulily</t>
  </si>
  <si>
    <t>MP10-919</t>
  </si>
  <si>
    <t>Biloxi</t>
  </si>
  <si>
    <t>Morris</t>
  </si>
  <si>
    <t>Hudson</t>
  </si>
  <si>
    <t>PF002681;PP000388</t>
  </si>
  <si>
    <t>Glam/Luxuey|Modern/Contemporary</t>
  </si>
  <si>
    <t>11/5/2018</t>
  </si>
  <si>
    <t>MP10-920</t>
  </si>
  <si>
    <t>MP10-921</t>
  </si>
  <si>
    <t>AMAZON,AMAZONDS,BBBDROP,BLK01,CSNSTORES,FINGERHUTDS,JCPENNEY01,KOHLDSN,MACY02,OLLIIX,OVERSTOCK01,TGTDVS</t>
  </si>
  <si>
    <t>MP10-3733</t>
  </si>
  <si>
    <t>PF002684;PP000388</t>
  </si>
  <si>
    <t>AMAZON,AMAZONDS,BBBDROP,BLK01,CSNSTORES,JCPENNEY01,KOHLDSN,MACY02,OLLIIX,OVERSTOCK01,TGTDVS,Zulily</t>
  </si>
  <si>
    <t>MP10-3734</t>
  </si>
  <si>
    <t>AMAZON,AMAZONDS,BBBDROP,BLK01,CSNSTORES,JCPENNEY01,KOHLDSN,MACY02,OLLIIX,OVERSCONSIGN,OVERSTOCK01,TGTDVS</t>
  </si>
  <si>
    <t>MP10-3735</t>
  </si>
  <si>
    <t>AMAZON,AMAZONDS,BBBDROP,BLK01,CSNSTORES,JCPENNEY01,KOHLDSN,MACY02,NRTPORT,OLLIIX,OVERSTOCK01,TGTDVS</t>
  </si>
  <si>
    <t>MP10-5145</t>
  </si>
  <si>
    <t>Albany</t>
  </si>
  <si>
    <t>Syracuse</t>
  </si>
  <si>
    <t>Hamilton</t>
  </si>
  <si>
    <t>7 Piece Cotton Comforter Set</t>
  </si>
  <si>
    <t>Inactive</t>
  </si>
  <si>
    <t>Modern/Contemporary|Farm House</t>
  </si>
  <si>
    <t>10/14/2017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</si>
  <si>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</si>
  <si>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</si>
  <si>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</si>
  <si>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</si>
  <si>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</si>
  <si>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</si>
  <si>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</si>
  <si>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</si>
  <si>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AMAZONDS,BBBDROP,BLK01,CSNSTORES,JCPENNEY01,KOHLDSN,MACY02,OLLIIX,OVERSTOCK01,TGTDVS</t>
  </si>
  <si>
    <t>MP10-7874</t>
  </si>
  <si>
    <t>MP10-8377</t>
  </si>
  <si>
    <t>Amelia</t>
  </si>
  <si>
    <t>Willow</t>
  </si>
  <si>
    <t>Clara</t>
  </si>
  <si>
    <t>5 Piece Textured Jacquard Stripe Comforter Set with Throw Pillows</t>
  </si>
  <si>
    <t>TBD</t>
  </si>
  <si>
    <t>PP001932;PF006164</t>
  </si>
  <si>
    <t>Polyester</t>
  </si>
  <si>
    <t>4/9/2024</t>
  </si>
  <si>
    <t>JCPENNEY01,KOHLDSN,OVERSTOCK01,TGTDVS</t>
  </si>
  <si>
    <t>Pending</t>
  </si>
  <si>
    <t>MP10-8378</t>
  </si>
  <si>
    <t>JCPENNEY01,KOHLDSN,NRTPORT,OVERSTOCK01,TGTDVS</t>
  </si>
  <si>
    <t>MP10-8128</t>
  </si>
  <si>
    <t>Andes</t>
  </si>
  <si>
    <t>Lennox</t>
  </si>
  <si>
    <t>Dallas</t>
  </si>
  <si>
    <t>5 Piece Corduroy Comforter Set</t>
  </si>
  <si>
    <t>PP001830;PF005875</t>
  </si>
  <si>
    <t>11/28/2022</t>
  </si>
  <si>
    <t>AMAZON,AMAZONDS,BBBDROP,BLK01,CASTLEGATE,CSNSTORES,DESINC,HDDS,JCPENNEY01,KOHLDSN,MACY02,OLLIIX,OVERSTOCK01,TGTDVS,Zulily</t>
  </si>
  <si>
    <t>MP10-8129</t>
  </si>
  <si>
    <t>AMAZON,AMAZONDS,AMERSIGNDS,ASHFURNDS,BBBDROP,BLK01,CSNSTORES,HDDS,HOUZZ,JCPENNEY01,KOHLDSN,MACY02,OLLIIX,OVERSTOCK01,TGTDVS,Zulily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</si>
  <si>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</si>
  <si>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</si>
  <si>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</si>
  <si>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</si>
  <si>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</si>
  <si>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</si>
  <si>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</si>
  <si>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</si>
  <si>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</si>
  <si>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6/26/2024</t>
  </si>
  <si>
    <t>AMAZON,AMAZONDS,AMERSIGNDS,BBBDROP,BLK01,CASTLEGATE,CSNSTORES,HOUZZ,HSNDS,JCPENNEY01,KOHLDSN,MACY02,NRTPORT,OLLIIX,OVERSCONSIGN,OVERSTOCK01,TGTDVS,Zulily</t>
  </si>
  <si>
    <t>MP10-6033</t>
  </si>
  <si>
    <t>AMAZON,AMAZONDS,AMERSIGNDS,BBBDROP,BLK01,CSNSTORES,DESINC,HOUZZ,HSNDS,JCPENNEY01,KOHLDSN,MACY02,NRTPORT,OLLIIX,OVERSTOCK01,TGTDVS</t>
  </si>
  <si>
    <t>MP10-6034</t>
  </si>
  <si>
    <t>AMAZON,AMAZONDS,BBBDROP,BLK01,CSNSTORES,HSNDS,JCPENNEY01,KOHLDSN,MACY02,NRTPORT,OLLIIX,OVERSTOCK01,TGTDVS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</si>
  <si>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</si>
  <si>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</si>
  <si>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</si>
  <si>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</si>
  <si>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</si>
  <si>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</si>
  <si>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</si>
  <si>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Glam/Luxury|Global Inspired</t>
  </si>
  <si>
    <t>3/29/2021</t>
  </si>
  <si>
    <t>8/2/2024</t>
  </si>
  <si>
    <t>AMAZON,AMAZONDS,ASHFURNDS,BBBDROP,BLK01,CSNSTORES,DESINC,FINGERHUTDS,HSNDS,JCPENNEY01,KOHLDSN,MACY02,NEBFUR01,NRTPORT,OLLIIX,OVERSCONSIGN,OVERSTOCK01,TGTDVS,Zulily</t>
  </si>
  <si>
    <t>MP10-7383</t>
  </si>
  <si>
    <t>AMAZON,AMAZONDS,ASHFURNDS,BBBDROP,BLK01,CSNSTORES,FINGERHUTDS,HSNDS,JCPENNEY01,KOHLDSN,MACY02,OLLIIX,OVERSCONSIGN,OVERSTOCK01,TGTDVS,Zulily</t>
  </si>
  <si>
    <t>MP10-7384</t>
  </si>
  <si>
    <t>AMAZON,AMAZONDS,BBBDROP,BLK01,CSNSTORES,DESINC,FINGERHUTDS,HSNDS,JCPENNEY01,KOHLDSN,MACY02,NEBFUR01,OLLIIX,OVERSTOCK01,TGTDVS,Zulily</t>
  </si>
  <si>
    <t>MP10-8404</t>
  </si>
  <si>
    <t>Bella</t>
  </si>
  <si>
    <t>Abigail</t>
  </si>
  <si>
    <t>Florence</t>
  </si>
  <si>
    <t>6 Piece Jacquard Comforter Set with Throw Pillows</t>
  </si>
  <si>
    <t>PF006213;PP001949</t>
  </si>
  <si>
    <t>6/1/2024</t>
  </si>
  <si>
    <t>7/29/2024</t>
  </si>
  <si>
    <t>KOHLDSN</t>
  </si>
  <si>
    <t>MP10-8405</t>
  </si>
  <si>
    <t>MP10-2415</t>
  </si>
  <si>
    <t>Bennett</t>
  </si>
  <si>
    <t>Christian</t>
  </si>
  <si>
    <t>William</t>
  </si>
  <si>
    <t>PF002753</t>
  </si>
  <si>
    <t>MP10-2416</t>
  </si>
  <si>
    <t>AMAZON,AMAZONDS,BBBDROP,BLK01,CASTLEGATE,CSNSTORES,FINGERHUTDS,JCPENNEY01,KOHLDSN,MACY02,OLLIIX,OVERSTOCK01,TGTDVS,Zulily</t>
  </si>
  <si>
    <t>MP10-2417</t>
  </si>
  <si>
    <t>AMAZON,AMAZONDS,BBBDROP,BLK01,CSNSTORES,JCPENNEY01,KOHLDSN,MACY02,OLLIIX,OVERSTOCK01,TGTDVS,WALMARTDS</t>
  </si>
  <si>
    <t>MP10-2418</t>
  </si>
  <si>
    <t>PF002754</t>
  </si>
  <si>
    <t>AMAZON,AMAZONDS,AMERSIGNDS,BBBDROP,BLK01,CSNSTORES,DESINC,JCPENNEY01,KIRKLANDDS,KOHLDSN,LAMPDS,MACY02,NRTPORT,OLLIIX,OVERSCONSIGN,OVERSTOCK01,TGTDVS</t>
  </si>
  <si>
    <t>MP10-2419</t>
  </si>
  <si>
    <t>AAFESDS,AMAZON,AMERSIGNDS,BBBDROP,BEALLSDS,BLK01,CSNSTORES,HOUZZ,JCPENNEY01,KIRKLANDDS,KOHLDSN,MACY02,OLLIIX,OVERSCONSIGN,OVERSTOCK01,TGTDVS</t>
  </si>
  <si>
    <t>MP10-2420</t>
  </si>
  <si>
    <t>AMAZON,AMAZONDS,AMERSIGNDS,BBBDROP,BLK01,CSNSTORES,JCPENNEY01,KOHLDSN,LAMPDS,MACY02,OLLIIX,OVERSCONSIGN,OVERSTOCK01,TGTDVS</t>
  </si>
  <si>
    <t>MP10-7392</t>
  </si>
  <si>
    <t>PP001609;PF005404</t>
  </si>
  <si>
    <t>5/10/2021</t>
  </si>
  <si>
    <t>7/28/2024</t>
  </si>
  <si>
    <t>AMAZON,AMAZONDS,BBBDROP,BLK01,CSNSTORES,DESINC,HOUZZ,JCPENNEY01,KOHLDSN,MACY02,NRTPORT,OLLIIX,OVERSCONSIGN,OVERSTOCK01,TGTDVS,Zulily</t>
  </si>
  <si>
    <t>MP10-7393</t>
  </si>
  <si>
    <t>AMAZON,AMAZONDS,BBBDROP,BLK01,CSNSTORES,JCPENNEY01,KOHLDSN,MACY02,OLLIIX,OVERSCONSIGN,OVERSTOCK01,TGTDVS,Zulily</t>
  </si>
  <si>
    <t>MP10-7394</t>
  </si>
  <si>
    <t>10/2/2024</t>
  </si>
  <si>
    <t>AMAZON,AMAZONDS,BBBDROP,BLK01,CSNSTORES,JCPENNEY01,KOHLDSN,MACY02,NRTPORT,OLLIIX,OVERSTOCK01,TGTDVS,Zulily</t>
  </si>
  <si>
    <t>MP10-948</t>
  </si>
  <si>
    <t>Blaire</t>
  </si>
  <si>
    <t>Anderson</t>
  </si>
  <si>
    <t>Burnett</t>
  </si>
  <si>
    <t>PF002701</t>
  </si>
  <si>
    <t>AMAZON,AMAZONDS,BBBDROP,BIGLOTSDS,BLK01,CSNSTORES,DESINC,JCPENNEY01,KOHLDSN,MACY02,NEBFUR01,NRTPORT,OLLIIX,OVERSTOCK01,TGTDVS</t>
  </si>
  <si>
    <t>MP10-949</t>
  </si>
  <si>
    <t>AMAZON,AMAZONDS,BBBDROP,BEALLSDS,BIGLOTSDS,BLK01,CSNSTORES,HOUZZ,JCPENNEY01,KOHLDSN,MACY02,NEBFUR01,NRTPORT,OLLIIX,OVERSTOCK01,TGTDVS,WALMARTDS</t>
  </si>
  <si>
    <t>MP10-950</t>
  </si>
  <si>
    <t>AMAZONDS,BBBDROP,BIGLOTSDS,BLK01,CSNSTORES,DESINC,JCPENNEY01,KOHLDSN,MACY02,NEBFUR01,NRTPORT,OLLIIX,OVERSTOCK01,TGTDVS</t>
  </si>
  <si>
    <t>MP10-4517</t>
  </si>
  <si>
    <t>PF002703</t>
  </si>
  <si>
    <t>6/9/2017</t>
  </si>
  <si>
    <t>AMAZON,AMAZONDS,BBBDROP,BEALLSDS,BIGLOTSDS,BLK01,CSNSTORES,DESINC,JCPENNEY01,KOHLDSN,MACY02,OLLIIX,OVERSTOCK01,TGTDVS</t>
  </si>
  <si>
    <t>MP10-4518</t>
  </si>
  <si>
    <t>B-</t>
  </si>
  <si>
    <t>AMAZONDS,BBBDROP,BEALLSDS,BIGLOTSDS,BLK01,CSNSTORES,HOUZZ,JCPENNEY01,KOHLDSN,MACY02,NRTPORT,OLLIIX,OVERSTOCK01,TGTDVS</t>
  </si>
  <si>
    <t>MP10-4519</t>
  </si>
  <si>
    <t>AMAZON,AMAZONDS,BBBDROP,BEALLSDS,BIGLOTSDS,BLK01,CSNSTORES,FINGERHUTDS,JCPENNEY01,KOHLDSN,MACY02,NRTPORT,OLLIIX,OVERSTOCK01,TGTDVS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</si>
  <si>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</si>
  <si>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</si>
  <si>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</si>
  <si>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</si>
  <si>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</si>
  <si>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</si>
  <si>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Botanical</t>
  </si>
  <si>
    <t>11/19/2023</t>
  </si>
  <si>
    <t>BLK01,CSNSTORES,DESINC,JCPENNEY01,KIRKLANDDS,KOHLDSN,OLLIIX,OVERSTOCK01,TGTDVS</t>
  </si>
  <si>
    <t>MP10-8292</t>
  </si>
  <si>
    <t>11/18/2023</t>
  </si>
  <si>
    <t>BLK01,DESINC,JCPENNEY01,KIRKLANDDS,KOHLDSN,NRTPORT,OLLIIX,OVERSTOCK01,TGTDVS</t>
  </si>
  <si>
    <t>MP10-7902</t>
  </si>
  <si>
    <t>Bryson</t>
  </si>
  <si>
    <t>Elm</t>
  </si>
  <si>
    <t>Oakdale</t>
  </si>
  <si>
    <t>5 Piece Faux Linen Jacquard Comforter Set</t>
  </si>
  <si>
    <t>PP001755;PF005696</t>
  </si>
  <si>
    <t>Plaid</t>
  </si>
  <si>
    <t>Farm House</t>
  </si>
  <si>
    <t>Casual|Cottage/Country</t>
  </si>
  <si>
    <t>7/7/2022</t>
  </si>
  <si>
    <t>BBBDROP,BLK01,CSNSTORES,JCPENNEY01,KOHLDSN,MACY02,OLLIIX,OVERSTOCK01,TGTDVS,Zulily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</si>
  <si>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</si>
  <si>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</si>
  <si>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</si>
  <si>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</si>
  <si>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</si>
  <si>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</si>
  <si>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</si>
  <si>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AMAZON,AMAZONDS,AMERSIGNDS,BEALLSDS,BLK01,CSNSTORES,HSNDS,JCPENNEY01,KOHLDSN,MACY02,OLLIIX,OVERSTOCK01,TGTDVS,Zulily</t>
  </si>
  <si>
    <t>MP10-4689</t>
  </si>
  <si>
    <t>AMAZON,AMAZONDS,AMERSIGNDS,BBBDROP,BEALLSDS,BLK01,CASTLEGATE,CSNSTORES,JCPENNEY01,KOHLDSN,MACY02,OLLIIX,OVERSTOCK01,TGTDVS,Zulily</t>
  </si>
  <si>
    <t>MP10-4690</t>
  </si>
  <si>
    <t>AMAZON,AMAZONDS,AMERSIGNDS,BBBDROP,BEALLSDS,BLK01,CSNSTORES,DESINC,FINGERHUTDS,JCPENNEY01,KOHLDSN,MACY02,OLLIIX,OVERSCONSIGN,OVERSTOCK01,TGTDVS,Zulily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</si>
  <si>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</si>
  <si>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</si>
  <si>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</si>
  <si>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</si>
  <si>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</si>
  <si>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</si>
  <si>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</si>
  <si>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12/14/2020</t>
  </si>
  <si>
    <t>AMAZON,AMAZONDS,ASHFURNDS,BBBDROP,BLK01,CSNSTORES,FINGERHUTDS,HDDS,HSNDS,JCPENNEY01,KOHLDSN,MACY02,NRTPORT,OLLIIX,OVERSCONSIGN,OVERSTOCK01,TGTDVS,Zulily</t>
  </si>
  <si>
    <t>MP10-7296</t>
  </si>
  <si>
    <t>AMAZON,AMAZONDS,BBBDROP,BLK01,CASTLEGATE,CSNSTORES,HDDS,HSNDS,JCPENNEY01,KOHLDSN,MACY02,OLLIIX,OVERSCONSIGN,OVERSTOCK01,TGTDVS,Zulily</t>
  </si>
  <si>
    <t>MP10-7297</t>
  </si>
  <si>
    <t>AMAZON,AMAZONDS,BBBDROP,BLK01,CSNSTORES,HDDS,HSNDS,JCPENNEY01,KOHLDSN,MACY02,NRTPORT,OLLIIX,OVERSCONSIGN,OVERSTOCK01,TGTDVS,Zulily</t>
  </si>
  <si>
    <t>MP10-5281</t>
  </si>
  <si>
    <t>Cape Cod</t>
  </si>
  <si>
    <t>Chatham</t>
  </si>
  <si>
    <t>Bedford</t>
  </si>
  <si>
    <t>PP000578;PF004079</t>
  </si>
  <si>
    <t>10/18/2017</t>
  </si>
  <si>
    <t>AMAZON,AMAZONDS,BBBDROP,BIGLOTSDS,BLK01,CSNSTORES,DESINC,FINGERHUTDS,JCPENNEY01,KOHLDSN,MACY02,OLLIIX,OVERSTOCK01,TGTDVS,Zulily</t>
  </si>
  <si>
    <t>MP10-5282</t>
  </si>
  <si>
    <t>PF004079</t>
  </si>
  <si>
    <t>AMAZON,AMAZONDS,BBBDROP,BIGLOTSDS,BLK01,CASTLEGATE,CSNSTORES,DESINC,FINGERHUTDS,JCPENNEY01,KOHLDSN,MACY02,OLLIIX,OVERSCONSIGN,OVERSTOCK01,TGTDVS,Zulily</t>
  </si>
  <si>
    <t>MP10-5283</t>
  </si>
  <si>
    <t>7/15/2024</t>
  </si>
  <si>
    <t>AMAZON,AMAZONDS,BBBDROP,BEALLSDS,BLK01,CSNSTORES,DESINC,HOUZZ,JCPENNEY01,KOHLDSN,MACY02,OLLIIX,OVERSCONSIGN,OVERSTOCK01,TGTDVS,Zulily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</si>
  <si>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</si>
  <si>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</si>
  <si>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</si>
  <si>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</si>
  <si>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</si>
  <si>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</si>
  <si>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AMAZON,AMAZONDS,BLK01,CSNSTORES,DESINC,JCPENNEY01,KOHLDSN,NRTPORT,OVERSTOCK01,TGTDVS</t>
  </si>
  <si>
    <t>MP10-8288</t>
  </si>
  <si>
    <t>AMAZON,AMAZONDS,BLK01,CSNSTORES,JCPENNEY01,KOHLDSN,NRTPORT,OVERSTOCK01,TGTDVS</t>
  </si>
  <si>
    <t>MP10-8203</t>
  </si>
  <si>
    <t>PP001862;PF005960</t>
  </si>
  <si>
    <t>AMAZON,AMAZONDS,CSNSTORES,DESINC,JCPENNEY01,KOHLDSN,MACY02,NRTPORT,OLLIIX,OVERSTOCK01,TGTDVS,Zulily</t>
  </si>
  <si>
    <t>MP10-8204</t>
  </si>
  <si>
    <t>AMAZON,AMAZONDS,BLK01,CSNSTORES,KOHLDSN,MACY02,NRTPORT,OVERSTOCK01,TGTDVS</t>
  </si>
  <si>
    <t>MP10-2375</t>
  </si>
  <si>
    <t>Carlow</t>
  </si>
  <si>
    <t>Elena</t>
  </si>
  <si>
    <t>Carmela</t>
  </si>
  <si>
    <t>PF002747;PP000394</t>
  </si>
  <si>
    <t>MP10-1409</t>
  </si>
  <si>
    <t>Carmel</t>
  </si>
  <si>
    <t>Seaside</t>
  </si>
  <si>
    <t>Soledad</t>
  </si>
  <si>
    <t>PF002719</t>
  </si>
  <si>
    <t>AAFESDS,AMAZON,AMAZONDS,BBBDROP,BLK01,CASTLEGATE,CSNSTORES,HOUZZ,JCPENNEY01,KOHLDSN,MACY02,NRTPORT,OLLIIX,OVERSTOCK01,TGTDVS,Zulily</t>
  </si>
  <si>
    <t>MP10-1410</t>
  </si>
  <si>
    <t>MP10-1411</t>
  </si>
  <si>
    <t>AMAZON,AMAZONDS,BBBDROP,BLK01,CSNSTORES,DESINC,JCPENNEY01,KOHLDSN,MACY02,OLLIIX,OVERSCONSIGN,OVERSTOCK01,TGTDVS,Zulily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</si>
  <si>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</si>
  <si>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</si>
  <si>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</si>
  <si>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</si>
  <si>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</si>
  <si>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</si>
  <si>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</si>
  <si>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</si>
  <si>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AMAZON,BBBDROP,BEALLSDS,BLK01,CSNSTORES,DESINC,HOUZZ,JCPENNEY01,KOHLDSN,MACY02,NRTPORT,OLLIIX,OVERSTOCK01,TGTDVS,WALMARTDS</t>
  </si>
  <si>
    <t>MP10-4323</t>
  </si>
  <si>
    <t>AMAZON,AMAZONDS,BEALLSDS,BLK01,CSNSTORES,JCPENNEY01,KOHLDSN,MACY02,OLLIIX,OVERSCONSIGN,OVERSTOCK01,TGTDVS,Zulily</t>
  </si>
  <si>
    <t>MP10-4324</t>
  </si>
  <si>
    <t>AMAZON,AMAZONDS,BBBDROP,BEALLSDS,BLK01,CASTLEGATE,CSNSTORES,JCPENNEY01,KOHLDSN,MACY02,NRTPORT,OLLIIX,OVERSTOCK01,TGTDVS,WALMARTDS,Zulily</t>
  </si>
  <si>
    <t>MP10-313</t>
  </si>
  <si>
    <t>Houston</t>
  </si>
  <si>
    <t>Caldwell</t>
  </si>
  <si>
    <t>7 Piece Micro Corduroy Comforter Set</t>
  </si>
  <si>
    <t>PF002449</t>
  </si>
  <si>
    <t>AMAZON,AMAZONDS,AMERSIGNDS,ASHFURNDS,BBBDROP,BLK01,CASTLEGATE,CSNSTORES,DESINC,FINGERHUTDS,HOUZZ,JCPENNEY01,KOHLDSN,MACY02,NRTPORT,OLLIIX,OVERSTOCK01,TGTDVS</t>
  </si>
  <si>
    <t>MP10-314</t>
  </si>
  <si>
    <t>MP10-315</t>
  </si>
  <si>
    <t>AAFESDS,AMAZON,AMAZONDS,AMERSIGNDS,BBBDROP,BLK01,CSNSTORES,DESINC,FINGERHUTDS,HOUZZ,JCPENNEY01,KOHLDSN,MACY02,NRTPORT,OLLIIX,OVERSTOCK01,TGTDVS</t>
  </si>
  <si>
    <t>MP10-4422</t>
  </si>
  <si>
    <t>Daria</t>
  </si>
  <si>
    <t>Paolina</t>
  </si>
  <si>
    <t>Nicola</t>
  </si>
  <si>
    <t>9 Piece Cotton Print Comforter Set</t>
  </si>
  <si>
    <t>PF002664</t>
  </si>
  <si>
    <t>6/13/2017</t>
  </si>
  <si>
    <t>MP10-7667</t>
  </si>
  <si>
    <t>Dax</t>
  </si>
  <si>
    <t>Noah</t>
  </si>
  <si>
    <t>PP001669;PF005556</t>
  </si>
  <si>
    <t>9/7/2021</t>
  </si>
  <si>
    <t>ASHFURNDS,BBBDROP,BLK01,CSNSTORES,DESINC,FINGERHUTDS,HOUZZ,JCPENNEY01,KOHLDSN,MACY02,OLLIIX,OVERSCONSIGN,OVERSTOCK01,TGTDVS,ZOLA,Zulily</t>
  </si>
  <si>
    <t>MP10-7668</t>
  </si>
  <si>
    <t>BBBDROP,BLK01,CSNSTORES,DESINC,FINGERHUTDS,JCPENNEY01,KOHLDSN,MACY02,OLLIIX,OVERSTOCK01,TGTDVS,ZOLA</t>
  </si>
  <si>
    <t>MP10-7669</t>
  </si>
  <si>
    <t>BBBDROP,BLK01,CSNSTORES,FINGERHUTDS,JCPENNEY01,KOHLDSN,MACY02,OLLIIX,OVERSTOCK01,TGTDVS,ZOLA,Zulily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</si>
  <si>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</si>
  <si>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</si>
  <si>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</si>
  <si>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</si>
  <si>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</si>
  <si>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</si>
  <si>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</si>
  <si>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</si>
  <si>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AMAZON,AMAZONDS,JCPENNEY01,KIRKLANDDS,KOHLDSN,MACY02,OLLIIX,OVERSTOCK01,TGTDVS</t>
  </si>
  <si>
    <t>MP10-8161</t>
  </si>
  <si>
    <t>AMAZON,BLK01,CSNSTORES,JCPENNEY01,KIRKLANDDS,KOHLDSN,MACY02,OLLIIX,OVERSTOCK01,TGTDVS</t>
  </si>
  <si>
    <t>MP10-190</t>
  </si>
  <si>
    <t>Dune</t>
  </si>
  <si>
    <t>Meyers</t>
  </si>
  <si>
    <t>Connell</t>
  </si>
  <si>
    <t>Beige</t>
  </si>
  <si>
    <t>PF001364;PP000413</t>
  </si>
  <si>
    <t>AMAZON,AMAZONDS,BLK01,CSNSTORES,JCPENNEY01,KOHLDSN,MACY02,OLLIIX,OVERSTOCK01,TGTDVS</t>
  </si>
  <si>
    <t>MP10-069</t>
  </si>
  <si>
    <t>AMAZON,AMAZONDS,BBBDROP,BLK01,CSNSTORES,HOUZZ,HSNDS,JCPENNEY01,KOHLDSN,MACY02,OLLIIX,OVERSTOCK01,TGTDVS</t>
  </si>
  <si>
    <t>MP10-070</t>
  </si>
  <si>
    <t>AMAZON,AMAZONDS,ASHFURNDS,BBBDROP,BLK01,CSNSTORES,JCPENNEY01,KOHLDSN,MACY02,OLLIIX,OVERSCONSIGN,OVERSTOCK01,TGTDVS,ZOLA</t>
  </si>
  <si>
    <t>MP10-071</t>
  </si>
  <si>
    <t>AMAZON,AMAZONDS,BBBDROP,BLK01,CSNSTORES,HOUZZ,JCPENNEY01,KOHLDSN,MACY02,NRTPORT,OLLIIX,OVERSTOCK01,TGTDVS</t>
  </si>
  <si>
    <t>MP10-145</t>
  </si>
  <si>
    <t>PP000413</t>
  </si>
  <si>
    <t>MP10-1338</t>
  </si>
  <si>
    <t>AMAZON,AMAZONDS,BBBDROP,BLK01,CSNSTORES,HOUZZ,JCPENNEY01,KOHLDSN,MACY02,NRTPORT,OLLIIX,OVERSCONSIGN,OVERSTOCK01,TGTDVS</t>
  </si>
  <si>
    <t>MP10-146</t>
  </si>
  <si>
    <t>AMAZON,AMAZONDS,ASHFURNDS,BBBDROP,BLK01,CSNSTORES,JCPENNEY01,KOHLDSN,MACY02,NRTPORT,OLLIIX,OVERSCONSIGN,OVERSTOCK01,TGTDVS,ZOLA</t>
  </si>
  <si>
    <t>MP10-147</t>
  </si>
  <si>
    <t>AMAZON,AMAZONDS,BBBDROP,BLK01,CSNSTORES,JCPENNEY01,KOHLDSN,MACY02,NRTPORT,OLLIIX,OVERSCONSIGN,OVERSTOCK01,TGTDVS,ZOLA</t>
  </si>
  <si>
    <t>MP10-148</t>
  </si>
  <si>
    <t>AMAZON,AMAZONDS,BBBDROP,BLK01,CSNSTORES,JCPENNEY01,KOHLDSN,MACY02,OLLIIX,OVERSCONSIGN,OVERSTOCK01,TGTDVS,ZOLA</t>
  </si>
  <si>
    <t>MP10-5529</t>
  </si>
  <si>
    <t>Emory</t>
  </si>
  <si>
    <t>Nowell</t>
  </si>
  <si>
    <t>Karlene</t>
  </si>
  <si>
    <t>PF004142;PP000819</t>
  </si>
  <si>
    <t>1/8/2018</t>
  </si>
  <si>
    <t>AMAZON,AMAZONDS,BBBDROP,BEALLSDS,BLK01,CASTLEGATE,CSNSTORES,JCPENNEY01,KOHLDSN,MACY02,OLLIIX,OVERSCONSIGN,OVERSTOCK01,ROOMECOM,TGTDVS,ZOLA</t>
  </si>
  <si>
    <t>MP10-5530</t>
  </si>
  <si>
    <t>AMAZON,AMAZONDS,BBBDROP,BEALLSDS,BLK01,CSNSTORES,DESINC,FINGERHUTDS,JCPENNEY01,KOHLDSN,MACY02,OLLIIX,OVERSCONSIGN,OVERSTOCK01,ROOMECOM,TGTDVS,ZOLA,Zulily</t>
  </si>
  <si>
    <t>1/26/2023</t>
  </si>
  <si>
    <t>MP10-5810</t>
  </si>
  <si>
    <t>Enza</t>
  </si>
  <si>
    <t>Adella</t>
  </si>
  <si>
    <t>Slade</t>
  </si>
  <si>
    <t>PF004252;PP000878</t>
  </si>
  <si>
    <t>5/3/2018</t>
  </si>
  <si>
    <t>AAFESDS,AMAZON,AMAZONDS,ASHFURNDS,BBBDROP,BEALLSDS,BLK01,CSNSTORES,JCPENNEY01,KOHLDSN,MACY02,OLLIIX,OVERSCONSIGN,OVERSTOCK01,TGTDVS,Zulily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</si>
  <si>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</si>
  <si>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</si>
  <si>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</si>
  <si>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</si>
  <si>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</si>
  <si>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</si>
  <si>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</si>
  <si>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</si>
  <si>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7/23/2024</t>
  </si>
  <si>
    <t>MP10-8467</t>
  </si>
  <si>
    <t>MP10-8267</t>
  </si>
  <si>
    <t>Taupe/Blue</t>
  </si>
  <si>
    <t>PP001818;PF005849</t>
  </si>
  <si>
    <t>AMAZON,AMAZONDS,CSNSTORES,DESINC,JCPENNEY01,KOHLDSN,OLLIIX,OVERSTOCK01,TGTDVS</t>
  </si>
  <si>
    <t>MP10-8268</t>
  </si>
  <si>
    <t>AMAZON,AMAZONDS,BLK01,CSNSTORES,DESINC,JCPENNEY01,KOHLDSN,OLLIIX,OVERSTOCK01,TGTDVS</t>
  </si>
  <si>
    <t>MP10-233</t>
  </si>
  <si>
    <t>Freeport</t>
  </si>
  <si>
    <t>Bermuda</t>
  </si>
  <si>
    <t>Key West</t>
  </si>
  <si>
    <t>Olive Green</t>
  </si>
  <si>
    <t>PF002421</t>
  </si>
  <si>
    <t>AMAZON,AMAZONDS,BBBDROP,BLK01,CSNSTORES,DESINC,FINGERHUTDS,JCPENNEY01,KOHLDSN,MACY02,NRTPORT,OLLIIX,OVERSTOCK01,TGTDVS</t>
  </si>
  <si>
    <t>MP10-234</t>
  </si>
  <si>
    <t>AMAZON,BBBDROP,BLK01,CSNSTORES,DESINC,JCPENNEY01,KOHLDSN,MACY02,OLLIIX,OVERSCONSIGN,OVERSTOCK01,TGTDVS</t>
  </si>
  <si>
    <t>MP10-235</t>
  </si>
  <si>
    <t>AMAZON,AMAZONDS,BBBDROP,BLK01,CSNSTORES,DESINC,JCPENNEY01,KOHLDSN,MACY02,OLLIIX,OVERSTOCK01,TGTDVS,Zulily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</si>
  <si>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</si>
  <si>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</si>
  <si>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</si>
  <si>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</si>
  <si>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</si>
  <si>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</si>
  <si>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</si>
  <si>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</si>
  <si>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</si>
  <si>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AMAZON,CSNSTORES,JCPENNEY01,KOHLDSN,OLLIIX,OVERSTOCK01,TGTDVS</t>
  </si>
  <si>
    <t>MP10-8284</t>
  </si>
  <si>
    <t>AMAZON,BLK01,CSNSTORES,JCPENNEY01,KOHLDSN,OLLIIX,OVERSTOCK01,TGTDVS</t>
  </si>
  <si>
    <t>MP10-280</t>
  </si>
  <si>
    <t>Genevieve</t>
  </si>
  <si>
    <t>Beverly</t>
  </si>
  <si>
    <t>PF002435</t>
  </si>
  <si>
    <t>AAFESDS,AMAZON,AMAZONDS,ASHFURNDS,BBBDROP,BEALLSDS,BIGLOTSDS,BLK01,CASTLEGATE,CSNSTORES,DESINC,HOUZZ,JCPENNEY01,KOHLDSN,MACY02,NRTPORT,OLLIIX,OVERSTOCK01,TGTDVS,Zulily</t>
  </si>
  <si>
    <t>MP10-281</t>
  </si>
  <si>
    <t>AAFESDS,AMAZON,AMAZONDS,ASHFURNDS,BBBDROP,BEALLSDS,BIGLOTSDS,BLK01,CASTLEGATE,CSNSTORES,DESINC,JCPENNEY01,KOHLDSN,MACY02,NRTPORT,OLLIIX,OVERSTOCK01,TGTDVS,Zulily</t>
  </si>
  <si>
    <t>MP10-282</t>
  </si>
  <si>
    <t>AMAZON,AMAZONDS,BIGLOTSDS,BLK01,CASTLEGATE,CSNSTORES,DESINC,JCPENNEY01,KOHLDSN,MACY02,NRTPORT,OLLIIX,OVERSTOCK01,TGTDVS</t>
  </si>
  <si>
    <t>MP10-4041</t>
  </si>
  <si>
    <t>PF002439</t>
  </si>
  <si>
    <t>AMAZON,AMAZONDS,BBBDROP,BIGLOTSDS,BLK01,CASTLEGATE,CSNSTORES,DESINC,FINGERHUTDS,HDDS,HSNDS,JCPENNEY01,KOHLDSN,LAMPDS,MACY02,NRTPORT,OLLIIX,OVERSCONSIGN,OVERSTOCK01,TGTDVS,ZOLA,Zulily</t>
  </si>
  <si>
    <t>MP10-4042</t>
  </si>
  <si>
    <t>AAFESDS,AMAZON,AMAZONDS,BIGLOTSDS,BLK01,CASTLEGATE,CSNSTORES,FINGERHUTDS,HDDS,HSNDS,JCPENNEY01,KOHLDSN,MACY02,NRTPORT,OLLIIX,OVERSCONSIGN,OVERSTOCK01,TGTDVS,ZOLA,Zulily</t>
  </si>
  <si>
    <t>MP10-4043</t>
  </si>
  <si>
    <t>AAFESDS,AMAZON,AMAZONDS,BBBDROP,BIGLOTSDS,BLK01,CASTLEGATE,CSNSTORES,DESINC,FINGERHUTDS,HDDS,HSNDS,JCPENNEY01,KOHLDSN,LAMPDS,MACY02,NRTPORT,OLLIIX,OVERSCONSIGN,OVERSTOCK01,TGTDVS,ZOLA,Zulily</t>
  </si>
  <si>
    <t>MP10-6567</t>
  </si>
  <si>
    <t>Taupe/Brown</t>
  </si>
  <si>
    <t>PF004777</t>
  </si>
  <si>
    <t>8/15/2019</t>
  </si>
  <si>
    <t>AAFESDS,AMAZON,AMAZONDS,ASHFURNDS,BBBDROP,BIGLOTSDS,BLK01,CSNSTORES,DESINC,FINGERHUTDS,JCPENNEY01,KOHLDSN,MACY02,NRTPORT,OLLIIX,OVERSTOCK01,TGTDVS</t>
  </si>
  <si>
    <t>MP10-6568</t>
  </si>
  <si>
    <t>AAFESDS,AMAZON,AMAZONDS,BBBDROP,BIGLOTSDS,BLK01,CSNSTORES,DESINC,JCPENNEY01,KOHLDSN,MACY02,NRTPORT,OLLIIX,OVERSTOCK01,TGTDVS,Zulily</t>
  </si>
  <si>
    <t>MP10-6569</t>
  </si>
  <si>
    <t>AAFESDS,AMAZON,AMAZONDS,BIGLOTSDS,BLK01,CSNSTORES,DESINC,FINGERHUTDS,JCPENNEY01,KOHLDSN,MACY02,NRTPORT,OLLIIX,OVERSTOCK01,TGTDVS,Zulily</t>
  </si>
  <si>
    <t>MP10-4166</t>
  </si>
  <si>
    <t>Holly</t>
  </si>
  <si>
    <t>Sakura</t>
  </si>
  <si>
    <t>Purple/Taupe</t>
  </si>
  <si>
    <t>PF002647</t>
  </si>
  <si>
    <t>AMAZON,AMAZONDS,ASHFURNDS,BBBDROP,BLK01,CSNSTORES,HOUZZ,HSNDS,JCPENNEY01,KOHLDSN,MACY02,OLLIIX,OVERSCONSIGN,OVERSTOCK01,TGTDVS,Zulily</t>
  </si>
  <si>
    <t>MP10-4167</t>
  </si>
  <si>
    <t>AMAZON,AMAZONDS,ASHFURNDS,BBBDROP,BLK01,CSNSTORES,DESINC,HSNDS,JCPENNEY01,KOHLDSN,MACY02,OLLIIX,OVERSCONSIGN,OVERSTOCK01,TGTDVS</t>
  </si>
  <si>
    <t>MP10-4168</t>
  </si>
  <si>
    <t>PF002647;PP001841</t>
  </si>
  <si>
    <t>AMAZON,AMAZONDS,BBBDROP,BLK01,CSNSTORES,DESINC,HSNDS,JCPENNEY01,KOHLDSN,MACY02,OLLIIX,OVERSCONSIGN,OVERSTOCK01,TGTDVS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</si>
  <si>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</si>
  <si>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</si>
  <si>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</si>
  <si>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</si>
  <si>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</si>
  <si>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</si>
  <si>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</si>
  <si>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</si>
  <si>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2/1/2024</t>
  </si>
  <si>
    <t>9/28/2024</t>
  </si>
  <si>
    <t>MP10-8338</t>
  </si>
  <si>
    <t>1/31/2024</t>
  </si>
  <si>
    <t>BLK01,CSNSTORES,DESINC,KOHLDSN,OLLIIX,OVERSTOCK01,TGTDVS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</si>
  <si>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</si>
  <si>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</si>
  <si>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</si>
  <si>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</si>
  <si>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</si>
  <si>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</si>
  <si>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</si>
  <si>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</si>
  <si>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AMAZON,AMAZONDS,AMERSIGNDS,BBBDROP,BEALLSDS,BLK01,CSNSTORES,DESINC,FINGERHUTDS,HOUZZ,HSNDS,JCPENNEY01,KOHLDSN,MACY02,NEBFUR01,OLLIIX,OVERSCONSIGN,OVERSTOCK01,TGTDVS,Zulily</t>
  </si>
  <si>
    <t>MP10-5804</t>
  </si>
  <si>
    <t>10/16/2024</t>
  </si>
  <si>
    <t>AMAZON,AMAZONDS,AMERSIGNDS,BBBDROP,BEALLSDS,BLK01,CSNSTORES,HOUZZ,HSNDS,JCPENNEY01,KOHLDSN,MACY02,NEBFUR01,OLLIIX,OVERSCONSIGN,OVERSTOCK01,TGTDVS</t>
  </si>
  <si>
    <t>MP10-5805</t>
  </si>
  <si>
    <t>AMAZON,AMAZONDS,AMERSIGNDS,BBBDROP,BEALLSDS,BLK01,CSNSTORES,DESINC,HSNDS,JCPENNEY01,KOHLDSN,MACY02,OLLIIX,OVERSCONSIGN,OVERSTOCK01,TGTDVS</t>
  </si>
  <si>
    <t>MP10-8155</t>
  </si>
  <si>
    <t>PP000879;PF005889</t>
  </si>
  <si>
    <t>12/8/2022</t>
  </si>
  <si>
    <t>AMAZONDS,AMERSIGNDS,BLK01,CSNSTORES,JCPENNEY01,KOHLDSN,MACY02,OLLIIX,OVERSCONSIGN,OVERSTOCK01,TGTDVS,Zulily</t>
  </si>
  <si>
    <t>MP10-8156</t>
  </si>
  <si>
    <t>AMAZONDS,BLK01,CSNSTORES,DESINC,HOUZZ,JCPENNEY01,KOHLDSN,MACY02,OLLIIX,OVERSCONSIGN,OVERSTOCK01,TGTDVS,Zulily</t>
  </si>
  <si>
    <t>MP10-8157</t>
  </si>
  <si>
    <t>AMAZONDS,BLK01,CSNSTORES,JCPENNEY01,KOHLDSN,MACY02,OVERSCONSIGN,OVERSTOCK01,TGTDVS</t>
  </si>
  <si>
    <t>MP10-283</t>
  </si>
  <si>
    <t>Jackson Blocks</t>
  </si>
  <si>
    <t>Maddox</t>
  </si>
  <si>
    <t>Warren</t>
  </si>
  <si>
    <t>PF002440</t>
  </si>
  <si>
    <t>MP10-284</t>
  </si>
  <si>
    <t>AMAZON,AMAZONDS,BBBDROP,BEALLSDS,BLK01,CSNSTORES,DESINC,FINGERHUTDS,JCPENNEY01,KOHLDSN,MACY02,OLLIIX,OVERSCONSIGN,OVERSTOCK01,TGTDVS</t>
  </si>
  <si>
    <t>MP10-285</t>
  </si>
  <si>
    <t>AMAZON,BBBDROP,BLK01,CSNSTORES,DESINC,JCPENNEY01,KOHLDSN,MACY02,NRTPORT,OLLIIX,OVERSCONSIGN,OVERSTOCK01,TGTDVS,WALMARTDS,Zulily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</si>
  <si>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</si>
  <si>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</si>
  <si>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</si>
  <si>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</si>
  <si>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</si>
  <si>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</si>
  <si>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</si>
  <si>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10/11/2024</t>
  </si>
  <si>
    <t>BLK01,CSNSTORES,JCPENNEY01,KOHLDSN,OVERSTOCK01,TGTDVS</t>
  </si>
  <si>
    <t>MP10-8322</t>
  </si>
  <si>
    <t>CSNSTORES,KOHLDSN,OVERSTOCK01,TGTDVS</t>
  </si>
  <si>
    <t>MP10-8323</t>
  </si>
  <si>
    <t>BLK01,CSNSTORES,KOHLDSN,OLLIIX,OVERSTOCK01,TGTDVS</t>
  </si>
  <si>
    <t>MP10-8324</t>
  </si>
  <si>
    <t>Spice</t>
  </si>
  <si>
    <t>PP001911;PF006095</t>
  </si>
  <si>
    <t>1/26/2024</t>
  </si>
  <si>
    <t>MP10-8325</t>
  </si>
  <si>
    <t>MP10-8326</t>
  </si>
  <si>
    <t>BLK01,CSNSTORES,KOHLDSN,OVERSTOCK01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</si>
  <si>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</si>
  <si>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</si>
  <si>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</si>
  <si>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</si>
  <si>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</si>
  <si>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</si>
  <si>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</si>
  <si>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</si>
  <si>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CSNSTORES,DESINC,JCPENNEY01,KOHLDSN,MACY02,NRTPORT,OVERSTOCK01,TGTDVS,Zulily</t>
  </si>
  <si>
    <t>MP10-8208</t>
  </si>
  <si>
    <t>BLK01,CSNSTORES,DESINC,JCPENNEY01,KOHLDSN,MACY02,NRTPORT,OLLIIX,OVERSTOCK01,TGTDVS,Zulily</t>
  </si>
  <si>
    <t>MP10-4402</t>
  </si>
  <si>
    <t>Katalina</t>
  </si>
  <si>
    <t>Abrego</t>
  </si>
  <si>
    <t>Cordoba</t>
  </si>
  <si>
    <t>G</t>
  </si>
  <si>
    <t>PF002665</t>
  </si>
  <si>
    <t>6/8/2017</t>
  </si>
  <si>
    <t>ZUL10-0018</t>
  </si>
  <si>
    <t>Kate</t>
  </si>
  <si>
    <t>3 Piece Comforter Set</t>
  </si>
  <si>
    <t>N/A</t>
  </si>
  <si>
    <t>OLLIIX</t>
  </si>
  <si>
    <t>3</t>
  </si>
  <si>
    <t>10/12/2021</t>
  </si>
  <si>
    <t>OLLIIX,Zulily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</si>
  <si>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</si>
  <si>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</si>
  <si>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</si>
  <si>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</si>
  <si>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</si>
  <si>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</si>
  <si>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</si>
  <si>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</si>
  <si>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BLK01,CSNSTORES,DESINC,KOHLDSN,NRTPORT,OLLIIX,OVERSTOCK01,TGTDVS</t>
  </si>
  <si>
    <t>MP10-8344</t>
  </si>
  <si>
    <t>BLK01,CSNSTORES,KOHLDSN,NRTPORT,OLLIIX,OVERSTOCK01,TGTDVS</t>
  </si>
  <si>
    <t>MP10-8345</t>
  </si>
  <si>
    <t>1/13/2024</t>
  </si>
  <si>
    <t>MP10-8346</t>
  </si>
  <si>
    <t>PP001915;PF006121</t>
  </si>
  <si>
    <t>CSNSTORES,DESINC,JCPENNEY01,KIRKLANDDS,KOHLDSN,NRTPORT,OLLIIX,OVERSTOCK01,TGTDVS</t>
  </si>
  <si>
    <t>MP10-8347</t>
  </si>
  <si>
    <t>BLK01,CSNSTORES,KIRKLANDDS,KOHLDSN,NRTPORT,OLLIIX,OVERSTOCK01,TGTDVS</t>
  </si>
  <si>
    <t>MP10-8348</t>
  </si>
  <si>
    <t>CSNSTORES,KIRKLANDDS,KOHLDSN,NRTPORT,OLLIIX,OVERSTOCK01,TGTDVS</t>
  </si>
  <si>
    <t>MP10-8164</t>
  </si>
  <si>
    <t>Langley</t>
  </si>
  <si>
    <t>Cove</t>
  </si>
  <si>
    <t xml:space="preserve">5 Piece Clipped Jacquard  Comforter Set</t>
  </si>
  <si>
    <t>Neutral</t>
  </si>
  <si>
    <t>PP001838;PF005893</t>
  </si>
  <si>
    <t>AMERSIGNDS,BLK01,CSNSTORES,HDDS,JCPENNEY01,KIRKLANDDS,KOHLDSN,MACY02,OLLIIX,OVERSTOCK01,TGTDVS,Zulily</t>
  </si>
  <si>
    <t>MP10-8165</t>
  </si>
  <si>
    <t>AMERSIGNDS,BLK01,CSNSTORES,DESINC,HDDS,JCPENNEY01,KIRKLANDDS,KOHLDSN,MACY02,OLLIIX,OVERSTOCK01,TGTDVS</t>
  </si>
  <si>
    <t>ZUL10-0016</t>
  </si>
  <si>
    <t>Lark</t>
  </si>
  <si>
    <t>11/9/2021</t>
  </si>
  <si>
    <t>HOUZZ,OLLIIX,Zulily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</si>
  <si>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</si>
  <si>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</si>
  <si>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</si>
  <si>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</si>
  <si>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</si>
  <si>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</si>
  <si>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</si>
  <si>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</si>
  <si>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</si>
  <si>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AMAZON,CSNSTORES,KOHLDSN,OVERSTOCK01,TGTDVS</t>
  </si>
  <si>
    <t>MP10-8354</t>
  </si>
  <si>
    <t>1/20/2024</t>
  </si>
  <si>
    <t>AMAZON,AMAZONDS,BLK01,CSNSTORES,KOHLDSN,OLLIIX,OVERSTOCK01,TGTDVS</t>
  </si>
  <si>
    <t>MP10-8351</t>
  </si>
  <si>
    <t>Silver</t>
  </si>
  <si>
    <t>PP001914;PF006118</t>
  </si>
  <si>
    <t>AMAZON,AMAZONDS,BLK01,CSNSTORES,DESINC,KOHLDSN,NRTPORT,OLLIIX,OVERSTOCK01,TGTDVS</t>
  </si>
  <si>
    <t>MP10-8352</t>
  </si>
  <si>
    <t>AMAZON,AMAZONDS,BLK01,CSNSTORES,JCPENNEY01,KOHLDSN,NRTPORT,OLLIIX,OVERSTOCK01,TGTDVS</t>
  </si>
  <si>
    <t>MP10-8349</t>
  </si>
  <si>
    <t>PP001914;PF006117</t>
  </si>
  <si>
    <t>AMAZON,CSNSTORES,KOHLDSN,OLLIIX,OVERSTOCK01,TGTDVS</t>
  </si>
  <si>
    <t>MP10-8350</t>
  </si>
  <si>
    <t>MP10-8406</t>
  </si>
  <si>
    <t>Lily</t>
  </si>
  <si>
    <t>Annette</t>
  </si>
  <si>
    <t>Eloise</t>
  </si>
  <si>
    <t>PF006215;PP001951</t>
  </si>
  <si>
    <t>KOHLDSN,TGTDVS</t>
  </si>
  <si>
    <t>MP10-8407</t>
  </si>
  <si>
    <t>MP10-8408</t>
  </si>
  <si>
    <t>PP001951;PF006216</t>
  </si>
  <si>
    <t>TGTDVS</t>
  </si>
  <si>
    <t>MP10-8409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</si>
  <si>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</si>
  <si>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</si>
  <si>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</si>
  <si>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</si>
  <si>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</si>
  <si>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</si>
  <si>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</si>
  <si>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AMAZON,AMAZONDS,BBBDROP,BLK01,CSNSTORES,DESINC,FINGERHUTDS,HOUZZ,JCPENNEY01,KOHLDSN,MACY02,NEBFUR01,NRTPORT,OLLIIX,OVERSCONSIGN,OVERSTOCK01,TGTDVS</t>
  </si>
  <si>
    <t>MP10-112</t>
  </si>
  <si>
    <t>AMAZON,AMAZONDS,BBBDROP,BLK01,CSNSTORES,DESINC,FINGERHUTDS,JCPENNEY01,KOHLDSN,MACY02,NRTPORT,OLLIIX,OVERSCONSIGN,OVERSTOCK01,TGTDVS,Zulily</t>
  </si>
  <si>
    <t>MP10-113</t>
  </si>
  <si>
    <t>AMAZON,AMAZONDS,BBBDROP,BLK01,CSNSTORES,FINGERHUTDS,JCPENNEY01,KOHLDSN,MACY02,NEBFUR01,NRTPORT,OLLIIX,OVERSTOCK01,TGTDVS,WALMARTDS,Zulily</t>
  </si>
  <si>
    <t>MP10-8433</t>
  </si>
  <si>
    <t>Lori</t>
  </si>
  <si>
    <t>Tessa</t>
  </si>
  <si>
    <t>Black/Silver</t>
  </si>
  <si>
    <t>PP001956;PF006231</t>
  </si>
  <si>
    <t>6/7/2024</t>
  </si>
  <si>
    <t>8/8/2024</t>
  </si>
  <si>
    <t>MP10-8434</t>
  </si>
  <si>
    <t>MP10-8435</t>
  </si>
  <si>
    <t>Teal/Silver</t>
  </si>
  <si>
    <t>PP001956;PF006232</t>
  </si>
  <si>
    <t>MP10-8436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</si>
  <si>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</si>
  <si>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</si>
  <si>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</si>
  <si>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</si>
  <si>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</si>
  <si>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</si>
  <si>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AMAZON,AMAZONDS,ASHFURNDS,BBBDROP,BEALLSDS,BLK01,CASTLEGATE,CSNSTORES,DESINC,JCPENNEY01,KOHLDSN,MACY02,OLLIIX,OVERSTOCK01,TGTDVS,Zulily</t>
  </si>
  <si>
    <t>MP10-5268</t>
  </si>
  <si>
    <t>AMAZON,AMAZONDS,ASHFURNDS,BBBDROP,BEALLSDS,BLK01,CSNSTORES,DESINC,JCPENNEY01,KOHLDSN,MACY02,OLLIIX,OVERSCONSIGN,OVERSTOCK01,TGTDVS</t>
  </si>
  <si>
    <t>MP10-5269</t>
  </si>
  <si>
    <t>AMAZON,AMAZONDS,BLK01,CASTLEGATE,CSNSTORES,DESINC,JCPENNEY01,KOHLDSN,MACY02,OVERSTOCK01,TGTDVS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</si>
  <si>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</si>
  <si>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</si>
  <si>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</si>
  <si>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</si>
  <si>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</si>
  <si>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</si>
  <si>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AMAZON,AMAZONDS,BBBDROP,BEALLSDS,BLK01,CSNSTORES,JCPENNEY01,KOHLDSN,MACY02,NRTPORT,OLLIIX,OVERSCONSIGN,OVERSTOCK01,TGTDVS,Zulily</t>
  </si>
  <si>
    <t>MP10-3661</t>
  </si>
  <si>
    <t>5/19/2017</t>
  </si>
  <si>
    <t>AMAZON,AMAZONDS,BBBDROP,BEALLSDS,BLK01,CSNSTORES,FINGERHUTDS,JCPENNEY01,KOHLDSN,MACY02,OLLIIX,OVERSCONSIGN,OVERSTOCK01,TGTDVS,Zulily</t>
  </si>
  <si>
    <t>MP10-3662</t>
  </si>
  <si>
    <t>AMAZON,AMAZONDS,BBBDROP,BLK01,CSNSTORES,FINGERHUTDS,JCPENNEY01,KOHLDSN,MACY02,OLLIIX,OVERSCONSIGN,OVERSTOCK01,TGTDVS,Zulily</t>
  </si>
  <si>
    <t>MP10-6183</t>
  </si>
  <si>
    <t>Malia</t>
  </si>
  <si>
    <t>Edna</t>
  </si>
  <si>
    <t>6 Piece Embroidered Cotton Reversible Comforter Set</t>
  </si>
  <si>
    <t>PF004594;PP001099</t>
  </si>
  <si>
    <t>Cottage/Country|Transitional</t>
  </si>
  <si>
    <t>3/27/2019</t>
  </si>
  <si>
    <t>ASHFURNDS,BBBDROP,BEALLSDS,BLK01,CASTLEGATE,CSNSTORES,DESINC,FINGERHUTDS,JCPENNEY01,KOHLDSN,MACY02,OLLIIX,OVERSCONSIGN,OVERSTOCK01,TGTDVS,ZOLA,Zulily</t>
  </si>
  <si>
    <t>MP10-6184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</si>
  <si>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</si>
  <si>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</si>
  <si>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</si>
  <si>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</si>
  <si>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</si>
  <si>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</si>
  <si>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</si>
  <si>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AMAZON,BBBDROP,BLK01,CASTLEGATE,CSNSTORES,DESINC,HOUZZ,JCPENNEY01,KOHLDSN,MACY02,OLLIIX,OVERSCONSIGN,OVERSTOCK01,TGTDVS,Zulily</t>
  </si>
  <si>
    <t>MP10-526</t>
  </si>
  <si>
    <t>MP10-527</t>
  </si>
  <si>
    <t>AMAZON,AMAZONDS,BLK01,CSNSTORES,DESINC,JCPENNEY01,KOHLDSN,MACY02,OLLIIX,OVERSTOCK01,TGTDVS,Zulily</t>
  </si>
  <si>
    <t>MP10-4789</t>
  </si>
  <si>
    <t>Mara</t>
  </si>
  <si>
    <t>Chrystal</t>
  </si>
  <si>
    <t>Channa</t>
  </si>
  <si>
    <t>7 Piece Embroidered Comforter Set</t>
  </si>
  <si>
    <t>Other</t>
  </si>
  <si>
    <t>Modern/Contemporary|Traditional</t>
  </si>
  <si>
    <t>8/30/2017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</si>
  <si>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</si>
  <si>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</si>
  <si>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</si>
  <si>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</si>
  <si>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</si>
  <si>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</si>
  <si>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</si>
  <si>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</si>
  <si>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</si>
  <si>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</si>
  <si>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</si>
  <si>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</si>
  <si>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</si>
  <si>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</si>
  <si>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</si>
  <si>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AMAZON,AMAZONDS,BBBDROP,BIGLOTSDS,BLK01,CSNSTORES,FINGERHUTDS,HOUZZ,JCPENNEY01,KOHLDSN,MACY02,NRTPORT,OLLIIX,OVERSCONSIGN,OVERSTOCK01,TGTDVS,Zulily</t>
  </si>
  <si>
    <t>MP10-7091</t>
  </si>
  <si>
    <t>AMAZON,AMAZONDS,BBBDROP,BIGLOTSDS,BLK01,CSNSTORES,FINGERHUTDS,JCPENNEY01,MACY02,OLLIIX,OVERSTOCK01,TGTDVS</t>
  </si>
  <si>
    <t>MP10-7092</t>
  </si>
  <si>
    <t>AMAZON,AMAZONDS,BBBDROP,BIGLOTSDS,BLK01,CSNSTORES,DESINC,FINGERHUTDS,JCPENNEY01,KOHLDSN,MACY02,OLLIIX,OVERSTOCK01,TGTDVS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</si>
  <si>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</si>
  <si>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</si>
  <si>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</si>
  <si>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</si>
  <si>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</si>
  <si>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</si>
  <si>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</si>
  <si>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</si>
  <si>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MP10-510</t>
  </si>
  <si>
    <t>Matilda</t>
  </si>
  <si>
    <t>Kira</t>
  </si>
  <si>
    <t>Blake</t>
  </si>
  <si>
    <t>PF003378</t>
  </si>
  <si>
    <t>AMAZON,AMAZONDS,BBBDROP,BEALLSDS,BLK01,CSNSTORES,DESINC,JCPENNEY01,KOHLDSN,MACY02,OLLIIX,OVERSTOCK01,TGTDVS</t>
  </si>
  <si>
    <t>MP10-511</t>
  </si>
  <si>
    <t>AMAZON,AMAZONDS,BBBDROP,BEALLSDS,BLK01,CSNSTORES,DESINC,JCPENNEY01,KOHLDSN,MACY02,OLLIIX,OVERSCONSIGN,OVERSTOCK01,TGTDVS</t>
  </si>
  <si>
    <t>MP10-512</t>
  </si>
  <si>
    <t>AMAZON,AMAZONDS,BBBDROP,BLK01,CSNSTORES,DESINC,JCPENNEY01,KOHLDSN,MACY02,OLLIIX,OVERSTOCK01,TGTDVS,WALMARTDS</t>
  </si>
  <si>
    <t>MP10-4887</t>
  </si>
  <si>
    <t>Mercia</t>
  </si>
  <si>
    <t>Delta</t>
  </si>
  <si>
    <t>Corynn</t>
  </si>
  <si>
    <t>PF002675</t>
  </si>
  <si>
    <t>AMAZON,AMAZONDS,BBBDROP,BEALLSDS,BLK01,CASTLEGATE,CSNSTORES,HSNDS,JCPENNEY01,KOHLDSN,MACY02,OLLIIX,OVERSTOCK01,TGTDVS,Zulily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</si>
  <si>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</si>
  <si>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</si>
  <si>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</si>
  <si>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</si>
  <si>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</si>
  <si>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</si>
  <si>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2/11/2022</t>
  </si>
  <si>
    <t>BBBDROP,BLK01,CSNSTORES,DESINC,HOUZZ,JCPENNEY01,KOHLDSN,MACY02,NRTPORT,OLLIIX,OVERSCONSIGN,OVERSTOCK01,TGTDVS,Zulily</t>
  </si>
  <si>
    <t>MP10-4785</t>
  </si>
  <si>
    <t>Mina</t>
  </si>
  <si>
    <t>Lina</t>
  </si>
  <si>
    <t>Callie</t>
  </si>
  <si>
    <t>Cotton Flannel Comforter Set</t>
  </si>
  <si>
    <t>Flannel</t>
  </si>
  <si>
    <t>10/11/2017</t>
  </si>
  <si>
    <t>MP10-3631</t>
  </si>
  <si>
    <t>Mindy</t>
  </si>
  <si>
    <t>Heidi</t>
  </si>
  <si>
    <t>Gretchen</t>
  </si>
  <si>
    <t>PF002630</t>
  </si>
  <si>
    <t>AMAZON,AMAZONDS,BBBDROP,BEALLSDS,BLK01,CSNSTORES,FINGERHUTDS,HOUZZ,JCPENNEY01,KOHLDSN,MACY02,OLLIIX,OVERSCONSIGN,OVERSTOCK01,TGTDVS,Zulily</t>
  </si>
  <si>
    <t>MP10-3632</t>
  </si>
  <si>
    <t>MP10-3633</t>
  </si>
  <si>
    <t>AMAZON,AMAZONDS,BBBDROP,BEALLSDS,BLK01,CSNSTORES,DESINC,FINGERHUTDS,HOUZZ,JCPENNEY01,KOHLDSN,MACY02,NRTPORT,OLLIIX,OVERSCONSIGN,OVERSTOCK01,TGTDVS,Zulily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</si>
  <si>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</si>
  <si>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</si>
  <si>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</si>
  <si>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</si>
  <si>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</si>
  <si>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</si>
  <si>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</si>
  <si>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AMAZON,AMAZONDS,ASHFURNDS,BBBDROP,BEALLSDS,BLK01,CASTLEGATE,CSNSTORES,HOUZZ,HSNDS,JCPENNEY01,KOHLDSN,MACY02,OLLIIX,OVERSCONSIGN,OVERSTOCK01,TGTDVS,Zulily</t>
  </si>
  <si>
    <t>MP10-1693</t>
  </si>
  <si>
    <t>AMAZON,AMAZONDS,BBBDROP,BEALLSDS,BLK01,CASTLEGATE,CSNSTORES,DESINC,FINGERHUTDS,HSNDS,JCPENNEY01,KOHLDSN,MACY02,OLLIIX,OVERSTOCK01,TGTDVS,Zulily</t>
  </si>
  <si>
    <t>MP10-1333</t>
  </si>
  <si>
    <t>PF002723;PP000471</t>
  </si>
  <si>
    <t>AMAZON,BBBDROP,FINGERHUTDS,OVERSTOCK01,ROOMECOM,TGTDVS</t>
  </si>
  <si>
    <t>9/5/2018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</si>
  <si>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</si>
  <si>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</si>
  <si>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</si>
  <si>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</si>
  <si>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</si>
  <si>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</si>
  <si>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</si>
  <si>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MP10-8141</t>
  </si>
  <si>
    <t>MP10-8142</t>
  </si>
  <si>
    <t>12/9/2022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</si>
  <si>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</si>
  <si>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</si>
  <si>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</si>
  <si>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</si>
  <si>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</si>
  <si>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</si>
  <si>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</si>
  <si>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BBBDROP,BLK01,CSNSTORES,DESINC,FINGERHUTDS,JCPENNEY01,KOHLDSN,MACY02,NRTPORT,OLLIIX,OVERSTOCK01,TGTDVS,Zulily</t>
  </si>
  <si>
    <t>MP10-7677</t>
  </si>
  <si>
    <t>MP10-8359</t>
  </si>
  <si>
    <t>Prairie</t>
  </si>
  <si>
    <t>Pampa</t>
  </si>
  <si>
    <t>Savanna</t>
  </si>
  <si>
    <t>PP001918;PF006128</t>
  </si>
  <si>
    <t>BLK01,CSNSTORES,DESINC,JCPENNEY01,KOHLDSN,OLLIIX,OVERSTOCK01,TGTDVS</t>
  </si>
  <si>
    <t>MP10-8360</t>
  </si>
  <si>
    <t>MP10-694</t>
  </si>
  <si>
    <t>Princeton</t>
  </si>
  <si>
    <t>Dartmouth</t>
  </si>
  <si>
    <t>Cambridge</t>
  </si>
  <si>
    <t>PF003392;PP000487</t>
  </si>
  <si>
    <t>AMAZON,AMAZONDS,BBBDROP,BLK01,CSNSTORES,DESINC,FINGERHUTDS,HOUZZ,JCPENNEY01,KOHLDSN,MACY02,OLLIIX,OVERSCONSIGN,OVERSTOCK01,TGTDVS,Zulily</t>
  </si>
  <si>
    <t>MP10-695</t>
  </si>
  <si>
    <t>AMAZON,AMAZONDS,BBBDROP,BLK01,CSNSTORES,HOUZZ,JCPENNEY01,KOHLDSN,MACY02,OLLIIX,OVERSTOCK01,TGTDVS,Zulily</t>
  </si>
  <si>
    <t>MP10-696</t>
  </si>
  <si>
    <t>MP10-697</t>
  </si>
  <si>
    <t>AMAZON,AMAZONDS,ASHFURNDS,BBBDROP,BLK01,CSNSTORES,JCPENNEY01,KOHLDSN,MACY02,OLLIIX,OVERSTOCK01,TGTDVS,Zulily</t>
  </si>
  <si>
    <t>MP10-698</t>
  </si>
  <si>
    <t>AMAZON,AMAZONDS,BLK01,CSNSTORES,DESINC,JCPENNEY01,KOHLDSN,MACY02,OLLIIX,OVERSCONSIGN,OVERSTOCK01,TGTDVS,Zulily</t>
  </si>
  <si>
    <t>MP10-699</t>
  </si>
  <si>
    <t>AMAZON,AMAZONDS,BBBDROP,BLK01,CSNSTORES,DESINC,JCPENNEY01,KOHLDSN,MACY02,OVERSTOCK01,TGTDVS</t>
  </si>
  <si>
    <t>MP10-2654</t>
  </si>
  <si>
    <t>Quebec</t>
  </si>
  <si>
    <t>Mansfield</t>
  </si>
  <si>
    <t>Vancouver</t>
  </si>
  <si>
    <t>5 Piece Comforter Set</t>
  </si>
  <si>
    <t>PF002442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</si>
  <si>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</si>
  <si>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</si>
  <si>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</si>
  <si>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</si>
  <si>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</si>
  <si>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</si>
  <si>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</si>
  <si>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</si>
  <si>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</si>
  <si>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BLK01,CSNSTORES,DESINC,JCPENNEY01,KOHLDSN,NRTPORT,OLLIIX,OVERSTOCK01,TGTDVS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</si>
  <si>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</si>
  <si>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</si>
  <si>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</si>
  <si>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</si>
  <si>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</si>
  <si>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</si>
  <si>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</si>
  <si>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</si>
  <si>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CSNSTORES,KOHLDSN,OLLIIX,OVERSTOCK01,TGTDVS</t>
  </si>
  <si>
    <t>MP10-8372</t>
  </si>
  <si>
    <t>2/17/2024</t>
  </si>
  <si>
    <t>MP10-4676</t>
  </si>
  <si>
    <t>Ridge</t>
  </si>
  <si>
    <t>Pioneer</t>
  </si>
  <si>
    <t>7 Piece Herringbone Comforter Set</t>
  </si>
  <si>
    <t>9/6/2017</t>
  </si>
  <si>
    <t>AMAZON,AMAZONDS,BBBDROP,BLK01,CSNSTORES,DESINC,FINGERHUTDS,HDDS,HSNDS,JCPENNEY01,KIRKLANDDS,KOHLDSN,MACY02,NEBFUR01,OLLIIX,OVERSCONSIGN,OVERSTOCK01,TGTDVS,Zulily</t>
  </si>
  <si>
    <t>MP10-4677</t>
  </si>
  <si>
    <t>AMAZON,AMAZONDS,BBBDROP,BLK01,CSNSTORES,FINGERHUTDS,HDDS,HSNDS,JCPENNEY01,KOHLDSN,MACY02,NEBFUR01,NRTPORT,OLLIIX,OVERSTOCK01,TGTDVS,WALMARTDS,ZOLA,Zulily</t>
  </si>
  <si>
    <t>MP10-4678</t>
  </si>
  <si>
    <t>AMAZON,AMAZONDS,BBBDROP,BLK01,CSNSTORES,HDDS,HOUZZ,JCPENNEY01,KIRKLANDDS,KOHLDSN,MACY02,NEBFUR01,NRTPORT,OLLIIX,OVERSCONSIGN,OVERSTOCK01,TGTDVS,WALMARTDS,ZOLA,Zulily</t>
  </si>
  <si>
    <t>MP10-7212</t>
  </si>
  <si>
    <t>PP001537;PF005192</t>
  </si>
  <si>
    <t>10/5/2020</t>
  </si>
  <si>
    <t>AMAZON,AMAZONDS,ASHFURNDS,BBBDROP,BLK01,CSNSTORES,HDDS,HOUZZ,JCPENNEY01,KOHLDSN,MACY02,NRTPORT,OLLIIX,OVERSCONSIGN,OVERSTOCK01,TGTDVS,Zulily</t>
  </si>
  <si>
    <t>MP10-7213</t>
  </si>
  <si>
    <t>AMAZON,AMAZONDS,BBBDROP,BLK01,CSNSTORES,DESINC,HDDS,HOUZZ,JCPENNEY01,KOHLDSN,MACY02,OLLIIX,OVERSTOCK01,TGTDVS,Zulily</t>
  </si>
  <si>
    <t>MP10-7214</t>
  </si>
  <si>
    <t>AMAZONDS,BBBDROP,CSNSTORES,HDDS,JCPENNEY01,KOHLDSN,MACY02,NRTPORT,OLLIIX,OVERSTOCK01,TGTDVS,Zulily</t>
  </si>
  <si>
    <t>MP10-4669</t>
  </si>
  <si>
    <t>9/1/2017</t>
  </si>
  <si>
    <t>AMAZON,AMAZONDS,ASHFURNDS,BBBDROP,BLK01,CASTLEGATE,CSNSTORES,HDDS,HOUZZ,JCPENNEY01,KOHLDSN,LAMPDS,MACY02,NEBFUR01,NRTPORT,OLLIIX,OVERSCONSIGN,OVERSTOCK01,TGTDVS,WALMARTDS,ZOLA,Zulily</t>
  </si>
  <si>
    <t>MP10-4670</t>
  </si>
  <si>
    <t>AMAZON,AMAZONDS,BBBDROP,BLK01,CSNSTORES,FINGERHUTDS,HDDS,JCPENNEY01,KOHLDSN,MACY02,NEBFUR01,NRTPORT,OLLIIX,OVERSTOCK01,TGTDVS,WALMARTDS,Zulily</t>
  </si>
  <si>
    <t>MP10-4671</t>
  </si>
  <si>
    <t>AMAZONDS,BLK01,CSNSTORES,FINGERHUTDS,HDDS,JCPENNEY01,KIRKLANDDS,KOHLDSN,MACY02,NEBFUR01,OLLIIX,OVERSTOCK01,TGTDVS,WALMARTDS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</si>
  <si>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</si>
  <si>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</si>
  <si>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</si>
  <si>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</si>
  <si>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</si>
  <si>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</si>
  <si>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</si>
  <si>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ASHFURNDS,BBBDROP,BEALLSDS,BLK01,CASTLEGATE,CSNSTORES,FINGERHUTDS,HSNDS,JCPENNEY01,KIRKLANDDS,KOHLDSN,MACY02,OLLIIX,OVERSTOCK01,TGTDVS</t>
  </si>
  <si>
    <t>MP10-3323</t>
  </si>
  <si>
    <t>ASHFURNDS,BBBDROP,BEALLSDS,BLK01,CASTLEGATE,CSNSTORES,DESINC,FINGERHUTDS,HSNDS,JCPENNEY01,KIRKLANDDS,KOHLDSN,MACY02,NEBFUR01,OLLIIX,OVERSTOCK01,TGTDVS,ZOLA,Zulily</t>
  </si>
  <si>
    <t>MP10-3535</t>
  </si>
  <si>
    <t>Serendipity</t>
  </si>
  <si>
    <t>Desiree</t>
  </si>
  <si>
    <t>Cotton Percale Comforter Set</t>
  </si>
  <si>
    <t>Peach</t>
  </si>
  <si>
    <t>PF002628</t>
  </si>
  <si>
    <t>AMAZON,AMAZONDS,BBBDROP,CSNSTORES,DESINC,JCPENNEY01,KOHLDSN,MACY02,OLLIIX,OVERSTOCK01,TGTDVS</t>
  </si>
  <si>
    <t>MP10-3536</t>
  </si>
  <si>
    <t>AMAZON,AMAZONDS,BBBDROP,BLK01,CSNSTORES,DESINC,JCPENNEY01,KOHLDSN,MACY02,OLLIIX,OVERSTOCK01,TGTDVS</t>
  </si>
  <si>
    <t>MP10-3537</t>
  </si>
  <si>
    <t>AMAZON,AMAZONDS,BBBDROP,BEALLSDS,BLK01,CSNSTORES,DESINC,JCPENNEY01,KOHLDSN,MACY02,OLLIIX,OVERSTOCK01,TGTDVS,Zulily</t>
  </si>
  <si>
    <t>MP10-3538</t>
  </si>
  <si>
    <t>MP10-3539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</si>
  <si>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</si>
  <si>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</si>
  <si>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</si>
  <si>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</si>
  <si>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</si>
  <si>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</si>
  <si>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</si>
  <si>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AMAZON,AMAZONDS,BBBDROP,BLK01,CSNSTORES,DESINC,FINGERHUTDS,JCPENNEY01,KOHLDSN,MACY02,OLLIIX,OVERSTOCK01,TGTDVS,Zulily</t>
  </si>
  <si>
    <t>MP10-7715</t>
  </si>
  <si>
    <t>MP10-8199</t>
  </si>
  <si>
    <t>Taylor</t>
  </si>
  <si>
    <t>Bryn</t>
  </si>
  <si>
    <t>River</t>
  </si>
  <si>
    <t>PP001860;PF005952</t>
  </si>
  <si>
    <t>5/12/2023</t>
  </si>
  <si>
    <t>AMERSIGNDS,BLK01,CSNSTORES,DESINC,HDDS,JCPENNEY01,KIRKLANDDS,KOHLDSN,MACY02,NEBFUR01,OLLIIX,OVERSTOCK01,TGTDVS</t>
  </si>
  <si>
    <t>MP10-8200</t>
  </si>
  <si>
    <t>AMERSIGNDS,BLK01,CSNSTORES,HDDS,JCPENNEY01,KIRKLANDDS,KOHLDSN,MACY02,OLLIIX,OVERSTOCK01,TGTDVS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</si>
  <si>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</si>
  <si>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</si>
  <si>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</si>
  <si>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</si>
  <si>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</si>
  <si>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</si>
  <si>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ASHFURNDS,BBBDROP,BEALLSDS,BLK01,CSNSTORES,DESINC,HSNDS,JCPENNEY01,KOHLDSN,MACY02,OLLIIX,OVERSCONSIGN,OVERSTOCK01,TGTDVS</t>
  </si>
  <si>
    <t>MP10-932</t>
  </si>
  <si>
    <t>BBBDROP,BEALLSDS,BLK01,CASTLEGATE,CSNSTORES,DESINC,HSNDS,JCPENNEY01,KOHLDSN,MACY02,OLLIIX,OVERSCONSIGN,OVERSTOCK01,TGTDVS,WALMARTDS</t>
  </si>
  <si>
    <t>MP10-933</t>
  </si>
  <si>
    <t>AAFESDS,ASHFURNDS,BBBDROP,BLK01,CSNSTORES,HSNDS,JCPENNEY01,KOHLDSN,MACY02,OLLIIX,OVERSCONSIGN,OVERSTOCK01,TGTDVS</t>
  </si>
  <si>
    <t>MP10-7839</t>
  </si>
  <si>
    <t>Whitney</t>
  </si>
  <si>
    <t>Elaine</t>
  </si>
  <si>
    <t>Martha</t>
  </si>
  <si>
    <t>PP001732;PF005655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</si>
  <si>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</si>
  <si>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</si>
  <si>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</si>
  <si>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</si>
  <si>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</si>
  <si>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</si>
  <si>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</si>
  <si>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AMAZONDS,BBBDROP,BEALLSDS,BLK01,CSNSTORES,DESINC,FINGERHUTDS,HSNDS,JCPENNEY01,KIRKLANDDS,KOHLDSN,MACY02,OLLIIX,OVERSCONSIGN,OVERSTOCK01,TGTDVS,Zulily</t>
  </si>
  <si>
    <t>MP10-6304</t>
  </si>
  <si>
    <t>AAFESDS,AMAZONDS,BBBDROP,BEALLSDS,BLK01,CASTLEGATE,CSNSTORES,DESINC,FINGERHUTDS,HSNDS,JCPENNEY01,KIRKLANDDS,KOHLDSN,MACY02,OLLIIX,OVERSTOCK01,TGTDVS,Zulily</t>
  </si>
  <si>
    <t>MP10-8402</t>
  </si>
  <si>
    <t>Taupe/Blush</t>
  </si>
  <si>
    <t>PP001168;PF006212</t>
  </si>
  <si>
    <t>3/16/2024</t>
  </si>
  <si>
    <t>CSNSTORES,KIRKLANDDS,KOHLDSN,OVERSTOCK01,TGTDVS</t>
  </si>
  <si>
    <t>MP10-8403</t>
  </si>
  <si>
    <t>KIRKLANDDS,KOHLDSN,OVERSTOCK01,TGTDVS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</si>
  <si>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</si>
  <si>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</si>
  <si>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</si>
  <si>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</si>
  <si>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</si>
  <si>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</si>
  <si>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</si>
  <si>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12</t>
  </si>
  <si>
    <t>AMAZON,AMAZONDS,AMERSIGNDS,BBBDROP,BEALLSDS,BLK01,CASTLEGATE,CSNSTORES,HOUZZ,JCPENNEY01,KOHLDSN,NRTPORT,OLLIIX,OVERSCONSIGN,OVERSTOCK01,ROOMECOM,TGTDVS,WALMARTDS,Zulily</t>
  </si>
  <si>
    <t>4/26/2023</t>
  </si>
  <si>
    <t>MP10-4696</t>
  </si>
  <si>
    <t>AMAZON,AMAZONDS,AMERSIGNDS,BBBDROP,BEALLSDS,BLK01,CASTLEGATE,CSNSTORES,DESINC,JCPENNEY01,KOHLDSN,NRTPORT,OLLIIX,OVERSTOCK01,ROOMECOM,TGTDVS,WALMARTDS</t>
  </si>
  <si>
    <t>5/14/2023</t>
  </si>
  <si>
    <t>MP10-4697</t>
  </si>
  <si>
    <t>AMAZON,AMAZONDS,AMERSIGNDS,BBBDROP,BEALLSDS,BLK01,CSNSTORES,DESINC,JCPENNEY01,KOHLDSN,NRTPORT,OLLIIX,OVERSCONSIGN,OVERSTOCK01,TGTDVS,WALMARTDS</t>
  </si>
  <si>
    <t>MP10-2579</t>
  </si>
  <si>
    <t>PF003388;PP000381</t>
  </si>
  <si>
    <t>AMAZON,AMAZONDS,AMERSIGNDS,BBBDROP,BEALLSDS,BLK01,CSNSTORES,FINGERHUTDS,HDDS,JCPENNEY01,KOHLDSN,MACY02,NRTPORT,OLLIIX,OVERSCONSIGN,OVERSTOCK01,TGTDVS,WALMARTDS</t>
  </si>
  <si>
    <t>MP10-333</t>
  </si>
  <si>
    <t>AMAZON,AMAZONDS,AMERSIGNDS,BBBDROP,BEALLSDS,BLK01,CASTLEGATE,CSNSTORES,DESINC,FINGERHUTDS,HOUZZ,JCPENNEY01,KOHLDSN,MACY02,NRTPORT,OLLIIX,OVERSCONSIGN,OVERSTOCK01,TGTDVS,WALMARTDS</t>
  </si>
  <si>
    <t>MP10-334</t>
  </si>
  <si>
    <t>AMAZON,AMAZONDS,AMERSIGNDS,BBBDROP,BEALLSDS,BLK01,CASTLEGATE,CSNSTORES,FINGERHUTDS,HDDS,JCPENNEY01,KOHLDSN,MACY02,NRTPORT,OLLIIX,OVERSCONSIGN,OVERSTOCK01,ROOMECOM,TGTDVS,WALMARTDS</t>
  </si>
  <si>
    <t>2/19/2023</t>
  </si>
  <si>
    <t>MP10-335</t>
  </si>
  <si>
    <t>AMAZON,AMAZONDS,AMERSIGNDS,BBBDROP,BLK01,CSNSTORES,FINGERHUTDS,HDDS,HOUZZ,JCPENNEY01,KOHLDSN,MACY02,NRTPORT,OLLIIX,OVERSTOCK01,ROOMECOM,TGTDVS,WALMARTDS</t>
  </si>
  <si>
    <t>12/18/2022</t>
  </si>
  <si>
    <t>MP10-657</t>
  </si>
  <si>
    <t>Blue/Brown</t>
  </si>
  <si>
    <t>PF003389;PP000381</t>
  </si>
  <si>
    <t>AMAZON,AMAZONDS,AMERSIGNDS,BEALLSDS,BLK01,CSNSTORES,DESINC,FINGERHUTDS,HOUZZ,JCPENNEY01,KOHLDSN,MACY02,NRTPORT,OLLIIX,OVERSTOCK01,TGTDVS</t>
  </si>
  <si>
    <t>MP10-115</t>
  </si>
  <si>
    <t>AMAZON,AMAZONDS,AMERSIGNDS,BBBDROP,BEALLSDS,BLK01,CSNSTORES,DESINC,FINGERHUTDS,HSNDS,JCPENNEY01,KOHLDSN,MACY02,OLLIIX,OVERSCONSIGN,OVERSTOCK01,ROOMECOM,TGTDVS</t>
  </si>
  <si>
    <t>7/15/2018</t>
  </si>
  <si>
    <t>MP10-116</t>
  </si>
  <si>
    <t>AMAZON,AMAZONDS,AMERSIGNDS,BBBDROP,BLK01,CASTLEGATE,CSNSTORES,DESINC,FINGERHUTDS,HSNDS,JCPENNEY01,KOHLDSN,MACY02,OLLIIX,OVERSCONSIGN,OVERSTOCK01,ROOMECOM,TGTDVS</t>
  </si>
  <si>
    <t>MP10-117</t>
  </si>
  <si>
    <t>MP10-319</t>
  </si>
  <si>
    <t>PF003393;PP000381</t>
  </si>
  <si>
    <t>AMAZON,AMAZONDS,AMERSIGNDS,BBBDROP,BEALLSDS,BLK01,CSNSTORES,DESINC,FINGERHUTDS,JCPENNEY01,KOHLDSN,MACY02,NEBFUR01,NRTPORT,OLLIIX,OVERSTOCK01,TGTDVS</t>
  </si>
  <si>
    <t>MP10-320</t>
  </si>
  <si>
    <t>AMAZON,AMAZONDS,AMERSIGNDS,BBBDROP,BLK01,CSNSTORES,DESINC,FINGERHUTDS,JCPENNEY01,KOHLDSN,MACY02,NEBFUR01,NRTPORT,OLLIIX,OVERSTOCK01,TGTDVS</t>
  </si>
  <si>
    <t>MP10-321</t>
  </si>
  <si>
    <t>AMAZON,AMAZONDS,AMERSIGNDS,BBBDROP,BLK01,CSNSTORES,DESINC,FINGERHUTDS,JCPENNEY01,KOHLDSN,MACY02,NRTPORT,OLLIIX,OVERSTOCK01,TGTDVS</t>
  </si>
  <si>
    <t>MP10-8311</t>
  </si>
  <si>
    <t>PP001909;PF006091</t>
  </si>
  <si>
    <t>10/23/2024</t>
  </si>
  <si>
    <t>AMAZON,AMAZONDS,BLK01,CSNSTORES,JCPENNEY01,KOHLDSN,OLLIIX,OVERSTOCK01,TGTDVS</t>
  </si>
  <si>
    <t>MP10-8312</t>
  </si>
  <si>
    <t>MP10-8313</t>
  </si>
  <si>
    <t>MP10-1665</t>
  </si>
  <si>
    <t>Lavine</t>
  </si>
  <si>
    <t>Anouk</t>
  </si>
  <si>
    <t>Octavia</t>
  </si>
  <si>
    <t>PF002739;PP000441</t>
  </si>
  <si>
    <t>AMAZON,AMAZONDS,AMERSIGNDS,BBBDROP,BEALLSDS,BLK01,CASTLEGATE,CSNSTORES,FINGERHUTDS,JCPENNEY01,KOHLDSN,MACY02,OLLIIX,OVERSCONSIGN,OVERSTOCK01,ROOMECOM,TGTDVS,WALMARTDS</t>
  </si>
  <si>
    <t>MP10-1666</t>
  </si>
  <si>
    <t>AMAZON,AMAZONDS,AMERSIGNDS,BBBDROP,BEALLSDS,BLK01,CSNSTORES,HOUZZ,JCPENNEY01,KOHLDSN,MACY02,OLLIIX,OVERSCONSIGN,OVERSTOCK01,ROOMECOM,TGTDVS,Zulily</t>
  </si>
  <si>
    <t>3/8/2024</t>
  </si>
  <si>
    <t>MP10-1667</t>
  </si>
  <si>
    <t>AMAZON,AMAZONDS,AMERSIGNDS,BBBDROP,BEALLSDS,BLK01,CASTLEGATE,CSNSTORES,JCPENNEY01,KOHLDSN,MACY02,OLLIIX,OVERSTOCK01,ROOMECOM,TGTDVS</t>
  </si>
  <si>
    <t>1/9/2023</t>
  </si>
  <si>
    <t>MP10-7950</t>
  </si>
  <si>
    <t>Gold</t>
  </si>
  <si>
    <t>PP000441;PF005734</t>
  </si>
  <si>
    <t>Traditional|Transitional</t>
  </si>
  <si>
    <t>8/1/2022</t>
  </si>
  <si>
    <t>AMAZONDS,BLK01,CSNSTORES,KOHLDSN,MACY02,OLLIIX,OVERSTOCK01,TGTDVS</t>
  </si>
  <si>
    <t>MP10-7951</t>
  </si>
  <si>
    <t>AMAZONDS,BBBDROP,CSNSTORES,JCPENNEY01,KOHLDSN,MACY02,OLLIIX,OVERSTOCK01,TGTDVS</t>
  </si>
  <si>
    <t>MP10-4044</t>
  </si>
  <si>
    <t>PF002740</t>
  </si>
  <si>
    <t>AMAZON,AMAZONDS,BBBDROP,BLK01,CSNSTORES,FINGERHUTDS,JCPENNEY01,KOHLDSN,MACY02,OLLIIX,OVERSTOCK01,TGTDVS,WALMARTDS</t>
  </si>
  <si>
    <t>MP10-4045</t>
  </si>
  <si>
    <t>AMAZON,AMAZONDS,BBBDROP,BEALLSDS,BLK01,CSNSTORES,DESINC,FINGERHUTDS,JCPENNEY01,KOHLDSN,MACY02,OLLIIX,OVERSTOCK01,TGTDVS,WALMARTDS</t>
  </si>
  <si>
    <t>MP10-4046</t>
  </si>
  <si>
    <t>AMAZON,AMAZONDS,BLK01,CSNSTORES,JCPENNEY01,KOHLDSN,MACY02,OLLIIX,OVERSTOCK01,TGTDVS,WALMARTDS,Zulily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</si>
  <si>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</si>
  <si>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</si>
  <si>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</si>
  <si>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</si>
  <si>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</si>
  <si>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</si>
  <si>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</si>
  <si>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AMAZON,AMAZONDS,BBBDROP,BLK01,CSNSTORES,DESINC,FINGERHUTDS,JCPENNEY01,KOHLDSN,MACY02,OLLIIX,OVERSCONSIGN,OVERSTOCK01,TGTDVS,Zulily</t>
  </si>
  <si>
    <t>MP10-7205</t>
  </si>
  <si>
    <t>AMAZON,AMAZONDS,BBBDROP,BLK01,CSNSTORES,DESINC,FINGERHUTDS,HOUZZ,JCPENNEY01,KOHLDSN,MACY02,OLLIIX,OVERSCONSIGN,OVERSTOCK01,TGTDVS</t>
  </si>
  <si>
    <t>MP10-7206</t>
  </si>
  <si>
    <t>8/10/2020</t>
  </si>
  <si>
    <t>AMAZON,AMAZONDS,BBBDROP,BLK01,CSNSTORES,DESINC,JCPENNEY01,KOHLDSN,MACY02,NRTPORT,OLLIIX,OVERSCONSIGN,OVERSTOCK01,TGTDVS</t>
  </si>
  <si>
    <t>MP10-8437</t>
  </si>
  <si>
    <t>PP001528;PF006230</t>
  </si>
  <si>
    <t>MP10-8438</t>
  </si>
  <si>
    <t>MP10-8439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</si>
  <si>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</si>
  <si>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</si>
  <si>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</si>
  <si>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</si>
  <si>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</si>
  <si>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</si>
  <si>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</si>
  <si>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</si>
  <si>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</si>
  <si>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</si>
  <si>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AMAZON,AMAZONDS,BBBDROP,BLK01,CASTLEGATE,CSNSTORES,DESINC,JCPENNEY01,KOHLDSN,MACY02,OLLIIX,OVERSCONSIGN,OVERSTOCK01,ROOMECOM,TGTDVS</t>
  </si>
  <si>
    <t>10/4/2022</t>
  </si>
  <si>
    <t>12/12/2023</t>
  </si>
  <si>
    <t>MP10-5873</t>
  </si>
  <si>
    <t>3-Piece Tufted Cotton Chenille Medallion Comforter Set</t>
  </si>
  <si>
    <t>5/29/2018</t>
  </si>
  <si>
    <t>9/5/2024</t>
  </si>
  <si>
    <t>AMAZON,AMAZONDS,ASHFURNDS,BBBDROP,BEALLSDS,BLK01,CASTLEGATE,CSNSTORES,FINGERHUTDS,JCPENNEY01,KIRKLANDDS,KOHLDSN,MACY02,OLLIIX,OVERSCONSIGN,OVERSTOCK01,ROOMECOM,TGTDVS,Zulily</t>
  </si>
  <si>
    <t>MP10-5874</t>
  </si>
  <si>
    <t>AMAZON,AMAZONDS,ASHFURNDS,BBBDROP,BEALLSDS,BLK01,CASTLEGATE,CSNSTORES,FINGERHUTDS,HOUZZ,JCPENNEY01,KIRKLANDDS,KOHLDSN,MACY02,OLLIIX,OVERSCONSIGN,OVERSTOCK01,ROOMECOM,TGTDVS,WALMARTDS,Zulily</t>
  </si>
  <si>
    <t>12/16/2022</t>
  </si>
  <si>
    <t>MP10-5877</t>
  </si>
  <si>
    <t>PF004301;PP000898</t>
  </si>
  <si>
    <t>8/15/2024</t>
  </si>
  <si>
    <t>AMAZON,AMAZONDS,ASHFURNDS,BBBDROP,BEALLSDS,BLK01,CSNSTORES,FINGERHUTDS,HOUZZ,JCPENNEY01,KOHLDSN,MACY02,NRTPORT,OLLIIX,OVERSCONSIGN,OVERSTOCK01,TGTDVS,Zulily</t>
  </si>
  <si>
    <t>MP10-5878</t>
  </si>
  <si>
    <t>AMAZON,AMAZONDS,ASHFURNDS,BBBDROP,BLK01,CSNSTORES,DESINC,HOUZZ,HSNDS,JCPENNEY01,KOHLDSN,MACY02,OLLIIX,OVERSTOCK01,TGTDVS,Zulily</t>
  </si>
  <si>
    <t>MP10-5881</t>
  </si>
  <si>
    <t>PF004302;PP000898</t>
  </si>
  <si>
    <t>AMAZON,AMAZONDS,ASHFURNDS,BBBDROP,BLK01,CSNSTORES,FINGERHUTDS,HSNDS,JCPENNEY01,KIRKLANDDS,KOHLDSN,MACY02,OLLIIX,OVERSTOCK01,TGTDVS,Zulily</t>
  </si>
  <si>
    <t>MP10-5882</t>
  </si>
  <si>
    <t>AMAZON,AMAZONDS,ASHFURNDS,BBBDROP,BEALLSDS,BLK01,CASTLEGATE,CSNSTORES,FINGERHUTDS,HSNDS,JCPENNEY01,KIRKLANDDS,KOHLDSN,MACY02,OLLIIX,OVERSTOCK01,TGTDVS</t>
  </si>
  <si>
    <t>MP10-7114</t>
  </si>
  <si>
    <t>Tufted Cotton Chenille Medallion Comforter Set</t>
  </si>
  <si>
    <t>PP000898;PF005042</t>
  </si>
  <si>
    <t>3/10/2020</t>
  </si>
  <si>
    <t>AMAZON,AMAZONDS,BBBDROP,BLK01,CSNSTORES,HDDS,HSNDS,JCPENNEY01,KOHLDSN,OLLIIX,OVERSTOCK01,TGTDVS,Zulily</t>
  </si>
  <si>
    <t>MP10-7115</t>
  </si>
  <si>
    <t>AMAZON,AMAZONDS,ASHFURNDS,BLK01,CSNSTORES,HDDS,HSNDS,JCPENNEY01,KOHLDSN,OLLIIX,OVERSTOCK01,TGTDVS,Zulily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</si>
  <si>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</si>
  <si>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</si>
  <si>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</si>
  <si>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</si>
  <si>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</si>
  <si>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</si>
  <si>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</si>
  <si>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7/22/2024</t>
  </si>
  <si>
    <t>AMAZON,AMAZONDS,AMERSIGNDS,ASHFURNDS,BBBDROP,BEALLSDS,BLK01,CSNSTORES,DESINC,HSNDS,JCPENNEY01,KIRKLANDDS,KOHLDSN,MACY02,NEBFUR01,OLLIIX,OVERSTOCK01,ROOMECOM,TGTDVS,ZOLA,Zulily</t>
  </si>
  <si>
    <t>MP10-6016</t>
  </si>
  <si>
    <t>AMAZON,AMAZONDS,AMERSIGNDS,ASHFURNDS,BBBDROP,BLK01,CSNSTORES,FINGERHUTDS,JCPENNEY01,KOHLDSN,MACY02,OLLIIX,OVERSCONSIGN,OVERSTOCK01,ROOMECOM,TGTDVS,WALMARTDS,ZOLA</t>
  </si>
  <si>
    <t>6/27/2023</t>
  </si>
  <si>
    <t>MP10-7102</t>
  </si>
  <si>
    <t>3 piece Tufted Cotton Chenille Damask Comforter Set</t>
  </si>
  <si>
    <t>PP000957;PF005045</t>
  </si>
  <si>
    <t>3/12/2020</t>
  </si>
  <si>
    <t>8/5/2024</t>
  </si>
  <si>
    <t>AMAZON,AMAZONDS,BBBDROP,BLK01,CASTLEGATE,CSNSTORES,HDDS,JCPENNEY01,KOHLDSN,OLLIIX,OVERSCONSIGN,OVERSTOCK01,TGTDVS,ZOLA,Zulily</t>
  </si>
  <si>
    <t>MP10-7103</t>
  </si>
  <si>
    <t>8/12/2024</t>
  </si>
  <si>
    <t>AMAZON,AMAZONDS,AMERSIGNDS,BBBDROP,BLK01,CSNSTORES,DESINC,HDDS,JCPENNEY01,KOHLDSN,OLLIIX,OVERSCONSIGN,OVERSTOCK01,TGTDVS,ZOLA,Zulily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</si>
  <si>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</si>
  <si>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</si>
  <si>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</si>
  <si>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</si>
  <si>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</si>
  <si>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</si>
  <si>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</si>
  <si>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AMERSIGNDS,ASHFURNDS,BBBDROP,BLK01,CASTLEGATE,CSNSTORES,DESINC,HSNDS,JCPENNEY01,KOHLDSN,MACY02,OLLIIX,OVERSTOCK01,TGTDVS,Zulily</t>
  </si>
  <si>
    <t>MP10-6160</t>
  </si>
  <si>
    <t>AMERSIGNDS,BBBDROP,BEALLSDS,BLK01,CSNSTORES,DESINC,HSNDS,JCPENNEY01,KIRKLANDDS,KOHLDSN,MACY02,OLLIIX,OVERSCONSIGN,OVERSTOCK01,TGTDVS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</si>
  <si>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</si>
  <si>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</si>
  <si>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</si>
  <si>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</si>
  <si>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</si>
  <si>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</si>
  <si>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</si>
  <si>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AMAZON,AMAZONDS,BBBDROP,BLK01,CSNSTORES,HOUZZ,HSNDS,JCPENNEY01,KIRKLANDDS,KOHLDSN,MACY02,OLLIIX,OVERSCONSIGN,OVERSTOCK01,TGTDVS</t>
  </si>
  <si>
    <t>MP10-6222</t>
  </si>
  <si>
    <t>AMAZON,AMAZONDS,AMERSIGNDS,BBBDROP,BLK01,CSNSTORES,HSNDS,JCPENNEY01,KIRKLANDDS,KOHLDSN,MACY02,OLLIIX,OVERSTOCK01,TGTDVS,Zulily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</si>
  <si>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</si>
  <si>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</si>
  <si>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</si>
  <si>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</si>
  <si>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</si>
  <si>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</si>
  <si>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</si>
  <si>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</si>
  <si>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MP10-8368</t>
  </si>
  <si>
    <t>1/23/2024</t>
  </si>
  <si>
    <t>CSNSTORES,JCPENNEY01,KOHLDSN,OLLIIX,OVERSTOCK01,TGTDVS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</si>
  <si>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</si>
  <si>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</si>
  <si>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</si>
  <si>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</si>
  <si>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</si>
  <si>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</si>
  <si>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</si>
  <si>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</si>
  <si>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</si>
  <si>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</si>
  <si>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</si>
  <si>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</si>
  <si>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</si>
  <si>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</si>
  <si>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</si>
  <si>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</si>
  <si>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</si>
  <si>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</si>
  <si>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MP10-8398</t>
  </si>
  <si>
    <t>MP10-8395</t>
  </si>
  <si>
    <t>PP001947;PF006205</t>
  </si>
  <si>
    <t>MP10-8396</t>
  </si>
  <si>
    <t>KOHLDSN,NRTPORT,OVERSTOCK01,TGTDVS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</si>
  <si>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</si>
  <si>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</si>
  <si>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</si>
  <si>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</si>
  <si>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</si>
  <si>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</si>
  <si>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</si>
  <si>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AMAZON,BLK01,CSNSTORES,DESINC,JCPENNEY01,KIRKLANDDS,KOHLDSN,OVERSTOCK01,TGTDVS</t>
  </si>
  <si>
    <t>MP10-8304</t>
  </si>
  <si>
    <t>10/27/2023</t>
  </si>
  <si>
    <t>BLK01,CSNSTORES,JCPENNEY01,KIRKLANDDS,KOHLDSN,OVERSTOCK01,TGTDVS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</si>
  <si>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</si>
  <si>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</si>
  <si>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</si>
  <si>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</si>
  <si>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</si>
  <si>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</si>
  <si>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</si>
  <si>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AMAZON,AMAZONDS,ASHFURNDS,BBBDROP,BLK01,CSNSTORES,FINGERHUTDS,HOUZZ,JCPENNEY01,KIRKLANDDS,KOHLDSN,MACY02,OLLIIX,OVERSTOCK01,TGTDVS,ZOLA,Zulily</t>
  </si>
  <si>
    <t>MP10-5625</t>
  </si>
  <si>
    <t>AMAZON,AMERSIGNDS,BBBDROP,BEALLSDS,BLK01,CSNSTORES,DESINC,FINGERHUTDS,JCPENNEY01,KOHLDSN,MACY02,OLLIIX,OVERSCONSIGN,OVERSTOCK01,TGTDVS,Zulily</t>
  </si>
  <si>
    <t>MP10-5860</t>
  </si>
  <si>
    <t>Daisi</t>
  </si>
  <si>
    <t>Sula</t>
  </si>
  <si>
    <t>Cotton Comforter Set</t>
  </si>
  <si>
    <t>PF004277;PP000891</t>
  </si>
  <si>
    <t>ASHFURNDS,BBBDROP,BLK01,CASTLEGATE,CSNSTORES,JCPENNEY01,KOHLDSN,MACY02,NEBFUR01,OLLIIX,OVERSCONSIGN,OVERSTOCK01,TGTDVS,ZOLA,Zulily</t>
  </si>
  <si>
    <t>MP10-7355</t>
  </si>
  <si>
    <t>Margot</t>
  </si>
  <si>
    <t>Luna</t>
  </si>
  <si>
    <t>3 Piece Cotton Comforter Set</t>
  </si>
  <si>
    <t>PP001599;PF005369</t>
  </si>
  <si>
    <t>5/27/2021</t>
  </si>
  <si>
    <t>AMAZON,AMAZONDS,BBBDROP,BLK01,CSNSTORES,FINGERHUTDS,JCPENNEY01,KOHLDSN,MACY02,OLLIIX,OVERSTOCK01,TGTDVS,ZOLA,Zulily</t>
  </si>
  <si>
    <t>MP10-7356</t>
  </si>
  <si>
    <t>AMAZON,AMAZONDS,BBBDROP,BLK01,CSNSTORES,DESINC,FINGERHUTDS,HOUZZ,JCPENNEY01,KOHLDSN,MACY02,OLLIIX,OVERSTOCK01,TGTDVS,ZOLA,Zulily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</si>
  <si>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</si>
  <si>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</si>
  <si>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</si>
  <si>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</si>
  <si>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</si>
  <si>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</si>
  <si>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</si>
  <si>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1/25/2024</t>
  </si>
  <si>
    <t>AMAZON,BLK01,CSNSTORES,KIRKLANDDS,KOHLDSN,OLLIIX,OVERSTOCK01,TGTDVS</t>
  </si>
  <si>
    <t>MP10-8317</t>
  </si>
  <si>
    <t>2/8/2024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</si>
  <si>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</si>
  <si>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</si>
  <si>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</si>
  <si>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</si>
  <si>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</si>
  <si>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</si>
  <si>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</si>
  <si>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BLK01,DESINC,TGTDVS</t>
  </si>
  <si>
    <t>MP10-8376</t>
  </si>
  <si>
    <t>BLK01,CSNSTORES,KOHLDSN,OLLIIX,TGTDVS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</si>
  <si>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</si>
  <si>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</si>
  <si>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</si>
  <si>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</si>
  <si>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</si>
  <si>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</si>
  <si>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</si>
  <si>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AMAZON,AMAZONDS,BBBDROP,BLK01,CSNSTORES,FINGERHUTDS,JCPENNEY01,KIRKLANDDS,KOHLDSN,MACY02,OLLIIX,OVERSCONSIGN,OVERSTOCK01,TGTDVS</t>
  </si>
  <si>
    <t>MP10-5988</t>
  </si>
  <si>
    <t>AMAZON,AMAZONDS,AMERSIGNDS,BBBDROP,BLK01,CSNSTORES,FINGERHUTDS,JCPENNEY01,KIRKLANDDS,KOHLDSN,MACY02,OLLIIX,OVERSTOCK01,TGTDVS,ZOLA,Zulily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</si>
  <si>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</si>
  <si>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</si>
  <si>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</si>
  <si>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</si>
  <si>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</si>
  <si>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</si>
  <si>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</si>
  <si>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</si>
  <si>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BBBDROP,BLK01,CASTLEGATE,CSNSTORES,DESINC,JCPENNEY01,KOHLDSN,MACY02,OLLIIX,OVERSTOCK01,TGTDVS</t>
  </si>
  <si>
    <t>MP10-7824</t>
  </si>
  <si>
    <t>BBBDROP,BLK01,CSNSTORES,HOUZZ,JCPENNEY01,KOHLDSN,MACY02,OLLIIX,OVERSTOCK01,TGTDVS,Zulily</t>
  </si>
  <si>
    <t>MP10-6392</t>
  </si>
  <si>
    <t>Warm Grey/White</t>
  </si>
  <si>
    <t>PP001234;PF004710</t>
  </si>
  <si>
    <t>6/5/2019</t>
  </si>
  <si>
    <t>AMERSIGNDS,ASHFURNDS,BBBDROP,BLK01,CSNSTORES,DESINC,FINGERHUTDS,JCPENNEY01,KOHLDSN,MACY02,OLLIIX,OVERSTOCK01,TGTDVS,Zulily</t>
  </si>
  <si>
    <t>MP10-6393</t>
  </si>
  <si>
    <t>AMERSIGNDS,BBBDROP,BLK01,CSNSTORES,DESINC,FINGERHUTDS,JCPENNEY01,KOHLDSN,MACY02,OLLIIX,OVERSTOCK01,TGTDVS,Zulily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</si>
  <si>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</si>
  <si>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</si>
  <si>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</si>
  <si>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</si>
  <si>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</si>
  <si>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</si>
  <si>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</si>
  <si>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AMAZON,AMAZONDS,BBBDROP,BLK01,CSNSTORES,FINGERHUTDS,HDDS,JCPENNEY01,KIRKLANDDS,KOHLDSN,MACY02,OLLIIX,OVERSCONSIGN,OVERSTOCK01,TGTDVS,Zulily</t>
  </si>
  <si>
    <t>MP10-7141</t>
  </si>
  <si>
    <t>7/12/2024</t>
  </si>
  <si>
    <t>AMAZON,AMAZONDS,AMERSIGNDS,ASHFURNDS,BBBDROP,BLK01,CASTLEGATE,CSNSTORES,DESINC,FINGERHUTDS,HDDS,JCPENNEY01,KIRKLANDDS,KOHLDSN,MACY02,OLLIIX,OVERSTOCK01,TGTDVS,Zulily</t>
  </si>
  <si>
    <t>MP13-3303</t>
  </si>
  <si>
    <t>COVERLET&amp;BEDSPR</t>
  </si>
  <si>
    <t>Coverlet Mini Set</t>
  </si>
  <si>
    <t>Harper</t>
  </si>
  <si>
    <t>Emery</t>
  </si>
  <si>
    <t>Mercer</t>
  </si>
  <si>
    <t>3 Piece Velvet Quilt Set</t>
  </si>
  <si>
    <t>PF002596</t>
  </si>
  <si>
    <t>AAFESDS,AMAZON,AMAZONDS,BBBDROP,BLK01,CSNSTORES,DESINC,JCPENNEY01,KOHLDSN,MACY02,OLLIIX,OVERSCONSIGN,OVERSTOCK01,ROOMECOM,TGTDVS</t>
  </si>
  <si>
    <t>MP13-3304</t>
  </si>
  <si>
    <t>4/16/2021</t>
  </si>
  <si>
    <t>MP13-6466</t>
  </si>
  <si>
    <t>PF004509</t>
  </si>
  <si>
    <t>7/14/2019</t>
  </si>
  <si>
    <t>AMAZON,AMAZONDS,BBBDROP,BLK01,CSNSTORES,DESINC,FINGERHUTDS,HOUZZ,JCPENNEY01,KOHLDSN,MACY02,NEBFUR01,OLLIIX,OVERSCONSIGN,OVERSTOCK01,ROOMECOM,TGTDVS</t>
  </si>
  <si>
    <t>MP13-6467</t>
  </si>
  <si>
    <t>AMAZON,AMAZONDS,BBBDROP,BLK01,CSNSTORES,FINGERHUTDS,JCPENNEY01,KOHLDSN,MACY02,NEBFUR01,OLLIIX,OVERSCONSIGN,OVERSTOCK01,ROOMECOM,TGTDVS,Zulily</t>
  </si>
  <si>
    <t>5/13/2021</t>
  </si>
  <si>
    <t>MP13-4611</t>
  </si>
  <si>
    <t>PF002599</t>
  </si>
  <si>
    <t>6/29/2017</t>
  </si>
  <si>
    <t>AAFESDS,AMAZON,AMAZONDS,BBBDROP,BEALLSDS,BLK01,CASTLEGATE,CSNSTORES,DESINC,HSNDS,JCPENNEY01,KOHLDSN,LAMPDS,MACY02,NRTPORT,OLLIIX,OVERSTOCK01,ROOMECOM,TGTDVS,ZOLA,Zulily</t>
  </si>
  <si>
    <t>MP13-4612</t>
  </si>
  <si>
    <t>AMAZON,AMAZONDS,AMERSIGNDS,BBBDROP,BEALLSDS,BLK01,CASTLEGATE,CSNSTORES,DESINC,FINGERHUTDS,HOUZZ,HSNDS,JCPENNEY01,KOHLDSN,LAMPDS,MACY02,NRTPORT,OLLIIX,OVERSCONSIGN,OVERSTOCK01,ROOMECOM,TGTDVS,ZOLA,Zulily</t>
  </si>
  <si>
    <t>4/1/2021</t>
  </si>
  <si>
    <t>MP13-3307</t>
  </si>
  <si>
    <t>PF002598</t>
  </si>
  <si>
    <t>AMAZON,AMAZONDS,BLK01,CSNSTORES,FINGERHUTDS,JCPENNEY01,KOHLDSN,MACY02,NRTPORT,OLLIIX,OVERSCONSIGN,OVERSTOCK01,ROOMECOM,TGTDVS,ZOLA,Zulily</t>
  </si>
  <si>
    <t>5/28/2021</t>
  </si>
  <si>
    <t>MP13-3308</t>
  </si>
  <si>
    <t>AMAZON,AMAZONDS,BLK01,CSNSTORES,FINGERHUTDS,JCPENNEY01,KOHLDSN,LAMPDS,MACY02,OLLIIX,OVERSTOCK01,ROOMECOM,TGTDVS,ZOLA,Zulily</t>
  </si>
  <si>
    <t>8/18/2022</t>
  </si>
  <si>
    <t>MP13-3301</t>
  </si>
  <si>
    <t>PF002595</t>
  </si>
  <si>
    <t>AAFESDS,AMAZON,AMAZONDS,ASHFURNDS,BBBDROP,BLK01,CSNSTORES,DESINC,FINGERHUTDS,JCPENNEY01,KOHLDSN,MACY02,OLLIIX,OVERSCONSIGN,OVERSTOCK01,ROOMECOM,TGTDVS,Zulily</t>
  </si>
  <si>
    <t>MP13-3302</t>
  </si>
  <si>
    <t>AMAZON,AMAZONDS,ASHFURNDS,BBBDROP,BLK01,CSNSTORES,FINGERHUTDS,HOUZZ,JCPENNEY01,KIRKLANDDS,KOHLDSN,MACY02,OLLIIX,OVERSCONSIGN,OVERSTOCK01,ROOMECOM,TGTDVS,ZOLA,Zulily</t>
  </si>
  <si>
    <t>MP13-8009</t>
  </si>
  <si>
    <t>Mustard</t>
  </si>
  <si>
    <t>PP001790;PF005759</t>
  </si>
  <si>
    <t>8/29/2022</t>
  </si>
  <si>
    <t>AMAZONDS,BLK01,CSNSTORES,JCPENNEY01,KOHLDSN,MACY02,OLLIIX,OVERSTOCK01,TGTDVS</t>
  </si>
  <si>
    <t>MP13-8010</t>
  </si>
  <si>
    <t>AMAZONDS,BLK01,CSNSTORES,JCPENNEY01,KOHLDSN,MACY02,NRTPORT,OLLIIX,OVERSCONSIGN,OVERSTOCK01,TGTDVS</t>
  </si>
  <si>
    <t>MP13-8007</t>
  </si>
  <si>
    <t>Rust</t>
  </si>
  <si>
    <t>PP001790;PF005758</t>
  </si>
  <si>
    <t>AAFESDS,AMAZONDS,BBBDROP,BLK01,CSNSTORES,JCPENNEY01,KOHLDSN,MACY02,OLLIIX,OVERSTOCK01,TGTDVS,Zulily</t>
  </si>
  <si>
    <t>MP13-8008</t>
  </si>
  <si>
    <t>AMAZONDS,BLK01,CSNSTORES,DESINC,JCPENNEY01,KOHLDSN,MACY02,OLLIIX,OVERSCONSIGN,OVERSTOCK01,TGTDVS,Zulily</t>
  </si>
  <si>
    <t>MP13-3305</t>
  </si>
  <si>
    <t>PF002597</t>
  </si>
  <si>
    <t>AMAZON,BLK01,CSNSTORES,DESINC,FINGERHUTDS,JCPENNEY01,KOHLDSN,MACY02,OLLIIX,OVERSTOCK01,TGTDVS</t>
  </si>
  <si>
    <t>MP13-3306</t>
  </si>
  <si>
    <t>AMAZON,AMAZONDS,ASHFURNDS,BBBDROP,BLK01,CASTLEGATE,CSNSTORES,FINGERHUTDS,JCPENNEY01,KOHLDSN,MACY02,OLLIIX,OVERSCONSIGN,OVERSTOCK01,TGTDVS,WALMARTDS,ZOLA,Zulily</t>
  </si>
  <si>
    <t>MP13-628</t>
  </si>
  <si>
    <t>Keaton</t>
  </si>
  <si>
    <t>Jaxson</t>
  </si>
  <si>
    <t>Mitchell</t>
  </si>
  <si>
    <t>2 Piece Quilt Set</t>
  </si>
  <si>
    <t>Cream</t>
  </si>
  <si>
    <t>PF003410</t>
  </si>
  <si>
    <t>Farm House|Transitional</t>
  </si>
  <si>
    <t>AMERSIGNDS,BIGLOTSDS,CSNSTORES,HOUZZ,JCPENNEY01,KOHLDSN,MACY02,OLLIIX,OVERSTOCK01,TGTDVS,WALMARTDS</t>
  </si>
  <si>
    <t>MP13-629</t>
  </si>
  <si>
    <t>3 Piece Quilt Set</t>
  </si>
  <si>
    <t>AMERSIGNDS,BBBDROP,BIGLOTSDS,CASTLEGATE,CSNSTORES,DESINC,HOUZZ,JCPENNEY01,KOHLDSN,MACY02,OLLIIX,OVERSCONSIGN,OVERSTOCK01,ROOMECOM,TGTDVS,WALMARTDS,Zulily</t>
  </si>
  <si>
    <t>MP13-630</t>
  </si>
  <si>
    <t>AMERSIGNDS,ASHFURNDS,BBBDROP,BIGLOTSDS,CSNSTORES,HOUZZ,JCPENNEY01,KOHLDSN,MACY02,OLLIIX,OVERSCONSIGN,OVERSTOCK01,ROOMECOM,TGTDVS,WALMARTDS,Zulily</t>
  </si>
  <si>
    <t>8/14/2018</t>
  </si>
  <si>
    <t>MP13-625</t>
  </si>
  <si>
    <t>PF003409</t>
  </si>
  <si>
    <t>AMERSIGNDS,ASHFURNDS,BBBDROP,BIGLOTSDS,BLK01,CSNSTORES,DESINC,JCPENNEY01,KOHLDSN,MACY02,NEBFUR01,OLLIIX,OVERSTOCK01,TGTDVS,WALMARTDS,Zulily</t>
  </si>
  <si>
    <t>MP13-626</t>
  </si>
  <si>
    <t>AMERSIGNDS,ASHFURNDS,BBBDROP,BLK01,CSNSTORES,DESINC,HOUZZ,JCPENNEY01,KOHLDSN,MACY02,OLLIIX,OVERSCONSIGN,OVERSTOCK01,ROOMECOM,TGTDVS,WALMARTDS,Zulily</t>
  </si>
  <si>
    <t>MP13-627</t>
  </si>
  <si>
    <t>AMERSIGNDS,ASHFURNDS,BBBDROP,BIGLOTSDS,BLK01,CSNSTORES,HOUZZ,JCPENNEY01,KOHLDSN,MACY02,OLLIIX,OVERSTOCK01,ROOMECOM,TGTDVS,WALMARTDS,Zulily</t>
  </si>
  <si>
    <t>MP13-1237</t>
  </si>
  <si>
    <t>PF003411</t>
  </si>
  <si>
    <t>AMERSIGNDS,BBBDROP,BIGLOTSDS,BLK01,CSNSTORES,DESINC,JCPENNEY01,KOHLDSN,MACY02,OLLIIX,OVERSTOCK01,TGTDVS,Zulily</t>
  </si>
  <si>
    <t>MP13-1238</t>
  </si>
  <si>
    <t>AAFESDS,AMERSIGNDS,ASHFURNDS,BBBDROP,BIGLOTSDS,BLK01,CSNSTORES,JCPENNEY01,KOHLDSN,MACY02,OLLIIX,OVERSCONSIGN,OVERSTOCK01,ROOMECOM,TGTDVS,WALMARTDS,Zulily</t>
  </si>
  <si>
    <t>MP13-1239</t>
  </si>
  <si>
    <t>AMERSIGNDS,BBBDROP,BIGLOTSDS,BLK01,CASTLEGATE,CSNSTORES,HOUZZ,JCPENNEY01,KOHLDSN,MACY02,NEBFUR01,OLLIIX,OVERSCONSIGN,OVERSTOCK01,ROOMECOM,TGTDVS,WALMARTDS,Zulily</t>
  </si>
  <si>
    <t>MP13-6132</t>
  </si>
  <si>
    <t>PF004530</t>
  </si>
  <si>
    <t>1/4/2019</t>
  </si>
  <si>
    <t>ASHFURNDS,BBBDROP,BIGLOTSDS,BLK01,CSNSTORES,HSNDS,JCPENNEY01,KOHLDSN,MACY02,OLLIIX,OVERSCONSIGN,OVERSTOCK01,TGTDVS,WALMARTDS</t>
  </si>
  <si>
    <t>MP13-6133</t>
  </si>
  <si>
    <t>AAFESDS,ASHFURNDS,BBBDROP,BIGLOTSDS,BLK01,CSNSTORES,DESINC,HSNDS,JCPENNEY01,KOHLDSN,MACY02,OLLIIX,OVERSTOCK01,TGTDVS,Zulily</t>
  </si>
  <si>
    <t>MP13-6134</t>
  </si>
  <si>
    <t>ASHFURNDS,BBBDROP,BIGLOTSDS,BLK01,CASTLEGATE,CSNSTORES,JCPENNEY01,KOHLDSN,MACY02,NEBFUR01,OLLIIX,OVERSTOCK01,TGTDVS,Zulily</t>
  </si>
  <si>
    <t>MP13-3457</t>
  </si>
  <si>
    <t>PF003412</t>
  </si>
  <si>
    <t>AMERSIGNDS,ASHFURNDS,BBBDROP,BIGLOTSDS,BLK01,CASTLEGATE,CSNSTORES,HSNDS,JCPENNEY01,KOHLDSN,MACY02,OLLIIX,OVERSTOCK01,TGTDVS,WALMARTDS,Zulily</t>
  </si>
  <si>
    <t>MP13-3458</t>
  </si>
  <si>
    <t>9/11/2024</t>
  </si>
  <si>
    <t>AAFESDS,AMERSIGNDS,BBBDROP,BIGLOTSDS,BLK01,CSNSTORES,HSNDS,JCPENNEY01,KOHLDSN,MACY02,NRTPORT,OLLIIX,OVERSTOCK01,TGTDVS,WALMARTDS,Zulily</t>
  </si>
  <si>
    <t>MP13-3459</t>
  </si>
  <si>
    <t>ASHFURNDS,BBBDROP,BIGLOTSDS,BLK01,CSNSTORES,HSNDS,JCPENNEY01,KOHLDSN,MACY02,NEBFUR01,OLLIIX,OVERSCONSIGN,OVERSTOCK01,TGTDVS,WALMARTDS</t>
  </si>
  <si>
    <t>MP13-6115</t>
  </si>
  <si>
    <t>12/12/2018</t>
  </si>
  <si>
    <t>BEALLSDS,BIGLOTSDS,BLK01,CSNSTORES,HSNDS,JCPENNEY01,KOHLDSN,MACY02,OLLIIX,OVERSTOCK01,TGTDVS</t>
  </si>
  <si>
    <t>MP13-6116</t>
  </si>
  <si>
    <t>AAFESDS,BBBDROP,BEALLSDS,BIGLOTSDS,BLK01,CASTLEGATE,CSNSTORES,HSNDS,JCPENNEY01,KOHLDSN,MACY02,OLLIIX,OVERSTOCK01,TGTDVS,WALMARTDS,Zulily</t>
  </si>
  <si>
    <t>MP13-6117</t>
  </si>
  <si>
    <t>BBBDROP,BEALLSDS,BIGLOTSDS,BLK01,CSNSTORES,HSNDS,JCPENNEY01,KIRKLANDDS,KOHLDSN,MACY02,NRTPORT,OLLIIX,OVERSTOCK01,TGTDVS,WALMARTDS,Zulily</t>
  </si>
  <si>
    <t>MP13-1037</t>
  </si>
  <si>
    <t>Tuscany</t>
  </si>
  <si>
    <t>Marino</t>
  </si>
  <si>
    <t>Genoa</t>
  </si>
  <si>
    <t>3 Piece Reversible Scalloped Edge Quilt Set</t>
  </si>
  <si>
    <t>PF002701;PP000525</t>
  </si>
  <si>
    <t>AMAZON,AMAZONDS,BBBDROP,BEALLSDS,BIGLOTSDS,BLK01,CASTLEGATE,CSNSTORES,DESINC,FINGERHUTDS,HSNDS,JCPENNEY01,KOHLDSN,MACY02,NEBFUR01,OLLIIX,OVERSTOCK01,ROOMECOM,TGTDVS,WALMARTDS,ZOLA,Zulily</t>
  </si>
  <si>
    <t>9/15/2021</t>
  </si>
  <si>
    <t>MP13-1038</t>
  </si>
  <si>
    <t>AMAZON,AMAZONDS,BBBDROP,BEALLSDS,BIGLOTSDS,BLK01,CASTLEGATE,CSNSTORES,DESINC,FINGERHUTDS,HOUZZ,HSNDS,JCPENNEY01,KOHLDSN,MACY02,OLLIIX,OVERSCONSIGN,OVERSTOCK01,ROOMECOM,TGTDVS,ZOLA,Zulily</t>
  </si>
  <si>
    <t>MP13-1035</t>
  </si>
  <si>
    <t>PF002700;PP000525</t>
  </si>
  <si>
    <t>AMAZON,AMAZONDS,BBBDROP,BIGLOTSDS,BLK01,CASTLEGATE,CSNSTORES,DESINC,HSNDS,JCPENNEY01,KIRKLANDDS,KOHLDSN,MACY02,NEBFUR01,OLLIIX,OVERSCONSIGN,OVERSTOCK01,TGTDVS,ZOLA,Zulily</t>
  </si>
  <si>
    <t>MP13-1036</t>
  </si>
  <si>
    <t>AMAZON,AMAZONDS,BBBDROP,BIGLOTSDS,BLK01,CASTLEGATE,CSNSTORES,DESINC,FINGERHUTDS,HSNDS,JCPENNEY01,KIRKLANDDS,KOHLDSN,MACY02,NEBFUR01,OLLIIX,OVERSCONSIGN,OVERSTOCK01,ROOMECOM,TGTDVS,ZOLA,Zulily</t>
  </si>
  <si>
    <t>10/7/2021</t>
  </si>
  <si>
    <t>MP13-8245</t>
  </si>
  <si>
    <t>PF006016;PP001886</t>
  </si>
  <si>
    <t>7/4/2023</t>
  </si>
  <si>
    <t>AMAZON,AMAZONDS,BLK01,CSNSTORES,DESINC,HDDS,JCPENNEY01,KOHLDSN,MACY02,OLLIIX,OVERSTOCK01,TGTDVS</t>
  </si>
  <si>
    <t>MP13-8246</t>
  </si>
  <si>
    <t>AMAZON,AMAZONDS,BLK01,CSNSTORES,DESINC,HDDS,JCPENNEY01,KOHLDSN,MACY02,NRTPORT,OLLIIX,OVERSTOCK01,TGTDVS</t>
  </si>
  <si>
    <t>MP13-6121</t>
  </si>
  <si>
    <t>PP000525;PF004533</t>
  </si>
  <si>
    <t>AAFESDS,AMAZON,AMAZONDS,ASHFURNDS,BBBDROP,BEALLSDS,BIGLOTSDS,BLK01,CASTLEGATE,CSNSTORES,DESINC,FINGERHUTDS,HSNDS,JCPENNEY01,KOHLDSN,MACY02,OLLIIX,OVERSCONSIGN,OVERSTOCK01,TGTDVS,Zulily</t>
  </si>
  <si>
    <t>MP13-6122</t>
  </si>
  <si>
    <t>AMAZON,AMAZONDS,ASHFURNDS,BBBDROP,BEALLSDS,BIGLOTSDS,BLK01,CASTLEGATE,CSNSTORES,DESINC,FINGERHUTDS,HSNDS,JCPENNEY01,KOHLDSN,MACY02,OLLIIX,OVERSCONSIGN,OVERSTOCK01,TGTDVS,Zulily</t>
  </si>
  <si>
    <t>MP13-6119</t>
  </si>
  <si>
    <t>PF003552;PP000525</t>
  </si>
  <si>
    <t>AAFESDS,AMAZON,AMAZONDS,BBBDROP,BEALLSDS,BIGLOTSDS,BLK01,CASTLEGATE,CSNSTORES,FINGERHUTDS,HOUZZ,HSNDS,JCPENNEY01,KOHLDSN,MACY02,OLLIIX,OVERSCONSIGN,OVERSTOCK01,TGTDVS,Zulily</t>
  </si>
  <si>
    <t>MP13-6120</t>
  </si>
  <si>
    <t>AAFESDS,AMAZON,AMAZONDS,ASHFURNDS,BBBDROP,BEALLSDS,BIGLOTSDS,BLK01,CASTLEGATE,CSNSTORES,FINGERHUTDS,HOUZZ,HSNDS,JCPENNEY01,KOHLDSN,MACY02,OLLIIX,OVERSCONSIGN,OVERSTOCK01,TGTDVS,Zulily</t>
  </si>
  <si>
    <t>MP13-482</t>
  </si>
  <si>
    <t>Reversible Quilt Set</t>
  </si>
  <si>
    <t>PF002464;PP000488</t>
  </si>
  <si>
    <t>7/26/2024</t>
  </si>
  <si>
    <t>AMAZON,AMAZONDS,BBBDROP,BLK01,CSNSTORES,HDDS,JCPENNEY01,KOHLDSN,MACY02,OLLIIX,OVERSCONSIGN,OVERSTOCK01,TGTDVS,WALMARTDS,Zulily</t>
  </si>
  <si>
    <t>MP13-153</t>
  </si>
  <si>
    <t>AMAZON,AMAZONDS,BBBDROP,BLK01,CASTLEGATE,CSNSTORES,HDDS,HSNDS,JCPENNEY01,KOHLDSN,MACY02,NRTPORT,OLLIIX,OVERSCONSIGN,OVERSTOCK01,ROOMECOM,TGTDVS,Zulily</t>
  </si>
  <si>
    <t>2/20/2021</t>
  </si>
  <si>
    <t>MP13-154</t>
  </si>
  <si>
    <t>AMAZON,AMAZONDS,BBBDROP,BLK01,CASTLEGATE,CSNSTORES,DESINC,HDDS,HSNDS,JCPENNEY01,KOHLDSN,MACY02,OLLIIX,OVERSCONSIGN,OVERSTOCK01,ROOMECOM,TGTDVS,Zulily</t>
  </si>
  <si>
    <t>3/4/2021</t>
  </si>
  <si>
    <t>MP13-481</t>
  </si>
  <si>
    <t>PF002453;PP000488</t>
  </si>
  <si>
    <t>AMAZON,AMAZONDS,BLK01,CSNSTORES,DESINC,HDDS,JCPENNEY01,KOHLDSN,MACY02,NEBFUR01,NRTPORT,OLLIIX,OVERSCONSIGN,OVERSTOCK01,TGTDVS</t>
  </si>
  <si>
    <t>MP13-155</t>
  </si>
  <si>
    <t>AMAZON,AMAZONDS,ASHFURNDS,BBBDROP,BEALLSDS,BLK01,CSNSTORES,HDDS,HSNDS,JCPENNEY01,KOHLDSN,MACY02,NRTPORT,OLLIIX,OVERSTOCK01,ROOMECOM,TGTDVS,WALMARTDS,Zulily</t>
  </si>
  <si>
    <t>1/5/2021</t>
  </si>
  <si>
    <t>5/4/2021</t>
  </si>
  <si>
    <t>MP13-156</t>
  </si>
  <si>
    <t>AMAZON,AMAZONDS,ASHFURNDS,BBBDROP,BEALLSDS,BLK01,CSNSTORES,HSNDS,JCPENNEY01,KOHLDSN,MACY02,NEBFUR01,OLLIIX,OVERSCONSIGN,OVERSTOCK01,ROOMECOM,TGTDVS,Zulily</t>
  </si>
  <si>
    <t>8/11/2021</t>
  </si>
  <si>
    <t>MP13-480</t>
  </si>
  <si>
    <t>PF002442;PP000488</t>
  </si>
  <si>
    <t>AMAZON,AMAZONDS,BBBDROP,BLK01,CSNSTORES,DESINC,HDDS,HSNDS,JCPENNEY01,KOHLDSN,MACY02,NRTPORT,OLLIIX,OVERSTOCK01,ROOMECOM,TGTDVS</t>
  </si>
  <si>
    <t>2/23/2023</t>
  </si>
  <si>
    <t>MP13-149</t>
  </si>
  <si>
    <t>AMAZON,AMAZONDS,ASHFURNDS,BBBDROP,BEALLSDS,BLK01,CSNSTORES,DESINC,HDDS,HSNDS,JCPENNEY01,KOHLDSN,MACY02,NEBFUR01,NRTPORT,OLLIIX,OVERSCONSIGN,OVERSTOCK01,ROOMECOM,TGTDVS,Zulily</t>
  </si>
  <si>
    <t>MP13-150</t>
  </si>
  <si>
    <t>AMAZON,AMAZONDS,ASHFURNDS,BBBDROP,BEALLSDS,BLK01,CASTLEGATE,CSNSTORES,DESINC,HDDS,HOUZZ,HSNDS,JCPENNEY01,KOHLDSN,MACY02,NRTPORT,OLLIIX,OVERSCONSIGN,OVERSTOCK01,ROOMECOM,TGTDVS,Zulily</t>
  </si>
  <si>
    <t>8/13/2023</t>
  </si>
  <si>
    <t>MP13-8478</t>
  </si>
  <si>
    <t>3 Piece Reversible Quilt Set</t>
  </si>
  <si>
    <t>Balsam Green</t>
  </si>
  <si>
    <t>NEW</t>
  </si>
  <si>
    <t>PP000640</t>
  </si>
  <si>
    <t>MP13-2580</t>
  </si>
  <si>
    <t>PF002475;PP000488</t>
  </si>
  <si>
    <t>AMAZON,AMAZONDS,BEALLSDS,BLK01,CSNSTORES,DESINC,HDDS,HSNDS,JCPENNEY01,KOHLDSN,MACY02,NRTPORT,OLLIIX,OVERSTOCK01,TGTDVS,WALMARTDS,Zulily</t>
  </si>
  <si>
    <t>MP13-366</t>
  </si>
  <si>
    <t>AMAZONDS,BBBDROP,BLK01,CSNSTORES,DESINC,HDDS,JCPENNEY01,KOHLDSN,MACY02,OLLIIX,OVERSCONSIGN,OVERSTOCK01,TGTDVS,Zulily</t>
  </si>
  <si>
    <t>MP13-367</t>
  </si>
  <si>
    <t>AMAZON,AMAZONDS,BBBDROP,BLK01,CASTLEGATE,CSNSTORES,HDDS,HOUZZ,HSNDS,JCPENNEY01,KOHLDSN,MACY02,NRTPORT,OLLIIX,OVERSTOCK01,TGTDVS</t>
  </si>
  <si>
    <t>MP13-2581</t>
  </si>
  <si>
    <t>PF002400</t>
  </si>
  <si>
    <t>AMAZON,AMAZONDS,BBBDROP,BLK01,CSNSTORES,DESINC,HDDS,JCPENNEY01,KOHLDSN,MACY02,OLLIIX,OVERSCONSIGN,OVERSTOCK01,TGTDVS</t>
  </si>
  <si>
    <t>MP13-1369</t>
  </si>
  <si>
    <t>AMAZON,AMAZONDS,ASHFURNDS,BBBDROP,BEALLSDS,BLK01,CSNSTORES,DESINC,HDDS,JCPENNEY01,KOHLDSN,MACY02,OLLIIX,OVERSCONSIGN,OVERSTOCK01,TGTDVS</t>
  </si>
  <si>
    <t>MP13-1370</t>
  </si>
  <si>
    <t>AMAZON,AMAZONDS,ASHFURNDS,BEALLSDS,BLK01,CSNSTORES,DESINC,HDDS,JCPENNEY01,KOHLDSN,MACY02,NRTPORT,OLLIIX,OVERSCONSIGN,OVERSTOCK01,TGTDVS</t>
  </si>
  <si>
    <t>MP13-6486</t>
  </si>
  <si>
    <t>Mocha</t>
  </si>
  <si>
    <t>PP000488</t>
  </si>
  <si>
    <t>7/30/2019</t>
  </si>
  <si>
    <t>AMAZON,AMAZONDS,ASHFURNDS,BBBDROP,BEALLSDS,BLK01,CASTLEGATE,CSNSTORES,DESINC,HSNDS,JCPENNEY01,KOHLDSN,MACY02,NRTPORT,OLLIIX,OVERSTOCK01,TGTDVS,Zulily</t>
  </si>
  <si>
    <t>MP13-6487</t>
  </si>
  <si>
    <t>MP13-4972</t>
  </si>
  <si>
    <t>PF002402</t>
  </si>
  <si>
    <t>8/23/2017</t>
  </si>
  <si>
    <t>AMAZON,AMAZONDS,ASHFURNDS,BBBDROP,BLK01,CSNSTORES,FINGERHUTDS,HDDS,HSNDS,JCPENNEY01,KOHLDSN,MACY02,OLLIIX,OVERSTOCK01,TGTDVS,Zulily</t>
  </si>
  <si>
    <t>MP13-1686</t>
  </si>
  <si>
    <t>AMAZON,AMAZONDS,BBBDROP,BEALLSDS,BLK01,CSNSTORES,DESINC,HDDS,HOUZZ,HSNDS,JCPENNEY01,KOHLDSN,MACY02,OLLIIX,OVERSTOCK01,TGTDVS,Zulily</t>
  </si>
  <si>
    <t>MP13-1687</t>
  </si>
  <si>
    <t>AMAZON,BBBDROP,BEALLSDS,BLK01,CSNSTORES,DESINC,HDDS,HOUZZ,HSNDS,JCPENNEY01,KOHLDSN,MACY02,NRTPORT,OLLIIX,OVERSCONSIGN,OVERSTOCK01,TGTDVS,WALMARTDS,Zulily</t>
  </si>
  <si>
    <t>MP13-6149</t>
  </si>
  <si>
    <t>PP000488;PF004538</t>
  </si>
  <si>
    <t>1/20/2019</t>
  </si>
  <si>
    <t>AMAZON,AMAZONDS,BBBDROP,BEALLSDS,BLK01,CSNSTORES,DESINC,HDDS,HSNDS,JCPENNEY01,KOHLDSN,MACY02,OLLIIX,OVERSCONSIGN,OVERSTOCK01,TGTDVS,Zulily</t>
  </si>
  <si>
    <t>MP13-6150</t>
  </si>
  <si>
    <t>AMAZON,AMAZONDS,ASHFURNDS,BBBDROP,BEALLSDS,BLK01,CSNSTORES,HDDS,HSNDS,JCPENNEY01,KOHLDSN,MACY02,NRTPORT,OLLIIX,OVERSTOCK01,TGTDVS</t>
  </si>
  <si>
    <t>MP13-1387</t>
  </si>
  <si>
    <t>PF002486;PP000488</t>
  </si>
  <si>
    <t>AMAZON,AMAZONDS,BBBDROP,BLK01,CSNSTORES,DESINC,HDDS,JCPENNEY01,KOHLDSN,MACY02,OLLIIX,OVERSTOCK01,TGTDVS,Zulily</t>
  </si>
  <si>
    <t>MP13-1371</t>
  </si>
  <si>
    <t>AMAZON,AMAZONDS,ASHFURNDS,BBBDROP,BEALLSDS,BLK01,CASTLEGATE,CSNSTORES,DESINC,HDDS,JCPENNEY01,KOHLDSN,MACY02,OLLIIX,OVERSCONSIGN,OVERSTOCK01,TGTDVS,Zulily</t>
  </si>
  <si>
    <t>MP13-1372</t>
  </si>
  <si>
    <t>MP13-6840</t>
  </si>
  <si>
    <t>Tufted Cotton Chenille Medallion Fringe Coverlet Mini Set</t>
  </si>
  <si>
    <t>Casual|BOHO</t>
  </si>
  <si>
    <t>AMAZON,AMAZONDS,BBBDROP,BLK01,CSNSTORES,DESINC,HDDS,JCPENNEY01,KOHLDSN,MACY02,NRTPORT,OLLIIX,OVERSCONSIGN,OVERSTOCK01,ROOMECOM,TGTDVS</t>
  </si>
  <si>
    <t>10/3/2022</t>
  </si>
  <si>
    <t>3/8/2023</t>
  </si>
  <si>
    <t>MP13-5875</t>
  </si>
  <si>
    <t>AMAZON,AMAZONDS,ASHFURNDS,BBBDROP,BEALLSDS,BLK01,CASTLEGATE,CSNSTORES,DESINC,JCPENNEY01,KOHLDSN,MACY02,NEBFUR01,NRTPORT,OLLIIX,OVERSCONSIGN,OVERSTOCK01,ROOMECOM,TGTDVS,WALMARTDS,ZOLA,Zulily</t>
  </si>
  <si>
    <t>7/13/2023</t>
  </si>
  <si>
    <t>MP13-5876</t>
  </si>
  <si>
    <t>AMAZON,AMAZONDS,BBBDROP,BLK01,CASTLEGATE,CSNSTORES,DESINC,HSNDS,JCPENNEY01,KOHLDSN,MACY02,NRTPORT,OLLIIX,OVERSTOCK01,ROOMECOM,TGTDVS,ZOLA,Zulily</t>
  </si>
  <si>
    <t>3/7/2023</t>
  </si>
  <si>
    <t>MP13-5879</t>
  </si>
  <si>
    <t>AMAZON,AMAZONDS,BBBDROP,BEALLSDS,BLK01,CSNSTORES,DESINC,JCPENNEY01,KOHLDSN,MACY02,NRTPORT,OLLIIX,OVERSCONSIGN,OVERSTOCK01,TGTDVS,WALMARTDS,Zulily</t>
  </si>
  <si>
    <t>MP13-5880</t>
  </si>
  <si>
    <t>MP13-7118</t>
  </si>
  <si>
    <t>3/17/2020</t>
  </si>
  <si>
    <t>7/25/2024</t>
  </si>
  <si>
    <t>AMAZON,AMAZONDS,BBBDROP,BLK01,CASTLEGATE,CSNSTORES,JCPENNEY01,KOHLDSN,MACY02,NRTPORT,OLLIIX,OVERSCONSIGN,OVERSTOCK01,TGTDVS,Zulily</t>
  </si>
  <si>
    <t>MP13-7119</t>
  </si>
  <si>
    <t>AMAZON,AMAZONDS,BBBDROP,BLK01,CASTLEGATE,CSNSTORES,DESINC,HSNDS,JCPENNEY01,KOHLDSN,MACY02,NRTPORT,OLLIIX,OVERSCONSIGN,OVERSTOCK01,TGTDVS,Zulily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</si>
  <si>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</si>
  <si>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</si>
  <si>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</si>
  <si>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</si>
  <si>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AMAZON,AMAZONDS,CSNSTORES,JCPENNEY01,KOHLDSN,MACY02,NEBFUR01,OLLIIX,OVERSTOCK01,TGTDVS</t>
  </si>
  <si>
    <t>MP13-8133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</si>
  <si>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</si>
  <si>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</si>
  <si>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</si>
  <si>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</si>
  <si>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</si>
  <si>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</si>
  <si>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</si>
  <si>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AMAZON,AMAZONDS,BLK01,CSNSTORES,HDDS,JCPENNEY01,KOHLDSN,MACY02,OLLIIX,OVERSTOCK01,TGTDVS</t>
  </si>
  <si>
    <t>MP13-8153</t>
  </si>
  <si>
    <t>PP001837;PF005892</t>
  </si>
  <si>
    <t>MP13-8154</t>
  </si>
  <si>
    <t>AMAZON,BLK01,CSNSTORES,DESINC,HDDS,JCPENNEY01,KOHLDSN,MACY02,OLLIIX,OVERSTOCK01,TGTDVS,Zulily</t>
  </si>
  <si>
    <t>MP13-8468</t>
  </si>
  <si>
    <t>3 Piece Printed Microfiber Seersucker Quilt Set</t>
  </si>
  <si>
    <t>MP13-8469</t>
  </si>
  <si>
    <t>MP13-8112</t>
  </si>
  <si>
    <t>10/24/2022</t>
  </si>
  <si>
    <t>AAFESDS,ASHFURNDS,BLK01,CSNSTORES,DESINC,JCPENNEY01,KOHLDSN,MACY02,OLLIIX,OVERSCONSIGN,OVERSTOCK01,TGTDVS,Zulily</t>
  </si>
  <si>
    <t>MP13-8113</t>
  </si>
  <si>
    <t>ASHFURNDS,BBBDROP,BLK01,CSNSTORES,DESINC,JCPENNEY01,KOHLDSN,MACY02,OLLIIX,OVERSTOCK01,TGTDVS,Zulily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</si>
  <si>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</si>
  <si>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</si>
  <si>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</si>
  <si>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</si>
  <si>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</si>
  <si>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</si>
  <si>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</si>
  <si>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</si>
  <si>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AMAZON,AMAZONDS,CSNSTORES,DESINC,JCPENNEY01,KOHLDSN,MACY02,OVERSTOCK01,TGTDVS</t>
  </si>
  <si>
    <t>MP13-8191</t>
  </si>
  <si>
    <t>AMAZON,BLK01,CSNSTORES,DESINC,JCPENNEY01,KOHLDSN,MACY02,OLLIIX,OVERSTOCK01,TGTDVS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</si>
  <si>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</si>
  <si>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</si>
  <si>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</si>
  <si>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</si>
  <si>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</si>
  <si>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</si>
  <si>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AMAZON,KOHLDSN,OLLIIX,OVERSTOCK01</t>
  </si>
  <si>
    <t>MP13-8308</t>
  </si>
  <si>
    <t>MP13-8309</t>
  </si>
  <si>
    <t>PP001908;PF006090</t>
  </si>
  <si>
    <t>10/26/2023</t>
  </si>
  <si>
    <t>MP13-8310</t>
  </si>
  <si>
    <t>AMAZON,BLK01,CSNSTORES,DESINC,JCPENNEY01,KOHLDSN,OLLIIX,TGTDVS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</si>
  <si>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</si>
  <si>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</si>
  <si>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</si>
  <si>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</si>
  <si>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</si>
  <si>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</si>
  <si>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AMAZON,AMAZONDS,ASHFURNDS,BLK01,CSNSTORES,JCPENNEY01,KIRKLANDDS,KOHLDSN,MACY02,NRTPORT,OLLIIX,OVERSTOCK01,TGTDVS,Zulily</t>
  </si>
  <si>
    <t>MP13-8198</t>
  </si>
  <si>
    <t>AMAZON,AMAZONDS,BLK01,CSNSTORES,DESINC,KIRKLANDDS,KOHLDSN,MACY02,OLLIIX,OVERSTOCK01,TGTDVS,Zulily</t>
  </si>
  <si>
    <t>MP13-8195</t>
  </si>
  <si>
    <t>PP001861;PF005954</t>
  </si>
  <si>
    <t>AMAZON,BLK01,CSNSTORES,JCPENNEY01,KIRKLANDDS,KOHLDSN,MACY02,OLLIIX,OVERSTOCK01,TGTDVS,Zulily</t>
  </si>
  <si>
    <t>MP13-8196</t>
  </si>
  <si>
    <t>AMAZON,AMAZONDS,BLK01,CSNSTORES,DESINC,JCPENNEY01,KIRKLANDDS,KOHLDSN,MACY02,NEBFUR01,NRTPORT,OLLIIX,OVERSTOCK01,TGTDVS,Zulily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</si>
  <si>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</si>
  <si>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</si>
  <si>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</si>
  <si>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</si>
  <si>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</si>
  <si>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</si>
  <si>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</si>
  <si>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</si>
  <si>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AAFESDS,AMAZON,AMAZONDS,ASHFURNDS,BBBDROP,BLK01,CSNSTORES,FINGERHUTDS,HSNDS,JCPENNEY01,KOHLDSN,MACY02,NRTPORT,OLLIIX,OVERSCONSIGN,OVERSTOCK01,TGTDVS,Zulily</t>
  </si>
  <si>
    <t>MP13-6088</t>
  </si>
  <si>
    <t>AMAZON,AMAZONDS,BBBDROP,BLK01,CSNSTORES,FINGERHUTDS,HOUZZ,HSNDS,JCPENNEY01,KOHLDSN,MACY02,OLLIIX,OVERSCONSIGN,OVERSTOCK01,TGTDVS,Zulily</t>
  </si>
  <si>
    <t>MP13-7524</t>
  </si>
  <si>
    <t>Green / Navy</t>
  </si>
  <si>
    <t>PP001028;PF005484</t>
  </si>
  <si>
    <t>6/5/2021</t>
  </si>
  <si>
    <t>AAFESDS,AMAZON,AMAZONDS,BBBDROP,BLK01,CSNSTORES,HOUZZ,JCPENNEY01,KOHLDSN,MACY02,NRTPORT,OLLIIX,OVERSTOCK01,TGTDVS,Zulily</t>
  </si>
  <si>
    <t>MP13-7525</t>
  </si>
  <si>
    <t>6/3/2021</t>
  </si>
  <si>
    <t>AMAZON,AMAZONDS,BLK01,CSNSTORES,JCPENNEY01,KOHLDSN,MACY02,OLLIIX,OVERSCONSIGN,OVERSTOCK01,TGTDVS,Zulily</t>
  </si>
  <si>
    <t>MP13-7733</t>
  </si>
  <si>
    <t>Violet</t>
  </si>
  <si>
    <t>Juniper</t>
  </si>
  <si>
    <t>3 Piece Cotton Quilt Set</t>
  </si>
  <si>
    <t>Blue/Yellow</t>
  </si>
  <si>
    <t>PF005617;PP001702</t>
  </si>
  <si>
    <t>5/24/2021</t>
  </si>
  <si>
    <t>AMAZONDS,BBBDROP,BLK01,CASTLEGATE,CSNSTORES,HOUZZ,JCPENNEY01,KOHLDSN,MACY02,OLLIIX,OVERSTOCK01,TGTDVS</t>
  </si>
  <si>
    <t>MP13-7144</t>
  </si>
  <si>
    <t xml:space="preserve">3 Piece Tufted Cotton Chenille  Coverlet Set</t>
  </si>
  <si>
    <t>PP001469;PF005063</t>
  </si>
  <si>
    <t>4/9/2020</t>
  </si>
  <si>
    <t>AMAZON,AMAZONDS,BBBDROP,BLK01,CSNSTORES,DESINC,HDDS,JCPENNEY01,KOHLDSN,MACY02,OLLIIX,OVERSTOCK01,TGTDVS,WALMARTDS,Zulily</t>
  </si>
  <si>
    <t>MP13-7145</t>
  </si>
  <si>
    <t>AAFESDS,AMAZON,AMAZONDS,ASHFURNDS,BLK01,CASTLEGATE,CSNSTORES,HDDS,JCPENNEY01,KOHLDSN,MACY02,OLLIIX,OVERSTOCK01,TGTDVS,WALMARTDS,Zulily</t>
  </si>
  <si>
    <t>MP13-1741</t>
  </si>
  <si>
    <t>Coverlet</t>
  </si>
  <si>
    <t>Attingham</t>
  </si>
  <si>
    <t>Danville</t>
  </si>
  <si>
    <t>Longmont</t>
  </si>
  <si>
    <t>7 Piece Quilt Set with Euro Shams and Throw Pillows</t>
  </si>
  <si>
    <t>PF002419</t>
  </si>
  <si>
    <t>AMAZON,AMAZONDS,BBBDROP,BLK01,CSNSTORES,FINGERHUTDS,HDDS,HOUZZ,HSNDS,JCPENNEY01,KOHLDSN,LAMPDS,MACY02,NRTPORT,OLLIIX,OVERSTOCK01,ROOMECOM,TGTDVS,WALMARTDS,Zulily</t>
  </si>
  <si>
    <t>3/2/2021</t>
  </si>
  <si>
    <t>MP13-1742</t>
  </si>
  <si>
    <t>AMAZON,AMAZONDS,BLK01,CSNSTORES,DESINC,HDDS,HOUZZ,JCPENNEY01,KOHLDSN,LAMPDS,MACY02,NRTPORT,OLLIIX,OVERSCONSIGN,OVERSTOCK01,ROOMECOM,TGTDVS,Zulily</t>
  </si>
  <si>
    <t>3/28/2022</t>
  </si>
  <si>
    <t>MP13-240</t>
  </si>
  <si>
    <t>PF002418</t>
  </si>
  <si>
    <t>AMAZON,AMAZONDS,CSNSTORES,FINGERHUTDS,HDDS,JCPENNEY01,KOHLDSN,MACY02,NRTPORT,OLLIIX,OVERSCONSIGN,OVERSTOCK01,ROOMECOM,TGTDVS,Zulily</t>
  </si>
  <si>
    <t>6/17/2021</t>
  </si>
  <si>
    <t>MP13-241</t>
  </si>
  <si>
    <t>AMAZON,AMAZONDS,BLK01,CSNSTORES,FINGERHUTDS,HDDS,HSNDS,JCPENNEY01,KOHLDSN,LAMPDS,MACY02,NRTPORT,OLLIIX,OVERSCONSIGN,OVERSTOCK01,ROOMECOM,TGTDVS,Zulily</t>
  </si>
  <si>
    <t>5/11/2021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</si>
  <si>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</si>
  <si>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</si>
  <si>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</si>
  <si>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</si>
  <si>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</si>
  <si>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</si>
  <si>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AMAZON,AMAZONDS,BBBDROP,BEALLSDS,BIGLOTSDS,BLK01,CASTLEGATE,CSNSTORES,DESINC,HDDS,HSNDS,JCPENNEY01,KOHLDSN,MACY02,NEBFUR01,OLLIIX,OVERSCONSIGN,OVERSTOCK01,ROOMECOM,TGTDVS,Zulily</t>
  </si>
  <si>
    <t>MP13-784</t>
  </si>
  <si>
    <t>AMAZON,AMAZONDS,BBBDROP,BEALLSDS,BIGLOTSDS,BLK01,CSNSTORES,DESINC,HDDS,HOUZZ,JCPENNEY01,KOHLDSN,MACY02,NEBFUR01,OLLIIX,OVERSCONSIGN,OVERSTOCK01,ROOMECOM,TGTDVS,WALMARTDS,Zulily</t>
  </si>
  <si>
    <t>MP13-1523</t>
  </si>
  <si>
    <t>PF002679;PP000518</t>
  </si>
  <si>
    <t>8/1/2024</t>
  </si>
  <si>
    <t>AMAZON,AMAZONDS,BBBDROP,BIGLOTSDS,BLK01,CASTLEGATE,CSNSTORES,DESINC,HSNDS,JCPENNEY01,KOHLDSN,MACY02,NRTPORT,OLLIIX,OVERSCONSIGN,OVERSTOCK01,TGTDVS,Zulily</t>
  </si>
  <si>
    <t>MP13-1524</t>
  </si>
  <si>
    <t>AMAZON,ASHFURNDS,BIGLOTSDS,BLK01,CASTLEGATE,CSNSTORES,DESINC,HSNDS,JCPENNEY01,KOHLDSN,MACY02,OLLIIX,OVERSCONSIGN,OVERSTOCK01,TGTDVS,WALMARTDS,Zulily</t>
  </si>
  <si>
    <t>MP13-615</t>
  </si>
  <si>
    <t>5 Piece Jacquard Quilt Set with Throw Pillows</t>
  </si>
  <si>
    <t>MP13-616</t>
  </si>
  <si>
    <t>AMAZON,AMAZONDS,BBBDROP,BLK01,CASTLEGATE,CSNSTORES,FINGERHUTDS,JCPENNEY01,KOHLDSN,MACY02,OLLIIX,OVERSTOCK01,ROOMECOM,TGTDVS,Zulily</t>
  </si>
  <si>
    <t>MP13-613</t>
  </si>
  <si>
    <t>AMAZON,AMAZONDS,BBBDROP,BEALLSDS,BLK01,CASTLEGATE,CSNSTORES,HSNDS,JCPENNEY01,KOHLDSN,MACY02,OLLIIX,OVERSTOCK01,ROOMECOM,TGTDVS</t>
  </si>
  <si>
    <t>MP13-614</t>
  </si>
  <si>
    <t>AMAZON,AMAZONDS,BBBDROP,BEALLSDS,BLK01,CASTLEGATE,CSNSTORES,DESINC,FINGERHUTDS,HOUZZ,HSNDS,JCPENNEY01,KOHLDSN,LAMPDS,MACY02,OLLIIX,OVERSCONSIGN,OVERSTOCK01,ROOMECOM,TGTDVS,Zulily</t>
  </si>
  <si>
    <t>MP13-2694</t>
  </si>
  <si>
    <t>6 Piece Jacquard Quilt Set with Throw Pillows</t>
  </si>
  <si>
    <t>PF003388</t>
  </si>
  <si>
    <t>AMAZON,AMAZONDS,BBBDROP,BLK01,CSNSTORES,DESINC,HDDS,HOUZZ,HSNDS,JCPENNEY01,KOHLDSN,MACY02,OLLIIX,OVERSTOCK01,ROOMECOM,TGTDVS,Zulily</t>
  </si>
  <si>
    <t>1/18/2021</t>
  </si>
  <si>
    <t>MP13-2695</t>
  </si>
  <si>
    <t>AMAZON,AMAZONDS,BBBDROP,BLK01,CSNSTORES,DESINC,FINGERHUTDS,HDDS,HOUZZ,JCPENNEY01,KOHLDSN,MACY02,NRTPORT,OLLIIX,OVERSTOCK01,ROOMECOM,TGTDVS,Zulily</t>
  </si>
  <si>
    <t>4/27/2021</t>
  </si>
  <si>
    <t>MP13-773</t>
  </si>
  <si>
    <t>Caelie</t>
  </si>
  <si>
    <t>Rochelle</t>
  </si>
  <si>
    <t>Marissa</t>
  </si>
  <si>
    <t>6 Piece Embroidered Quilt Set with Throw Pillows</t>
  </si>
  <si>
    <t>PF002691</t>
  </si>
  <si>
    <t>MP13-774</t>
  </si>
  <si>
    <t>AMAZON,AMAZONDS,AMERSIGNDS,BBBDROP,BEALLSDS,BLK01,CASTLEGATE,CSNSTORES,DESINC,FINGERHUTDS,HDDS,HOUZZ,HSNDS,JCPENNEY01,KOHLDSN,MACY02,NEBFUR01,NRTPORT,OLLIIX,OVERSCONSIGN,OVERSTOCK01,ROOMECOM,TGTDVS,WALMARTDS,Zulily</t>
  </si>
  <si>
    <t>MP13-775</t>
  </si>
  <si>
    <t>PF002680</t>
  </si>
  <si>
    <t>AMAZON,AMAZONDS,BBBDROP,BEALLSDS,BLK01,CASTLEGATE,CSNSTORES,FINGERHUTDS,HDDS,HOUZZ,JCPENNEY01,KOHLDSN,MACY02,OLLIIX,OVERSTOCK01,TGTDVS,Zulily</t>
  </si>
  <si>
    <t>MP13-776</t>
  </si>
  <si>
    <t>AMAZON,AMAZONDS,BEALLSDS,BLK01,CSNSTORES,HDDS,JCPENNEY01,KOHLDSN,MACY02,NRTPORT,OLLIIX,OVERSCONSIGN,OVERSTOCK01,TGTDVS,WALMARTDS,Zulily</t>
  </si>
  <si>
    <t>MP13-2122</t>
  </si>
  <si>
    <t>Piper</t>
  </si>
  <si>
    <t>6 Piece Printed Quilt Set with Throw Pillows</t>
  </si>
  <si>
    <t>PF002743</t>
  </si>
  <si>
    <t>AMAZON,AMAZONDS,BBBDROP,BLK01,CSNSTORES,DESINC,HOUZZ,HSNDS,JCPENNEY01,KOHLDSN,LAMPDS,MACY02,NEBFUR01,NRTPORT,OLLIIX,OVERSCONSIGN,OVERSTOCK01,ROOMECOM,TGTDVS,Zulily</t>
  </si>
  <si>
    <t>MP13-2123</t>
  </si>
  <si>
    <t>9/16/2024</t>
  </si>
  <si>
    <t>AMAZON,AMAZONDS,BBBDROP,BLK01,CASTLEGATE,CSNSTORES,DESINC,FINGERHUTDS,HOUZZ,HSNDS,JCPENNEY01,KOHLDSN,MACY02,NEBFUR01,NRTPORT,OLLIIX,OVERSCONSIGN,OVERSTOCK01,ROOMECOM,TGTDVS,Zulily</t>
  </si>
  <si>
    <t>10/14/2021</t>
  </si>
  <si>
    <t>MP13-2120</t>
  </si>
  <si>
    <t>PF002742</t>
  </si>
  <si>
    <t>AMAZON,AMAZONDS,BBBDROP,BLK01,CSNSTORES,FINGERHUTDS,HOUZZ,JCPENNEY01,KOHLDSN,LAMPDS,MACY02,NRTPORT,OLLIIX,OVERSCONSIGN,OVERSTOCK01,TGTDVS,Zulily</t>
  </si>
  <si>
    <t>MP13-2121</t>
  </si>
  <si>
    <t>AMAZON,AMAZONDS,BBBDROP,BLK01,CSNSTORES,FINGERHUTDS,HOUZZ,HSNDS,JCPENNEY01,KOHLDSN,MACY02,NEBFUR01,NRTPORT,OLLIIX,OVERSCONSIGN,OVERSTOCK01,ROOMECOM,TGTDVS,Zulily</t>
  </si>
  <si>
    <t>MP13-2709</t>
  </si>
  <si>
    <t>6 Piece Cotton Sateen Quilt Set with Throw Pillows</t>
  </si>
  <si>
    <t>AMAZON,AMAZONDS,BBBDROP,BEALLSDS,BLK01,CSNSTORES,DESINC,HDDS,HSNDS,JCPENNEY01,KOHLDSN,MACY02,OLLIIX,OVERSCONSIGN,OVERSTOCK01,ROOMECOM,TGTDVS,Zulily</t>
  </si>
  <si>
    <t>3/26/2024</t>
  </si>
  <si>
    <t>MP13-2710</t>
  </si>
  <si>
    <t>AMAZON,AMAZONDS,BBBDROP,BEALLSDS,BLK01,CSNSTORES,HDDS,HOUZZ,HSNDS,JCPENNEY01,KOHLDSN,MACY02,OLLIIX,OVERSCONSIGN,OVERSTOCK01,ROOMECOM,TGTDVS,Zulily</t>
  </si>
  <si>
    <t>4/4/2023</t>
  </si>
  <si>
    <t>MP13-8077</t>
  </si>
  <si>
    <t>PP000484;PF005792</t>
  </si>
  <si>
    <t>AMAZONDS,BEALLSDS,BLK01,CSNSTORES,HOUZZ,JCPENNEY01,KOHLDSN,MACY02,OLLIIX,OVERSCONSIGN,OVERSTOCK01,TGTDVS,Zulily</t>
  </si>
  <si>
    <t>MP13-8078</t>
  </si>
  <si>
    <t>10/19/2022</t>
  </si>
  <si>
    <t>AMAZONDS,BBBDROP,BEALLSDS,BLK01,BRANDX,CSNSTORES,DESINC,HDDS,JCPENNEY01,KOHLDSN,MACY02,OLLIIX,OVERSTOCK01,TGTDVS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</si>
  <si>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</si>
  <si>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</si>
  <si>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</si>
  <si>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</si>
  <si>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</si>
  <si>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</si>
  <si>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</si>
  <si>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AMAZON,BBBDROP,BLK01,CASTLEGATE,CSNSTORES,FINGERHUTDS,HDDS,JCPENNEY01,KOHLDSN,MACY02,NEBFUR01,NRTPORT,OLLIIX,OVERSCONSIGN,OVERSTOCK01,ROOMECOM,TGTDVS,Zulily</t>
  </si>
  <si>
    <t>MP13-1522</t>
  </si>
  <si>
    <t>AMAZON,AMAZONDS,BBBDROP,BLK01,CSNSTORES,DESINC,HDDS,HOUZZ,JCPENNEY01,KIRKLANDDS,KOHLDSN,MACY02,NEBFUR01,NRTPORT,OLLIIX,OVERSCONSIGN,OVERSTOCK01,ROOMECOM,TGTDVS,Zulily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</si>
  <si>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</si>
  <si>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</si>
  <si>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</si>
  <si>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</si>
  <si>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</si>
  <si>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</si>
  <si>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AMAZON,AMAZONDS,AMERSIGNDS,BBBDROP,BEALLSDS,BLK01,CASTLEGATE,CSNSTORES,DESINC,HDDS,HOUZZ,JCPENNEY01,KOHLDSN,LAMPDS,LOWESDS,MACY02,OLLIIX,OVERSTOCK01,ROOMECOM,TGTDVS,WALMARTDS,Zulily</t>
  </si>
  <si>
    <t>7/17/2023</t>
  </si>
  <si>
    <t>MP13-3241</t>
  </si>
  <si>
    <t>AMAZON,AMAZONDS,AMERSIGNDS,BBBDROP,BEALLSDS,BLK01,CASTLEGATE,CSNSTORES,DESINC,HDDS,HOUZZ,HSNDS,JCPENNEY01,KOHLDSN,LOWESDS,MACY02,OLLIIX,OVERSTOCK01,ROOMECOM,TGTDVS,Zulily</t>
  </si>
  <si>
    <t>6/6/2023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</si>
  <si>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</si>
  <si>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</si>
  <si>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</si>
  <si>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</si>
  <si>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</si>
  <si>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</si>
  <si>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AMAZON,AMAZONDS,BIGLOTSDS,BLK01,CSNSTORES,FINGERHUTDS,HOUZZ,JCPENNEY01,KOHLDSN,MACY02,OLLIIX,OVERSTOCK01,ROOMECOM,TGTDVS</t>
  </si>
  <si>
    <t>4/5/2023</t>
  </si>
  <si>
    <t>MP13-270</t>
  </si>
  <si>
    <t>AMAZON,AMAZONDS,ASHFURNDS,BBBDROP,BIGLOTSDS,BLK01,CSNSTORES,FINGERHUTDS,JCPENNEY01,KOHLDSN,MACY02,OLLIIX,OVERSCONSIGN,OVERSTOCK01,ROOMECOM,TGTDVS</t>
  </si>
  <si>
    <t>3/22/2023</t>
  </si>
  <si>
    <t>MP13-271</t>
  </si>
  <si>
    <t>AMAZON,AMAZONDS,BBBDROP,BIGLOTSDS,BLK01,CSNSTORES,FINGERHUTDS,HSNDS,JCPENNEY01,KOHLDSN,MACY02,OLLIIX,OVERSCONSIGN,OVERSTOCK01,ROOMECOM,TGTDVS,WALMARTDS</t>
  </si>
  <si>
    <t>8/11/2023</t>
  </si>
  <si>
    <t>MP13-5147</t>
  </si>
  <si>
    <t xml:space="preserve">6 Piece Cotton Coverlet  Set</t>
  </si>
  <si>
    <t>MP13-483</t>
  </si>
  <si>
    <t>Brushed Microfiber Quilt Set with Throw Pillows</t>
  </si>
  <si>
    <t>AMAZON,AMAZONDS,BBBDROP,BEALLSDS,BIGLOTSDS,BLK01,CSNSTORES,HDDS,HSNDS,JCPENNEY01,KOHLDSN,MACY02,OLLIIX,OVERSCONSIGN,OVERSTOCK01,TGTDVS,WALMARTDS</t>
  </si>
  <si>
    <t>MP13-374</t>
  </si>
  <si>
    <t>AMAZON,AMAZONDS,BBBDROP,BEALLSDS,BIGLOTSDS,BLK01,CASTLEGATE,CSNSTORES,DESINC,FINGERHUTDS,HDDS,JCPENNEY01,KOHLDSN,MACY02,OLLIIX,OVERSCONSIGN,OVERSTOCK01,TGTDVS,WALMARTDS</t>
  </si>
  <si>
    <t>MP13-375</t>
  </si>
  <si>
    <t>AMAZON,AMAZONDS,BBBDROP,BEALLSDS,BIGLOTSDS,BLK01,CASTLEGATE,CSNSTORES,DESINC,HDDS,JCPENNEY01,KOHLDSN,MACY02,OLLIIX,OVERSCONSIGN,OVERSTOCK01,TGTDVS,Zulily</t>
  </si>
  <si>
    <t>MP13-368</t>
  </si>
  <si>
    <t>PF003397;PP000386</t>
  </si>
  <si>
    <t>AMAZON,AMAZONDS,BLK01,CSNSTORES,FINGERHUTDS,HOUZZ,HSNDS,JCPENNEY01,KOHLDSN,MACY02,OLLIIX,OVERSCONSIGN,OVERSTOCK01,TGTDVS,WALMARTDS</t>
  </si>
  <si>
    <t>MP13-369</t>
  </si>
  <si>
    <t>AMAZON,AMAZONDS,BBBDROP,BLK01,CSNSTORES,DESINC,FINGERHUTDS,HDDS,HSNDS,JCPENNEY01,KOHLDSN,LAMPDS,MACY02,OLLIIX,OVERSCONSIGN,OVERSTOCK01,TGTDVS,Zulily</t>
  </si>
  <si>
    <t>MP13-6023</t>
  </si>
  <si>
    <t>4 Piece Jacquard Quilt Set with Throw Pillow</t>
  </si>
  <si>
    <t>AMAZON,AMAZONDS,BBBDROP,BEALLSDS,BLK01,CSNSTORES,DESINC,JCPENNEY01,KIRKLANDDS,KOHLDSN,MACY02,NRTPORT,OLLIIX,OVERSTOCK01,TGTDVS,Zulily</t>
  </si>
  <si>
    <t>MP13-6024</t>
  </si>
  <si>
    <t>AMAZON,AMAZONDS,BBBDROP,BEALLSDS,BLK01,CSNSTORES,DESINC,FINGERHUTDS,HSNDS,JCPENNEY01,KOHLDSN,MACY02,NRTPORT,OLLIIX,OVERSCONSIGN,OVERSTOCK01,TGTDVS,Zulily</t>
  </si>
  <si>
    <t>MP13-7395</t>
  </si>
  <si>
    <t>PP001609;PF005405</t>
  </si>
  <si>
    <t>7/26/2021</t>
  </si>
  <si>
    <t>AMAZON,AMAZONDS,BBBDROP,BLK01,CSNSTORES,DESINC,HDDS,HOUZZ,JCPENNEY01,KOHLDSN,MACY02,OLLIIX,OVERSCONSIGN,OVERSTOCK01,TGTDVS,Zulily</t>
  </si>
  <si>
    <t>MP13-7396</t>
  </si>
  <si>
    <t>AMAZON,AMAZONDS,BBBDROP,BLK01,CSNSTORES,DESINC,HDDS,HOUZZ,JCPENNEY01,KOHLDSN,MACY02,NRTPORT,OLLIIX,OVERSTOCK01,TGTDVS,Zulily</t>
  </si>
  <si>
    <t>MP13-2532</t>
  </si>
  <si>
    <t>4 Piece Microfiber Reversible Ruffle Quilt Set with Throw Pillow</t>
  </si>
  <si>
    <t>AMAZON,AMAZONDS,BLK01,CSNSTORES,HSNDS,JCPENNEY01,KOHLDSN,MACY02,OLLIIX,OVERSCONSIGN,OVERSTOCK01,TGTDVS,ZOLA</t>
  </si>
  <si>
    <t>MP13-2533</t>
  </si>
  <si>
    <t>AMAZON,AMAZONDS,ASHFURNDS,BBBDROP,BLK01,CSNSTORES,FINGERHUTDS,HSNDS,JCPENNEY01,KOHLDSN,MACY02,OLLIIX,OVERSTOCK01,TGTDVS,ZOLA,Zulily</t>
  </si>
  <si>
    <t>MP13-1420</t>
  </si>
  <si>
    <t>Claire</t>
  </si>
  <si>
    <t>Montecito</t>
  </si>
  <si>
    <t>Arbor</t>
  </si>
  <si>
    <t>PF002720;PP000401</t>
  </si>
  <si>
    <t>AMAZON,AMAZONDS,AMERSIGNDS,BEALLSDS,BIGLOTSDS,BLK01,CSNSTORES,DESINC,FINGERHUTDS,HSNDS,JCPENNEY01,KOHLDSN,MACY02,NEBFUR01,OLLIIX,OVERSTOCK01,ROOMECOM,TGTDVS,Zulily</t>
  </si>
  <si>
    <t>9/5/2023</t>
  </si>
  <si>
    <t>MP13-1421</t>
  </si>
  <si>
    <t>AMAZON,AMAZONDS,AMERSIGNDS,BEALLSDS,BIGLOTSDS,BLK01,CASTLEGATE,CSNSTORES,DESINC,FINGERHUTDS,HOUZZ,HSNDS,JCPENNEY01,KOHLDSN,MACY02,NEBFUR01,OLLIIX,OVERSCONSIGN,OVERSTOCK01,TGTDVS,Zulily</t>
  </si>
  <si>
    <t>MP13-1422</t>
  </si>
  <si>
    <t>PF002721;PP000401</t>
  </si>
  <si>
    <t>AMAZON,AMAZONDS,BEALLSDS,BLK01,CASTLEGATE,CSNSTORES,JCPENNEY01,KOHLDSN,MACY02,OLLIIX,OVERSTOCK01,TGTDVS,Zulily</t>
  </si>
  <si>
    <t>MP13-1423</t>
  </si>
  <si>
    <t>AMAZON,AMAZONDS,BBBDROP,BEALLSDS,BLK01,CASTLEGATE,CSNSTORES,DESINC,JCPENNEY01,KOHLDSN,MACY02,OLLIIX,OVERSTOCK01,TGTDVS,Zulily</t>
  </si>
  <si>
    <t>MP13-2801</t>
  </si>
  <si>
    <t>6 Piece Cotton Percale Quilt Set with Throw Pillows</t>
  </si>
  <si>
    <t>AMAZON,AMAZONDS,AMERSIGNDS,BBBDROP,BEALLSDS,BLK01,CSNSTORES,DESINC,FINGERHUTDS,HOUZZ,JCPENNEY01,KOHLDSN,LAMPDS,MACY02,NEBFUR01,NRTPORT,OLLIIX,OVERSCONSIGN,OVERSTOCK01,TGTDVS,Zulily</t>
  </si>
  <si>
    <t>MP13-2802</t>
  </si>
  <si>
    <t>AMAZON,AMERSIGNDS,BBBDROP,BEALLSDS,BLK01,CASTLEGATE,CSNSTORES,DESINC,FINGERHUTDS,HOUZZ,JCPENNEY01,KOHLDSN,LAMPDS,MACY02,NRTPORT,OLLIIX,OVERSCONSIGN,OVERSTOCK01,TGTDVS,Zulily</t>
  </si>
  <si>
    <t>MP13-6872</t>
  </si>
  <si>
    <t>AMAZON,AMAZONDS,BBBDROP,BEALLSDS,BLK01,CSNSTORES,HSNDS,JCPENNEY01,KOHLDSN,MACY02,NRTPORT,OLLIIX,OVERSCONSIGN,OVERSTOCK01,TGTDVS,Zulily</t>
  </si>
  <si>
    <t>MP13-6873</t>
  </si>
  <si>
    <t>AMAZON,AMAZONDS,BBBDROP,BEALLSDS,BLK01,CSNSTORES,FINGERHUTDS,HSNDS,JCPENNEY01,KOHLDSN,MACY02,NRTPORT,OLLIIX,OVERSCONSIGN,OVERSTOCK01,TGTDVS,Zulily</t>
  </si>
  <si>
    <t>MP13-2799</t>
  </si>
  <si>
    <t>PF003408;PP000407;PP000484</t>
  </si>
  <si>
    <t>AMAZON,AMAZONDS,BLK01,CSNSTORES,DESINC,HSNDS,JCPENNEY01,KOHLDSN,MACY02,NRTPORT,OLLIIX,OVERSTOCK01,TGTDVS,Zulily</t>
  </si>
  <si>
    <t>MP13-2800</t>
  </si>
  <si>
    <t>AMAZON,AMAZONDS,BBBDROP,BLK01,CSNSTORES,DESINC,HSNDS,JCPENNEY01,KOHLDSN,MACY02,NRTPORT,OLLIIX,OVERSTOCK01,TGTDVS,Zulily</t>
  </si>
  <si>
    <t>MP13-7283</t>
  </si>
  <si>
    <t>PP000407;PF005242</t>
  </si>
  <si>
    <t>AMAZON,AMAZONDS,BBBDROP,BLK01,CSNSTORES,JCPENNEY01,KOHLDSN,MACY02,NRTPORT,OLLIIX,OVERSCONSIGN,OVERSTOCK01,TGTDVS,Zulily</t>
  </si>
  <si>
    <t>5/9/2024</t>
  </si>
  <si>
    <t>MP13-7284</t>
  </si>
  <si>
    <t>MP13-1678</t>
  </si>
  <si>
    <t>Geneva</t>
  </si>
  <si>
    <t>Lavinia</t>
  </si>
  <si>
    <t>Leona</t>
  </si>
  <si>
    <t>PF002741</t>
  </si>
  <si>
    <t>Global Inspired|Traditional</t>
  </si>
  <si>
    <t>AMAZON,AMAZONDS,BBBDROP,BLK01,CSNSTORES,HSNDS,JCPENNEY01,KOHLDSN,MACY02,OLLIIX,OVERSCONSIGN,OVERSTOCK01,TGTDVS,Zulily</t>
  </si>
  <si>
    <t>MP13-1679</t>
  </si>
  <si>
    <t>AMAZON,AMAZONDS,ASHFURNDS,BBBDROP,BLK01,CSNSTORES,FINGERHUTDS,HOUZZ,HSNDS,JCPENNEY01,KOHLDSN,MACY02,OLLIIX,OVERSCONSIGN,OVERSTOCK01,TGTDVS,Zulily</t>
  </si>
  <si>
    <t>MP13-2644</t>
  </si>
  <si>
    <t>6 Piece Printed Cotton Quilt Set with Throw Pillows</t>
  </si>
  <si>
    <t>MP13-2645</t>
  </si>
  <si>
    <t>MP13-6834</t>
  </si>
  <si>
    <t>1/7/2020</t>
  </si>
  <si>
    <t>AMAZON,AMAZONDS,BBBDROP,BIGLOTSDS,BLK01,CSNSTORES,DESINC,FINGERHUTDS,JCPENNEY01,KOHLDSN,MACY02,NRTPORT,OLLIIX,OVERSTOCK01,TGTDVS</t>
  </si>
  <si>
    <t>MP13-6835</t>
  </si>
  <si>
    <t>AMAZON,AMAZONDS,BBBDROP,BIGLOTSDS,BLK01,CSNSTORES,DESINC,FINGERHUTDS,JCPENNEY01,KOHLDSN,MACY02,NRTPORT,OLLIIX,OVERSCONSIGN,OVERSTOCK01,TGTDVS,Zulily</t>
  </si>
  <si>
    <t>MP13-2312</t>
  </si>
  <si>
    <t>10/22/2024</t>
  </si>
  <si>
    <t>AMAZON,AMAZONDS,BBBDROP,BLK01,CSNSTORES,FINGERHUTDS,JCPENNEY01,KOHLDSN,MACY02,NRTPORT,OLLIIX,OVERSTOCK01,TGTDVS,WALMARTDS,Zulily</t>
  </si>
  <si>
    <t>MP13-2313</t>
  </si>
  <si>
    <t>MP13-325</t>
  </si>
  <si>
    <t>PF002451;PP000448</t>
  </si>
  <si>
    <t>AMAZONDS,BBBDROP,BLK01,CSNSTORES,HOUZZ,JCPENNEY01,KOHLDSN,MACY02,OLLIIX,OVERSTOCK01,TGTDVS</t>
  </si>
  <si>
    <t>MP13-326</t>
  </si>
  <si>
    <t>MP13-5270</t>
  </si>
  <si>
    <t>6 Piece Reversible Cotton Quilt Set with Throw Pillows</t>
  </si>
  <si>
    <t>AMAZON,AMAZONDS,BBBDROP,BLK01,CSNSTORES,FINGERHUTDS,JCPENNEY01,KOHLDSN,MACY02,OLLIIX,OVERSTOCK01,TGTDVS,WALMARTDS,Zulily</t>
  </si>
  <si>
    <t>MP13-5271</t>
  </si>
  <si>
    <t>AMAZON,AMAZONDS,BBBDROP,BLK01,CSNSTORES,FINGERHUTDS,HOUZZ,JCPENNEY01,KOHLDSN,MACY02,OLLIIX,OVERSTOCK01,TGTDVS,WALMARTDS,Zulily</t>
  </si>
  <si>
    <t>MP13-5017</t>
  </si>
  <si>
    <t>6 Piece Reversible Cotton Twill Quilt Set with Throw Pillows</t>
  </si>
  <si>
    <t>9/26/2017</t>
  </si>
  <si>
    <t>AMAZON,AMAZONDS,BEALLSDS,BLK01,CSNSTORES,JCPENNEY01,KOHLDSN,MACY02,OLLIIX,OVERSCONSIGN,OVERSTOCK01,TGTDVS,WALMARTDS,Zulily</t>
  </si>
  <si>
    <t>MP13-5018</t>
  </si>
  <si>
    <t>MP13-7948</t>
  </si>
  <si>
    <t>PP001782;PF005733</t>
  </si>
  <si>
    <t>AMAZONDS,BLK01,CSNSTORES,JCPENNEY01,KOHLDSN,MACY02,OLLIIX,OVERSTOCK01,TGTDVS,Zulily</t>
  </si>
  <si>
    <t>MP13-7949</t>
  </si>
  <si>
    <t>AMAZONDS,BBBDROP,BLK01,CSNSTORES,DESINC,JCPENNEY01,KOHLDSN,MACY02,NRTPORT,OLLIIX,OVERSTOCK01,TGTDVS,Zulily</t>
  </si>
  <si>
    <t>MP13-2425</t>
  </si>
  <si>
    <t>PF002744</t>
  </si>
  <si>
    <t>AMAZON,AMAZONDS,BBBDROP,BEALLSDS,BLK01,CSNSTORES,HOUZZ,HSNDS,JCPENNEY01,KOHLDSN,MACY02,OLLIIX,OVERSTOCK01,TGTDVS,WALMARTDS,Zulily</t>
  </si>
  <si>
    <t>MP13-2426</t>
  </si>
  <si>
    <t>AMAZON,AMAZONDS,AMERSIGNDS,BBBDROP,BEALLSDS,BLK01,CSNSTORES,DESINC,HOUZZ,HSNDS,JCPENNEY01,KOHLDSN,MACY02,OLLIIX,OVERSCONSIGN,OVERSTOCK01,TGTDVS,Zulily</t>
  </si>
  <si>
    <t>MP13-7944</t>
  </si>
  <si>
    <t>PP001782;PF005732</t>
  </si>
  <si>
    <t>MP13-7945</t>
  </si>
  <si>
    <t>MP13-3399</t>
  </si>
  <si>
    <t>6 Piece Reversible Jacquard Quilt Set with Throw Pillows</t>
  </si>
  <si>
    <t>5/4/2017</t>
  </si>
  <si>
    <t>AMAZON,AMAZONDS,AMERSIGNDS,BBBDROP,BLK01,CASTLEGATE,CSNSTORES,FINGERHUTDS,HOUZZ,JCPENNEY01,KOHLDSN,MACY02,OLLIIX,OVERSCONSIGN,OVERSTOCK01,TGTDVS,WALMARTDS,Zulily</t>
  </si>
  <si>
    <t>MP13-3400</t>
  </si>
  <si>
    <t>9/13/2024</t>
  </si>
  <si>
    <t>AMAZON,AMAZONDS,AMERSIGNDS,BBBDROP,BLK01,CASTLEGATE,CSNSTORES,FINGERHUTDS,HOUZZ,JCPENNEY01,KOHLDSN,MACY02,OLLIIX,OVERSCONSIGN,OVERSTOCK01,TGTDVS,Zulily</t>
  </si>
  <si>
    <t>MP13-7423</t>
  </si>
  <si>
    <t>AMAZON,AMAZONDS,BBBDROP,BLK01,CSNSTORES,FINGERHUTDS,HOUZZ,JCPENNEY01,KOHLDSN,MACY02,OLLIIX,OVERSCONSIGN,OVERSTOCK01,TGTDVS,Zulily</t>
  </si>
  <si>
    <t>MP13-7424</t>
  </si>
  <si>
    <t>AMAZON,AMAZONDS,BBBDROP,BLK01,CSNSTORES,DESINC,FINGERHUTDS,HOUZZ,JCPENNEY01,KOHLDSN,MACY02,NEBFUR01,OLLIIX,OVERSCONSIGN,OVERSTOCK01,TGTDVS,Zulily</t>
  </si>
  <si>
    <t>MP13-4681</t>
  </si>
  <si>
    <t>6 Piece Printed Herringbone Quilt Set with Throw Pillows</t>
  </si>
  <si>
    <t>AMAZON,AMAZONDS,BBBDROP,BLK01,CSNSTORES,JCPENNEY01,KIRKLANDDS,KOHLDSN,MACY02,OLLIIX,OVERSTOCK01,TGTDVS,WALMARTDS,Zulily</t>
  </si>
  <si>
    <t>MP13-4682</t>
  </si>
  <si>
    <t>MP13-7217</t>
  </si>
  <si>
    <t>PP001538;PF005193</t>
  </si>
  <si>
    <t>AMAZONDS,ASHFURNDS,BLK01,CSNSTORES,JCPENNEY01,KOHLDSN,MACY02,OLLIIX,OVERSTOCK01,TGTDVS,Zulily</t>
  </si>
  <si>
    <t>MP13-7218</t>
  </si>
  <si>
    <t>MP13-4674</t>
  </si>
  <si>
    <t>AMAZON,AMAZONDS,BBBDROP,BLK01,CSNSTORES,HSNDS,JCPENNEY01,KOHLDSN,MACY02,NEBFUR01,OLLIIX,OVERSCONSIGN,OVERSTOCK01,TGTDVS,Zulily</t>
  </si>
  <si>
    <t>MP13-4675</t>
  </si>
  <si>
    <t>AMAZON,AMAZONDS,BLK01,CSNSTORES,DESINC,FINGERHUTDS,HOUZZ,HSNDS,JCPENNEY01,KOHLDSN,MACY02,OLLIIX,OVERSCONSIGN,OVERSTOCK01,TGTDVS,Zulily</t>
  </si>
  <si>
    <t>MP13-3153</t>
  </si>
  <si>
    <t>Taos</t>
  </si>
  <si>
    <t>Davy</t>
  </si>
  <si>
    <t>Duncan</t>
  </si>
  <si>
    <t>PF002600</t>
  </si>
  <si>
    <t>AMAZON,AMAZONDS,BBBDROP,BLK01,CSNSTORES,DESINC,HOUZZ,JCPENNEY01,KOHLDSN,MACY02,NRTPORT,OLLIIX,OVERSTOCK01,TGTDVS,WALMARTDS,Zulily</t>
  </si>
  <si>
    <t>MP13-3154</t>
  </si>
  <si>
    <t>AMAZON,AMAZONDS,BBBDROP,BLK01,CSNSTORES,FINGERHUTDS,HOUZZ,JCPENNEY01,KOHLDSN,MACY02,NRTPORT,OLLIIX,OVERSTOCK01,TGTDVS,Zulily</t>
  </si>
  <si>
    <t>MP13-484</t>
  </si>
  <si>
    <t>Tissa</t>
  </si>
  <si>
    <t>Maya</t>
  </si>
  <si>
    <t>Neda</t>
  </si>
  <si>
    <t>PF003380</t>
  </si>
  <si>
    <t>BBBDROP,BIGLOTSDS,BLK01,CSNSTORES,DESINC,FINGERHUTDS,JCPENNEY01,KOHLDSN,MACY02,OLLIIX,OVERSCONSIGN,OVERSTOCK01,TGTDVS,WALMARTDS,Zulily</t>
  </si>
  <si>
    <t>MP13-485</t>
  </si>
  <si>
    <t>BBBDROP,BIGLOTSDS,BLK01,CSNSTORES,HOUZZ,JCPENNEY01,KOHLDSN,MACY02,OLLIIX,OVERSCONSIGN,OVERSTOCK01,TGTDVS,WALMARTDS,Zulily</t>
  </si>
  <si>
    <t>MP13-7958</t>
  </si>
  <si>
    <t>PP001783;PF005736</t>
  </si>
  <si>
    <t>8/15/2022</t>
  </si>
  <si>
    <t>MP13-7959</t>
  </si>
  <si>
    <t>AMAZONDS,BBBDROP,BLK01,CSNSTORES,DESINC,JCPENNEY01,KOHLDSN,MACY02,NEBFUR01,OLLIIX,OVERSCONSIGN,OVERSTOCK01,TGTDVS</t>
  </si>
  <si>
    <t>MP13-5578</t>
  </si>
  <si>
    <t>PF003377;PP000530</t>
  </si>
  <si>
    <t>2/15/2018</t>
  </si>
  <si>
    <t>AMAZON,BBBDROP,BEALLSDS,BLK01,CSNSTORES,HOUZZ,JCPENNEY01,KOHLDSN,MACY02,OLLIIX,OVERSCONSIGN,OVERSTOCK01,TGTDVS,Zulily</t>
  </si>
  <si>
    <t>MP13-5579</t>
  </si>
  <si>
    <t>AMAZON,AMAZONDS,BBBDROP,BLK01,CSNSTORES,HSNDS,JCPENNEY01,KOHLDSN,MACY02,OLLIIX,OVERSTOCK01,TGTDVS,WALMARTDS</t>
  </si>
  <si>
    <t>MP13-4338</t>
  </si>
  <si>
    <t>Bedspread</t>
  </si>
  <si>
    <t>5 Piece Jacquard Bedspread Set with Throw Pillows</t>
  </si>
  <si>
    <t>PF003389</t>
  </si>
  <si>
    <t>4/26/2017</t>
  </si>
  <si>
    <t>AMAZON,AMAZONDS,BBBDROP,BEALLSDS,BLK01,CSNSTORES,DESINC,JCPENNEY01,KOHLDSN,MACY02,NEBFUR01,OLLIIX,OVERSCONSIGN,OVERSTOCK01,ROOMECOM,TGTDVS,Zulily</t>
  </si>
  <si>
    <t>1/20/2021</t>
  </si>
  <si>
    <t>MP13-4339</t>
  </si>
  <si>
    <t>AMAZON,AMAZONDS,AMERSIGNDS,BBBDROP,BEALLSDS,BLK01,CSNSTORES,FINGERHUTDS,JCPENNEY01,KOHLDSN,MACY02,NEBFUR01,OLLIIX,OVERSCONSIGN,OVERSTOCK01,ROOMECOM,TGTDVS,Zulily</t>
  </si>
  <si>
    <t>1/7/2021</t>
  </si>
  <si>
    <t>MP13-7960</t>
  </si>
  <si>
    <t>PP000381;PF005740</t>
  </si>
  <si>
    <t>7/8/2022</t>
  </si>
  <si>
    <t>MP13-7961</t>
  </si>
  <si>
    <t>AMAZON,AMAZONDS,BBBDROP,BLK01,CASTLEGATE,CSNSTORES,HOUZZ,JCPENNEY01,KOHLDSN,MACY02,OLLIIX,OVERSCONSIGN,OVERSTOCK01,TGTDVS</t>
  </si>
  <si>
    <t>MP13-7962</t>
  </si>
  <si>
    <t>Burgundy</t>
  </si>
  <si>
    <t>PP000381;PF005741</t>
  </si>
  <si>
    <t>MP13-7963</t>
  </si>
  <si>
    <t>7/22/2022</t>
  </si>
  <si>
    <t>AMAZONDS,BBBDROP,BLK01,CSNSTORES,DESINC,JCPENNEY01,KOHLDSN,MACY02,OLLIIX,OVERSTOCK01,TGTDVS,Zulily</t>
  </si>
  <si>
    <t>MP13-7964</t>
  </si>
  <si>
    <t>PP000381;PF005742</t>
  </si>
  <si>
    <t>AMAZONDS,BBBDROP,BLK01,CASTLEGATE,CSNSTORES,HOUZZ,JCPENNEY01,KOHLDSN,MACY02,OLLIIX,OVERSTOCK01,TGTDVS,Zulily</t>
  </si>
  <si>
    <t>MP13-7965</t>
  </si>
  <si>
    <t>AMAZON,AMAZONDS,BBBDROP,BLK01,CASTLEGATE,CSNSTORES,DESINC,JCPENNEY01,KOHLDSN,MACY02,OLLIIX,OVERSTOCK01,TGTDVS,Zulily</t>
  </si>
  <si>
    <t>MP13-8314</t>
  </si>
  <si>
    <t>AMAZON,AMAZONDS,BLK01,CSNSTORES,JCPENNEY01,KOHLDSN,OLLIIX,OVERSTOCK01</t>
  </si>
  <si>
    <t>MP13-8315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</si>
  <si>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</si>
  <si>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</si>
  <si>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</si>
  <si>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</si>
  <si>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</si>
  <si>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</si>
  <si>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</si>
  <si>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AMAZON,AMAZONDS,BBBDROP,BEALLSDS,BLK01,CASTLEGATE,CSNSTORES,DESINC,FINGERHUTDS,HDDS,JCPENNEY01,KOHLDSN,MACY02,OLLIIX,OVERSCONSIGN,OVERSTOCK01,ROOMECOM,TGTDVS,Zulily</t>
  </si>
  <si>
    <t>3/13/2022</t>
  </si>
  <si>
    <t>MP13-2629</t>
  </si>
  <si>
    <t>MP13-2630</t>
  </si>
  <si>
    <t>PF002764</t>
  </si>
  <si>
    <t>AMAZON,AMAZONDS,ASHFURNDS,BBBDROP,BEALLSDS,BLK01,CSNSTORES,FINGERHUTDS,HDDS,JCPENNEY01,KOHLDSN,MACY02,OLLIIX,OVERSTOCK01,ROOMECOM,TGTDVS,WALMARTDS,Zulily</t>
  </si>
  <si>
    <t>11/7/2022</t>
  </si>
  <si>
    <t>MP13-2631</t>
  </si>
  <si>
    <t>AMAZON,AMAZONDS,BBBDROP,BEALLSDS,BLK01,CSNSTORES,DESINC,HDDS,HOUZZ,JCPENNEY01,KOHLDSN,MACY02,OLLIIX,OVERSTOCK01,ROOMECOM,TGTDVS,Zulily</t>
  </si>
  <si>
    <t>7/13/2022</t>
  </si>
  <si>
    <t>MP13-5318</t>
  </si>
  <si>
    <t>5 Piece Reversible Jacquard Bedspread Set</t>
  </si>
  <si>
    <t>PF003397;PP000614</t>
  </si>
  <si>
    <t>AMAZON,AMAZONDS,BBBDROP,BEALLSDS,BLK01,CSNSTORES,DESINC,FINGERHUTDS,JCPENNEY01,KOHLDSN,LAMPDS,MACY02,NEBFUR01,OLLIIX,OVERSCONSIGN,OVERSTOCK01,ROOMECOM,TGTDVS</t>
  </si>
  <si>
    <t>12/7/2021</t>
  </si>
  <si>
    <t>MP13-5319</t>
  </si>
  <si>
    <t>AMAZON,AMAZONDS,BBBDROP,BEALLSDS,BLK01,CSNSTORES,FINGERHUTDS,JCPENNEY01,KOHLDSN,LAMPDS,MACY02,NEBFUR01,OLLIIX,OVERSTOCK01,ROOMECOM,TGTDVS</t>
  </si>
  <si>
    <t>2/17/2022</t>
  </si>
  <si>
    <t>MP13-5320</t>
  </si>
  <si>
    <t>3 Piece Tufted Cotton Chenille Bedspread Set</t>
  </si>
  <si>
    <t>PF002604;PP000641</t>
  </si>
  <si>
    <t>11/20/2017</t>
  </si>
  <si>
    <t>BBBDROP,BEALLSDS,BLK01,CASTLEGATE,CSNSTORES,DESINC,FINGERHUTDS,JCPENNEY01,KOHLDSN,MACY02,NRTPORT,OLLIIX,OVERSCONSIGN,OVERSTOCK01,ROOMECOM,TGTDVS,WALMARTDS,Zulily</t>
  </si>
  <si>
    <t>12/5/2023</t>
  </si>
  <si>
    <t>MP13-5321</t>
  </si>
  <si>
    <t>BBBDROP,BEALLSDS,BLK01,CSNSTORES,DESINC,FINGERHUTDS,JCPENNEY01,KOHLDSN,MACY02,NEBFUR01,NRTPORT,OLLIIX,OVERSCONSIGN,OVERSTOCK01,ROOMECOM,TGTDVS,Zulily</t>
  </si>
  <si>
    <t>4/10/2023</t>
  </si>
  <si>
    <t>MP13-7124</t>
  </si>
  <si>
    <t xml:space="preserve">3 piece Tufted Cotton  bedspread  set</t>
  </si>
  <si>
    <t>PP000641;PF005044</t>
  </si>
  <si>
    <t>BBBDROP,BLK01,CSNSTORES,FINGERHUTDS,JCPENNEY01,KOHLDSN,MACY02,NRTPORT,OLLIIX,OVERSCONSIGN,OVERSTOCK01,TGTDVS,WALMARTDS,Zulily</t>
  </si>
  <si>
    <t>MP13-7125</t>
  </si>
  <si>
    <t>BBBDROP,BLK01,CSNSTORES,DESINC,FINGERHUTDS,JCPENNEY01,KOHLDSN,MACY02,NRTPORT,OLLIIX,OVERSTOCK01,TGTDVS,WALMARTDS,Zulily</t>
  </si>
  <si>
    <t>MP13-7966</t>
  </si>
  <si>
    <t>PP000487;PF005738</t>
  </si>
  <si>
    <t>AMAZONDS,BBBDROP,BLK01,CSNSTORES,DESINC,JCPENNEY01,KOHLDSN,MACY02,NRTPORT,OLLIIX,OVERSCONSIGN,OVERSTOCK01,TGTDVS</t>
  </si>
  <si>
    <t>MP13-7967</t>
  </si>
  <si>
    <t>AMAZONDS,BBBDROP,BLK01,CSNSTORES,JCPENNEY01,KOHLDSN,MACY02,NRTPORT,OLLIIX,OVERSTOCK01,TGTDVS,Zulily</t>
  </si>
  <si>
    <t>MP13-4340</t>
  </si>
  <si>
    <t>PF003392</t>
  </si>
  <si>
    <t>AMAZON,AMAZONDS,BBBDROP,BLK01,CASTLEGATE,CSNSTORES,FINGERHUTDS,JCPENNEY01,KOHLDSN,LAMPDS,MACY02,OLLIIX,OVERSCONSIGN,OVERSTOCK01,TGTDVS,Zulily</t>
  </si>
  <si>
    <t>MP13-4341</t>
  </si>
  <si>
    <t>AMAZON,AMAZONDS,AMERSIGNDS,BBBDROP,BLK01,CASTLEGATE,CSNSTORES,FINGERHUTDS,JCPENNEY01,KOHLDSN,MACY02,OLLIIX,OVERSCONSIGN,OVERSTOCK01,TGTDVS,WALMARTDS,Zulily</t>
  </si>
  <si>
    <t>MP13-1563</t>
  </si>
  <si>
    <t>Reversible Bedspread Set</t>
  </si>
  <si>
    <t>PF002475</t>
  </si>
  <si>
    <t>AMAZON,AMAZONDS,ASHFURNDS,BBBDROP,BIGLOTSDS,BLK01,CSNSTORES,FINGERHUTDS,HOUZZ,JCPENNEY01,KOHLDSN,MACY02,OLLIIX,OVERSCONSIGN,OVERSTOCK01,TGTDVS</t>
  </si>
  <si>
    <t>MP13-1564</t>
  </si>
  <si>
    <t>AMAZON,AMAZONDS,BBBDROP,BIGLOTSDS,BLK01,CASTLEGATE,CSNSTORES,HOUZZ,JCPENNEY01,KOHLDSN,MACY02,OLLIIX,OVERSCONSIGN,OVERSTOCK01,TGTDVS,Zulily</t>
  </si>
  <si>
    <t>MP13-2632</t>
  </si>
  <si>
    <t>Twin</t>
  </si>
  <si>
    <t>AMAZON,AMAZONDS,BBBDROP,BIGLOTSDS,BLK01,CASTLEGATE,CSNSTORES,JCPENNEY01,KOHLDSN,MACY02,OLLIIX,OVERSCONSIGN,OVERSTOCK01,TGTDVS</t>
  </si>
  <si>
    <t>MP13-2633</t>
  </si>
  <si>
    <t>AMAZON,AMAZONDS,ASHFURNDS,BBBDROP,BIGLOTSDS,BLK01,CSNSTORES,HOUZZ,JCPENNEY01,KOHLDSN,MACY02,OLLIIX,OVERSTOCK01,TGTDVS,Zulily</t>
  </si>
  <si>
    <t>MP13-708</t>
  </si>
  <si>
    <t>AMAZON,AMAZONDS,ASHFURNDS,BBBDROP,BIGLOTSDS,BLK01,CASTLEGATE,CSNSTORES,HOUZZ,HSNDS,JCPENNEY01,KOHLDSN,MACY02,OLLIIX,OVERSCONSIGN,OVERSTOCK01,TGTDVS,Zulily</t>
  </si>
  <si>
    <t>MP13-709</t>
  </si>
  <si>
    <t>AMAZON,AMAZONDS,BBBDROP,BIGLOTSDS,BLK01,CASTLEGATE,CSNSTORES,HOUZZ,JCPENNEY01,KOHLDSN,MACY02,NEBFUR01,OLLIIX,OVERSCONSIGN,OVERSTOCK01,TGTDVS,Zulily</t>
  </si>
  <si>
    <t>MP13-6455</t>
  </si>
  <si>
    <t>Dark Grey</t>
  </si>
  <si>
    <t>7/9/2019</t>
  </si>
  <si>
    <t>AMAZON,AMAZONDS,BBBDROP,BIGLOTSDS,CSNSTORES,HSNDS,JCPENNEY01,KOHLDSN,MACY02,NEBFUR01,OLLIIX,OVERSTOCK01,TGTDVS,WALMARTDS</t>
  </si>
  <si>
    <t>MP13-6126</t>
  </si>
  <si>
    <t>12/17/2018</t>
  </si>
  <si>
    <t>AMAZON,AMAZONDS,ASHFURNDS,BIGLOTSDS,BLK01,CSNSTORES,JCPENNEY01,KOHLDSN,MACY02,OLLIIX,OVERSCONSIGN,OVERSTOCK01,TGTDVS</t>
  </si>
  <si>
    <t>MP13-6127</t>
  </si>
  <si>
    <t>AMAZON,AMAZONDS,ASHFURNDS,BBBDROP,BEALLSDS,BIGLOTSDS,BLK01,CASTLEGATE,CSNSTORES,JCPENNEY01,KOHLDSN,MACY02,OLLIIX,OVERSTOCK01,TGTDVS</t>
  </si>
  <si>
    <t>MP13-2989</t>
  </si>
  <si>
    <t>AMAZON,AMAZONDS,BBBDROP,BEALLSDS,BIGLOTSDS,BLK01,CSNSTORES,JCPENNEY01,KOHLDSN,MACY02,OLLIIX,OVERSCONSIGN,OVERSTOCK01,TGTDVS</t>
  </si>
  <si>
    <t>MP13-2990</t>
  </si>
  <si>
    <t>5/18/2017</t>
  </si>
  <si>
    <t>AMAZON,AMAZONDS,BBBDROP,BEALLSDS,BIGLOTSDS,BLK01,CSNSTORES,HOUZZ,JCPENNEY01,KOHLDSN,MACY02,OLLIIX,OVERSTOCK01,TGTDVS,Zulily</t>
  </si>
  <si>
    <t>MP13-1565</t>
  </si>
  <si>
    <t>PF002453</t>
  </si>
  <si>
    <t>AMAZON,AMAZONDS,BBBDROP,BEALLSDS,BIGLOTSDS,BLK01,CSNSTORES,DESINC,HOUZZ,HSNDS,JCPENNEY01,KOHLDSN,MACY02,OLLIIX,OVERSCONSIGN,OVERSTOCK01,TGTDVS</t>
  </si>
  <si>
    <t>MP13-1566</t>
  </si>
  <si>
    <t>AMAZON,AMAZONDS,BBBDROP,BEALLSDS,BIGLOTSDS,BLK01,CASTLEGATE,CSNSTORES,FINGERHUTDS,HOUZZ,HSNDS,JCPENNEY01,KOHLDSN,MACY02,OLLIIX,OVERSCONSIGN,OVERSTOCK01,TGTDVS</t>
  </si>
  <si>
    <t>MP13-6497</t>
  </si>
  <si>
    <t>AMAZON,AMAZONDS,ASHFURNDS,BBBDROP,BEALLSDS,BIGLOTSDS,BLK01,CSNSTORES,DESINC,JCPENNEY01,KOHLDSN,MACY02,OLLIIX,OVERSCONSIGN,OVERSTOCK01,TGTDVS,WALMARTDS</t>
  </si>
  <si>
    <t>MP13-6498</t>
  </si>
  <si>
    <t>AMAZON,AMAZONDS,ASHFURNDS,BBBDROP,BEALLSDS,BIGLOTSDS,BLK01,CSNSTORES,JCPENNEY01,KOHLDSN,MACY02,OLLIIX,OVERSCONSIGN,OVERSTOCK01,TGTDVS,WALMARTDS</t>
  </si>
  <si>
    <t>MP13-6130</t>
  </si>
  <si>
    <t>PF002402;PP000488</t>
  </si>
  <si>
    <t>AMAZON,AMAZONDS,BBBDROP,BEALLSDS,BIGLOTSDS,BLK01,CSNSTORES,JCPENNEY01,KOHLDSN,MACY02,OLLIIX,OVERSTOCK01,TGTDVS</t>
  </si>
  <si>
    <t>MP13-6131</t>
  </si>
  <si>
    <t>AMAZON,AMAZONDS,ASHFURNDS,BIGLOTSDS,BLK01,CSNSTORES,DESINC,HSNDS,JCPENNEY01,KOHLDSN,MACY02,OLLIIX,OVERSCONSIGN,OVERSTOCK01,TGTDVS,WALMARTDS,Zulily</t>
  </si>
  <si>
    <t>MP13-2991</t>
  </si>
  <si>
    <t>AMAZON,AMAZONDS,BBBDROP,BEALLSDS,BIGLOTSDS,BLK01,CSNSTORES,HSNDS,JCPENNEY01,KOHLDSN,MACY02,OLLIIX,OVERSCONSIGN,OVERSTOCK01,TGTDVS,Zulily</t>
  </si>
  <si>
    <t>MP13-2992</t>
  </si>
  <si>
    <t>AMAZON,AMAZONDS,BBBDROP,BEALLSDS,BIGLOTSDS,BLK01,CSNSTORES,HSNDS,JCPENNEY01,KOHLDSN,MACY02,NEBFUR01,OLLIIX,OVERSCONSIGN,OVERSTOCK01,TGTDVS</t>
  </si>
  <si>
    <t>MP13-6153</t>
  </si>
  <si>
    <t>AMAZON,AMAZONDS,BBBDROP,BEALLSDS,BLK01,CSNSTORES,JCPENNEY01,KOHLDSN,MACY02,OLLIIX,OVERSCONSIGN,OVERSTOCK01,TGTDVS,Zulily</t>
  </si>
  <si>
    <t>MP13-6154</t>
  </si>
  <si>
    <t>MP13-2993</t>
  </si>
  <si>
    <t>PF002401</t>
  </si>
  <si>
    <t>4/7/2017</t>
  </si>
  <si>
    <t>MP13-2994</t>
  </si>
  <si>
    <t>AMAZON,AMAZONDS,ASHFURNDS,BBBDROP,BEALLSDS,BIGLOTSDS,BLK01,CASTLEGATE,CSNSTORES,DESINC,HOUZZ,JCPENNEY01,KOHLDSN,MACY02,OLLIIX,OVERSCONSIGN,OVERSTOCK01,TGTDVS,Zulily</t>
  </si>
  <si>
    <t>MP13-6444</t>
  </si>
  <si>
    <t>7/11/2019</t>
  </si>
  <si>
    <t>AMAZON,AMAZONDS,BBBDROP,BEALLSDS,BIGLOTSDS,BLK01,CASTLEGATE,CSNSTORES,JCPENNEY01,KOHLDSN,MACY02,OLLIIX,OVERSCONSIGN,OVERSTOCK01,TGTDVS,WALMARTDS</t>
  </si>
  <si>
    <t>MP13-6445</t>
  </si>
  <si>
    <t>AMAZON,AMAZONDS,ASHFURNDS,BBBDROP,BEALLSDS,BIGLOTSDS,BLK01,CASTLEGATE,CSNSTORES,HSNDS,JCPENNEY01,KOHLDSN,MACY02,OLLIIX,OVERSCONSIGN,OVERSTOCK01,TGTDVS,WALMARTDS</t>
  </si>
  <si>
    <t>MP13-1567</t>
  </si>
  <si>
    <t>PF002464</t>
  </si>
  <si>
    <t>AMAZON,AMAZONDS,ASHFURNDS,BBBDROP,BIGLOTSDS,BLK01,CASTLEGATE,CSNSTORES,FINGERHUTDS,HSNDS,JCPENNEY01,KOHLDSN,MACY02,OLLIIX,OVERSCONSIGN,OVERSTOCK01,TGTDVS</t>
  </si>
  <si>
    <t>MP13-1568</t>
  </si>
  <si>
    <t>AMAZON,AMAZONDS,BBBDROP,BIGLOTSDS,BLK01,CASTLEGATE,CSNSTORES,HOUZZ,HSNDS,JCPENNEY01,KOHLDSN,MACY02,OLLIIX,OVERSCONSIGN,OVERSTOCK01,TGTDVS,Zulily</t>
  </si>
  <si>
    <t>MP13-6128</t>
  </si>
  <si>
    <t>AMAZON,AMAZONDS,BBBDROP,BIGLOTSDS,BLK01,CSNSTORES,JCPENNEY01,KOHLDSN,MACY02,NEBFUR01,OLLIIX,OVERSTOCK01,TGTDVS,Zulily</t>
  </si>
  <si>
    <t>MP13-6129</t>
  </si>
  <si>
    <t>AMAZON,AMAZONDS,BBBDROP,BEALLSDS,BIGLOTSDS,BLK01,CSNSTORES,JCPENNEY01,KOHLDSN,MACY02,OLLIIX,OVERSTOCK01,TGTDVS,WALMARTDS</t>
  </si>
  <si>
    <t>MP13-1569</t>
  </si>
  <si>
    <t>PF002486</t>
  </si>
  <si>
    <t>AMAZON,AMAZONDS,ASHFURNDS,BBBDROP,BIGLOTSDS,BLK01,CSNSTORES,DESINC,HOUZZ,JCPENNEY01,KOHLDSN,MACY02,OLLIIX,OVERSCONSIGN,OVERSTOCK01,TGTDVS,Zulily</t>
  </si>
  <si>
    <t>MP13-1570</t>
  </si>
  <si>
    <t>AMAZON,AMAZONDS,ASHFURNDS,BBBDROP,BIGLOTSDS,BLK01,CSNSTORES,HOUZZ,HSNDS,JCPENNEY01,KOHLDSN,MACY02,OLLIIX,OVERSTOCK01,TGTDVS</t>
  </si>
  <si>
    <t>MP13-8289</t>
  </si>
  <si>
    <t>Coverlet &amp; Bedspread</t>
  </si>
  <si>
    <t>4 Piece Seersucker Quilt Set with Throw Pillow</t>
  </si>
  <si>
    <t>8/25/2023</t>
  </si>
  <si>
    <t>MP13-8290</t>
  </si>
  <si>
    <t>AMAZON,AMAZONDS,BLK01,CSNSTORES,DESINC,JCPENNEY01,KOHLDSN,MACY02,NRTPORT,OLLIIX,OVERSCONSIGN,OVERSTOCK01,TGTDVS</t>
  </si>
  <si>
    <t>MP13-8205</t>
  </si>
  <si>
    <t>PP001862;PF005961</t>
  </si>
  <si>
    <t>AMAZON,AMAZONDS,BLK01,CSNSTORES,DESINC,JCPENNEY01,KIRKLANDDS,KOHLDSN,MACY02,NRTPORT,OLLIIX,OVERSTOCK01,TGTDVS</t>
  </si>
  <si>
    <t>MP13-8206</t>
  </si>
  <si>
    <t>MP13-8480</t>
  </si>
  <si>
    <t>3 Piece Reversible Bedspread Set</t>
  </si>
  <si>
    <t>MP13-8481</t>
  </si>
  <si>
    <t>MP13-8484</t>
  </si>
  <si>
    <t>Clay Red</t>
  </si>
  <si>
    <t>MP13-8485</t>
  </si>
  <si>
    <t>MP13-8470</t>
  </si>
  <si>
    <t>Red/Black</t>
  </si>
  <si>
    <t>PP001028;PF006311</t>
  </si>
  <si>
    <t>5/29/2024</t>
  </si>
  <si>
    <t>MP13-8471</t>
  </si>
  <si>
    <t>MP13-4474</t>
  </si>
  <si>
    <t>Daybed Cover</t>
  </si>
  <si>
    <t>6 Piece Reversible Printed Microfiber Daybed Cover Set</t>
  </si>
  <si>
    <t>Daybed</t>
  </si>
  <si>
    <t>PF003396</t>
  </si>
  <si>
    <t>6/10/2017</t>
  </si>
  <si>
    <t>AMAZON,AMAZONDS,ASHFURNDS,BBBDROP,BEALLSDS,BLK01,CASTLEGATE,CSNSTORES,DESINC,JCPENNEY01,KOHLDSN,MACY02,NEBFUR01,OLLIIX,OVERSTOCK01,TGTDVS,Zulily</t>
  </si>
  <si>
    <t>MP13-6572</t>
  </si>
  <si>
    <t>6 Piece Reversible Daybed Cover Set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</si>
  <si>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</si>
  <si>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</si>
  <si>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</si>
  <si>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</si>
  <si>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</si>
  <si>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</si>
  <si>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</si>
  <si>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</si>
  <si>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</si>
  <si>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</si>
  <si>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AMAZON,AMAZONDS,BBBDROP,BLK01,CSNSTORES,DESINC,FINGERHUTDS,JCPENNEY01,KOHLDSN,MACY02,OLLIIX,OVERSCONSIGN,OVERSTOCK01,TGTDVS,WALMARTDS</t>
  </si>
  <si>
    <t>MP13-3972</t>
  </si>
  <si>
    <t>PF002720</t>
  </si>
  <si>
    <t>5/10/2017</t>
  </si>
  <si>
    <t>AMAZON,AMAZONDS,ASHFURNDS,BBBDROP,BLK01,CSNSTORES,DESINC,FINGERHUTDS,JCPENNEY01,KOHLDSN,MACY02,OLLIIX,OVERSCONSIGN,OVERSTOCK01,TGTDVS,WALMARTDS,Zulily</t>
  </si>
  <si>
    <t>MP13-5590</t>
  </si>
  <si>
    <t>Leila</t>
  </si>
  <si>
    <t>Lorilyn</t>
  </si>
  <si>
    <t>Lucita</t>
  </si>
  <si>
    <t>Dark Gray</t>
  </si>
  <si>
    <t>PF004175;PP000845</t>
  </si>
  <si>
    <t>3/20/2018</t>
  </si>
  <si>
    <t>9/2/2024</t>
  </si>
  <si>
    <t>AMAZON,AMAZONDS,BBBDROP,BLK01,CSNSTORES,DESINC,HOUZZ,JCPENNEY01,KOHLDSN,MACY02,OLLIIX,OVERSCONSIGN,OVERSTOCK01,TGTDVS,WALMARTDS</t>
  </si>
  <si>
    <t>MP13-3976</t>
  </si>
  <si>
    <t>Peyton</t>
  </si>
  <si>
    <t>Brenna</t>
  </si>
  <si>
    <t>Natalie</t>
  </si>
  <si>
    <t>PF002639;PP000923</t>
  </si>
  <si>
    <t>5/26/2017</t>
  </si>
  <si>
    <t>AMAZON,AMAZONDS,BBBDROP,BLK01,CASTLEGATE,CSNSTORES,FINGERHUTDS,JCPENNEY01,KOHLDSN,MACY02,OLLIIX,OVERSCONSIGN,OVERSTOCK01,TGTDVS,WALMARTDS,Zulily</t>
  </si>
  <si>
    <t>MP13-6458</t>
  </si>
  <si>
    <t>AMAZON,AMAZONDS,BBBDROP,BLK01,CASTLEGATE,CSNSTORES,DESINC,HOUZZ,HSNDS,JCPENNEY01,KOHLDSN,MACY02,OLLIIX,OVERSCONSIGN,OVERSTOCK01,TGTDVS,Zulily</t>
  </si>
  <si>
    <t>MP13-4970</t>
  </si>
  <si>
    <t>PF002408</t>
  </si>
  <si>
    <t>8/24/2017</t>
  </si>
  <si>
    <t>AMAZON,AMAZONDS,BBBDROP,BLK01,CASTLEGATE,CSNSTORES,DESINC,HSNDS,JCPENNEY01,KOHLDSN,MACY02,OLLIIX,OVERSCONSIGN,OVERSTOCK01,TGTDVS,Zulily</t>
  </si>
  <si>
    <t>MP13-3977</t>
  </si>
  <si>
    <t>PF002403</t>
  </si>
  <si>
    <t>AMAZON,AMAZONDS,BBBDROP,BLK01,CASTLEGATE,CSNSTORES,DESINC,HOUZZ,JCPENNEY01,KOHLDSN,MACY02,OLLIIX,OVERSTOCK01,TGTDVS,Zulily</t>
  </si>
  <si>
    <t>MP13-4971</t>
  </si>
  <si>
    <t>PF002410</t>
  </si>
  <si>
    <t>AMAZON,AMAZONDS,BBBDROP,BEALLSDS,BLK01,CSNSTORES,DESINC,HDDS,HOUZZ,HSNDS,JCPENNEY01,KOHLDSN,MACY02,OLLIIX,OVERSCONSIGN,OVERSTOCK01,TGTDVS,Zulily</t>
  </si>
  <si>
    <t>MP13-3979</t>
  </si>
  <si>
    <t>PF002405</t>
  </si>
  <si>
    <t>AMAZON,AMAZONDS,BBBDROP,BEALLSDS,BLK01,CSNSTORES,DESINC,HSNDS,JCPENNEY01,KOHLDSN,MACY02,OLLIIX,OVERSCONSIGN,OVERSTOCK01,TGTDVS,Zulily</t>
  </si>
  <si>
    <t>MP13-3980</t>
  </si>
  <si>
    <t>PF002406</t>
  </si>
  <si>
    <t>AMAZON,AMAZONDS,BBBDROP,BLK01,CSNSTORES,DESINC,HOUZZ,JCPENNEY01,KOHLDSN,MACY02,OLLIIX,OVERSTOCK01,TGTDVS</t>
  </si>
  <si>
    <t>MP13-8388</t>
  </si>
  <si>
    <t>6 Piece Reversible Plaid Daybed Cover Set</t>
  </si>
  <si>
    <t>PP001537;PF006171</t>
  </si>
  <si>
    <t>4/5/2024</t>
  </si>
  <si>
    <t>CSNSTORES,DESINC,KOHLDSN,OVERSTOCK01,TGTDVS</t>
  </si>
  <si>
    <t>MP13-8387</t>
  </si>
  <si>
    <t>CSNSTORES,KOHLDSN,OLLIIX,TGTDVS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</si>
  <si>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</si>
  <si>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</si>
  <si>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</si>
  <si>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</si>
  <si>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</si>
  <si>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</si>
  <si>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</si>
  <si>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</si>
  <si>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</si>
  <si>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</si>
  <si>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</si>
  <si>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AMAZON,AMAZONDS,BBBDROP,BEALLSDS,BLK01,CSNSTORES,DESINC,FINGERHUTDS,JCPENNEY01,KOHLDSN,MACY02,OLLIIX,OVERSCONSIGN,OVERSTOCK01,TGTDVS,WALMARTDS,Zulily</t>
  </si>
  <si>
    <t>MP13-5322</t>
  </si>
  <si>
    <t>5 Piece Tufted Cotton Chenille Daybed Set</t>
  </si>
  <si>
    <t>ASHFURNDS,BBBDROP,BEALLSDS,BLK01,CASTLEGATE,CSNSTORES,DESINC,JCPENNEY01,KOHLDSN,MACY02,OLLIIX,OVERSCONSIGN,OVERSTOCK01,TGTDVS,WALMARTDS,Zulily</t>
  </si>
  <si>
    <t>MP13-3973</t>
  </si>
  <si>
    <t>PF002678</t>
  </si>
  <si>
    <t>4/20/2017</t>
  </si>
  <si>
    <t>AMAZON,AMAZONDS,ASHFURNDS,BBBDROP,BLK01,CSNSTORES,DESINC,HOUZZ,JCPENNEY01,KOHLDSN,MACY02,NRTPORT,OLLIIX,OVERSCONSIGN,OVERSTOCK01,TGTDVS,Zulily</t>
  </si>
  <si>
    <t>MP13-3974</t>
  </si>
  <si>
    <t>4/27/2017</t>
  </si>
  <si>
    <t>MP13-8386</t>
  </si>
  <si>
    <t>6 Piece Reversible Scalloped Edge Daybed Cover Set</t>
  </si>
  <si>
    <t>Shabby Chic|Traditional</t>
  </si>
  <si>
    <t>2/7/2024</t>
  </si>
  <si>
    <t>MP13-6463</t>
  </si>
  <si>
    <t>7/12/2019</t>
  </si>
  <si>
    <t>AMAZON,AMAZONDS,BLK01,CASTLEGATE,CSNSTORES,DESINC,FINGERHUTDS,HSNDS,JCPENNEY01,KOHLDSN,MACY02,OLLIIX,OVERSCONSIGN,OVERSTOCK01,TGTDVS,Zulily</t>
  </si>
  <si>
    <t>MP13-5024</t>
  </si>
  <si>
    <t>PF002700</t>
  </si>
  <si>
    <t>9/9/2017</t>
  </si>
  <si>
    <t>AMAZON,AMAZONDS,BBBDROP,BEALLSDS,BLK01,CSNSTORES,DESINC,HOUZZ,HSNDS,JCPENNEY01,KOHLDSN,MACY02,NEBFUR01,NRTPORT,OLLIIX,OVERSCONSIGN,OVERSTOCK01,TGTDVS</t>
  </si>
  <si>
    <t>MP13-6464</t>
  </si>
  <si>
    <t>AMAZON,AMAZONDS,BBBDROP,BLK01,CASTLEGATE,CSNSTORES,DESINC,FINGERHUTDS,HSNDS,JCPENNEY01,KOHLDSN,MACY02,OLLIIX,OVERSTOCK01,TGTDVS</t>
  </si>
  <si>
    <t>MP13-5023</t>
  </si>
  <si>
    <t>AMAZON,AMAZONDS,BBBDROP,BLK01,CASTLEGATE,CSNSTORES,DESINC,HSNDS,JCPENNEY01,KOHLDSN,MACY02,OLLIIX,OVERSTOCK01,TGTDVS,Zulily</t>
  </si>
  <si>
    <t>MP13-4473</t>
  </si>
  <si>
    <t>PF002447</t>
  </si>
  <si>
    <t>6/23/2017</t>
  </si>
  <si>
    <t>AMAZON,AMAZONDS,BBBDROP,BEALLSDS,BLK01,CASTLEGATE,CSNSTORES,DESINC,HOUZZ,JCPENNEY01,KOHLDSN,MACY02,OLLIIX,OVERSTOCK01,TGTDVS,WALMARTDS,Zulily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</si>
  <si>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</si>
  <si>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</si>
  <si>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</si>
  <si>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</si>
  <si>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</si>
  <si>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</si>
  <si>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AMAZON,AMAZONDS,BEALLSDS,BLK01,CSNSTORES,DESINC,FINGERHUTDS,HOUZZ,JCPENNEY01,KOHLDSN,MACY02,OLLIIX,OVERSCONSIGN,OVERSTOCK01,TGTDVS,Zulily</t>
  </si>
  <si>
    <t>MP13-5487</t>
  </si>
  <si>
    <t>PF004099;PP000746</t>
  </si>
  <si>
    <t>MP13-5488</t>
  </si>
  <si>
    <t xml:space="preserve">4 Piece Cotton Reversible Tailored  Bedspread  Set</t>
  </si>
  <si>
    <t>AMAZON,AMAZONDS,BBBDROP,BEALLSDS,BLK01,CSNSTORES,DESINC,JCPENNEY01,KOHLDSN,MACY02,OLLIIX,OVERSCONSIGN,OVERSTOCK01,TGTDVS,WALMARTDS,Zulily</t>
  </si>
  <si>
    <t>MP13-6476</t>
  </si>
  <si>
    <t>3 Piece Split Corner Pleated Quilted Bedspread</t>
  </si>
  <si>
    <t>7/18/2019</t>
  </si>
  <si>
    <t>AMAZONDS,BBBDROP,BLK01,CASTLEGATE,CSNSTORES,HOUZZ,HSNDS,JCPENNEY01,KOHLDSN,MACY02,OLLIIX,OVERSCONSIGN,OVERSTOCK01,TGTDVS,WALMARTDS,Zulily</t>
  </si>
  <si>
    <t>MP13-6477</t>
  </si>
  <si>
    <t>MP13-6474</t>
  </si>
  <si>
    <t>AMAZON,AMAZONDS,BBBDROP,BEALLSDS,BLK01,CSNSTORES,JCPENNEY01,KOHLDSN,MACY02,OLLIIX,OVERSTOCK01,TGTDVS,WALMARTDS,Zulily</t>
  </si>
  <si>
    <t>MP13-6475</t>
  </si>
  <si>
    <t>MP13-6478</t>
  </si>
  <si>
    <t>AMAZON,AMAZONDS,BEALLSDS,BLK01,CSNSTORES,DESINC,HSNDS,JCPENNEY01,KOHLDSN,MACY02,OLLIIX,OVERSTOCK01,TGTDVS,WALMARTDS,Zulily</t>
  </si>
  <si>
    <t>MP13-6479</t>
  </si>
  <si>
    <t>AMAZON,AMAZONDS,ASHFURNDS,BBBDROP,BEALLSDS,BLK01,CSNSTORES,DESINC,FINGERHUTDS,HSNDS,JCPENNEY01,KOHLDSN,MACY02,OLLIIX,OVERSTOCK01,TGTDVS,Zulily</t>
  </si>
  <si>
    <t>MP13-6480</t>
  </si>
  <si>
    <t>AMAZON,AMAZONDS,BBBDROP,BEALLSDS,BLK01,CSNSTORES,HSNDS,JCPENNEY01,KOHLDSN,MACY02,OLLIIX,OVERSTOCK01,TGTDVS</t>
  </si>
  <si>
    <t>MP13-6481</t>
  </si>
  <si>
    <t>AMAZON,AMAZONDS,BBBDROP,BEALLSDS,BLK01,CSNSTORES,FINGERHUTDS,HOUZZ,HSNDS,JCPENNEY01,KOHLDSN,MACY02,OLLIIX,OVERSTOCK01,TGTDVS</t>
  </si>
  <si>
    <t>MP12-389</t>
  </si>
  <si>
    <t>DUVET&amp;DUVET SET</t>
  </si>
  <si>
    <t>Duvet&amp;Duvet Set</t>
  </si>
  <si>
    <t>9 Piece Cotton Percale Duvet Cover Set</t>
  </si>
  <si>
    <t>MP12-390</t>
  </si>
  <si>
    <t>AMAZON,AMAZONDS,BBBDROP,BLK01,CSNSTORES,DESINC,HOUZZ,JCPENNEY01,KOHLDSN,MACY02,OLLIIX,OVERSCONSIGN,OVERSTOCK01,ROOMECOM,TGTDVS,Zulily</t>
  </si>
  <si>
    <t>3/9/2023</t>
  </si>
  <si>
    <t>MP12-391</t>
  </si>
  <si>
    <t>AMAZON,AMAZONDS,BBBDROP,BLK01,CSNSTORES,JCPENNEY01,KOHLDSN,MACY02,OLLIIX,OVERSTOCK01,ROOMECOM,TGTDVS,Zulily</t>
  </si>
  <si>
    <t>9/1/2023</t>
  </si>
  <si>
    <t>MP12-2796</t>
  </si>
  <si>
    <t>Print</t>
  </si>
  <si>
    <t>MP12-2797</t>
  </si>
  <si>
    <t>MP12-2798</t>
  </si>
  <si>
    <t>MP12-4396</t>
  </si>
  <si>
    <t>Nicolette</t>
  </si>
  <si>
    <t>Amari</t>
  </si>
  <si>
    <t>4 Piece Cotton Seersucker Duvet Cover Set</t>
  </si>
  <si>
    <t>PF002666</t>
  </si>
  <si>
    <t>ASHFURNDS,BBBDROP,BLK01,CASTLEGATE,CSNSTORES,FINGERHUTDS,KOHLDSN,MACY02,OLLIIX,OVERSCONSIGN,OVERSTOCK01,ROOMECOM,TGTDVS,WALMARTDS</t>
  </si>
  <si>
    <t>12/1/2023</t>
  </si>
  <si>
    <t>MP12-4397</t>
  </si>
  <si>
    <t>ASHFURNDS,BBBDROP,BLK01,CASTLEGATE,CSNSTORES,FINGERHUTDS,KOHLDSN,MACY02,OLLIIX,OVERSTOCK01,ROOMECOM,TGTDVS,WALMARTDS</t>
  </si>
  <si>
    <t>3/29/2023</t>
  </si>
  <si>
    <t>MP12-3832</t>
  </si>
  <si>
    <t>6 Piece Printed Duvet Cover Set</t>
  </si>
  <si>
    <t>AMAZON,AMAZONDS,BBBDROP,BLK01,CASTLEGATE,CSNSTORES,FINGERHUTDS,JCPENNEY01,KOHLDSN,MACY02,OLLIIX,OVERSTOCK01,ROOMECOM,TGTDVS,WALMARTDS,Zulily</t>
  </si>
  <si>
    <t>MP12-3833</t>
  </si>
  <si>
    <t>5/17/2017</t>
  </si>
  <si>
    <t>AMAZON,AMAZONDS,BBBDROP,BLK01,CASTLEGATE,CSNSTORES,DESINC,FINGERHUTDS,HSNDS,JCPENNEY01,KOHLDSN,MACY02,OLLIIX,OVERSTOCK01,ROOMECOM,TGTDVS,WALMARTDS,Zulily</t>
  </si>
  <si>
    <t>6/4/2023</t>
  </si>
  <si>
    <t>MP12-7956</t>
  </si>
  <si>
    <t>PP001783;PF005737</t>
  </si>
  <si>
    <t>AMAZONDS,BBBDROP,CSNSTORES,JCPENNEY01,KOHLDSN,MACY02,OLLIIX,OVERSTOCK01,TGTDVS,Zulily</t>
  </si>
  <si>
    <t>MP12-7957</t>
  </si>
  <si>
    <t>AMAZONDS,BBBDROP,CSNSTORES,DESINC,JCPENNEY01,KOHLDSN,MACY02,OLLIIX,OVERSTOCK01,TGTDVS</t>
  </si>
  <si>
    <t>MP12-476</t>
  </si>
  <si>
    <t>MP12-477</t>
  </si>
  <si>
    <t>MP12-4127</t>
  </si>
  <si>
    <t>Hailey</t>
  </si>
  <si>
    <t>Shelby</t>
  </si>
  <si>
    <t>7 Piece Jacquard Duvet Cover Set</t>
  </si>
  <si>
    <t>PF002640</t>
  </si>
  <si>
    <t>Traditional|Glam/Luxury</t>
  </si>
  <si>
    <t>MP12-276</t>
  </si>
  <si>
    <t>6 Piece Duvet Cover Set</t>
  </si>
  <si>
    <t>AMAZONDS,BBBDROP,BLK01,CSNSTORES,HOUZZ,JCPENNEY01,KOHLDSN,MACY02,NRTPORT,OLLIIX,OVERSTOCK01,TGTDVS,WALMARTDS,Zulily</t>
  </si>
  <si>
    <t>MP12-277</t>
  </si>
  <si>
    <t>MP12-3736</t>
  </si>
  <si>
    <t>6 Piece Jaquard Duvet Cover Set</t>
  </si>
  <si>
    <t>BBBDROP,BLK01,CASTLEGATE,CSNSTORES,DESINC,FINGERHUTDS,JCPENNEY01,KOHLDSN,MACY02,OLLIIX,OVERSTOCK01,TGTDVS,Zulily</t>
  </si>
  <si>
    <t>MP12-3737</t>
  </si>
  <si>
    <t>BLK01,CSNSTORES,DESINC,JCPENNEY01,KOHLDSN,MACY02,OLLIIX,OVERSTOCK01,TGTDVS,Zulily</t>
  </si>
  <si>
    <t>MP12-3053</t>
  </si>
  <si>
    <t>AMAZON,BBBDROP,BLK01,CASTLEGATE,CSNSTORES,JCPENNEY01,KOHLDSN,MACY02,OLLIIX,OVERSTOCK01,TGTDVS,Zulily</t>
  </si>
  <si>
    <t>MP12-3054</t>
  </si>
  <si>
    <t>AMAZON,BBBDROP,BLK01,CSNSTORES,DESINC,FINGERHUTDS,HOUZZ,JCPENNEY01,KOHLDSN,MACY02,OLLIIX,OVERSTOCK01,TGTDVS,Zulily</t>
  </si>
  <si>
    <t>MP12-8293</t>
  </si>
  <si>
    <t>5 Piece Botanical Floral Seersucker Duvet Cover Set</t>
  </si>
  <si>
    <t>MP12-8294</t>
  </si>
  <si>
    <t>MP12-2530</t>
  </si>
  <si>
    <t>4 Piece Microfiber 2-in-1 Duvet Set</t>
  </si>
  <si>
    <t>BBBDROP,BLK01,CSNSTORES,DESINC,HOUZZ,JCPENNEY01,KOHLDSN,MACY02,OLLIIX,OVERSCONSIGN,OVERSTOCK01,TGTDVS,WALMARTDS</t>
  </si>
  <si>
    <t>MP12-2531</t>
  </si>
  <si>
    <t>ASHFURNDS,BBBDROP,BLK01,CSNSTORES,JCPENNEY01,KOHLDSN,MACY02,OLLIIX,OVERSCONSIGN,OVERSTOCK01,TGTDVS,WALMARTDS,Zulily</t>
  </si>
  <si>
    <t>MP12-4234</t>
  </si>
  <si>
    <t>Addison</t>
  </si>
  <si>
    <t>Jessie</t>
  </si>
  <si>
    <t xml:space="preserve">8 Piece Cotton  Duvet Cover Set</t>
  </si>
  <si>
    <t>PF002645</t>
  </si>
  <si>
    <t>Transitional|Modern/Contemporary</t>
  </si>
  <si>
    <t>MP12-4169</t>
  </si>
  <si>
    <t>7 Piece Cotton Duvet Cover Set</t>
  </si>
  <si>
    <t>BLK01,CSNSTORES,FINGERHUTDS,JCPENNEY01,KOHLDSN,MACY02,NRTPORT,OLLIIX,OVERSTOCK01,TGTDVS,WALMARTDS</t>
  </si>
  <si>
    <t>MP12-4170</t>
  </si>
  <si>
    <t>BBBDROP,BLK01,CSNSTORES,DESINC,FINGERHUTDS,HOUZZ,JCPENNEY01,KOHLDSN,MACY02,NRTPORT,OLLIIX,OVERSCONSIGN,OVERSTOCK01,TGTDVS,WALMARTDS,Zulily</t>
  </si>
  <si>
    <t>MP12-8339</t>
  </si>
  <si>
    <t>4 Piece Printed Duvet Cover Set with Throw Pillow</t>
  </si>
  <si>
    <t>CSNSTORES,OLLIIX,OVERSTOCK01,TGTDVS</t>
  </si>
  <si>
    <t>MP12-8340</t>
  </si>
  <si>
    <t>MP12-5673</t>
  </si>
  <si>
    <t>AMAZON,AMAZONDS,BBBDROP,BIGLOTSDS,BLK01,CSNSTORES,FINGERHUTDS,JCPENNEY01,KOHLDSN,MACY02,NRTPORT,OLLIIX,OVERSCONSIGN,OVERSTOCK01,TGTDVS</t>
  </si>
  <si>
    <t>MP12-5674</t>
  </si>
  <si>
    <t>AMAZON,AMAZONDS,BBBDROP,BEALLSDS,BIGLOTSDS,BLK01,CSNSTORES,FINGERHUTDS,JCPENNEY01,KOHLDSN,MACY02,OLLIIX,OVERSTOCK01,TGTDVS,Zulily</t>
  </si>
  <si>
    <t>MP12-260</t>
  </si>
  <si>
    <t>AMAZON,AMAZONDS,BBBDROP,CSNSTORES,FINGERHUTDS,JCPENNEY01,KOHLDSN,MACY02,OLLIIX,OVERSCONSIGN,OVERSTOCK01,TGTDVS,WALMARTDS,Zulily</t>
  </si>
  <si>
    <t>MP12-261</t>
  </si>
  <si>
    <t>MP12-176</t>
  </si>
  <si>
    <t>AMAZON,AMAZONDS,BBBDROP,BLK01,CSNSTORES,HSNDS,JCPENNEY01,KOHLDSN,MACY02,NRTPORT,OLLIIX,OVERSCONSIGN,OVERSTOCK01,TGTDVS</t>
  </si>
  <si>
    <t>MP12-177</t>
  </si>
  <si>
    <t>MP12-3663</t>
  </si>
  <si>
    <t>9 Piece Cotton Twill Reversible Duvet Set</t>
  </si>
  <si>
    <t>AMAZON,AMAZONDS,BBBDROP,BLK01,CSNSTORES,DESINC,HOUZZ,JCPENNEY01,KOHLDSN,MACY02,OLLIIX,OVERSCONSIGN,OVERSTOCK01,TGTDVS,WALMARTDS,Zulily</t>
  </si>
  <si>
    <t>MP12-3664</t>
  </si>
  <si>
    <t>4/5/2017</t>
  </si>
  <si>
    <t>AMAZON,AMAZONDS,BBBDROP,BLK01,CSNSTORES,JCPENNEY01,KOHLDSN,MACY02,OLLIIX,OVERSCONSIGN,OVERSTOCK01,TGTDVS,WALMARTDS,Zulily</t>
  </si>
  <si>
    <t>MP12-3665</t>
  </si>
  <si>
    <t>5/23/2017</t>
  </si>
  <si>
    <t>AMAZON,AMAZONDS,BBBDROP,BLK01,CSNSTORES,JCPENNEY01,KOHLDSN,MACY02,OLLIIX,OVERSTOCK01,TGTDVS,WALMARTDS,Zulily</t>
  </si>
  <si>
    <t>MP12-6185</t>
  </si>
  <si>
    <t>4 Piece Embroidered Cotton Reversible Duvet Cover Set</t>
  </si>
  <si>
    <t>ASHFURNDS,BBBDROP,BLK01,CSNSTORES,DESINC,JCPENNEY01,KOHLDSN,MACY02,OLLIIX,OVERSCONSIGN,OVERSTOCK01,TGTDVS,WALMARTDS,ZOLA,Zulily</t>
  </si>
  <si>
    <t>MP12-6186</t>
  </si>
  <si>
    <t>ASHFURNDS,BBBDROP,BEALLSDS,BLK01,CSNSTORES,JCPENNEY01,KOHLDSN,MACY02,OLLIIX,OVERSTOCK01,TGTDVS,WALMARTDS,ZOLA,Zulily</t>
  </si>
  <si>
    <t>MP12-8075</t>
  </si>
  <si>
    <t>6 Piece Cotton Sateen Duvet Cover Set</t>
  </si>
  <si>
    <t>PP000484;PF005793</t>
  </si>
  <si>
    <t>AMAZON,AMAZONDS,CSNSTORES,JCPENNEY01,KOHLDSN,MACY02,OLLIIX,OVERSTOCK01,TGTDVS,Zulily</t>
  </si>
  <si>
    <t>MP12-8076</t>
  </si>
  <si>
    <t>MP12-2707</t>
  </si>
  <si>
    <t>AMAZON,AMAZONDS,BBBDROP,BLK01,CSNSTORES,DESINC,HOUZZ,KOHLDSN,MACY02,OLLIIX,OVERSCONSIGN,OVERSTOCK01,TGTDVS,WALMARTDS,Zulily</t>
  </si>
  <si>
    <t>MP12-2708</t>
  </si>
  <si>
    <t>AMAZON,AMAZONDS,BLK01,CSNSTORES,HOUZZ,KOHLDSN,MACY02,OLLIIX,OVERSTOCK01,TGTDVS,WALMARTDS,Zulily</t>
  </si>
  <si>
    <t>MP12-7215</t>
  </si>
  <si>
    <t>6 Piece Herringbone Duvet Cover Set</t>
  </si>
  <si>
    <t>PP001539;PF005194</t>
  </si>
  <si>
    <t>MP12-7216</t>
  </si>
  <si>
    <t>AMAZONDS,BBBDROP,BLK01,CSNSTORES,HOUZZ,KOHLDSN,MACY02,OLLIIX,OVERSCONSIGN,OVERSTOCK01,TGTDVS,Zulily</t>
  </si>
  <si>
    <t>MP12-4672</t>
  </si>
  <si>
    <t>BLK01,CSNSTORES,DESINC,FINGERHUTDS,JCPENNEY01,KIRKLANDDS,KOHLDSN,MACY02,OLLIIX,OVERSTOCK01,TGTDVS,WALMARTDS</t>
  </si>
  <si>
    <t>MP12-4673</t>
  </si>
  <si>
    <t>BBBDROP,BLK01,CSNSTORES,JCPENNEY01,KOHLDSN,MACY02,NRTPORT,OLLIIX,OVERSTOCK01,TGTDVS,WALMARTDS,Zulily</t>
  </si>
  <si>
    <t>MP12-1102</t>
  </si>
  <si>
    <t>AMAZON,AMAZONDS,BBBDROP,BLK01,CSNSTORES,HOUZZ,KOHLDSN,MACY02,NRTPORT,OLLIIX,OVERSCONSIGN,OVERSTOCK01,TGTDVS,WALMARTDS,Zulily</t>
  </si>
  <si>
    <t>MP12-1103</t>
  </si>
  <si>
    <t>AMAZON,AMAZONDS,BBBDROP,BLK01,CSNSTORES,HOUZZ,KOHLDSN,MACY02,OLLIIX,OVERSTOCK01,TGTDVS,Zulily</t>
  </si>
  <si>
    <t>MP12-5991</t>
  </si>
  <si>
    <t>Duvet Mini Set</t>
  </si>
  <si>
    <t>3 Piece Tufted Cotton Chenille Geometric Duvet Cover Set</t>
  </si>
  <si>
    <t>AMAZONDS,AMERSIGNDS,ASHFURNDS,BBBDROP,BEALLSDS,BLK01,CSNSTORES,HOUZZ,JCPENNEY01,KOHLDSN,MACY02,NEBFUR01,OLLIIX,OVERSTOCK01,ROOMECOM,TGTDVS,WALMARTDS,ZOLA,Zulily</t>
  </si>
  <si>
    <t>MP12-5992</t>
  </si>
  <si>
    <t>AMAZON,AMAZONDS,AMERSIGNDS,BBBDROP,BEALLSDS,BLK01,CSNSTORES,FINGERHUTDS,HOUZZ,JCPENNEY01,KOHLDSN,MACY02,NEBFUR01,NRTPORT,OLLIIX,OVERSTOCK01,ROOMECOM,TGTDVS,ZOLA,Zulily</t>
  </si>
  <si>
    <t>3/14/2023</t>
  </si>
  <si>
    <t>MP12-6207</t>
  </si>
  <si>
    <t>3 Piece Tufted Cotton Chenille Damask Duvet Cover Set</t>
  </si>
  <si>
    <t>3/25/2019</t>
  </si>
  <si>
    <t>AMAZON,AMERSIGNDS,ASHFURNDS,BBBDROP,BLK01,CSNSTORES,DESINC,FINGERHUTDS,HSNDS,JCPENNEY01,KOHLDSN,MACY02,NEBFUR01,OLLIIX,OVERSCONSIGN,OVERSTOCK01,ROOMECOM,TGTDVS,WALMARTDS,ZOLA,Zulily</t>
  </si>
  <si>
    <t>5/10/2023</t>
  </si>
  <si>
    <t>MP12-6208</t>
  </si>
  <si>
    <t>AMAZON,AMAZONDS,AMERSIGNDS,ASHFURNDS,BBBDROP,BLK01,CASTLEGATE,CSNSTORES,DESINC,FINGERHUTDS,HOUZZ,HSNDS,JCPENNEY01,KOHLDSN,MACY02,NEBFUR01,OLLIIX,OVERSCONSIGN,OVERSTOCK01,ROOMECOM,TGTDVS,WALMARTDS,ZOLA,Zulily</t>
  </si>
  <si>
    <t>2/22/2023</t>
  </si>
  <si>
    <t>MP12-7104</t>
  </si>
  <si>
    <t>3 piece Tufted Cotton Chenille Damask Duvet Cover Set</t>
  </si>
  <si>
    <t>3/18/2020</t>
  </si>
  <si>
    <t>AMAZON,AMAZONDS,BBBDROP,BLK01,CSNSTORES,DESINC,HDDS,JCPENNEY01,KOHLDSN,OLLIIX,OVERSCONSIGN,OVERSTOCK01,TGTDVS,ZOLA,Zulily</t>
  </si>
  <si>
    <t>MP12-7105</t>
  </si>
  <si>
    <t>AMAZON,AMAZONDS,ASHFURNDS,BBBDROP,BLK01,CSNSTORES,DESINC,HDDS,JCPENNEY01,KOHLDSN,OLLIIX,OVERSCONSIGN,OVERSTOCK01,TGTDVS,ZOLA,Zulily</t>
  </si>
  <si>
    <t>MP12-6394</t>
  </si>
  <si>
    <t>3 Piece Tufted Cotton Chenille Floral Duvet Cover Set</t>
  </si>
  <si>
    <t>ASHFURNDS,BBBDROP,BLK01,CASTLEGATE,CSNSTORES,DESINC,FINGERHUTDS,JCPENNEY01,KOHLDSN,MACY02,OLLIIX,OVERSCONSIGN,OVERSTOCK01,ROOMECOM,TGTDVS,WALMARTDS,Zulily</t>
  </si>
  <si>
    <t>8/18/2023</t>
  </si>
  <si>
    <t>MP12-6395</t>
  </si>
  <si>
    <t>BBBDROP,BLK01,CASTLEGATE,CSNSTORES,FINGERHUTDS,JCPENNEY01,KOHLDSN,MACY02,OLLIIX,OVERSCONSIGN,OVERSTOCK01,ROOMECOM,TGTDVS,Zulily</t>
  </si>
  <si>
    <t>3/1/2023</t>
  </si>
  <si>
    <t>MP12-7825</t>
  </si>
  <si>
    <t>PP001234;PF005648</t>
  </si>
  <si>
    <t>BBBDROP,CSNSTORES,JCPENNEY01,KOHLDSN,MACY02,OLLIIX,OVERSCONSIGN,OVERSTOCK01,TGTDVS,Zulily</t>
  </si>
  <si>
    <t>MP12-7826</t>
  </si>
  <si>
    <t>MP12-7875</t>
  </si>
  <si>
    <t>3 Piece Jacquard Duvet Cover Set</t>
  </si>
  <si>
    <t>PP001752;PF005692</t>
  </si>
  <si>
    <t>BBBDROP,CSNSTORES,JCPENNEY01,KOHLDSN,MACY02,OLLIIX,OVERSTOCK01,TGTDVS,Zulily</t>
  </si>
  <si>
    <t>MP12-7876</t>
  </si>
  <si>
    <t>MP12-6161</t>
  </si>
  <si>
    <t>3 Piece Cotton Seersucker Duvet Cover Set</t>
  </si>
  <si>
    <t>2/23/2019</t>
  </si>
  <si>
    <t>AMAZONDS,BBBDROP,BLK01,CSNSTORES,DESINC,FINGERHUTDS,JCPENNEY01,KOHLDSN,MACY02,NRTPORT,OLLIIX,OVERSCONSIGN,OVERSTOCK01,TGTDVS,WALMARTDS,Zulily</t>
  </si>
  <si>
    <t>MP12-6162</t>
  </si>
  <si>
    <t>AMAZONDS,BBBDROP,BLK01,CSNSTORES,HSNDS,JCPENNEY01,KOHLDSN,MACY02,NRTPORT,OLLIIX,OVERSTOCK01,TGTDVS</t>
  </si>
  <si>
    <t>MP12-8130</t>
  </si>
  <si>
    <t>3 Piece Corduroy Duvet Cover Set</t>
  </si>
  <si>
    <t>PP001830;PF005877</t>
  </si>
  <si>
    <t>BBBDROP,CSNSTORES,HDDS,JCPENNEY01,KOHLDSN,MACY02,OLLIIX,OVERSTOCK01,TGTDVS,Zulily</t>
  </si>
  <si>
    <t>MP12-8131</t>
  </si>
  <si>
    <t>BBBDROP,CASTLEGATE,CSNSTORES,HDDS,JCPENNEY01,KOHLDSN,MACY02,OLLIIX,OVERSCONSIGN,OVERSTOCK01,TGTDVS,Zulily</t>
  </si>
  <si>
    <t>MP12-6223</t>
  </si>
  <si>
    <t>3 Piece Tufted Cotton Chenille Palm Duvet Cover Set</t>
  </si>
  <si>
    <t>MP12-6224</t>
  </si>
  <si>
    <t>AMAZONDS,AMERSIGNDS,BBBDROP,BLK01,CSNSTORES,DESINC,HOUZZ,JCPENNEY01,KOHLDSN,MACY02,OLLIIX,OVERSTOCK01,TGTDVS,Zulily</t>
  </si>
  <si>
    <t>MP12-8369</t>
  </si>
  <si>
    <t>3 Piece Floral Printed Cotton Duvet Cover Set</t>
  </si>
  <si>
    <t>MP12-8370</t>
  </si>
  <si>
    <t>MP12-7298</t>
  </si>
  <si>
    <t>3 Piece Cotton Duvet Cover Set</t>
  </si>
  <si>
    <t>PP001567;PF005263</t>
  </si>
  <si>
    <t>BBBDROP,BLK01,CSNSTORES,HOUZZ,JCPENNEY01,KOHLDSN,MACY02,OLLIIX,OVERSCONSIGN,OVERSTOCK01,TGTDVS,Zulily</t>
  </si>
  <si>
    <t>MP12-7299</t>
  </si>
  <si>
    <t>BBBDROP,BLK01,CSNSTORES,DESINC,JCPENNEY01,KOHLDSN,MACY02,OLLIIX,OVERSTOCK01,TGTDVS,Zulily</t>
  </si>
  <si>
    <t>MP12-7837</t>
  </si>
  <si>
    <t>3 Piece Cotton Printed Duvet Cover Set</t>
  </si>
  <si>
    <t>PP001093;PF005654</t>
  </si>
  <si>
    <t>2/24/2022</t>
  </si>
  <si>
    <t>AMAZONDS,BBBDROP,CSNSTORES,HOUZZ,JCPENNEY01,KOHLDSN,MACY02,OLLIIX,OVERSTOCK01,TGTDVS,Zulily</t>
  </si>
  <si>
    <t>MP12-7838</t>
  </si>
  <si>
    <t>AMAZONDS,BBBDROP,CASTLEGATE,CSNSTORES,JCPENNEY01,KOHLDSN,MACY02,NRTPORT,OLLIIX,OVERSTOCK01,TGTDVS,Zulily</t>
  </si>
  <si>
    <t>MP12-6167</t>
  </si>
  <si>
    <t>AMAZON,AMAZONDS,BBBDROP,BEALLSDS,BIGLOTSDS,BLK01,CASTLEGATE,CSNSTORES,FINGERHUTDS,HOUZZ,HSNDS,JCPENNEY01,KOHLDSN,MACY02,NRTPORT,OLLIIX,OVERSCONSIGN,OVERSTOCK01,TGTDVS,WALMARTDS,Zulily</t>
  </si>
  <si>
    <t>MP12-6168</t>
  </si>
  <si>
    <t>AMAZON,AMAZONDS,BBBDROP,BEALLSDS,BIGLOTSDS,BLK01,CSNSTORES,FINGERHUTDS,HSNDS,JCPENNEY01,KOHLDSN,MACY02,NRTPORT,OLLIIX,OVERSCONSIGN,OVERSTOCK01,TGTDVS,Zulily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</si>
  <si>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</si>
  <si>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</si>
  <si>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</si>
  <si>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</si>
  <si>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</si>
  <si>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</si>
  <si>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CSNSTORES,JCPENNEY01,KOHLDSN,MACY02,NEBFUR01,OLLIIX,OVERSTOCK01,TGTDVS</t>
  </si>
  <si>
    <t>MP12-8163</t>
  </si>
  <si>
    <t>CSNSTORES,JCPENNEY01,KOHLDSN,MACY02,OVERSTOCK01,TGTDVS</t>
  </si>
  <si>
    <t>MP12-8305</t>
  </si>
  <si>
    <t>3 Piece Tufted Woven Medallion Duvet Cover Set</t>
  </si>
  <si>
    <t>MP12-8306</t>
  </si>
  <si>
    <t>MP12-5626</t>
  </si>
  <si>
    <t>3 Piece Cotton Waffle Weave Duvet Cover Set</t>
  </si>
  <si>
    <t>AMERSIGNDS,BBBDROP,BLK01,CSNSTORES,JCPENNEY01,KOHLDSN,MACY02,OLLIIX,OVERSTOCK01,TGTDVS,WALMARTDS,ZOLA</t>
  </si>
  <si>
    <t>MP12-5627</t>
  </si>
  <si>
    <t>BBBDROP,BLK01,CSNSTORES,JCPENNEY01,KOHLDSN,MACY02,OLLIIX,OVERSTOCK01,TGTDVS,WALMARTDS,ZOLA,Zulily</t>
  </si>
  <si>
    <t>MP12-8285</t>
  </si>
  <si>
    <t>3 Piece Floral Duvet Cover Set</t>
  </si>
  <si>
    <t>10/25/2023</t>
  </si>
  <si>
    <t>CSNSTORES,JCPENNEY01,KOHLDSN,OVERSTOCK01,TGTDVS</t>
  </si>
  <si>
    <t>MP12-8286</t>
  </si>
  <si>
    <t>MP12-5806</t>
  </si>
  <si>
    <t>3 Piece Cotton Floral Printed Reversible Duvet Cover Set</t>
  </si>
  <si>
    <t>BBBDROP,BEALLSDS,BIGLOTSDS,BLK01,CASTLEGATE,CSNSTORES,HOUZZ,JCPENNEY01,KOHLDSN,MACY02,OLLIIX,OVERSCONSIGN,OVERSTOCK01,TGTDVS,Zulily</t>
  </si>
  <si>
    <t>MP12-5807</t>
  </si>
  <si>
    <t>MP12-8158</t>
  </si>
  <si>
    <t>PP000879;PF005890</t>
  </si>
  <si>
    <t>AMAZON,AMAZONDS,CSNSTORES,JCPENNEY01,KOHLDSN,MACY02,OLLIIX,OVERSTOCK01,TGTDVS</t>
  </si>
  <si>
    <t>MP12-8159</t>
  </si>
  <si>
    <t>AMAZON,AMAZONDS,CASTLEGATE,CSNSTORES,JCPENNEY01,KOHLDSN,MACY02,NRTPORT,OLLIIX,OVERSTOCK01,TGTDVS,Zulily</t>
  </si>
  <si>
    <t>MP12-5980</t>
  </si>
  <si>
    <t>3-Piece Tufted Cotton Chenille Medallion Duvet Cover Set</t>
  </si>
  <si>
    <t>AMAZON,AMAZONDS,BLK01,CSNSTORES,DESINC,FINGERHUTDS,HSNDS,JCPENNEY01,KOHLDSN,MACY02,OLLIIX,OVERSCONSIGN,OVERSTOCK01,TGTDVS,WALMARTDS</t>
  </si>
  <si>
    <t>MP12-5981</t>
  </si>
  <si>
    <t>AMAZON,AMAZONDS,BLK01,CSNSTORES,FINGERHUTDS,JCPENNEY01,KOHLDSN,MACY02,NRTPORT,OLLIIX,OVERSCONSIGN,OVERSTOCK01,TGTDVS,WALMARTDS,Zulily</t>
  </si>
  <si>
    <t>MP12-5982</t>
  </si>
  <si>
    <t>MP12-5983</t>
  </si>
  <si>
    <t>AMAZON,AMAZONDS,BBBDROP,BLK01,CSNSTORES,HSNDS,JCPENNEY01,KOHLDSN,MACY02,OLLIIX,OVERSCONSIGN,OVERSTOCK01,TGTDVS,WALMARTDS,Zulily</t>
  </si>
  <si>
    <t>MP12-5978</t>
  </si>
  <si>
    <t>AMAZON,AMAZONDS,ASHFURNDS,BBBDROP,BLK01,CASTLEGATE,CSNSTORES,DESINC,HOUZZ,HSNDS,JCPENNEY01,KOHLDSN,MACY02,NEBFUR01,OLLIIX,OVERSCONSIGN,OVERSTOCK01,ROOMECOM,TGTDVS,WALMARTDS,ZOLA,Zulily</t>
  </si>
  <si>
    <t>MP12-5979</t>
  </si>
  <si>
    <t>AMAZON,AMAZONDS,ASHFURNDS,BBBDROP,BEALLSDS,BLK01,CSNSTORES,HOUZZ,HSNDS,JCPENNEY01,KOHLDSN,MACY02,NEBFUR01,OLLIIX,OVERSCONSIGN,OVERSTOCK01,ROOMECOM,TGTDVS,ZOLA,Zulily</t>
  </si>
  <si>
    <t>7/12/2023</t>
  </si>
  <si>
    <t>MP12-7116</t>
  </si>
  <si>
    <t>3 piece Tufted Cotton duvet cover set</t>
  </si>
  <si>
    <t>AMAZONDS,BBBDROP,BLK01,CSNSTORES,HSNDS,JCPENNEY01,KOHLDSN,NRTPORT,OLLIIX,OVERSCONSIGN,OVERSTOCK01,TGTDVS,Zulily</t>
  </si>
  <si>
    <t>MP12-7117</t>
  </si>
  <si>
    <t>AMAZONDS,BBBDROP,BLK01,CSNSTORES,DESINC,HSNDS,JCPENNEY01,KOHLDSN,OLLIIX,OVERSCONSIGN,OVERSTOCK01,TGTDVS,Zulily</t>
  </si>
  <si>
    <t>MP12-8166</t>
  </si>
  <si>
    <t xml:space="preserve">3 Piece Clipped Jacquard  Duvet Cover Set</t>
  </si>
  <si>
    <t>PP001838;PF005894</t>
  </si>
  <si>
    <t>CSNSTORES,HDDS,KOHLDSN,MACY02,OLLIIX,OVERSTOCK01,TGTDVS,Zulily</t>
  </si>
  <si>
    <t>MP12-8167</t>
  </si>
  <si>
    <t>MP12-5862</t>
  </si>
  <si>
    <t>Cotton Duvet Cover Set</t>
  </si>
  <si>
    <t>AMAZON,BBBDROP,BLK01,CASTLEGATE,CSNSTORES,FINGERHUTDS,JCPENNEY01,KOHLDSN,MACY02,OLLIIX,OVERSTOCK01,TGTDVS,WALMARTDS,ZOLA</t>
  </si>
  <si>
    <t>MP12-8412</t>
  </si>
  <si>
    <t>3 Piece Pintuck Duvet Cover Set</t>
  </si>
  <si>
    <t>MP12-8413</t>
  </si>
  <si>
    <t>DESINC</t>
  </si>
  <si>
    <t>MP12-7357</t>
  </si>
  <si>
    <t>PP001599;PF005371</t>
  </si>
  <si>
    <t>BBBDROP,BLK01,CSNSTORES,JCPENNEY01,KOHLDSN,MACY02,OLLIIX,OVERSTOCK01,TGTDVS,ZOLA</t>
  </si>
  <si>
    <t>MP12-7358</t>
  </si>
  <si>
    <t>AMERSIGNDS,BBBDROP,BLK01,CSNSTORES,JCPENNEY01,KOHLDSN,MACY02,OLLIIX,OVERSCONSIGN,OVERSTOCK01,TGTDVS,ZOLA</t>
  </si>
  <si>
    <t>MP12-7093</t>
  </si>
  <si>
    <t xml:space="preserve">3 Piece Cotton Printed  Duvet Cover Set</t>
  </si>
  <si>
    <t>AMAZON,AMAZONDS,BBBDROP,BIGLOTSDS,BLK01,CSNSTORES,JCPENNEY01,KOHLDSN,MACY02,OLLIIX,OVERSTOCK01,TGTDVS,WALMARTDS,Zulily</t>
  </si>
  <si>
    <t>MP12-7094</t>
  </si>
  <si>
    <t>AMAZON,AMAZONDS,BBBDROP,BIGLOTSDS,BLK01,CSNSTORES,DESINC,JCPENNEY01,KOHLDSN,MACY02,NRTPORT,OLLIIX,OVERSCONSIGN,OVERSTOCK01,TGTDVS,WALMARTDS,Zulily</t>
  </si>
  <si>
    <t>MP12-8318</t>
  </si>
  <si>
    <t>3 Piece Floral Printed Duvet Cover Set</t>
  </si>
  <si>
    <t>KOHLDSN,OLLIIX,OVERSTOCK01,TGTDVS</t>
  </si>
  <si>
    <t>MP12-8319</t>
  </si>
  <si>
    <t>MP12-8373</t>
  </si>
  <si>
    <t>3 Piece Stripe Duvet Cover Set</t>
  </si>
  <si>
    <t>MP12-8374</t>
  </si>
  <si>
    <t>CSNSTORES,OLLIIX,TGTDVS</t>
  </si>
  <si>
    <t>MP12-6103</t>
  </si>
  <si>
    <t>3 Piece Tufted Cotton Chenille Duvet Cover Set</t>
  </si>
  <si>
    <t>1/30/2019</t>
  </si>
  <si>
    <t>MP12-6104</t>
  </si>
  <si>
    <t>AMERSIGNDS,ASHFURNDS,BLK01,CSNSTORES,FINGERHUTDS,JCPENNEY01,KOHLDSN,MACY02,OLLIIX,OVERSCONSIGN,OVERSTOCK01,TGTDVS,WALMARTDS,ZOLA,Zulily</t>
  </si>
  <si>
    <t>MP12-8201</t>
  </si>
  <si>
    <t>PP001860;PF005953</t>
  </si>
  <si>
    <t>CSNSTORES,JCPENNEY01,KOHLDSN,MACY02,OLLIIX,OVERSTOCK01,TGTDVS</t>
  </si>
  <si>
    <t>MP12-8202</t>
  </si>
  <si>
    <t>CSNSTORES,DESINC,JCPENNEY01,KOHLDSN,MACY02,OLLIIX,OVERSTOCK01,TGTDVS</t>
  </si>
  <si>
    <t>MP12-7142</t>
  </si>
  <si>
    <t>PP001468;PF005062</t>
  </si>
  <si>
    <t>AMAZON,AMAZONDS,ASHFURNDS,BBBDROP,BLK01,CSNSTORES,DESINC,HOUZZ,JCPENNEY01,KOHLDSN,MACY02,OLLIIX,OVERSTOCK01,TGTDVS,WALMARTDS,Zulily</t>
  </si>
  <si>
    <t>MP12-7143</t>
  </si>
  <si>
    <t>AMAZON,AMAZONDS,BBBDROP,BLK01,CSNSTORES,DESINC,JCPENNEY01,KOHLDSN,MACY02,NRTPORT,OLLIIX,OVERSTOCK01,TGTDVS,WALMARTDS,Zulily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</si>
  <si>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</si>
  <si>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</si>
  <si>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</si>
  <si>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</si>
  <si>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</si>
  <si>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</si>
  <si>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AMAZON,AMAZONDS,ASHFURNDS,BBBDROP,BIGLOTSDS,BLK01,CSNSTORES,DESINC,HSNDS,KOHLDSN,MACY02,NEBFUR01,OLLIIX,OVERSCONSIGN,OVERSTOCK01,ROOMECOM,TGTDVS,ZOLA,Zulily</t>
  </si>
  <si>
    <t>MP50-4301</t>
  </si>
  <si>
    <t>PF003552</t>
  </si>
  <si>
    <t>AMAZON,AMAZONDS,ASHFURNDS,BEALLSDS,BIGLOTSDS,BLK01,CSNSTORES,DESINC,HSNDS,KIRKLANDDS,KOHLDSN,MACY02,OLLIIX,OVERSCONSIGN,OVERSTOCK01,ROOMECOM,TGTDVS,WALMARTDS,ZOLA,Zulily</t>
  </si>
  <si>
    <t>4/12/2023</t>
  </si>
  <si>
    <t>MP50-1216</t>
  </si>
  <si>
    <t>AMAZON,AMAZONDS,ASHFURNDS,BBBDROP,BIGLOTSDS,BLK01,CSNSTORES,DESINC,KIRKLANDDS,KOHLDSN,MACY02,OLLIIX,OVERSTOCK01,ROOMECOM,TGTDVS,ZOLA,Zulily</t>
  </si>
  <si>
    <t>2/1/2021</t>
  </si>
  <si>
    <t>3/3/2021</t>
  </si>
  <si>
    <t>MP50-8385</t>
  </si>
  <si>
    <t>CSNSTORES,DESINC,KOHLDSN,OLLIIX,OVERSTOCK01</t>
  </si>
  <si>
    <t>MP50-6123</t>
  </si>
  <si>
    <t>AMAZON,AMAZONDS,ASHFURNDS,BBBDROP,BIGLOTSDS,BLK01,CSNSTORES,DESINC,FINGERHUTDS,HSNDS,KOHLDSN,MACY02,OLLIIX,OVERSTOCK01,TGTDVS,Zulily</t>
  </si>
  <si>
    <t>MP50-4302</t>
  </si>
  <si>
    <t>PF003553</t>
  </si>
  <si>
    <t>AMAZON,AMAZONDS,BEALLSDS,BIGLOTSDS,BLK01,CSNSTORES,DESINC,HSNDS,KOHLDSN,MACY02,NRTPORT,OLLIIX,OVERSCONSIGN,OVERSTOCK01,TGTDVS,Zulily</t>
  </si>
  <si>
    <t>MP50-1970</t>
  </si>
  <si>
    <t>Oversized Printed Microfiber Quilted Throw</t>
  </si>
  <si>
    <t>60x70"</t>
  </si>
  <si>
    <t>PF003566;PP000384</t>
  </si>
  <si>
    <t>AMAZON,AMAZONDS,ASHFURNDS,BEALLSDS,BLK01,CASTLEGATE,CSNSTORES,DESINC,HOUZZ,HSNDS,KOHLDSN,MACY02,NEBFUR01,OLLIIX,OVERSTOCK01,ROOMECOM,TGTDVS,Zulily</t>
  </si>
  <si>
    <t>MP50-3723</t>
  </si>
  <si>
    <t>Oversized Cotton Quilted Throw</t>
  </si>
  <si>
    <t>50x70"</t>
  </si>
  <si>
    <t>AMAZON,AMAZONDS,ASHFURNDS,BBBDROP,BEALLSDS,BLK01,CASTLEGATE,CSNSTORES,DESINC,HSNDS,KOHLDSN,MACY02,NEBFUR01,OLLIIX,OVERSTOCK01,ROOMECOM,TGTDVS,WALMARTDS,Zulily</t>
  </si>
  <si>
    <t>MP50-2988</t>
  </si>
  <si>
    <t>Oversized Quilted Throw</t>
  </si>
  <si>
    <t>AMAZON,AMAZONDS,BBBDROP,BLK01,CSNSTORES,DESINC,FINGERHUTDS,HSNDS,KOHLDSN,MACY02,OLLIIX,OVERSCONSIGN,OVERSTOCK01,TGTDVS,Zulily</t>
  </si>
  <si>
    <t>MP50-2985</t>
  </si>
  <si>
    <t>AMAZON,AMAZONDS,ASHFURNDS,BBBDROP,BEALLSDS,BLK01,CSNSTORES,DESINC,HSNDS,KOHLDSN,MACY02,OLLIIX,OVERSCONSIGN,OVERSTOCK01,TGTDVS</t>
  </si>
  <si>
    <t>MP50-2984</t>
  </si>
  <si>
    <t>AMAZON,AMAZONDS,ASHFURNDS,BBBDROP,BEALLSDS,BLK01,CSNSTORES,DESINC,HSNDS,KOHLDSN,MACY02,OLLIIX,OVERSTOCK01,TGTDVS,Zulily</t>
  </si>
  <si>
    <t>MP50-2987</t>
  </si>
  <si>
    <t>AMAZON,AMAZONDS,ASHFURNDS,BBBDROP,BEALLSDS,BLK01,CSNSTORES,DESINC,FINGERHUTDS,HSNDS,KOHLDSN,MACY02,OLLIIX,OVERSCONSIGN,OVERSTOCK01,TGTDVS,Zulily</t>
  </si>
  <si>
    <t>MP50-2986</t>
  </si>
  <si>
    <t>AMAZON,AMAZONDS,ASHFURNDS,BEALLSDS,BLK01,CSNSTORES,DESINC,HSNDS,KOHLDSN,MACY02,OLLIIX,OVERSTOCK01,TGTDVS,Zulily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</si>
  <si>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</si>
  <si>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</si>
  <si>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</si>
  <si>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</si>
  <si>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</si>
  <si>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</si>
  <si>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</si>
  <si>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11/6/2017</t>
  </si>
  <si>
    <t>MP11-5365</t>
  </si>
  <si>
    <t>AMAZON,AMAZONDS,BLK01,CSNSTORES,DESINC,JCPENNEY01,KOHLDSN,MACY02,OLLIIX,OVERSCONSIGN,OVERSTOCK01,TGTDVS,WALMARTDS</t>
  </si>
  <si>
    <t>MP11-5368</t>
  </si>
  <si>
    <t>PF001679</t>
  </si>
  <si>
    <t>MP11-5364</t>
  </si>
  <si>
    <t>MP13-8479</t>
  </si>
  <si>
    <t>QUILT</t>
  </si>
  <si>
    <t>MP13-8482</t>
  </si>
  <si>
    <t>MP13-8483</t>
  </si>
  <si>
    <t>MPE10-636</t>
  </si>
  <si>
    <t>Madison Park Essentials</t>
  </si>
  <si>
    <t>RIAB</t>
  </si>
  <si>
    <t>Brystol</t>
  </si>
  <si>
    <t>Cadence</t>
  </si>
  <si>
    <t>24 Piece Room in a Bag</t>
  </si>
  <si>
    <t>PF003680</t>
  </si>
  <si>
    <t>24</t>
  </si>
  <si>
    <t>8/19/2017</t>
  </si>
  <si>
    <t>AMAZON,AMAZONDS,BBBDROP,BEALLSDS,BIGLOTSDS,BLK01,CASTLEGATE,CSNSTORES,DESINC,FINGERHUTDS,HSNDS,JCPENNEY01,KOHLDSN,MACY02,NRTPORT,OLLIIX,OVERSTOCK01,ROOMECOM,TGTDVS,Zulily</t>
  </si>
  <si>
    <t>3/31/2021</t>
  </si>
  <si>
    <t>MPE10-637</t>
  </si>
  <si>
    <t>AAFESDS,AMAZON,AMAZONDS,BBBDROP,BEALLSDS,BIGLOTSDS,BLK01,CASTLEGATE,CSNSTORES,DESINC,FINGERHUTDS,HSNDS,JCPENNEY01,KOHLDSN,MACY02,NRTPORT,OLLIIX,OVERSTOCK01,ROOMECOM,TGTDVS,Zulily</t>
  </si>
  <si>
    <t>12/21/2020</t>
  </si>
  <si>
    <t>6/2/2021</t>
  </si>
  <si>
    <t>MPE10-638</t>
  </si>
  <si>
    <t>6/30/2024</t>
  </si>
  <si>
    <t>AAFESDS,AMAZON,AMAZONDS,BBBDROP,BEALLSDS,BLK01,CASTLEGATE,CSNSTORES,FINGERHUTDS,HSNDS,JCPENNEY01,KOHLDSN,MACY02,NRTPORT,OLLIIX,OVERSTOCK01,ROOMECOM,TGTDVS,Zulily</t>
  </si>
  <si>
    <t>3/26/2021</t>
  </si>
  <si>
    <t>MPE10-223</t>
  </si>
  <si>
    <t>PF003678</t>
  </si>
  <si>
    <t>AMAZON,AMAZONDS,BBBDROP,BEALLSDS,BIGLOTSDS,BLK01,CASTLEGATE,CSNSTORES,DESINC,FINGERHUTDS,HOUZZ,HSNDS,JCPENNEY01,KOHLDSN,MACY02,NEBFUR01,NRTPORT,OLLIIX,OVERSTOCK01,ROOMECOM,TGTDVS,Zulily</t>
  </si>
  <si>
    <t>5/7/2021</t>
  </si>
  <si>
    <t>MPE10-224</t>
  </si>
  <si>
    <t>AAFESDS,AMAZON,AMAZONDS,BBBDROP,BEALLSDS,BIGLOTSDS,BLK01,CASTLEGATE,CSNSTORES,FINGERHUTDS,HSNDS,JCPENNEY01,KOHLDSN,MACY02,NEBFUR01,NRTPORT,OLLIIX,OVERSTOCK01,ROOMECOM,TGTDVS,Zulily</t>
  </si>
  <si>
    <t>12/22/2020</t>
  </si>
  <si>
    <t>MPE10-225</t>
  </si>
  <si>
    <t>AMAZON,AMAZONDS,BBBDROP,BEALLSDS,BLK01,CASTLEGATE,CSNSTORES,DESINC,FINGERHUTDS,HSNDS,JCPENNEY01,KOHLDSN,MACY02,NRTPORT,OLLIIX,OVERSTOCK01,ROOMECOM,TGTDVS,Zulily</t>
  </si>
  <si>
    <t>MPE10-784</t>
  </si>
  <si>
    <t>PF004547</t>
  </si>
  <si>
    <t>1/15/2019</t>
  </si>
  <si>
    <t>AAFESDS,AMAZON,AMAZONDS,BBBDROP,BIGLOTSDS,BLK01,CASTLEGATE,CSNSTORES,DESINC,FINGERHUTDS,HOUZZ,HSNDS,JCPENNEY01,KOHLDSN,MACY02,NEBFUR01,NRTPORT,OLLIIX,OVERSCONSIGN,OVERSTOCK01,ROOMECOM,TGTDVS,Zulily</t>
  </si>
  <si>
    <t>4/16/2023</t>
  </si>
  <si>
    <t>MPE10-785</t>
  </si>
  <si>
    <t>AAFESDS,AMAZON,AMAZONDS,BBBDROP,BIGLOTSDS,BLK01,CASTLEGATE,CSNSTORES,DESINC,FINGERHUTDS,HSNDS,JCPENNEY01,KOHLDSN,MACY02,NEBFUR01,NRTPORT,OLLIIX,OVERSCONSIGN,OVERSTOCK01,ROOMECOM,TGTDVS,Zulily</t>
  </si>
  <si>
    <t>MPE10-786</t>
  </si>
  <si>
    <t>AMAZON,AMAZONDS,BBBDROP,BLK01,CASTLEGATE,CSNSTORES,DESINC,FINGERHUTDS,HSNDS,JCPENNEY01,KOHLDSN,MACY02,NRTPORT,OLLIIX,OVERSTOCK01,ROOMECOM,TGTDVS,Zulily</t>
  </si>
  <si>
    <t>8/23/2023</t>
  </si>
  <si>
    <t>MPE10-633</t>
  </si>
  <si>
    <t>PF003679</t>
  </si>
  <si>
    <t>AMAZON,AMAZONDS,BBBDROP,BIGLOTSDS,BLK01,CASTLEGATE,CSNSTORES,DESINC,FINGERHUTDS,HOUZZ,HSNDS,JCPENNEY01,KOHLDSN,MACY02,NRTPORT,OLLIIX,OVERSTOCK01,ROOMECOM,TGTDVS,Zulily</t>
  </si>
  <si>
    <t>3/15/2023</t>
  </si>
  <si>
    <t>MPE10-634</t>
  </si>
  <si>
    <t>AMAZON,AMAZONDS,BBBDROP,BIGLOTSDS,BLK01,CASTLEGATE,CSNSTORES,FINGERHUTDS,HOUZZ,HSNDS,JCPENNEY01,KOHLDSN,MACY02,NRTPORT,OLLIIX,OVERSTOCK01,ROOMECOM,TGTDVS,Zulily</t>
  </si>
  <si>
    <t>9/26/2023</t>
  </si>
  <si>
    <t>MPE10-635</t>
  </si>
  <si>
    <t>AMAZON,AMAZONDS,BBBDROP,BLK01,CASTLEGATE,CSNSTORES,FINGERHUTDS,HSNDS,JCPENNEY01,KOHLDSN,MACY02,NRTPORT,OLLIIX,OVERSTOCK01,ROOMECOM,TGTDVS,Zulily</t>
  </si>
  <si>
    <t>5/19/2023</t>
  </si>
  <si>
    <t>MPE10-977</t>
  </si>
  <si>
    <t>PP001789;PF005757</t>
  </si>
  <si>
    <t>MPE10-978</t>
  </si>
  <si>
    <t>AAFESDS,AMAZONDS,BBBDROP,BLK01,CSNSTORES,DESINC,JCPENNEY01,KOHLDSN,MACY02,NRTPORT,OLLIIX,OVERSCONSIGN,OVERSTOCK01,TGTDVS</t>
  </si>
  <si>
    <t>MPE10-979</t>
  </si>
  <si>
    <t>AMAZONDS,BLK01,CSNSTORES,DESINC,JCPENNEY01,KOHLDSN,MACY02,NRTPORT,OLLIIX,OVERSTOCK01,TGTDVS</t>
  </si>
  <si>
    <t>MPE10-980</t>
  </si>
  <si>
    <t>PP001789;PF005756</t>
  </si>
  <si>
    <t>AAFESDS,AMAZONDS,BBBDROP,BLK01,CSNSTORES,DESINC,HOUZZ,JCPENNEY01,KOHLDSN,LOWESDS,MACY02,NRTPORT,OLLIIX,OVERSCONSIGN,OVERSTOCK01,TGTDVS,Zulily</t>
  </si>
  <si>
    <t>MPE10-981</t>
  </si>
  <si>
    <t>AAFESDS,AMAZONDS,BBBDROP,BLK01,CSNSTORES,DESINC,HOUZZ,JCPENNEY01,KOHLDSN,LOWESDS,MACY02,NRTPORT,OLLIIX,OVERSTOCK01,TGTDVS</t>
  </si>
  <si>
    <t>MPE10-982</t>
  </si>
  <si>
    <t>8/18/2024</t>
  </si>
  <si>
    <t>AAFESDS,AMAZONDS,BBBDROP,BLK01,CSNSTORES,DESINC,JCPENNEY01,KOHLDSN,MACY02,NRTPORT,OLLIIX,OVERSTOCK01,TGTDVS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</si>
  <si>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</si>
  <si>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</si>
  <si>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</si>
  <si>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</si>
  <si>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</si>
  <si>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</si>
  <si>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</si>
  <si>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AAFESDS,AMAZON,AMAZONDS,BBBDROP,BLK01,CSNSTORES,FINGERHUTDS,HOUZZ,JCPENNEY01,KOHLDSN,MACY02,NRTPORT,OLLIIX,OVERSTOCK01,ROOMECOM,TGTDVS,WALMARTDS</t>
  </si>
  <si>
    <t>1/8/2021</t>
  </si>
  <si>
    <t>2/22/2021</t>
  </si>
  <si>
    <t>MPE10-813</t>
  </si>
  <si>
    <t>AMAZON,AMAZONDS,BBBDROP,BLK01,CSNSTORES,DESINC,FINGERHUTDS,JCPENNEY01,KOHLDSN,MACY02,NRTPORT,OLLIIX,OVERSTOCK01,ROOMECOM,TGTDVS,Zulily</t>
  </si>
  <si>
    <t>8/25/2021</t>
  </si>
  <si>
    <t>MPE10-814</t>
  </si>
  <si>
    <t>AMAZON,AMAZONDS,BBBDROP,BLK01,CSNSTORES,DESINC,JCPENNEY01,KOHLDSN,MACY02,NRTPORT,OLLIIX,OVERSTOCK01,ROOMECOM,TGTDVS,WALMARTDS</t>
  </si>
  <si>
    <t>6/7/2021</t>
  </si>
  <si>
    <t>MPE10-707</t>
  </si>
  <si>
    <t>PF004065;PP000639</t>
  </si>
  <si>
    <t>AAFESDS,AMAZON,AMAZONDS,BBBDROP,BLK01,CSNSTORES,DESINC,FINGERHUTDS,JCPENNEY01,KOHLDSN,MACY02,NRTPORT,OLLIIX,OVERSCONSIGN,OVERSTOCK01,TGTDVS,WALMARTDS,Zulily</t>
  </si>
  <si>
    <t>12/31/2020</t>
  </si>
  <si>
    <t>MPE10-708</t>
  </si>
  <si>
    <t>AAFESDS,AMAZON,AMAZONDS,BBBDROP,BLK01,CSNSTORES,DESINC,FINGERHUTDS,HOUZZ,JCPENNEY01,KOHLDSN,MACY02,NEBFUR01,NRTPORT,OLLIIX,OVERSTOCK01,TGTDVS,WALMARTDS,Zulily</t>
  </si>
  <si>
    <t>12/30/2020</t>
  </si>
  <si>
    <t>MPE10-709</t>
  </si>
  <si>
    <t>AAFESDS,AMAZON,AMAZONDS,BBBDROP,BLK01,CSNSTORES,FINGERHUTDS,JCPENNEY01,KOHLDSN,MACY02,NEBFUR01,NRTPORT,OLLIIX,OVERSTOCK01,TGTDVS,WALMARTDS</t>
  </si>
  <si>
    <t>MPE10-698</t>
  </si>
  <si>
    <t>Joella</t>
  </si>
  <si>
    <t>Loretta</t>
  </si>
  <si>
    <t>Emma</t>
  </si>
  <si>
    <t>PP000636;PF004062</t>
  </si>
  <si>
    <t>Glam/Luxury|Casual</t>
  </si>
  <si>
    <t>AAFESDS,AMAZON,AMAZONDS,BBBDROP,BLK01,CSNSTORES,FINGERHUTDS,JCPENNEY01,KOHLDSN,MACY02,NEBFUR01,NRTPORT,OLLIIX,OVERSCONSIGN,OVERSTOCK01,ROOMECOM,TGTDVS,WALMARTDS,Zulily</t>
  </si>
  <si>
    <t>MPE10-699</t>
  </si>
  <si>
    <t>AAFESDS,AMAZON,AMAZONDS,BBBDROP,BLK01,CSNSTORES,FINGERHUTDS,JCPENNEY01,KOHLDSN,MACY02,NRTPORT,OLLIIX,OVERSCONSIGN,OVERSTOCK01,ROOMECOM,TGTDVS,WALMARTDS,Zulily</t>
  </si>
  <si>
    <t>MPE10-700</t>
  </si>
  <si>
    <t>AAFESDS,AMAZON,AMAZONDS,BBBDROP,BLK01,CSNSTORES,FINGERHUTDS,JCPENNEY01,KOHLDSN,MACY02,NEBFUR01,NRTPORT,OLLIIX,OVERSCONSIGN,OVERSTOCK01,ROOMECOM,TGTDVS,WALMARTDS</t>
  </si>
  <si>
    <t>10/31/2023</t>
  </si>
  <si>
    <t>MPE10-479</t>
  </si>
  <si>
    <t>PF003691</t>
  </si>
  <si>
    <t>6/1/2017</t>
  </si>
  <si>
    <t>AMAZON,AMAZONDS,AMERSIGNDS,BBBDROP,BLK01,CSNSTORES,FINGERHUTDS,HOUZZ,JCPENNEY01,KOHLDSN,MACY02,NEBFUR01,NRTPORT,OLLIIX,OVERSCONSIGN,OVERSTOCK01,ROOMECOM,TGTDVS,WALMARTDS</t>
  </si>
  <si>
    <t>MPE10-480</t>
  </si>
  <si>
    <t>AAFESDS,AMAZON,AMAZONDS,AMERSIGNDS,BBBDROP,BLK01,CSNSTORES,DESINC,FINGERHUTDS,JCPENNEY01,KOHLDSN,MACY02,NEBFUR01,NRTPORT,OLLIIX,OVERSCONSIGN,OVERSTOCK01,ROOMECOM,TGTDVS,WALMARTDS</t>
  </si>
  <si>
    <t>MPE10-481</t>
  </si>
  <si>
    <t>AMAZON,AMAZONDS,AMERSIGNDS,BBBDROP,BLK01,CSNSTORES,FINGERHUTDS,JCPENNEY01,KOHLDSN,MACY02,NRTPORT,OLLIIX,OVERSTOCK01,ROOMECOM,TGTDVS,WALMARTDS</t>
  </si>
  <si>
    <t>6/5/2023</t>
  </si>
  <si>
    <t>MPE10-809</t>
  </si>
  <si>
    <t>PP000636;PF004747</t>
  </si>
  <si>
    <t>Cottage/Country|Glam/Luxury</t>
  </si>
  <si>
    <t>AAFESDS,AMAZON,AMAZONDS,BBBDROP,BLK01,CSNSTORES,DESINC,FINGERHUTDS,JCPENNEY01,KOHLDSN,MACY02,NRTPORT,OLLIIX,OVERSCONSIGN,OVERSTOCK01,TGTDVS,Zulily</t>
  </si>
  <si>
    <t>MPE10-810</t>
  </si>
  <si>
    <t>AMAZON,AMAZONDS,BBBDROP,BLK01,CASTLEGATE,CSNSTORES,JCPENNEY01,KOHLDSN,MACY02,NRTPORT,OLLIIX,OVERSTOCK01,TGTDVS,Zulily</t>
  </si>
  <si>
    <t>MPE10-811</t>
  </si>
  <si>
    <t>AMAZON,AMAZONDS,BBBDROP,BLK01,CASTLEGATE,CSNSTORES,FINGERHUTDS,JCPENNEY01,MACY02,NRTPORT,OLLIIX,OVERSTOCK01,TGTDVS</t>
  </si>
  <si>
    <t>MPE10-765</t>
  </si>
  <si>
    <t>PP000636;PF004504</t>
  </si>
  <si>
    <t>11/20/2018</t>
  </si>
  <si>
    <t>AAFESDS,AMAZON,AMAZONDS,BBBDROP,BLK01,CSNSTORES,DESINC,FINGERHUTDS,JCPENNEY01,KOHLDSN,MACY02,NRTPORT,OLLIIX,OVERSTOCK01,TGTDVS,WALMARTDS,Zulily</t>
  </si>
  <si>
    <t>MPE10-766</t>
  </si>
  <si>
    <t>AMAZON,AMAZONDS,BBBDROP,BEALLSDS,BLK01,CASTLEGATE,CSNSTORES,DESINC,JCPENNEY01,KOHLDSN,MACY02,NRTPORT,OLLIIX,OVERSTOCK01,TGTDVS,Zulily</t>
  </si>
  <si>
    <t>MPE10-767</t>
  </si>
  <si>
    <t>AAFESDS,AMAZON,AMAZONDS,BBBDROP,BLK01,CSNSTORES,FINGERHUTDS,JCPENNEY01,KOHLDSN,MACY02,NRTPORT,OLLIIX,OVERSTOCK01,TGTDVS,WALMARTDS,Zulily</t>
  </si>
  <si>
    <t>MPE10-476</t>
  </si>
  <si>
    <t>PF003692</t>
  </si>
  <si>
    <t>AMAZON,AMAZONDS,BBBDROP,BLK01,CSNSTORES,FINGERHUTDS,HSNDS,JCPENNEY01,KOHLDSN,MACY02,NRTPORT,OLLIIX,OVERSCONSIGN,OVERSTOCK01,TGTDVS,WALMARTDS</t>
  </si>
  <si>
    <t>MPE10-477</t>
  </si>
  <si>
    <t>AAFESDS,AMAZON,AMAZONDS,BBBDROP,BEALLSDS,BLK01,CSNSTORES,FINGERHUTDS,HSNDS,JCPENNEY01,KOHLDSN,MACY02,NEBFUR01,NRTPORT,OLLIIX,OVERSTOCK01,TGTDVS</t>
  </si>
  <si>
    <t>MPE10-478</t>
  </si>
  <si>
    <t>AAFESDS,AMAZON,AMAZONDS,BBBDROP,BLK01,CSNSTORES,FINGERHUTDS,HSNDS,JCPENNEY01,KOHLDSN,MACY02,NEBFUR01,NRTPORT,OLLIIX,OVERSCONSIGN,OVERSTOCK01,TGTDVS,Zulily</t>
  </si>
  <si>
    <t>MPE10-608</t>
  </si>
  <si>
    <t>Jordan</t>
  </si>
  <si>
    <t>Charley</t>
  </si>
  <si>
    <t>PF003701</t>
  </si>
  <si>
    <t>AMAZON,AMAZONDS,BBBDROP,BLK01,CSNSTORES,JCPENNEY01,KOHLDSN,MACY02,OLLIIX,OVERSTOCK01,ROOMECOM,TGTDVS,WALMARTDS</t>
  </si>
  <si>
    <t>2/17/2021</t>
  </si>
  <si>
    <t>6/21/2021</t>
  </si>
  <si>
    <t>MPE10-609</t>
  </si>
  <si>
    <t>AAFESDS,AMAZON,AMAZONDS,BBBDROP,BEALLSDS,BLK01,CSNSTORES,FINGERHUTDS,HOUZZ,JCPENNEY01,KOHLDSN,MACY02,OLLIIX,OVERSTOCK01,ROOMECOM,TGTDVS,WALMARTDS,Zulily</t>
  </si>
  <si>
    <t>8/18/2021</t>
  </si>
  <si>
    <t>MPE10-610</t>
  </si>
  <si>
    <t>1/24/2024</t>
  </si>
  <si>
    <t>MPE10-523</t>
  </si>
  <si>
    <t>Jelena</t>
  </si>
  <si>
    <t>Katarina</t>
  </si>
  <si>
    <t>Ivana</t>
  </si>
  <si>
    <t>PF003684</t>
  </si>
  <si>
    <t>6/22/2017</t>
  </si>
  <si>
    <t>AMAZON,AMAZONDS,BLK01,CSNSTORES,FINGERHUTDS,JCPENNEY01,KOHLDSN,MACY02,OLLIIX,OVERSTOCK01,ROOMECOM,WALMARTDS</t>
  </si>
  <si>
    <t>5/2/2021</t>
  </si>
  <si>
    <t>MPE10-524</t>
  </si>
  <si>
    <t>C+</t>
  </si>
  <si>
    <t>AMAZON,BLK01,CASTLEGATE,JCPENNEY01,KOHLDSN,MACY02,OVERSTOCK01,ROOMECOM,WALMARTDS</t>
  </si>
  <si>
    <t>7/4/2021</t>
  </si>
  <si>
    <t>MPE10-525</t>
  </si>
  <si>
    <t>AMAZON,AMAZONDS,BEALLSDS,BLK01,CASTLEGATE,FINGERHUTDS,JCPENNEY01,KOHLDSN,MACY02,OLLIIX,OVERSTOCK01,ROOMECOM,TGTDVS,WALMARTDS</t>
  </si>
  <si>
    <t>3/1/2021</t>
  </si>
  <si>
    <t>MPE10-232</t>
  </si>
  <si>
    <t>PF003683</t>
  </si>
  <si>
    <t>AAFESDS,AMAZON,AMAZONDS,AMERSIGNDS,BLK01,CASTLEGATE,CSNSTORES,DESINC,HOUZZ,JCPENNEY01,KOHLDSN,MACY02,NRTPORT,OLLIIX,OVERSCONSIGN,OVERSTOCK01,TGTDVS,Zulily</t>
  </si>
  <si>
    <t>MPE10-233</t>
  </si>
  <si>
    <t>AMAZON,AMAZONDS,AMERSIGNDS,BBBDROP,BLK01,CASTLEGATE,CSNSTORES,FINGERHUTDS,HOUZZ,JCPENNEY01,KOHLDSN,MACY02,NRTPORT,OLLIIX,OVERSTOCK01,TGTDVS,WALMARTDS,Zulily</t>
  </si>
  <si>
    <t>MPE10-234</t>
  </si>
  <si>
    <t>AMAZON,AMAZONDS,AMERSIGNDS,BBBDROP,BLK01,CASTLEGATE,CSNSTORES,FINGERHUTDS,JCPENNEY01,KOHLDSN,MACY02,NRTPORT,OVERSTOCK01,TGTDVS,WALMARTDS,Zulily</t>
  </si>
  <si>
    <t>MPE10-220</t>
  </si>
  <si>
    <t>Michelle</t>
  </si>
  <si>
    <t>Christine</t>
  </si>
  <si>
    <t>Tracy</t>
  </si>
  <si>
    <t>PF003677</t>
  </si>
  <si>
    <t>AMAZON,AMAZONDS,BBBDROP,BLK01,CASTLEGATE,CSNSTORES,DESINC,FINGERHUTDS,JCPENNEY01,KOHLDSN,MACY02,NRTPORT,OLLIIX,OVERSTOCK01,TGTDVS,WALMARTDS</t>
  </si>
  <si>
    <t>MPE10-221</t>
  </si>
  <si>
    <t>AAFESDS,AMAZON,AMAZONDS,BBBDROP,BLK01,CASTLEGATE,CSNSTORES,DESINC,FINGERHUTDS,JCPENNEY01,KOHLDSN,MACY02,NRTPORT,OLLIIX,OVERSTOCK01,TGTDVS,WALMARTDS,Zulily</t>
  </si>
  <si>
    <t>MPE10-222</t>
  </si>
  <si>
    <t>AAFESDS,AMAZON,AMAZONDS,BBBDROP,BLK01,CASTLEGATE,CSNSTORES,DESINC,FINGERHUTDS,HOUZZ,JCPENNEY01,MACY02,NRTPORT,OLLIIX,OVERSTOCK01,TGTDVS,Zulily</t>
  </si>
  <si>
    <t>MPE10-762</t>
  </si>
  <si>
    <t>Windsor</t>
  </si>
  <si>
    <t>Harriet</t>
  </si>
  <si>
    <t>24 Piece Room In A Bag</t>
  </si>
  <si>
    <t>Black/Gold</t>
  </si>
  <si>
    <t>PF004501;PP001023</t>
  </si>
  <si>
    <t>AAFESDS,AMAZON,BBBDROP,BLK01,CSNSTORES,FINGERHUTDS,JCPENNEY01,KOHLDSN,MACY02,NRTPORT,OLLIIX,OVERSTOCK01,TGTDVS,WALMARTDS,Zulily</t>
  </si>
  <si>
    <t>MPE10-763</t>
  </si>
  <si>
    <t>AAFESDS,AMAZON,AMAZONDS,BBBDROP,BLK01,CSNSTORES,DESINC,JCPENNEY01,KOHLDSN,MACY02,OLLIIX,OVERSTOCK01,TGTDVS,WALMARTDS,Zulily</t>
  </si>
  <si>
    <t>MPE10-764</t>
  </si>
  <si>
    <t>AAFESDS,AMAZON,AMAZONDS,BBBDROP,BLK01,CSNSTORES,FINGERHUTDS,JCPENNEY01,KOHLDSN,MACY02,OLLIIX,OVERSCONSIGN,OVERSTOCK01,TGTDVS,WALMARTDS,Zulily</t>
  </si>
  <si>
    <t>MPE10-204</t>
  </si>
  <si>
    <t>Serenity</t>
  </si>
  <si>
    <t>Odisha</t>
  </si>
  <si>
    <t>Nepal</t>
  </si>
  <si>
    <t>7 Piece Comforter Set with Cotton Bed Sheets</t>
  </si>
  <si>
    <t>PF003666</t>
  </si>
  <si>
    <t>AMAZON,AMAZONDS,BEALLSDS,BIGLOTSDS,BLK01,CSNSTORES,JCPENNEY01,KOHLDSN,MACY02,OLLIIX,OVERSCONSIGN,OVERSTOCK01,ROOMECOM,TGTDVS,WALMARTDS,Zulily</t>
  </si>
  <si>
    <t>MPE10-568</t>
  </si>
  <si>
    <t>Twin XL</t>
  </si>
  <si>
    <t>6/24/2017</t>
  </si>
  <si>
    <t>AMAZON,AMAZONDS,CSNSTORES,JCPENNEY01,KOHLDSN,MACY02,OLLIIX,OVERSTOCK01,TGTDVS,WALMARTDS</t>
  </si>
  <si>
    <t>MPE10-205</t>
  </si>
  <si>
    <t>9 Piece Comforter Set with Cotton Bed Sheets</t>
  </si>
  <si>
    <t>AMAZON,AMAZONDS,BBBDROP,BEALLSDS,BIGLOTSDS,BLK01,CSNSTORES,JCPENNEY01,KOHLDSN,LOWESDS,MACY02,OVERSTOCK01,ROOMECOM,TGTDVS,WALMARTDS,Zulily</t>
  </si>
  <si>
    <t>MPE10-206</t>
  </si>
  <si>
    <t>AMAZON,AMAZONDS,BBBDROP,BEALLSDS,BIGLOTSDS,BLK01,CSNSTORES,FINGERHUTDS,HSNDS,JCPENNEY01,KOHLDSN,MACY02,OLLIIX,OVERSTOCK01,ROOMECOM,TGTDVS,Zulily</t>
  </si>
  <si>
    <t>MPE10-207</t>
  </si>
  <si>
    <t>1/29/2024</t>
  </si>
  <si>
    <t>MPE10-208</t>
  </si>
  <si>
    <t>AMAZON,AMAZONDS,BBBDROP,BLK01,CSNSTORES,FINGERHUTDS,HSNDS,JCPENNEY01,KOHLDSN,MACY02,OLLIIX,OVERSTOCK01,ROOMECOM,TGTDVS,WALMARTDS,Zulily</t>
  </si>
  <si>
    <t>10/9/2023</t>
  </si>
  <si>
    <t>MPE10-150</t>
  </si>
  <si>
    <t>PF003665;PP000507</t>
  </si>
  <si>
    <t>AMAZON,AMAZONDS,BLK01,CSNSTORES,JCPENNEY01,KOHLDSN,MACY02,OLLIIX,OVERSTOCK01,ROOMECOM,TGTDVS,WALMARTDS</t>
  </si>
  <si>
    <t>5/1/2024</t>
  </si>
  <si>
    <t>MPE10-151</t>
  </si>
  <si>
    <t>AMAZON,AMAZONDS,BLK01,CSNSTORES,JCPENNEY01,KOHLDSN,MACY02,OLLIIX,OVERSTOCK01,TGTDVS,WALMARTDS</t>
  </si>
  <si>
    <t>1/5/2023</t>
  </si>
  <si>
    <t>MPE10-152</t>
  </si>
  <si>
    <t>AMAZON,AMAZONDS,BBBDROP,BEALLSDS,BLK01,CSNSTORES,FINGERHUTDS,HOUZZ,HSNDS,JCPENNEY01,KOHLDSN,MACY02,OLLIIX,OVERSTOCK01,ROOMECOM,TGTDVS,Zulily</t>
  </si>
  <si>
    <t>1/2/2024</t>
  </si>
  <si>
    <t>MPE10-153</t>
  </si>
  <si>
    <t>AMAZON,AMAZONDS,BEALLSDS,BLK01,CSNSTORES,FINGERHUTDS,HSNDS,JCPENNEY01,KOHLDSN,MACY02,OLLIIX,OVERSTOCK01,ROOMECOM,TGTDVS,WALMARTDS,Zulily</t>
  </si>
  <si>
    <t>1/4/2024</t>
  </si>
  <si>
    <t>MPE10-154</t>
  </si>
  <si>
    <t>AMAZON,AMAZONDS,BBBDROP,BLK01,CSNSTORES,FINGERHUTDS,HSNDS,JCPENNEY01,KOHLDSN,MACY02,NEBFUR01,OLLIIX,OVERSTOCK01,TGTDVS,WALMARTDS,Zulily</t>
  </si>
  <si>
    <t>MPE10-056</t>
  </si>
  <si>
    <t>PF003662;PP000507</t>
  </si>
  <si>
    <t>AMAZON,AMAZONDS,BBBDROP,BIGLOTSDS,BLK01,CASTLEGATE,CSNSTORES,JCPENNEY01,KOHLDSN,MACY02,OVERSTOCK01,TGTDVS,WALMARTDS</t>
  </si>
  <si>
    <t>MPE10-386</t>
  </si>
  <si>
    <t>Central Park</t>
  </si>
  <si>
    <t>Pelham Bay</t>
  </si>
  <si>
    <t>Prospect Park</t>
  </si>
  <si>
    <t>Yellow/Aqua</t>
  </si>
  <si>
    <t>PF003698</t>
  </si>
  <si>
    <t>AMAZON,AMAZONDS,AMERSIGNDS,BBBDROP,CSNSTORES,HSNDS,JCPENNEY01,KOHLDSN,MACY02,OVERSCONSIGN,OVERSTOCK01,ROOMECOM,TGTDVS,WALMARTDS</t>
  </si>
  <si>
    <t>MPE10-387</t>
  </si>
  <si>
    <t>AMAZON,AMAZONDS,AMERSIGNDS,BBBDROP,BLK01,CSNSTORES,DESINC,FINGERHUTDS,HSNDS,JCPENNEY01,KOHLDSN,MACY02,OLLIIX,OVERSCONSIGN,OVERSTOCK01,ROOMECOM,TGTDVS,WALMARTDS</t>
  </si>
  <si>
    <t>4/20/2023</t>
  </si>
  <si>
    <t>MPE10-388</t>
  </si>
  <si>
    <t>AMAZON,AMERSIGNDS,BBBDROP,BEALLSDS,BLK01,CSNSTORES,DESINC,FINGERHUTDS,HOUZZ,HSNDS,JCPENNEY01,KOHLDSN,MACY02,OLLIIX,OVERSCONSIGN,OVERSTOCK01,ROOMECOM,TGTDVS,Zulily</t>
  </si>
  <si>
    <t>MPE10-389</t>
  </si>
  <si>
    <t>AMAZON,AMAZONDS,AMERSIGNDS,BBBDROP,BEALLSDS,BLK01,CSNSTORES,FINGERHUTDS,HSNDS,JCPENNEY01,KOHLDSN,MACY02,OLLIIX,OVERSTOCK01,ROOMECOM,TGTDVS,WALMARTDS,Zulily</t>
  </si>
  <si>
    <t>3/15/2021</t>
  </si>
  <si>
    <t>MPE10-390</t>
  </si>
  <si>
    <t>AMAZON,AMAZONDS,BBBDROP,BLK01,CSNSTORES,DESINC,HSNDS,JCPENNEY01,KOHLDSN,MACY02,OLLIIX,OVERSTOCK01,ROOMECOM,TGTDVS,WALMARTDS</t>
  </si>
  <si>
    <t>MPE10-381</t>
  </si>
  <si>
    <t>Coral/Green</t>
  </si>
  <si>
    <t>PF003697</t>
  </si>
  <si>
    <t>AMAZON,AMAZONDS,BBBDROP,BLK01,CSNSTORES,FINGERHUTDS,JCPENNEY01,KOHLDSN,MACY02,OVERSCONSIGN,OVERSTOCK01,TGTDVS,WALMARTDS</t>
  </si>
  <si>
    <t>MPE10-383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</si>
  <si>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</si>
  <si>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</si>
  <si>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</si>
  <si>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</si>
  <si>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</si>
  <si>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</si>
  <si>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AMAZON,AMAZONDS,ASHFURNDS,BBBDROP,BEALLSDS,BIGLOTSDS,BLK01,CSNSTORES,DESINC,HDDS,HOUZZ,HSNDS,JCPENNEY01,KOHLDSN,LOWESDS,MACY02,OLLIIX,OVERSTOCK01,TGTDVS,WALMARTDS</t>
  </si>
  <si>
    <t>MPE10-879</t>
  </si>
  <si>
    <t>Reversible 8 Piece Comforter Set with Bed Sheets</t>
  </si>
  <si>
    <t>AMAZON,AMAZONDS,ASHFURNDS,BBBDROP,BEALLSDS,BIGLOTSDS,BLK01,CSNSTORES,DESINC,FINGERHUTDS,HDDS,JCPENNEY01,KOHLDSN,MACY02,OLLIIX,OVERSCONSIGN,OVERSTOCK01,ROOMECOM,TGTDVS</t>
  </si>
  <si>
    <t>9/23/2022</t>
  </si>
  <si>
    <t>10/6/2023</t>
  </si>
  <si>
    <t>MPE10-880-AR</t>
  </si>
  <si>
    <t>Comforter Set with Two Decorative Pillows</t>
  </si>
  <si>
    <t>1/9/2021</t>
  </si>
  <si>
    <t>MPE10-880</t>
  </si>
  <si>
    <t>12/5/2019</t>
  </si>
  <si>
    <t>AMAZON,AMAZONDS,ASHFURNDS,BBBDROP,BEALLSDS,BIGLOTSDS,BLK01,CASTLEGATE,CSNSTORES,HDDS,HSNDS,JCPENNEY01,KOHLDSN,LOWESDS,MACY02,NEBFUR01,OLLIIX,OVERSTOCK01,ROOMECOM,TGTDVS,WALMARTDS,Zulily</t>
  </si>
  <si>
    <t>4/12/2024</t>
  </si>
  <si>
    <t>MPE10-881</t>
  </si>
  <si>
    <t>AMAZON,AMAZONDS,ASHFURNDS,BBBDROP,BEALLSDS,BIGLOTSDS,BLK01,CSNSTORES,DESINC,HDDS,HOUZZ,HSNDS,JCPENNEY01,KOHLDSN,MACY02,NEBFUR01,OLLIIX,OVERSCONSIGN,OVERSTOCK01,ROOMECOM,TGTDVS,WALMARTDS,Zulily</t>
  </si>
  <si>
    <t>9/29/2022</t>
  </si>
  <si>
    <t>10/5/2023</t>
  </si>
  <si>
    <t>MPE10-882</t>
  </si>
  <si>
    <t>AMAZON,AMAZONDS,BBBDROP,BEALLSDS,BIGLOTSDS,BLK01,CSNSTORES,HDDS,HOUZZ,HSNDS,JCPENNEY01,KOHLDSN,LOWESDS,MACY02,NEBFUR01,OLLIIX,OVERSTOCK01,ROOMECOM,TGTDVS,Zulily</t>
  </si>
  <si>
    <t>4/29/2024</t>
  </si>
  <si>
    <t>MPE10-693</t>
  </si>
  <si>
    <t>Saben</t>
  </si>
  <si>
    <t>Barret</t>
  </si>
  <si>
    <t>Seth</t>
  </si>
  <si>
    <t>PP000497;PF004057</t>
  </si>
  <si>
    <t>AMAZON,AMAZONDS,BBBDROP,BLK01,CSNSTORES,HSNDS,JCPENNEY01,KOHLDSN,MACY02,OLLIIX,OVERSCONSIGN,OVERSTOCK01,ROOMECOM,TGTDVS,WALMARTDS</t>
  </si>
  <si>
    <t>11/28/2023</t>
  </si>
  <si>
    <t>MPE10-694</t>
  </si>
  <si>
    <t>AMAZON,AMAZONDS,BBBDROP,BIGLOTSDS,BLK01,CSNSTORES,FINGERHUTDS,HSNDS,JCPENNEY01,KOHLDSN,MACY02,NEBFUR01,OLLIIX,OVERSCONSIGN,OVERSTOCK01,ROOMECOM,TGTDVS</t>
  </si>
  <si>
    <t>10/17/2023</t>
  </si>
  <si>
    <t>MPE10-695</t>
  </si>
  <si>
    <t>AMAZON,AMAZONDS,BEALLSDS,BIGLOTSDS,BLK01,CSNSTORES,DESINC,FINGERHUTDS,HSNDS,JCPENNEY01,KOHLDSN,MACY02,NEBFUR01,OLLIIX,OVERSTOCK01,ROOMECOM,TGTDVS,Zulily</t>
  </si>
  <si>
    <t>12/20/2023</t>
  </si>
  <si>
    <t>MPE10-696</t>
  </si>
  <si>
    <t>7/17/2024</t>
  </si>
  <si>
    <t>AMAZON,AMAZONDS,BBBDROP,BEALLSDS,BIGLOTSDS,BLK01,CSNSTORES,FINGERHUTDS,JCPENNEY01,KOHLDSN,MACY02,NEBFUR01,OLLIIX,OVERSTOCK01,ROOMECOM,TGTDVS,WALMARTDS,Zulily</t>
  </si>
  <si>
    <t>4/30/2024</t>
  </si>
  <si>
    <t>MPE10-697</t>
  </si>
  <si>
    <t>6/11/2024</t>
  </si>
  <si>
    <t>AMAZON,AMAZONDS,BEALLSDS,CSNSTORES,DESINC,FINGERHUTDS,JCPENNEY01,KOHLDSN,MACY02,NEBFUR01,OLLIIX,OVERSTOCK01,ROOMECOM,TGTDVS,WALMARTDS</t>
  </si>
  <si>
    <t>9/22/2023</t>
  </si>
  <si>
    <t>MPE10-163</t>
  </si>
  <si>
    <t>PF003676;PP000497</t>
  </si>
  <si>
    <t>MPE10-164</t>
  </si>
  <si>
    <t>AMAZON,AMAZONDS,BBBDROP,BLK01,CSNSTORES,DESINC,FINGERHUTDS,HSNDS,JCPENNEY01,KOHLDSN,MACY02,OLLIIX,OVERSTOCK01,TGTDVS</t>
  </si>
  <si>
    <t>MPE10-165</t>
  </si>
  <si>
    <t>4/18/2017</t>
  </si>
  <si>
    <t>AMAZON,AMAZONDS,BBBDROP,BLK01,CSNSTORES,DESINC,FINGERHUTDS,HSNDS,JCPENNEY01,KOHLDSN,MACY02,OLLIIX,OVERSCONSIGN,OVERSTOCK01,TGTDVS</t>
  </si>
  <si>
    <t>MPE10-166</t>
  </si>
  <si>
    <t>AMAZON,AMAZONDS,BBBDROP,BLK01,CSNSTORES,DESINC,FINGERHUTDS,HOUZZ,HSNDS,JCPENNEY01,KOHLDSN,MACY02,OLLIIX,OVERSTOCK01,TGTDVS</t>
  </si>
  <si>
    <t>MPE10-167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</si>
  <si>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</si>
  <si>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</si>
  <si>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</si>
  <si>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</si>
  <si>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</si>
  <si>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</si>
  <si>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</si>
  <si>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Farmhouse</t>
  </si>
  <si>
    <t>MPE10-801</t>
  </si>
  <si>
    <t>MPE10-802</t>
  </si>
  <si>
    <t>AMAZON,AMAZONDS,BBBDROP,BLK01,CSNSTORES,FINGERHUTDS,JCPENNEY01,KOHLDSN,MACY02,OLLIIX,OVERSTOCK01,ROOMECOM,TGTDVS,WALMARTDS,Zulily</t>
  </si>
  <si>
    <t>2/14/2021</t>
  </si>
  <si>
    <t>MPE10-803</t>
  </si>
  <si>
    <t>AMAZON,AMAZONDS,BBBDROP,CSNSTORES,FINGERHUTDS,HSNDS,JCPENNEY01,KOHLDSN,MACY02,OLLIIX,OVERSTOCK01,ROOMECOM,TGTDVS,WALMARTDS,Zulily</t>
  </si>
  <si>
    <t>7/14/2021</t>
  </si>
  <si>
    <t>MPE10-732</t>
  </si>
  <si>
    <t>Maible</t>
  </si>
  <si>
    <t>Calla</t>
  </si>
  <si>
    <t>PP000877;PF004251</t>
  </si>
  <si>
    <t>3/28/2018</t>
  </si>
  <si>
    <t>AMAZON,AMAZONDS,BEALLSDS,BLK01,CSNSTORES,HSNDS,JCPENNEY01,KOHLDSN,MACY02,OLLIIX,OVERSTOCK01,TGTDVS,WALMARTDS</t>
  </si>
  <si>
    <t>MPE10-733</t>
  </si>
  <si>
    <t>AMAZON,AMAZONDS,BLK01,CSNSTORES,FINGERHUTDS,HSNDS,JCPENNEY01,KOHLDSN,MACY02,OVERSTOCK01,ROOMECOM,TGTDVS,WALMARTDS</t>
  </si>
  <si>
    <t>11/24/2023</t>
  </si>
  <si>
    <t>MPE10-734</t>
  </si>
  <si>
    <t>AMAZON,AMAZONDS,BBBDROP,BEALLSDS,BLK01,CSNSTORES,FINGERHUTDS,HSNDS,JCPENNEY01,KOHLDSN,MACY02,OLLIIX,OVERSCONSIGN,OVERSTOCK01,ROOMECOM,TGTDVS,Zulily</t>
  </si>
  <si>
    <t>12/18/2023</t>
  </si>
  <si>
    <t>MPE10-735</t>
  </si>
  <si>
    <t>AMAZON,AMAZONDS,BBBDROP,BEALLSDS,BLK01,CSNSTORES,FINGERHUTDS,HSNDS,JCPENNEY01,KOHLDSN,MACY02,NEBFUR01,NRTPORT,OLLIIX,OVERSTOCK01,TGTDVS,WALMARTDS</t>
  </si>
  <si>
    <t>MPE10-736</t>
  </si>
  <si>
    <t>AMAZON,BBBDROP,BLK01,CSNSTORES,FINGERHUTDS,HSNDS,JCPENNEY01,KOHLDSN,MACY02,NRTPORT,OLLIIX,OVERSTOCK01,ROOMECOM,TGTDVS,WALMARTDS</t>
  </si>
  <si>
    <t>12/26/2023</t>
  </si>
  <si>
    <t>MPE10-727</t>
  </si>
  <si>
    <t>PP000877;PF004250</t>
  </si>
  <si>
    <t>AMAZON,AMAZONDS,BBBDROP,BEALLSDS,BLK01,CSNSTORES,FINGERHUTDS,HOUZZ,HSNDS,JCPENNEY01,KOHLDSN,MACY02,NEBFUR01,OVERSTOCK01,ROOMECOM,TGTDVS,WALMARTDS,Zulily</t>
  </si>
  <si>
    <t>11/27/2023</t>
  </si>
  <si>
    <t>MPE10-728</t>
  </si>
  <si>
    <t>AMAZON,AMAZONDS,BBBDROP,BEALLSDS,BLK01,CSNSTORES,FINGERHUTDS,HSNDS,JCPENNEY01,KOHLDSN,MACY02,NEBFUR01,NRTPORT,OLLIIX,OVERSCONSIGN,OVERSTOCK01,TGTDVS,WALMARTDS</t>
  </si>
  <si>
    <t>MPE10-729</t>
  </si>
  <si>
    <t>AMAZON,AMAZONDS,BBBDROP,BEALLSDS,BLK01,CSNSTORES,DESINC,FINGERHUTDS,HSNDS,JCPENNEY01,KOHLDSN,MACY02,NEBFUR01,OLLIIX,OVERSTOCK01,TGTDVS,Zulily</t>
  </si>
  <si>
    <t>MPE10-730</t>
  </si>
  <si>
    <t>AMAZON,AMAZONDS,BBBDROP,BEALLSDS,BLK01,CSNSTORES,FINGERHUTDS,HSNDS,JCPENNEY01,KOHLDSN,MACY02,NEBFUR01,NRTPORT,OLLIIX,OVERSTOCK01,ROOMECOM,TGTDVS,WALMARTDS,Zulily</t>
  </si>
  <si>
    <t>MPE10-731</t>
  </si>
  <si>
    <t>AMAZON,AMAZONDS,BLK01,CSNSTORES,DESINC,FINGERHUTDS,HSNDS,JCPENNEY01,KOHLDSN,MACY02,NEBFUR01,NRTPORT,OVERSCONSIGN,OVERSTOCK01,ROOMECOM,TGTDVS,WALMARTDS,Zulily</t>
  </si>
  <si>
    <t>MPE10-859</t>
  </si>
  <si>
    <t>Blush/Grey</t>
  </si>
  <si>
    <t>PF004932</t>
  </si>
  <si>
    <t>11/8/2019</t>
  </si>
  <si>
    <t>AMAZON,AMAZONDS,BLK01,CSNSTORES,HOUZZ,HSNDS,JCPENNEY01,KOHLDSN,MACY02,OVERSCONSIGN,OVERSTOCK01,TGTDVS,WALMARTDS,Zulily</t>
  </si>
  <si>
    <t>MPE10-860</t>
  </si>
  <si>
    <t>AMAZON,AMAZONDS,BBBDROP,BLK01,CSNSTORES,HSNDS,JCPENNEY01,KOHLDSN,MACY02,NRTPORT,OLLIIX,OVERSTOCK01,TGTDVS,WALMARTDS,Zulily</t>
  </si>
  <si>
    <t>MPE10-861</t>
  </si>
  <si>
    <t>AMAZON,AMAZONDS,BBBDROP,BLK01,CSNSTORES,FINGERHUTDS,HSNDS,JCPENNEY01,KOHLDSN,NRTPORT,OLLIIX,OVERSTOCK01,TGTDVS,Zulily</t>
  </si>
  <si>
    <t>MPE10-862</t>
  </si>
  <si>
    <t>AMAZON,AMAZONDS,BBBDROP,BLK01,CSNSTORES,DESINC,HSNDS,JCPENNEY01,KOHLDSN,MACY02,OVERSTOCK01,TGTDVS,WALMARTDS,Zulily</t>
  </si>
  <si>
    <t>MPE10-863</t>
  </si>
  <si>
    <t>AMAZON,AMAZONDS,BLK01,CSNSTORES,HSNDS,JCPENNEY01,KOHLDSN,MACY02,OLLIIX,OVERSCONSIGN,OVERSTOCK01,TGTDVS,WALMARTDS,Zulily</t>
  </si>
  <si>
    <t>MPE10-084</t>
  </si>
  <si>
    <t>Merritt</t>
  </si>
  <si>
    <t>Almaden</t>
  </si>
  <si>
    <t>Becker</t>
  </si>
  <si>
    <t>PF003668;PP000457</t>
  </si>
  <si>
    <t>BBBDROP,BLK01,CSNSTORES,DESINC,HOUZZ,JCPENNEY01,KOHLDSN,MACY02,OLLIIX,OVERSTOCK01,TGTDVS</t>
  </si>
  <si>
    <t>MPE10-569</t>
  </si>
  <si>
    <t>PF003668</t>
  </si>
  <si>
    <t>6/28/2017</t>
  </si>
  <si>
    <t>BBBDROP,BLK01,CSNSTORES,JCPENNEY01,KOHLDSN,MACY02,OVERSTOCK01,TGTDVS,WALMARTDS</t>
  </si>
  <si>
    <t>MPE10-085</t>
  </si>
  <si>
    <t>BBBDROP,BLK01,CSNSTORES,DESINC,FINGERHUTDS,JCPENNEY01,KOHLDSN,MACY02,OLLIIX,OVERSTOCK01,TGTDVS,WALMARTDS</t>
  </si>
  <si>
    <t>MPE10-086</t>
  </si>
  <si>
    <t>BBBDROP,BLK01,CSNSTORES,FINGERHUTDS,HSNDS,JCPENNEY01,KOHLDSN,MACY02,OLLIIX,OVERSTOCK01,ROOMECOM,TGTDVS,WALMARTDS</t>
  </si>
  <si>
    <t>6/28/2018</t>
  </si>
  <si>
    <t>MPE10-087</t>
  </si>
  <si>
    <t>BBBDROP,BLK01,CSNSTORES,FINGERHUTDS,HOUZZ,HSNDS,JCPENNEY01,KOHLDSN,MACY02,OLLIIX,OVERSTOCK01,ROOMECOM,TGTDVS</t>
  </si>
  <si>
    <t>MPE10-088</t>
  </si>
  <si>
    <t>BBBDROP,BLK01,CSNSTORES,FINGERHUTDS,JCPENNEY01,KOHLDSN,MACY02,OLLIIX,OVERSTOCK01,TGTDVS,WALMARTDS</t>
  </si>
  <si>
    <t>MPE10-089</t>
  </si>
  <si>
    <t>PF003669;PP000457</t>
  </si>
  <si>
    <t>BBBDROP,BLK01,CSNSTORES,DESINC,JCPENNEY01,KOHLDSN,MACY02,OLLIIX,OVERSTOCK01,TGTDVS,WALMARTDS,Zulily</t>
  </si>
  <si>
    <t>MPE10-091</t>
  </si>
  <si>
    <t>BBBDROP,BEALLSDS,BLK01,CSNSTORES,HOUZZ,HSNDS,JCPENNEY01,KOHLDSN,MACY02,OLLIIX,OVERSTOCK01,TGTDVS,WALMARTDS,Zulily</t>
  </si>
  <si>
    <t>MPE10-092</t>
  </si>
  <si>
    <t>BBBDROP,BEALLSDS,BLK01,CSNSTORES,JCPENNEY01,KOHLDSN,MACY02,OLLIIX,OVERSTOCK01,TGTDVS,WALMARTDS</t>
  </si>
  <si>
    <t>MPE10-093</t>
  </si>
  <si>
    <t>BBBDROP,BEALLSDS,BLK01,CSNSTORES,HSNDS,JCPENNEY01,KOHLDSN,MACY02,NRTPORT,OLLIIX,OVERSTOCK01,TGTDVS,WALMARTDS,Zulily</t>
  </si>
  <si>
    <t>MPE10-129</t>
  </si>
  <si>
    <t>PF003671;PP000457</t>
  </si>
  <si>
    <t>BLK01,CSNSTORES,DESINC,HSNDS,JCPENNEY01,KOHLDSN,MACY02,OLLIIX,OVERSTOCK01,TGTDVS,WALMARTDS</t>
  </si>
  <si>
    <t>MPE10-376</t>
  </si>
  <si>
    <t>Lafael</t>
  </si>
  <si>
    <t>Eden</t>
  </si>
  <si>
    <t>Rowan</t>
  </si>
  <si>
    <t>PF003696</t>
  </si>
  <si>
    <t>AMAZON,AMAZONDS,BLK01,CASTLEGATE,CSNSTORES,FINGERHUTDS,HSNDS,JCPENNEY01,KOHLDSN,MACY02,OLLIIX,OVERSTOCK01,TGTDVS,WALMARTDS</t>
  </si>
  <si>
    <t>MPE10-377</t>
  </si>
  <si>
    <t>AMAZON,AMAZONDS,BBBDROP,BLK01,CSNSTORES,FINGERHUTDS,JCPENNEY01,KOHLDSN,MACY02,OLLIIX,OVERSCONSIGN,OVERSTOCK01,ROOMECOM,TGTDVS,WALMARTDS,Zulily</t>
  </si>
  <si>
    <t>1/9/2024</t>
  </si>
  <si>
    <t>MPE10-378</t>
  </si>
  <si>
    <t>AMAZON,AMAZONDS,BBBDROP,BLK01,CSNSTORES,DESINC,FINGERHUTDS,HSNDS,JCPENNEY01,KOHLDSN,MACY02,OLLIIX,OVERSTOCK01,TGTDVS,Zulily</t>
  </si>
  <si>
    <t>MPE10-379</t>
  </si>
  <si>
    <t>AMAZONDS,BLK01,CSNSTORES,DESINC,FINGERHUTDS,HSNDS,JCPENNEY01,KOHLDSN,MACY02,OLLIIX,OVERSTOCK01,TGTDVS</t>
  </si>
  <si>
    <t>MPE10-380</t>
  </si>
  <si>
    <t>AMAZON,AMAZONDS,BLK01,CSNSTORES,FINGERHUTDS,HSNDS,JCPENNEY01,KOHLDSN,MACY02,OLLIIX,OVERSTOCK01,TGTDVS,WALMARTDS</t>
  </si>
  <si>
    <t>MPE10-1053</t>
  </si>
  <si>
    <t>Jeanie</t>
  </si>
  <si>
    <t>Karissa</t>
  </si>
  <si>
    <t>Comforter Set with Bed Sheets</t>
  </si>
  <si>
    <t>PP001856;PF006281</t>
  </si>
  <si>
    <t>MPE10-1054</t>
  </si>
  <si>
    <t>MPE10-1055</t>
  </si>
  <si>
    <t>MPE10-1056</t>
  </si>
  <si>
    <t>MPE10-1057</t>
  </si>
  <si>
    <t>CS10-1378</t>
  </si>
  <si>
    <t>PF005938;PP001856</t>
  </si>
  <si>
    <t>AMAZON,AMAZONDS,BLK01,CSNSTORES,DESINC,JCPENNEY01,KOHLDSN,MACY02,OLLIIX,OVERSTOCK01,TGTDVS</t>
  </si>
  <si>
    <t>CS10-1379</t>
  </si>
  <si>
    <t>AMAZON,AMAZONDS,BBBDROP,BLK01,CSNSTORES,DESINC,HOUZZ,JCPENNEY01,KOHLDSN,MACY02,OLLIIX,OVERSTOCK01,TGTDVS,Zulily</t>
  </si>
  <si>
    <t>CS10-1380</t>
  </si>
  <si>
    <t>7/13/2021</t>
  </si>
  <si>
    <t>AMAZON,AMAZONDS,BBBDROP,BLK01,CSNSTORES,DESINC,JCPENNEY01,KOHLDSN,MACY02,NRTPORT,OLLIIX,OVERSTOCK01,TGTDVS,Zulily</t>
  </si>
  <si>
    <t>CS10-1381</t>
  </si>
  <si>
    <t>AMAZON,AMAZONDS,BBBDROP,BLK01,CASTLEGATE,CSNSTORES,DESINC,JCPENNEY01,KOHLDSN,MACY02,NRTPORT,OLLIIX,OVERSTOCK01,TGTDVS,Zulily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</si>
  <si>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</si>
  <si>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</si>
  <si>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</si>
  <si>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</si>
  <si>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</si>
  <si>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</si>
  <si>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</si>
  <si>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</si>
  <si>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AMAZON,ASHFURNDS,CSNSTORES,DESINC,JCPENNEY01,KOHLDSN,MACY02,NEBFUR01,NRTPORT,OLLIIX,OVERSTOCK01,TGTDVS</t>
  </si>
  <si>
    <t>MPE10-1020</t>
  </si>
  <si>
    <t>AMAZON,AMAZONDS,ASHFURNDS,BLK01,CSNSTORES,DESINC,JCPENNEY01,KOHLDSN,MACY02,OLLIIX,OVERSTOCK01,TGTDVS</t>
  </si>
  <si>
    <t>MPE10-1021</t>
  </si>
  <si>
    <t>AMAZON,BLK01,CSNSTORES,DESINC,JCPENNEY01,KOHLDSN,MACY02,NRTPORT,OLLIIX,OVERSTOCK01,TGTDVS</t>
  </si>
  <si>
    <t>MPE10-1022</t>
  </si>
  <si>
    <t>AMAZON,AMAZONDS,ASHFURNDS,BLK01,CSNSTORES,JCPENNEY01,KOHLDSN,MACY02,NRTPORT,OVERSTOCK01,TGTDVS</t>
  </si>
  <si>
    <t>MPE10-021</t>
  </si>
  <si>
    <t>Claremont</t>
  </si>
  <si>
    <t>Kendall</t>
  </si>
  <si>
    <t>PF003659</t>
  </si>
  <si>
    <t>BBBDROP,BLK01,CSNSTORES,FINGERHUTDS,HSNDS,JCPENNEY01,KOHLDSN,MACY02,OVERSTOCK01,TGTDVS</t>
  </si>
  <si>
    <t>MPE10-022</t>
  </si>
  <si>
    <t>BBBDROP,BLK01,CSNSTORES,DESINC,FINGERHUTDS,HOUZZ,HSNDS,JCPENNEY01,KOHLDSN,MACY02,NRTPORT,OLLIIX,OVERSTOCK01,TGTDVS,WALMARTDS,Zulily</t>
  </si>
  <si>
    <t>MPE10-023</t>
  </si>
  <si>
    <t>ASHFURNDS,BBBDROP,BLK01,CSNSTORES,DESINC,FINGERHUTDS,HSNDS,JCPENNEY01,KOHLDSN,MACY02,NRTPORT,OLLIIX,OVERSCONSIGN,OVERSTOCK01,TGTDVS,WALMARTDS,Zulily</t>
  </si>
  <si>
    <t>MPE10-024</t>
  </si>
  <si>
    <t>ASHFURNDS,BBBDROP,BLK01,CSNSTORES,DESINC,FINGERHUTDS,HSNDS,JCPENNEY01,KOHLDSN,MACY02,NRTPORT,OLLIIX,OVERSTOCK01,TGTDVS</t>
  </si>
  <si>
    <t>MPE10-034</t>
  </si>
  <si>
    <t>BBBDROP,BLK01,CSNSTORES,DESINC,FINGERHUTDS,HSNDS,JCPENNEY01,KOHLDSN,MACY02,NRTPORT,OLLIIX,OVERSTOCK01,TGTDVS,WALMARTDS,Zulily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</si>
  <si>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</si>
  <si>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</si>
  <si>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</si>
  <si>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</si>
  <si>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</si>
  <si>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</si>
  <si>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</si>
  <si>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</si>
  <si>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</si>
  <si>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</si>
  <si>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</si>
  <si>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</si>
  <si>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</si>
  <si>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</si>
  <si>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</si>
  <si>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</si>
  <si>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AMAZON,AMAZONDS,BBBDROP,BIGLOTSDS,BLK01,CSNSTORES,DESINC,HDDS,JCPENNEY01,KOHLDSN,MACY02,NRTPORT,OLLIIX,OVERSTOCK01,TGTDVS</t>
  </si>
  <si>
    <t>MPE10-895</t>
  </si>
  <si>
    <t>8 Piece Reversible Comforter Set with Bed Sheets</t>
  </si>
  <si>
    <t>AMAZON,AMAZONDS,BBBDROP,BIGLOTSDS,BLK01,CSNSTORES,HDDS,JCPENNEY01,KOHLDSN,MACY02,NEBFUR01,OLLIIX,OVERSTOCK01,TGTDVS</t>
  </si>
  <si>
    <t>MPE10-896</t>
  </si>
  <si>
    <t>AMAZON,AMAZONDS,ASHFURNDS,BBBDROP,BIGLOTSDS,BLK01,CSNSTORES,FINGERHUTDS,HDDS,JCPENNEY01,KOHLDSN,MACY02,NEBFUR01,NRTPORT,OLLIIX,OVERSTOCK01,TGTDVS</t>
  </si>
  <si>
    <t>MPE10-897</t>
  </si>
  <si>
    <t>AMAZON,AMAZONDS,BBBDROP,BIGLOTSDS,BLK01,CSNSTORES,FINGERHUTDS,HDDS,JCPENNEY01,KOHLDSN,MACY02,OLLIIX,OVERSTOCK01,TGTDVS</t>
  </si>
  <si>
    <t>MPE10-898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</si>
  <si>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</si>
  <si>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</si>
  <si>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</si>
  <si>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</si>
  <si>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</si>
  <si>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</si>
  <si>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</si>
  <si>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</si>
  <si>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AMAZON,AMAZONDS,BLK01,CSNSTORES,JCPENNEY01,KOHLDSN,OVERSTOCK01,TGTDVS</t>
  </si>
  <si>
    <t>MPE10-1032</t>
  </si>
  <si>
    <t>MPE10-1033</t>
  </si>
  <si>
    <t>MPE10-1034</t>
  </si>
  <si>
    <t>AMAZON,AMAZONDS,CSNSTORES,DESINC,JCPENNEY01,KOHLDSN,OVERSTOCK01,TGTDVS</t>
  </si>
  <si>
    <t>MPE10-1035</t>
  </si>
  <si>
    <t>AMAZON,AMAZONDS,CSNSTORES,JCPENNEY01,KOHLDSN,OVERSTOCK01,TGTDVS</t>
  </si>
  <si>
    <t>MPE10-985</t>
  </si>
  <si>
    <t>Blue/Grey</t>
  </si>
  <si>
    <t>PF005879;PP001834</t>
  </si>
  <si>
    <t>11/14/2022</t>
  </si>
  <si>
    <t>AMAZON,AMAZONDS,BIGLOTSDS,BLK01,CSNSTORES,DESINC,FINGERHUTDS,JCPENNEY01,KOHLDSN,MACY02,NRTPORT,OLLIIX,OVERSTOCK01,TGTDVS,Zulily</t>
  </si>
  <si>
    <t>MPE10-986</t>
  </si>
  <si>
    <t>AMAZON,AMAZONDS,ASHFURNDS,BBBDROP,BIGLOTSDS,BLK01,CSNSTORES,DESINC,FINGERHUTDS,JCPENNEY01,KOHLDSN,MACY02,OLLIIX,OVERSCONSIGN,OVERSTOCK01,TGTDVS</t>
  </si>
  <si>
    <t>MPE10-987</t>
  </si>
  <si>
    <t>AMAZON,AMAZONDS,ASHFURNDS,BBBDROP,BIGLOTSDS,BLK01,CSNSTORES,DESINC,FINGERHUTDS,JCPENNEY01,KOHLDSN,MACY02,NRTPORT,OLLIIX,OVERSTOCK01,TGTDVS,Zulily</t>
  </si>
  <si>
    <t>MPE10-988</t>
  </si>
  <si>
    <t>MPE10-989</t>
  </si>
  <si>
    <t>MPE10-1073</t>
  </si>
  <si>
    <t>Coral/Grey</t>
  </si>
  <si>
    <t>PP001834;PF006310</t>
  </si>
  <si>
    <t>8/4/2024</t>
  </si>
  <si>
    <t>MPE10-1074</t>
  </si>
  <si>
    <t>6/5/2024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</si>
  <si>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</si>
  <si>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</si>
  <si>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</si>
  <si>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</si>
  <si>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</si>
  <si>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</si>
  <si>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</si>
  <si>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</si>
  <si>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</si>
  <si>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</si>
  <si>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</si>
  <si>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</si>
  <si>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</si>
  <si>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</si>
  <si>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</si>
  <si>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</si>
  <si>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</si>
  <si>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MPE10-158</t>
  </si>
  <si>
    <t>Knowles</t>
  </si>
  <si>
    <t>Glendale</t>
  </si>
  <si>
    <t>Cabrillo</t>
  </si>
  <si>
    <t>PF003652</t>
  </si>
  <si>
    <t>AMAZON,AMAZONDS,BBBDROP,BLK01,CSNSTORES,JCPENNEY01,KOHLDSN,MACY02,OVERSTOCK01,TGTDVS,WALMARTDS</t>
  </si>
  <si>
    <t>MPE10-159</t>
  </si>
  <si>
    <t>MPE10-160</t>
  </si>
  <si>
    <t>AMAZON,AMAZONDS,BBBDROP,BLK01,CSNSTORES,DESINC,FINGERHUTDS,HSNDS,JCPENNEY01,KOHLDSN,MACY02,NRTPORT,OLLIIX,OVERSCONSIGN,OVERSTOCK01,TGTDVS,WALMARTDS,Zulily</t>
  </si>
  <si>
    <t>MPE10-161</t>
  </si>
  <si>
    <t>AMAZON,AMAZONDS,BBBDROP,BLK01,CSNSTORES,DESINC,FINGERHUTDS,HOUZZ,JCPENNEY01,KOHLDSN,MACY02,OLLIIX,OVERSTOCK01,TGTDVS,WALMARTDS</t>
  </si>
  <si>
    <t>MPE10-162</t>
  </si>
  <si>
    <t>AMAZON,AMAZONDS,BLK01,CSNSTORES,DESINC,FINGERHUTDS,JCPENNEY01,KOHLDSN,MACY02,NRTPORT,OVERSTOCK01,TGTDVS,WALMARTDS</t>
  </si>
  <si>
    <t>MPE10-297</t>
  </si>
  <si>
    <t>Ara</t>
  </si>
  <si>
    <t>Complete Comforter and Cotton Sheet Set</t>
  </si>
  <si>
    <t>PF003653</t>
  </si>
  <si>
    <t>MPE10-005</t>
  </si>
  <si>
    <t>PF003651;PP000436</t>
  </si>
  <si>
    <t>AMAZON,AMAZONDS,CSNSTORES,HOUZZ,JCPENNEY01,KOHLDSN,MACY02,OLLIIX,OVERSTOCK01,TGTDVS,WALMARTDS</t>
  </si>
  <si>
    <t>MPE10-006</t>
  </si>
  <si>
    <t>AMAZON,AMAZONDS,ASHFURNDS,BBBDROP,BLK01,CSNSTORES,FINGERHUTDS,JCPENNEY01,KOHLDSN,MACY02,OLLIIX,OVERSTOCK01,TGTDVS,WALMARTDS</t>
  </si>
  <si>
    <t>MPE10-007</t>
  </si>
  <si>
    <t>AMAZON,AMAZONDS,ASHFURNDS,BBBDROP,BLK01,CSNSTORES,DESINC,FINGERHUTDS,HOUZZ,HSNDS,JCPENNEY01,KOHLDSN,MACY02,NRTPORT,OLLIIX,OVERSCONSIGN,OVERSTOCK01,TGTDVS,WALMARTDS</t>
  </si>
  <si>
    <t>MPE10-008</t>
  </si>
  <si>
    <t>MPE10-030</t>
  </si>
  <si>
    <t>AMAZON,AMAZONDS,ASHFURNDS,BLK01,CSNSTORES,FINGERHUTDS,HOUZZ,HSNDS,JCPENNEY01,KOHLDSN,MACY02,OLLIIX,OVERSTOCK01,TGTDVS,Zulily</t>
  </si>
  <si>
    <t>MPE10-1058</t>
  </si>
  <si>
    <t>PF002742;PP001974</t>
  </si>
  <si>
    <t>MPE10-1059</t>
  </si>
  <si>
    <t>MPE10-1060</t>
  </si>
  <si>
    <t>6/4/2024</t>
  </si>
  <si>
    <t>MPE10-1061</t>
  </si>
  <si>
    <t>MPE10-1062</t>
  </si>
  <si>
    <t>MPE10-1063</t>
  </si>
  <si>
    <t>PF002743;PP001974</t>
  </si>
  <si>
    <t>MPE10-1064</t>
  </si>
  <si>
    <t>MPE10-1065</t>
  </si>
  <si>
    <t>MPE10-1066</t>
  </si>
  <si>
    <t>MPE10-1067</t>
  </si>
  <si>
    <t>MPE10-956</t>
  </si>
  <si>
    <t>Nimbus</t>
  </si>
  <si>
    <t>Cirrus</t>
  </si>
  <si>
    <t>Alto</t>
  </si>
  <si>
    <t>5 Piece Comforter Set with Bed Sheets</t>
  </si>
  <si>
    <t>PP001703;PF005620</t>
  </si>
  <si>
    <t>BLK01,CSNSTORES,DESINC,FINGERHUTDS,JCPENNEY01,KOHLDSN,OLLIIX,OVERSTOCK01,TGTDVS</t>
  </si>
  <si>
    <t>MPE10-957</t>
  </si>
  <si>
    <t>7 Piece Comforter Set with Bed Sheets</t>
  </si>
  <si>
    <t>BBBDROP,BLK01,CSNSTORES,FINGERHUTDS,JCPENNEY01,KOHLDSN,MACY02,OLLIIX,OVERSCONSIGN,OVERSTOCK01,TGTDVS</t>
  </si>
  <si>
    <t>MPE10-958</t>
  </si>
  <si>
    <t>BBBDROP,BLK01,CSNSTORES,DESINC,FINGERHUTDS,JCPENNEY01,KOHLDSN,MACY02,OLLIIX,OVERSTOCK01,TGTDVS</t>
  </si>
  <si>
    <t>MPE10-959</t>
  </si>
  <si>
    <t>BBBDROP,BLK01,CSNSTORES,FINGERHUTDS,JCPENNEY01,KOHLDSN,MACY02,OLLIIX,OVERSTOCK01,TGTDVS</t>
  </si>
  <si>
    <t>MPE10-960</t>
  </si>
  <si>
    <t>MPE10-952</t>
  </si>
  <si>
    <t>PP001703;PF005619</t>
  </si>
  <si>
    <t>MPE10-953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</si>
  <si>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</si>
  <si>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</si>
  <si>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</si>
  <si>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</si>
  <si>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</si>
  <si>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</si>
  <si>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AMAZON,AMAZONDS,BBBDROP,BIGLOTSDS,BLK01,CSNSTORES,HDDS,JCPENNEY01,KOHLDSN,MACY02,OLLIIX,OVERSCONSIGN,OVERSTOCK01,TGTDVS,WALMARTDS</t>
  </si>
  <si>
    <t>MPE10-874</t>
  </si>
  <si>
    <t>8 Piece Comforter Set with Bed Sheets</t>
  </si>
  <si>
    <t>AMAZON,AMAZONDS,BBBDROP,BIGLOTSDS,BLK01,CSNSTORES,HDDS,JCPENNEY01,KOHLDSN,MACY02,OLLIIX,OVERSTOCK01,TGTDVS,WALMARTDS</t>
  </si>
  <si>
    <t>MPE10-875</t>
  </si>
  <si>
    <t>AMAZON,AMAZONDS,BBBDROP,BIGLOTSDS,BLK01,CSNSTORES,FINGERHUTDS,HDDS,JCPENNEY01,KOHLDSN,MACY02,OLLIIX,OVERSTOCK01,TGTDVS,WALMARTDS</t>
  </si>
  <si>
    <t>MPE10-876</t>
  </si>
  <si>
    <t>AMAZON,AMAZONDS,BBBDROP,BIGLOTSDS,BLK01,CSNSTORES,FINGERHUTDS,HDDS,JCPENNEY01,KOHLDSN,MACY02,OVERSTOCK01,TGTDVS,WALMARTDS</t>
  </si>
  <si>
    <t>MPE10-877</t>
  </si>
  <si>
    <t>AMAZON,AMAZONDS,BBBDROP,BIGLOTSDS,BLK01,CSNSTORES,HDDS,JCPENNEY01,KOHLDSN,MACY02,OVERSTOCK01,TGTDVS,WALMARTDS,Zulily</t>
  </si>
  <si>
    <t>MPE10-886-AR</t>
  </si>
  <si>
    <t>Remy</t>
  </si>
  <si>
    <t>Skylar</t>
  </si>
  <si>
    <t>Zuri</t>
  </si>
  <si>
    <t>PF005031</t>
  </si>
  <si>
    <t>MPE10-514</t>
  </si>
  <si>
    <t>Sybil</t>
  </si>
  <si>
    <t>Nova</t>
  </si>
  <si>
    <t>Sasha</t>
  </si>
  <si>
    <t>PF003700</t>
  </si>
  <si>
    <t>MPE10-516</t>
  </si>
  <si>
    <t>MPE10-517</t>
  </si>
  <si>
    <t>MPE10-867-AR</t>
  </si>
  <si>
    <t>Titus</t>
  </si>
  <si>
    <t>Ashby</t>
  </si>
  <si>
    <t>Gordy</t>
  </si>
  <si>
    <t>PF004943;PP001401</t>
  </si>
  <si>
    <t>Casual|Global Inspired</t>
  </si>
  <si>
    <t>MPE10-013</t>
  </si>
  <si>
    <t>Vaughn</t>
  </si>
  <si>
    <t>Sonora</t>
  </si>
  <si>
    <t>PF003655;PP000527</t>
  </si>
  <si>
    <t>BEALLSDS,BLK01,CSNSTORES,JCPENNEY01,KOHLDSN,MACY02,OLLIIX,OVERSTOCK01,TGTDVS,WALMARTDS</t>
  </si>
  <si>
    <t>MPE10-015</t>
  </si>
  <si>
    <t>BBBDROP,BEALLSDS,BLK01,CSNSTORES,DESINC,FINGERHUTDS,JCPENNEY01,KOHLDSN,MACY02,OLLIIX,OVERSTOCK01,TGTDVS,WALMARTDS</t>
  </si>
  <si>
    <t>MPE10-016</t>
  </si>
  <si>
    <t>ASHFURNDS,BBBDROP,BEALLSDS,BLK01,CSNSTORES,DESINC,JCPENNEY01,KOHLDSN,MACY02,OLLIIX,OVERSTOCK01,TGTDVS,WALMARTDS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</si>
  <si>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</si>
  <si>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</si>
  <si>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</si>
  <si>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</si>
  <si>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</si>
  <si>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</si>
  <si>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</si>
  <si>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</si>
  <si>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BBBDROP,BIGLOTSDS,BLK01,CSNSTORES,FINGERHUTDS,JCPENNEY01,KOHLDSN,MACY02,NEBFUR01,OLLIIX,OVERSTOCK01,TGTDVS,WALMARTDS,Zulily</t>
  </si>
  <si>
    <t>MPE10-796</t>
  </si>
  <si>
    <t>BBBDROP,BIGLOTSDS,BLK01,CSNSTORES,DESINC,FINGERHUTDS,JCPENNEY01,KOHLDSN,MACY02,NEBFUR01,OLLIIX,OVERSCONSIGN,OVERSTOCK01,TGTDVS,WALMARTDS,Zulily</t>
  </si>
  <si>
    <t>MPE10-797</t>
  </si>
  <si>
    <t>BBBDROP,BLK01,CSNSTORES,DESINC,FINGERHUTDS,JCPENNEY01,KOHLDSN,MACY02,NEBFUR01,OLLIIX,OVERSCONSIGN,OVERSTOCK01,TGTDVS,WALMARTDS,Zulily</t>
  </si>
  <si>
    <t>MPE13-508</t>
  </si>
  <si>
    <t>6 Piece Quilt Set with Cotton Bed Sheets</t>
  </si>
  <si>
    <t>PF003699</t>
  </si>
  <si>
    <t>BBBDROP,BLK01,CSNSTORES,JCPENNEY01,KOHLDSN,MACY02,OLLIIX,OVERSTOCK01,TGTDVS,WALMARTDS</t>
  </si>
  <si>
    <t>MPE13-509</t>
  </si>
  <si>
    <t>8 Piece Quilt Set with Cotton Bed Sheets</t>
  </si>
  <si>
    <t>BLK01,CASTLEGATE,CSNSTORES,HSNDS,JCPENNEY01,KOHLDSN,MACY02,OLLIIX,OVERSTOCK01,TGTDVS,WALMARTDS</t>
  </si>
  <si>
    <t>MPE13-510</t>
  </si>
  <si>
    <t>BLK01,CSNSTORES,DESINC,FINGERHUTDS,HSNDS,JCPENNEY01,KOHLDSN,MACY02,OLLIIX,OVERSTOCK01,ROOMECOM,TGTDVS,WALMARTDS,Zulily</t>
  </si>
  <si>
    <t>1/3/2024</t>
  </si>
  <si>
    <t>MPE13-511</t>
  </si>
  <si>
    <t>BBBDROP,CASTLEGATE,CSNSTORES,HSNDS,JCPENNEY01,KOHLDSN,MACY02,OLLIIX,OVERSTOCK01,ROOMECOM,TGTDVS,WALMARTDS,Zulily</t>
  </si>
  <si>
    <t>MPE13-512</t>
  </si>
  <si>
    <t>BBBDROP,BLK01,CSNSTORES,HSNDS,JCPENNEY01,KOHLDSN,MACY02,OLLIIX,OVERSTOCK01,ROOMECOM,TGTDVS,WALMARTDS,Zulily</t>
  </si>
  <si>
    <t>5/16/2024</t>
  </si>
  <si>
    <t>MPE13-193</t>
  </si>
  <si>
    <t>Avalon</t>
  </si>
  <si>
    <t>Morrisson</t>
  </si>
  <si>
    <t>Cornell</t>
  </si>
  <si>
    <t>Complete Coverlet and Cotton Sheet Set</t>
  </si>
  <si>
    <t>PF003658;PP000382</t>
  </si>
  <si>
    <t>MPE13-307</t>
  </si>
  <si>
    <t>PF003660</t>
  </si>
  <si>
    <t>MPE13-199</t>
  </si>
  <si>
    <t>MPE13-316</t>
  </si>
  <si>
    <t>MPE13-308</t>
  </si>
  <si>
    <t>PF003651</t>
  </si>
  <si>
    <t>MPE13-309</t>
  </si>
  <si>
    <t>BBBDROP,BEALLSDS,BLK01,CSNSTORES,FINGERHUTDS,JCPENNEY01,KOHLDSN,MACY02,OLLIIX,OVERSTOCK01,TGTDVS,WALMARTDS</t>
  </si>
  <si>
    <t>MPE13-310</t>
  </si>
  <si>
    <t>ASHFURNDS,BBBDROP,BLK01,CSNSTORES,FINGERHUTDS,JCPENNEY01,KOHLDSN,MACY02,OLLIIX,OVERSCONSIGN,OVERSTOCK01,TGTDVS,WALMARTDS</t>
  </si>
  <si>
    <t>MPE13-311</t>
  </si>
  <si>
    <t>BBBDROP,BEALLSDS,BLK01,CSNSTORES,JCPENNEY01,KOHLDSN,MACY02,OLLIIX,OVERSCONSIGN,OVERSTOCK01,TGTDVS,WALMARTDS,Zulily</t>
  </si>
  <si>
    <t>MPE13-312</t>
  </si>
  <si>
    <t>BLK01,CSNSTORES,JCPENNEY01,KOHLDSN,MACY02,OLLIIX,OVERSCONSIGN,OVERSTOCK01,TGTDVS</t>
  </si>
  <si>
    <t>MPE13-804</t>
  </si>
  <si>
    <t>7/5/2019</t>
  </si>
  <si>
    <t>AMAZON,AMAZONDS,CSNSTORES,JCPENNEY01,KOHLDSN,MACY02,NRTPORT,OLLIIX,OVERSTOCK01,TGTDVS,WALMARTDS</t>
  </si>
  <si>
    <t>MPE13-805</t>
  </si>
  <si>
    <t>AMAZON,AMAZONDS,BBBDROP,BEALLSDS,BLK01,CSNSTORES,DESINC,JCPENNEY01,KOHLDSN,OLLIIX,OVERSCONSIGN,OVERSTOCK01,TGTDVS,WALMARTDS,Zulily</t>
  </si>
  <si>
    <t>MPE13-806</t>
  </si>
  <si>
    <t>AMAZON,AMAZONDS,BBBDROP,BEALLSDS,BIGLOTSDS,BLK01,CSNSTORES,DESINC,JCPENNEY01,KOHLDSN,MACY02,OLLIIX,OVERSTOCK01,TGTDVS,WALMARTDS,Zulily</t>
  </si>
  <si>
    <t>MPE13-807</t>
  </si>
  <si>
    <t>MPE13-808</t>
  </si>
  <si>
    <t>AMAZON,AMAZONDS,BBBDROP,BEALLSDS,BIGLOTSDS,BLK01,CSNSTORES,FINGERHUTDS,JCPENNEY01,KOHLDSN,MACY02,OLLIIX,OVERSTOCK01,TGTDVS,WALMARTDS,Zulily</t>
  </si>
  <si>
    <t>MPE13-168</t>
  </si>
  <si>
    <t>AMAZON,AMAZONDS,ASHFURNDS,BBBDROP,BLK01,CSNSTORES,DESINC,JCPENNEY01,KOHLDSN,MACY02,NRTPORT,OLLIIX,OVERSCONSIGN,OVERSTOCK01,TGTDVS,WALMARTDS,Zulily</t>
  </si>
  <si>
    <t>MPE13-169</t>
  </si>
  <si>
    <t>AMAZONDS,ASHFURNDS,BBBDROP,BLK01,CSNSTORES,JCPENNEY01,KOHLDSN,MACY02,OLLIIX,OVERSCONSIGN,OVERSTOCK01,TGTDVS,WALMARTDS</t>
  </si>
  <si>
    <t>MPE13-170</t>
  </si>
  <si>
    <t>AMAZON,AMAZONDS,ASHFURNDS,BBBDROP,BLK01,CSNSTORES,FINGERHUTDS,HSNDS,JCPENNEY01,KOHLDSN,MACY02,NRTPORT,OLLIIX,OVERSCONSIGN,OVERSTOCK01,TGTDVS</t>
  </si>
  <si>
    <t>MPE13-171</t>
  </si>
  <si>
    <t>AMAZON,AMAZONDS,ASHFURNDS,BBBDROP,BLK01,CSNSTORES,DESINC,HSNDS,JCPENNEY01,KOHLDSN,MACY02,OLLIIX,OVERSCONSIGN,OVERSTOCK01,TGTDVS,WALMARTDS</t>
  </si>
  <si>
    <t>MPE13-172</t>
  </si>
  <si>
    <t>AMAZON,ASHFURNDS,BBBDROP,BLK01,CSNSTORES,FINGERHUTDS,JCPENNEY01,KOHLDSN,MACY02,OLLIIX,OVERSTOCK01,TGTDVS,WALMARTDS</t>
  </si>
  <si>
    <t>MPE13-338</t>
  </si>
  <si>
    <t>Orissa</t>
  </si>
  <si>
    <t>PF003663</t>
  </si>
  <si>
    <t>MPE13-341</t>
  </si>
  <si>
    <t>MPE13-342</t>
  </si>
  <si>
    <t>MPE13-177</t>
  </si>
  <si>
    <t>MPE13-334</t>
  </si>
  <si>
    <t>Brighton</t>
  </si>
  <si>
    <t>MPE13-335</t>
  </si>
  <si>
    <t>MPE13-336</t>
  </si>
  <si>
    <t>MPE13-337</t>
  </si>
  <si>
    <t>MPE13-345</t>
  </si>
  <si>
    <t>Aurora</t>
  </si>
  <si>
    <t>PF003665</t>
  </si>
  <si>
    <t>MPE13-346</t>
  </si>
  <si>
    <t>MPE13-628</t>
  </si>
  <si>
    <t>6 Piece Reversible Daybed Set</t>
  </si>
  <si>
    <t>AMAZON,AMAZONDS,BBBDROP,BLK01,CSNSTORES,DESINC,HSNDS,JCPENNEY01,KOHLDSN,MACY02,OLLIIX,OVERSTOCK01,TGTDVS,WALMARTDS</t>
  </si>
  <si>
    <t>MPE13-627</t>
  </si>
  <si>
    <t>PF003669</t>
  </si>
  <si>
    <t>9/2/2017</t>
  </si>
  <si>
    <t>AMAZON,AMAZONDS,BBBDROP,BEALLSDS,BLK01,CSNSTORES,DESINC,JCPENNEY01,KOHLDSN,MACY02,OLLIIX,OVERSTOCK01,TGTDVS,WALMARTDS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</si>
  <si>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</si>
  <si>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</si>
  <si>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</si>
  <si>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</si>
  <si>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</si>
  <si>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</si>
  <si>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</si>
  <si>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AAFESDS,AMAZON,AMAZONDS,AMERSIGNDS,ASHFURNDS,BBBDROP,BEALLSDS,BIGLOTSDS,BLK01,CASTLEGATE,CSNSTORES,DESINC,HDDS,HOUZZ,HSNDS,JCPENNEY01,KOHLDSN,MACY02,NRTPORT,OLLIIX,OVERSTOCK01,ROOMECOM,TGTDVS,Zulily</t>
  </si>
  <si>
    <t>5DS10-0048</t>
  </si>
  <si>
    <t>7/16/2024</t>
  </si>
  <si>
    <t>AAFESDS,AMAZON,AMAZONDS,AMERSIGNDS,ASHFURNDS,BBBDROP,BEALLSDS,BIGLOTSDS,BLK01,CASTLEGATE,CSNSTORES,HDDS,HSNDS,JCPENNEY01,KOHLDSN,MACY02,NRTPORT,OLLIIX,OVERSTOCK01,ROOMECOM,TGTDVS,Zulily</t>
  </si>
  <si>
    <t>3/20/2021</t>
  </si>
  <si>
    <t>5DS10-0049</t>
  </si>
  <si>
    <t>3/30/2018</t>
  </si>
  <si>
    <t>AMAZON,AMAZONDS,AMERSIGNDS,ASHFURNDS,BBBDROP,BEALLSDS,BLK01,CASTLEGATE,CSNSTORES,DESINC,HDDS,HSNDS,JCPENNEY01,KOHLDSN,MACY02,NEBFUR01,NRTPORT,OLLIIX,OVERSTOCK01,ROOMECOM,TGTDVS</t>
  </si>
  <si>
    <t>3/9/2021</t>
  </si>
  <si>
    <t>5DS10-0218</t>
  </si>
  <si>
    <t>Embroidered 8 Piece Comforter Set</t>
  </si>
  <si>
    <t>PF004870;PP001734</t>
  </si>
  <si>
    <t>8/22/2019</t>
  </si>
  <si>
    <t>AMAZON,AMAZONDS,BBBDROP,BEALLSDS,BIGLOTSDS,BLK01,CSNSTORES,DESINC,JCPENNEY01,KOHLDSN,MACY02,NRTPORT,OLLIIX,OVERSCONSIGN,OVERSTOCK01,ROOMECOM,TGTDVS,Zulily</t>
  </si>
  <si>
    <t>12/4/2022</t>
  </si>
  <si>
    <t>5DS10-0219</t>
  </si>
  <si>
    <t>AMAZON,AMAZONDS,BBBDROP,BEALLSDS,BIGLOTSDS,BLK01,CSNSTORES,HDDS,HOUZZ,JCPENNEY01,KOHLDSN,MACY02,NRTPORT,OLLIIX,OVERSTOCK01,ROOMECOM,TGTDVS,Zulily</t>
  </si>
  <si>
    <t>10/12/2022</t>
  </si>
  <si>
    <t>5DS10-0220</t>
  </si>
  <si>
    <t>AMAZON,AMAZONDS,BBBDROP,BEALLSDS,BLK01,CSNSTORES,FINGERHUTDS,HOUZZ,JCPENNEY01,KOHLDSN,MACY02,NRTPORT,OLLIIX,OVERSTOCK01,ROOMECOM,TGTDVS,Zulily</t>
  </si>
  <si>
    <t>8/20/2023</t>
  </si>
  <si>
    <t>5DS10-0252</t>
  </si>
  <si>
    <t>PF005656;PP001734</t>
  </si>
  <si>
    <t>7/11/2022</t>
  </si>
  <si>
    <t>AMAZONDS,BBBDROP,BEALLSDS,BIGLOTSDS,CSNSTORES,HOUZZ,JCPENNEY01,KOHLDSN,MACY02,NRTPORT,OLLIIX,OVERSTOCK01,TGTDVS</t>
  </si>
  <si>
    <t>5DS10-0253</t>
  </si>
  <si>
    <t>AMAZONDS,BBBDROP,BEALLSDS,BIGLOTSDS,BLK01,CSNSTORES,JCPENNEY01,KOHLDSN,MACY02,NRTPORT,OLLIIX,OVERSTOCK01,TGTDVS,Zulily</t>
  </si>
  <si>
    <t>5DS10-0254</t>
  </si>
  <si>
    <t>AMAZONDS,BEALLSDS,BIGLOTSDS,BLK01,CSNSTORES,JCPENNEY01,KOHLDSN,MACY02,NRTPORT,OLLIIX,OVERSTOCK01,TGTDVS,Zulily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</si>
  <si>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</si>
  <si>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</si>
  <si>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</si>
  <si>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</si>
  <si>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</si>
  <si>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</si>
  <si>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</si>
  <si>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AMERSIGNDS,ASHFURNDS,BBBDROP,BEALLSDS,BLK01,CSNSTORES,FINGERHUTDS,JCPENNEY01,KOHLDSN,MACY02,OLLIIX,OVERSTOCK01,ROOMECOM,TGTDVS,Zulily</t>
  </si>
  <si>
    <t>5DS10-0216</t>
  </si>
  <si>
    <t>AMERSIGNDS,ASHFURNDS,BBBDROP,BEALLSDS,BLK01,CSNSTORES,FINGERHUTDS,JCPENNEY01,KOHLDSN,MACY02,NRTPORT,OLLIIX,OVERSTOCK01,ROOMECOM,TGTDVS</t>
  </si>
  <si>
    <t>5DS10-0181</t>
  </si>
  <si>
    <t>PF004470;PP001000</t>
  </si>
  <si>
    <t>9/25/2018</t>
  </si>
  <si>
    <t>AMERSIGNDS,ASHFURNDS,BBBDROP,BLK01,CSNSTORES,FINGERHUTDS,JCPENNEY01,KOHLDSN,MACY02,NRTPORT,OLLIIX,OVERSTOCK01,TGTDVS</t>
  </si>
  <si>
    <t>5DS10-0050</t>
  </si>
  <si>
    <t>Shawnee</t>
  </si>
  <si>
    <t>Josefina</t>
  </si>
  <si>
    <t>Stacie</t>
  </si>
  <si>
    <t>PF004214</t>
  </si>
  <si>
    <t>AAFESDS,AMAZON,AMAZONDS,AMERSIGNDS,BBBDROP,BEALLSDS,BIGLOTSDS,BLK01,CASTLEGATE,CSNSTORES,DESINC,FINGERHUTDS,HDDS,HSNDS,JCPENNEY01,KOHLDSN,MACY02,NEBFUR01,NRTPORT,OLLIIX,OVERSCONSIGN,OVERSTOCK01,ROOMECOM,TGTDVS,WALMARTDS,Zulily</t>
  </si>
  <si>
    <t>10/25/2022</t>
  </si>
  <si>
    <t>5DS10-0051</t>
  </si>
  <si>
    <t>AMAZON,AMAZONDS,AMERSIGNDS,BBBDROP,BEALLSDS,BIGLOTSDS,BLK01,CASTLEGATE,CSNSTORES,FINGERHUTDS,HDDS,HSNDS,JCPENNEY01,KOHLDSN,LAMPDS,MACY02,NEBFUR01,NRTPORT,OLLIIX,OVERSTOCK01,ROOMECOM,TGTDVS,Zulily</t>
  </si>
  <si>
    <t>5DS10-0052</t>
  </si>
  <si>
    <t>PF004214;PP001563;PP001733</t>
  </si>
  <si>
    <t>AMAZON,AMAZONDS,AMERSIGNDS,BBBDROP,BEALLSDS,BLK01,CSNSTORES,FINGERHUTDS,HSNDS,JCPENNEY01,KOHLDSN,MACY02,NRTPORT,OLLIIX,OVERSCONSIGN,OVERSTOCK01,ROOMECOM,TGTDVS,WALMARTDS,Zulily</t>
  </si>
  <si>
    <t>10/11/2023</t>
  </si>
  <si>
    <t>5DS10-0255</t>
  </si>
  <si>
    <t xml:space="preserve">8 Piece  Comforter Set</t>
  </si>
  <si>
    <t>PF005657;PP001733</t>
  </si>
  <si>
    <t>5/4/2022</t>
  </si>
  <si>
    <t>AMAZONDS,BBBDROP,BEALLSDS,BIGLOTSDS,BLK01,CASTLEGATE,CSNSTORES,HOUZZ,JCPENNEY01,KOHLDSN,MACY02,NRTPORT,OLLIIX,OVERSCONSIGN,OVERSTOCK01,TGTDVS,Zulily</t>
  </si>
  <si>
    <t>5DS10-0256</t>
  </si>
  <si>
    <t>AMAZONDS,BBBDROP,BEALLSDS,BIGLOTSDS,BLK01,CSNSTORES,HDDS,JCPENNEY01,KOHLDSN,MACY02,NRTPORT,OLLIIX,OVERSTOCK01,TGTDVS,Zulily</t>
  </si>
  <si>
    <t>5DS10-0257</t>
  </si>
  <si>
    <t>5DS10-0222</t>
  </si>
  <si>
    <t>PF004917</t>
  </si>
  <si>
    <t>9/18/2019</t>
  </si>
  <si>
    <t>AAFESDS,AMAZON,AMAZONDS,BBBDROP,BEALLSDS,BIGLOTSDS,BLK01,CASTLEGATE,CSNSTORES,FINGERHUTDS,HDDS,JCPENNEY01,KOHLDSN,MACY02,NEBFUR01,NRTPORT,OLLIIX,OVERSCONSIGN,OVERSTOCK01,TGTDVS,Zulily</t>
  </si>
  <si>
    <t>5DS10-0223</t>
  </si>
  <si>
    <t>AMAZON,AMAZONDS,BBBDROP,BIGLOTSDS,BLK01,CSNSTORES,FINGERHUTDS,JCPENNEY01,KOHLDSN,MACY02,NRTPORT,OLLIIX,OVERSTOCK01,TGTDVS,Zulily</t>
  </si>
  <si>
    <t>5DS10-0224</t>
  </si>
  <si>
    <t>5DS10-0274</t>
  </si>
  <si>
    <t>PP001733;PF005710</t>
  </si>
  <si>
    <t>AMAZONDS,BBBDROP,BEALLSDS,BLK01,CSNSTORES,JCPENNEY01,KOHLDSN,MACY02,NRTPORT,OLLIIX,OVERSTOCK01,TGTDVS</t>
  </si>
  <si>
    <t>5DS10-0275</t>
  </si>
  <si>
    <t>AMAZONDS,BBBDROP,BEALLSDS,BLK01,CSNSTORES,HDDS,JCPENNEY01,KOHLDSN,MACY02,NRTPORT,OLLIIX,OVERSTOCK01,TGTDVS,Zulily</t>
  </si>
  <si>
    <t>5DS10-0276</t>
  </si>
  <si>
    <t>AMAZONDS,BBBDROP,BEALLSDS,BLK01,CSNSTORES,JCPENNEY01,KOHLDSN,MACY02,NRTPORT,OLLIIX,OVERSTOCK01,TGTDVS,Zulily</t>
  </si>
  <si>
    <t>5DS10-0053</t>
  </si>
  <si>
    <t>Tinsley</t>
  </si>
  <si>
    <t>Irvine</t>
  </si>
  <si>
    <t>Arlie</t>
  </si>
  <si>
    <t>Seafoam/Grey</t>
  </si>
  <si>
    <t>PF004215</t>
  </si>
  <si>
    <t>2/9/2018</t>
  </si>
  <si>
    <t>7/20/2024</t>
  </si>
  <si>
    <t>AMAZON,AMAZONDS,AMERSIGNDS,BBBDROP,BEALLSDS,BLK01,CASTLEGATE,CSNSTORES,DESINC,HDDS,JCPENNEY01,KOHLDSN,MACY02,NEBFUR01,NRTPORT,OLLIIX,OVERSCONSIGN,OVERSTOCK01,ROOMECOM,TGTDVS,Zulily</t>
  </si>
  <si>
    <t>1/12/2023</t>
  </si>
  <si>
    <t>5DS10-0054</t>
  </si>
  <si>
    <t>AMAZON,AMAZONDS,AMERSIGNDS,BBBDROP,BEALLSDS,BLK01,CSNSTORES,DESINC,FINGERHUTDS,HDDS,JCPENNEY01,KOHLDSN,MACY02,NEBFUR01,NRTPORT,OLLIIX,OVERSCONSIGN,OVERSTOCK01,ROOMECOM,TGTDVS,Zulily</t>
  </si>
  <si>
    <t>1/11/2023</t>
  </si>
  <si>
    <t>5DS10-0055</t>
  </si>
  <si>
    <t>AMAZON,AMAZONDS,BBBDROP,BEALLSDS,BLK01,CSNSTORES,DESINC,HOUZZ,JCPENNEY01,KOHLDSN,MACY02,NEBFUR01,OLLIIX,OVERSTOCK01,ROOMECOM,TGTDVS,Zulily</t>
  </si>
  <si>
    <t>5DS10-0265</t>
  </si>
  <si>
    <t>PF004215;PP001759</t>
  </si>
  <si>
    <t>AMAZONDS,ASHFURNDS,BBBDROP,BLK01,CSNSTORES,DESINC,JCPENNEY01,KOHLDSN,MACY02,NRTPORT,OLLIIX,OVERSTOCK01,TGTDVS,Zulily</t>
  </si>
  <si>
    <t>5DS10-0266</t>
  </si>
  <si>
    <t>AMAZONDS,ASHFURNDS,BBBDROP,BLK01,CSNSTORES,DESINC,HOUZZ,JCPENNEY01,KOHLDSN,MACY02,NRTPORT,OLLIIX,OVERSCONSIGN,OVERSTOCK01,TGTDVS,Zulily</t>
  </si>
  <si>
    <t>5DS10-0267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</si>
  <si>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</si>
  <si>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</si>
  <si>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</si>
  <si>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</si>
  <si>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</si>
  <si>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</si>
  <si>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5DS10-0278</t>
  </si>
  <si>
    <t>AAFESDS,AMAZON,AMAZONDS,BIGLOTSDS,BLK01,CSNSTORES,DESINC,FINGERHUTDS,JCPENNEY01,KOHLDSN,MACY02,NRTPORT,OLLIIX,OVERSTOCK01,TGTDVS</t>
  </si>
  <si>
    <t>5DS10-0279</t>
  </si>
  <si>
    <t>AAFESDS,AMAZON,AMAZONDS,BBBDROP,BIGLOTSDS,BLK01,CSNSTORES,FINGERHUTDS,JCPENNEY01,KOHLDSN,MACY02,NRTPORT,OLLIIX,OVERSTOCK01,TGTDVS</t>
  </si>
  <si>
    <t>5DS10-0280</t>
  </si>
  <si>
    <t>PP001776;PF005724</t>
  </si>
  <si>
    <t>AMAZONDS,BBBDROP,BIGLOTSDS,BLK01,CSNSTORES,FINGERHUTDS,HDDS,JCPENNEY01,KOHLDSN,MACY02,NRTPORT,OLLIIX,OVERSTOCK01,TGTDVS,Zulily</t>
  </si>
  <si>
    <t>5DS10-0281</t>
  </si>
  <si>
    <t>AMAZONDS,BBBDROP,BIGLOTSDS,BLK01,CSNSTORES,FINGERHUTDS,JCPENNEY01,KOHLDSN,MACY02,NRTPORT,OLLIIX,OVERSTOCK01,TGTDVS</t>
  </si>
  <si>
    <t>5DS10-0282</t>
  </si>
  <si>
    <t>AMAZONDS,BBBDROP,BLK01,CSNSTORES,FINGERHUTDS,JCPENNEY01,KOHLDSN,MACY02,NRTPORT,OLLIIX,OVERSTOCK01,TGTDVS,Zulily</t>
  </si>
  <si>
    <t>5DS13-0028</t>
  </si>
  <si>
    <t>Otto</t>
  </si>
  <si>
    <t>Nash</t>
  </si>
  <si>
    <t>Trace</t>
  </si>
  <si>
    <t>PF004286;PP000894</t>
  </si>
  <si>
    <t>2/8/2018</t>
  </si>
  <si>
    <t>ASHFURNDS,BBBDROP,BEALLSDS,BIGLOTSDS,BLK01,CSNSTORES,FINGERHUTDS,JCPENNEY01,KIRKLANDDS,KOHLDSN,MACY02,OLLIIX,OVERSCONSIGN,OVERSTOCK01,ROOMECOM,TGTDVS,WALMARTDS,Zulily</t>
  </si>
  <si>
    <t>5DS13-0029</t>
  </si>
  <si>
    <t>BBBDROP,BEALLSDS,BIGLOTSDS,BLK01,CSNSTORES,FINGERHUTDS,HDDS,HOUZZ,JCPENNEY01,KIRKLANDDS,KOHLDSN,MACY02,OLLIIX,OVERSCONSIGN,OVERSTOCK01,ROOMECOM,TGTDVS,WALMARTDS,Zulily</t>
  </si>
  <si>
    <t>5DS13-0024</t>
  </si>
  <si>
    <t>PF004284;PP000894</t>
  </si>
  <si>
    <t>BBBDROP,BEALLSDS,BIGLOTSDS,BLK01,CASTLEGATE,CSNSTORES,FINGERHUTDS,HOUZZ,JCPENNEY01,KOHLDSN,MACY02,OLLIIX,OVERSTOCK01,TGTDVS,WALMARTDS,Zulily</t>
  </si>
  <si>
    <t>5DS13-0025</t>
  </si>
  <si>
    <t>BBBDROP,BEALLSDS,BIGLOTSDS,BLK01,CSNSTORES,HOUZZ,JCPENNEY01,KIRKLANDDS,KOHLDSN,MACY02,OLLIIX,OVERSTOCK01,TGTDVS,WALMARTDS,Zulily</t>
  </si>
  <si>
    <t>5DS13-0032</t>
  </si>
  <si>
    <t>PF004288;PP000894</t>
  </si>
  <si>
    <t>BBBDROP,BIGLOTSDS,BLK01,CSNSTORES,FINGERHUTDS,JCPENNEY01,KIRKLANDDS,KOHLDSN,MACY02,OLLIIX,OVERSTOCK01,TGTDVS,WALMARTDS,Zulily</t>
  </si>
  <si>
    <t>5DS13-0033</t>
  </si>
  <si>
    <t>BBBDROP,BIGLOTSDS,BLK01,CSNSTORES,FINGERHUTDS,JCPENNEY01,KOHLDSN,MACY02,OLLIIX,OVERSCONSIGN,OVERSTOCK01,TGTDVS,WALMARTDS,Zulily</t>
  </si>
  <si>
    <t>5DS13-0170</t>
  </si>
  <si>
    <t>Oakley</t>
  </si>
  <si>
    <t>Hayley</t>
  </si>
  <si>
    <t>Glen</t>
  </si>
  <si>
    <t>PF004416;PP000972</t>
  </si>
  <si>
    <t>8/11/2018</t>
  </si>
  <si>
    <t>AMAZON,AMAZONDS,ASHFURNDS,BBBDROP,BEALLSDS,BLK01,CSNSTORES,FINGERHUTDS,HOUZZ,HSNDS,JCPENNEY01,KOHLDSN,MACY02,NEBFUR01,NRTPORT,OLLIIX,OVERSCONSIGN,OVERSTOCK01,ROOMECOM,TGTDVS,WALMARTDS,Zulily</t>
  </si>
  <si>
    <t>10/16/2022</t>
  </si>
  <si>
    <t>5DS13-0171</t>
  </si>
  <si>
    <t>AMAZON,AMAZONDS,ASHFURNDS,BBBDROP,BEALLSDS,BLK01,CASTLEGATE,CSNSTORES,FINGERHUTDS,HDDS,HOUZZ,HSNDS,JCPENNEY01,KOHLDSN,MACY02,NEBFUR01,NRTPORT,OLLIIX,OVERSCONSIGN,OVERSTOCK01,ROOMECOM,TGTDVS,Zulily</t>
  </si>
  <si>
    <t>5DS13-0166</t>
  </si>
  <si>
    <t>PF004414;PP000972</t>
  </si>
  <si>
    <t>AMAZON,AMAZONDS,ASHFURNDS,BBBDROP,BEALLSDS,BLK01,CSNSTORES,FINGERHUTDS,HSNDS,JCPENNEY01,KOHLDSN,MACY02,NRTPORT,OLLIIX,OVERSTOCK01,ROOMECOM,TGTDVS,WALMARTDS,Zulily</t>
  </si>
  <si>
    <t>9/13/2022</t>
  </si>
  <si>
    <t>2/17/2023</t>
  </si>
  <si>
    <t>5DS13-0167</t>
  </si>
  <si>
    <t>AMAZON,AMAZONDS,ASHFURNDS,BBBDROP,BEALLSDS,BLK01,CASTLEGATE,CSNSTORES,FINGERHUTDS,HOUZZ,HSNDS,JCPENNEY01,KOHLDSN,MACY02,NRTPORT,OLLIIX,OVERSCONSIGN,OVERSTOCK01,ROOMECOM,TGTDVS,WALMARTDS,Zulily</t>
  </si>
  <si>
    <t>5DS13-0168</t>
  </si>
  <si>
    <t>PF004415;PP000972</t>
  </si>
  <si>
    <t>AMAZON,AMAZONDS,ASHFURNDS,BBBDROP,BEALLSDS,BLK01,CASTLEGATE,CSNSTORES,FINGERHUTDS,HSNDS,JCPENNEY01,KOHLDSN,MACY02,NEBFUR01,NRTPORT,OLLIIX,OVERSTOCK01,TGTDVS,WALMARTDS,Zulily</t>
  </si>
  <si>
    <t>5DS13-0169</t>
  </si>
  <si>
    <t>AMAZON,AMAZONDS,ASHFURNDS,BBBDROP,BEALLSDS,BLK01,CSNSTORES,FINGERHUTDS,HSNDS,JCPENNEY01,KOHLDSN,MACY02,NRTPORT,OLLIIX,OVERSCONSIGN,OVERSTOCK01,TGTDVS,Zulily</t>
  </si>
  <si>
    <t>5DS13-0290</t>
  </si>
  <si>
    <t>PP000972;PF006115</t>
  </si>
  <si>
    <t>2/6/2024</t>
  </si>
  <si>
    <t>5DS13-0291</t>
  </si>
  <si>
    <t>AMAZON,AMAZONDS,CSNSTORES,HDDS,JCPENNEY01,KOHLDSN,OLLIIX,OVERSTOCK01,TGTDVS</t>
  </si>
  <si>
    <t>5DS13-0292</t>
  </si>
  <si>
    <t>PP000972;PF006116</t>
  </si>
  <si>
    <t>AMAZON,JCPENNEY01,KOHLDSN,OLLIIX,OVERSTOCK01,TGTDVS</t>
  </si>
  <si>
    <t>5DS13-0293</t>
  </si>
  <si>
    <t>AMAZON,AMAZONDS,CSNSTORES,JCPENNEY01,KOHLDSN,NRTPORT,OLLIIX,OVERSTOCK01,TGTDVS</t>
  </si>
  <si>
    <t>MPS10-207</t>
  </si>
  <si>
    <t>Madison Park Signature</t>
  </si>
  <si>
    <t>Chateau</t>
  </si>
  <si>
    <t>Linen</t>
  </si>
  <si>
    <t>PF003291</t>
  </si>
  <si>
    <t>Cottage/Country|Traditional</t>
  </si>
  <si>
    <t>BBBDROP,BLK01,CSNSTORES,JCPENNEY01,KOHLDSN,LAMPDS,MACY02,OLLIIX,OVERSCONSIGN,OVERSTOCK01,ROOMECOM,Zulily</t>
  </si>
  <si>
    <t>MPS10-208</t>
  </si>
  <si>
    <t>BBBDROP,BLK01,CSNSTORES,JCPENNEY01,KOHLDSN,MACY02,OLLIIX,OVERSTOCK01,ROOMECOM</t>
  </si>
  <si>
    <t>6/25/2021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</si>
  <si>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</si>
  <si>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</si>
  <si>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</si>
  <si>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</si>
  <si>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</si>
  <si>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</si>
  <si>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AMAZONDS,BBBDROP,BLK01,CSNSTORES,DESINC,JCPENNEY01,KOHLDSN,OLLIIX,OVERSTOCK01,ROOMECOM</t>
  </si>
  <si>
    <t>3/25/2021</t>
  </si>
  <si>
    <t>MPS10-389</t>
  </si>
  <si>
    <t>6/25/2018</t>
  </si>
  <si>
    <t>AMAZON,AMAZONDS,BLK01,CSNSTORES,DESINC,JCPENNEY01,KOHLDSN,MACY02,OLLIIX,OVERSTOCK01,ROOMECOM</t>
  </si>
  <si>
    <t>4/15/2021</t>
  </si>
  <si>
    <t>MPS10-341</t>
  </si>
  <si>
    <t>Barely There</t>
  </si>
  <si>
    <t>PF004048;PP000586</t>
  </si>
  <si>
    <t>10/25/2017</t>
  </si>
  <si>
    <t>AMAZON,AMAZONDS,AMERSIGNDS,ASHFURNDS,BBBDROP,BLK01,CSNSTORES,DESINC,JCPENNEY01,KOHLDSN,LAMPDS,MACY02,OLLIIX,OVERSCONSIGN,OVERSTOCK01,ROOMECOM,TGTDVS</t>
  </si>
  <si>
    <t>12/16/2020</t>
  </si>
  <si>
    <t>5/19/2021</t>
  </si>
  <si>
    <t>MPS10-342</t>
  </si>
  <si>
    <t>AMAZON,AMAZONDS,AMERSIGNDS,BBBDROP,BLK01,CSNSTORES,DESINC,JCPENNEY01,KIRKLANDDS,KOHLDSN,MACY02,OLLIIX,OVERSTOCK01,ROOMECOM,TGTDVS</t>
  </si>
  <si>
    <t>MPS10-310</t>
  </si>
  <si>
    <t>Hollywood Glam</t>
  </si>
  <si>
    <t>PF003302</t>
  </si>
  <si>
    <t>Global Inspired|Modern/Contemporary</t>
  </si>
  <si>
    <t>AMAZON,AMAZONDS,ASHFURNDS,BBBDROP,BLK01,CSNSTORES,HOUZZ,JCPENNEY01,KOHLDSN,MACY02,OLLIIX,OVERSTOCK01</t>
  </si>
  <si>
    <t>MPS10-311</t>
  </si>
  <si>
    <t>AMAZON,AMAZONDS,AMERSIGNDS,ASHFURNDS,BBBDROP,BEALLSDS,BLK01,CSNSTORES,HOUZZ,JCPENNEY01,KOHLDSN,LAMPDS,MACY02,OLLIIX,OVERSTOCK01,ROOMECOM,ZOLA</t>
  </si>
  <si>
    <t>MPS10-458</t>
  </si>
  <si>
    <t>Sanctuary</t>
  </si>
  <si>
    <t>Comforter Queen 8 Piece Set</t>
  </si>
  <si>
    <t>Taupe/Gold</t>
  </si>
  <si>
    <t>PP001476;PF005073</t>
  </si>
  <si>
    <t>3/2/2020</t>
  </si>
  <si>
    <t>BBBDROP,BLK01,CSNSTORES,JCPENNEY01,KOHLDSN,MACY02,NRTPORT,OLLIIX,OVERSCONSIGN,OVERSTOCK01</t>
  </si>
  <si>
    <t>MPS10-459</t>
  </si>
  <si>
    <t>Comforter King 9 Piece Set</t>
  </si>
  <si>
    <t>BBBDROP,BLK01,CSNSTORES,JCPENNEY01,KOHLDSN,MACY02,OLLIIX,OVERSCONSIGN,OVERSTOCK01,ROOMECOM</t>
  </si>
  <si>
    <t>1/10/2024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</si>
  <si>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</si>
  <si>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</si>
  <si>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</si>
  <si>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</si>
  <si>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</si>
  <si>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</si>
  <si>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</si>
  <si>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AMAZON,AMAZONDS,BBBDROP,BLK01,CSNSTORES,HOUZZ,JCPENNEY01,MACY02,OLLIIX,OVERSCONSIGN,OVERSTOCK01,ROOMECOM</t>
  </si>
  <si>
    <t>MPS10-411</t>
  </si>
  <si>
    <t>Faux Linen Oversized Comforter Set</t>
  </si>
  <si>
    <t>AMAZONDS,BBBDROP,BEALLSDS,BLK01,CSNSTORES,JCPENNEY01,KOHLDSN,OLLIIX,OVERSCONSIGN,OVERSTOCK01,ROOMECOM</t>
  </si>
  <si>
    <t>3/11/2021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</si>
  <si>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</si>
  <si>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</si>
  <si>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</si>
  <si>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</si>
  <si>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</si>
  <si>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BLK01,CSNSTORES,JCPENNEY01,KOHLDSN,MACY02,OLLIIX,OVERSCONSIGN,OVERSTOCK01</t>
  </si>
  <si>
    <t>MPS10-499</t>
  </si>
  <si>
    <t>9 Piece Oversized Jacquard Comforter Set with Euro Shams and Throw Pillows</t>
  </si>
  <si>
    <t>AMERSIGNDS,CSNSTORES,HOUZZ,JCPENNEY01,KOHLDSN,MACY02,OLLIIX,OVERSTOCK01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</si>
  <si>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</si>
  <si>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</si>
  <si>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</si>
  <si>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</si>
  <si>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</si>
  <si>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</si>
  <si>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CSNSTORES,DESINC,HOUZZ,JCPENNEY01,KOHLDSN,MACY02,OLLIIX,OVERSCONSIGN,OVERSTOCK01</t>
  </si>
  <si>
    <t>MPS10-493</t>
  </si>
  <si>
    <t>9 Piece Floral Jacquard Comforter Set</t>
  </si>
  <si>
    <t>CSNSTORES,JCPENNEY01,KOHLDSN,MACY02,OLLIIX,OVERSTOCK01</t>
  </si>
  <si>
    <t>MPS10-537</t>
  </si>
  <si>
    <t>Essence</t>
  </si>
  <si>
    <t>Oversized Cotton Clipped Jacquard Comforter Set with Euro Shams and Throw Pillows</t>
  </si>
  <si>
    <t>PF006266</t>
  </si>
  <si>
    <t>MPS10-538</t>
  </si>
  <si>
    <t>MPS10-463</t>
  </si>
  <si>
    <t>PP001967;PF005183</t>
  </si>
  <si>
    <t>9/30/2020</t>
  </si>
  <si>
    <t>6/29/2024</t>
  </si>
  <si>
    <t>AMAZON,AMAZONDS,BBBDROP,BLK01,CASTLEGATE,CSNSTORES,DESINC,JCPENNEY01,KOHLDSN,MACY02,OLLIIX,OVERSCONSIGN,OVERSTOCK01,TGTDVS,Zulily</t>
  </si>
  <si>
    <t>MPS10-464</t>
  </si>
  <si>
    <t>AMAZON,AMAZONDS,BBBDROP,BLK01,CASTLEGATE,CSNSTORES,DESINC,JCPENNEY01,KOHLDSN,MACY02,OLLIIX,OVERSCONSIGN,OVERSTOCK01,TGTDVS</t>
  </si>
  <si>
    <t>MPS10-496</t>
  </si>
  <si>
    <t>PP001967;PF005935</t>
  </si>
  <si>
    <t>5/4/2023</t>
  </si>
  <si>
    <t>AMAZON,CSNSTORES,DESINC,JCPENNEY01,KOHLDSN,MACY02,OLLIIX,OVERSCONSIGN,OVERSTOCK01,TGTDVS</t>
  </si>
  <si>
    <t>MPS10-497</t>
  </si>
  <si>
    <t>AMAZON,AMAZONDS,AMERSIGNDS,BLK01,CSNSTORES,JCPENNEY01,KOHLDSN,MACY02,OLLIIX,OVERSCONSIGN,OVERSTOCK01,TGTDVS</t>
  </si>
  <si>
    <t>MPS10-312</t>
  </si>
  <si>
    <t>PF003303</t>
  </si>
  <si>
    <t>9/3/2017</t>
  </si>
  <si>
    <t>AMAZON,AMAZONDS,BBBDROP,BLK01,CSNSTORES,JCPENNEY01,KOHLDSN,MACY02,OLLIIX,OVERSTOCK01,Zulily</t>
  </si>
  <si>
    <t>MPS10-313</t>
  </si>
  <si>
    <t>AMAZON,AMAZONDS,BBBDROP,BLK01,CSNSTORES,JCPENNEY01,KIRKLANDDS,KOHLDSN,MACY02,OLLIIX,OVERSCONSIGN,OVERSTOCK01,Zulily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</si>
  <si>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</si>
  <si>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</si>
  <si>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</si>
  <si>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</si>
  <si>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</si>
  <si>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</si>
  <si>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BBBDROP,BLK01,CSNSTORES,DESINC,JCPENNEY01,KOHLDSN,MACY02,OLLIIX,OVERSCONSIGN,OVERSTOCK01</t>
  </si>
  <si>
    <t>MPS10-485</t>
  </si>
  <si>
    <t>9 Piece Geometric Oversized Jacquard Comforter Set</t>
  </si>
  <si>
    <t>AMAZONDS,BBBDROP,BLK01,CSNSTORES,DESINC,JCPENNEY01,KOHLDSN,MACY02,NRTPORT,OLLIIX,OVERSTOCK01</t>
  </si>
  <si>
    <t>MPS10-466</t>
  </si>
  <si>
    <t>Haven</t>
  </si>
  <si>
    <t>9 Piece Chenille Jacquard Comforter Set</t>
  </si>
  <si>
    <t>PF005182;PP001529</t>
  </si>
  <si>
    <t>10/2/2020</t>
  </si>
  <si>
    <t>BBBDROP,CSNSTORES,DESINC,KOHLDSN,MACY02,OLLIIX,OVERSTOCK01</t>
  </si>
  <si>
    <t>MPS10-456</t>
  </si>
  <si>
    <t>Manor</t>
  </si>
  <si>
    <t>PP001475;PF005072</t>
  </si>
  <si>
    <t>3/3/2020</t>
  </si>
  <si>
    <t>BLK01,CSNSTORES,JCPENNEY01,KOHLDSN,MACY02,OLLIIX,OVERSTOCK01</t>
  </si>
  <si>
    <t>MPS10-457</t>
  </si>
  <si>
    <t>AMERSIGNDS,BBBDROP,BLK01,CSNSTORES,KOHLDSN,MACY02,NRTPORT,OLLIIX,OVERSCONSIGN,OVERSTOCK01</t>
  </si>
  <si>
    <t>MPS10-523</t>
  </si>
  <si>
    <t>Murphy</t>
  </si>
  <si>
    <t>Oversized Cotton Jacquard Comforter Set with Euro Shams and Throw Pillows</t>
  </si>
  <si>
    <t>PP001957;PF006233</t>
  </si>
  <si>
    <t>6/12/2024</t>
  </si>
  <si>
    <t>MPS10-524</t>
  </si>
  <si>
    <t>DESINC,OLLIIX</t>
  </si>
  <si>
    <t>MPS10-482</t>
  </si>
  <si>
    <t>Noble</t>
  </si>
  <si>
    <t>8 Piece Cotton Oversized Comforter Set</t>
  </si>
  <si>
    <t>PF005543;PP001668</t>
  </si>
  <si>
    <t>9/23/2021</t>
  </si>
  <si>
    <t>BBBDROP,BLK01,CSNSTORES,DESINC,JCPENNEY01,KOHLDSN,MACY02,OLLIIX,OVERSTOCK01</t>
  </si>
  <si>
    <t>MPS10-483</t>
  </si>
  <si>
    <t>9 Piece Cotton Oversized Comforter Set</t>
  </si>
  <si>
    <t>BBBDROP,BLK01,CSNSTORES,DESINC,JCPENNEY01,KOHLDSN,OLLIIX,OVERSTOCK01,ZOLA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</si>
  <si>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</si>
  <si>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</si>
  <si>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</si>
  <si>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</si>
  <si>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</si>
  <si>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</si>
  <si>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</si>
  <si>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</si>
  <si>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</si>
  <si>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</si>
  <si>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</si>
  <si>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MPS10-257</t>
  </si>
  <si>
    <t>Shades of Grey</t>
  </si>
  <si>
    <t>PF003293</t>
  </si>
  <si>
    <t>AMAZON,AMAZONDS,BBBDROP,BLK01,CSNSTORES,HOUZZ,HSNDS,JCPENNEY01,KOHLDSN,MACY02,OLLIIX,OVERSCONSIGN,OVERSTOCK01</t>
  </si>
  <si>
    <t>MPS10-258</t>
  </si>
  <si>
    <t>AMAZON,AMAZONDS,BBBDROP,BLK01,CSNSTORES,DESINC,HSNDS,JCPENNEY01,KOHLDSN,MACY02,OLLIIX,OVERSCONSIGN,OVERSTOCK01</t>
  </si>
  <si>
    <t>MPS10-119</t>
  </si>
  <si>
    <t>Sophia</t>
  </si>
  <si>
    <t>PF003286</t>
  </si>
  <si>
    <t>4/19/2017</t>
  </si>
  <si>
    <t>BBBDROP,BLK01,CSNSTORES,JCPENNEY01,KOHLDSN,MACY02,OLLIIX,OVERSCONSIGN,OVERSTOCK01</t>
  </si>
  <si>
    <t>MPS10-345</t>
  </si>
  <si>
    <t>Urban Cabin</t>
  </si>
  <si>
    <t>Cotton Jacquard Comforter Set</t>
  </si>
  <si>
    <t>PF004061;PP001989</t>
  </si>
  <si>
    <t>11/30/2017</t>
  </si>
  <si>
    <t>AMAZON,AMAZONDS,BBBDROP,BLK01,CSNSTORES,DESINC,FINGERHUTDS,HOUZZ,HSNDS,JCPENNEY01,KOHLDSN,MACY02,NRTPORT,OLLIIX,OVERSTOCK01,TGTDVS,Zulily</t>
  </si>
  <si>
    <t>MPS10-346</t>
  </si>
  <si>
    <t>AMAZON,AMAZONDS,BBBDROP,BLK01,CASTLEGATE,CSNSTORES,FINGERHUTDS,HOUZZ,JCPENNEY01,KOHLDSN,MACY02,OLLIIX,OVERSCONSIGN,OVERSTOCK01,TGTDVS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</si>
  <si>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</si>
  <si>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</si>
  <si>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</si>
  <si>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</si>
  <si>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</si>
  <si>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</si>
  <si>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BLK01,CSNSTORES,JCPENNEY01,KOHLDSN,MACY02,NRTPORT,OLLIIX,OVERSCONSIGN,OVERSTOCK01</t>
  </si>
  <si>
    <t>MPS13-501</t>
  </si>
  <si>
    <t>BLK01,CSNSTORES,JCPENNEY01,KOHLDSN,MACY02,NRTPORT,OLLIIX,OVERSTOCK01</t>
  </si>
  <si>
    <t>MPS13-274</t>
  </si>
  <si>
    <t>3 Piece Hand Quilted Cotton Quilt Set</t>
  </si>
  <si>
    <t>PF003298;PP000712</t>
  </si>
  <si>
    <t>4/15/2017</t>
  </si>
  <si>
    <t>MPS13-275</t>
  </si>
  <si>
    <t>BBBDROP,BLK01,CSNSTORES,JCPENNEY01,KOHLDSN,MACY02,OLLIIX,OVERSTOCK01</t>
  </si>
  <si>
    <t>MPS13-272</t>
  </si>
  <si>
    <t>PF003297;PP000712</t>
  </si>
  <si>
    <t>BBBDROP,BLK01,CSNSTORES,JCPENNEY01,KIRKLANDDS,KOHLDSN,LAMPDS,MACY02,OLLIIX,OVERSCONSIGN,OVERSTOCK01</t>
  </si>
  <si>
    <t>MPS13-273</t>
  </si>
  <si>
    <t>BBBDROP,BLK01,CSNSTORES,DESINC,JCPENNEY01,KIRKLANDDS,KOHLDSN,MACY02,OLLIIX,OVERSCONSIGN,OVERSTOCK01</t>
  </si>
  <si>
    <t>MPS13-270</t>
  </si>
  <si>
    <t>PF003296;PP000712</t>
  </si>
  <si>
    <t>BBBDROP,BLK01,CSNSTORES,JCPENNEY01,KIRKLANDDS,KOHLDSN,MACY02,OLLIIX,OVERSTOCK01</t>
  </si>
  <si>
    <t>MPS13-271</t>
  </si>
  <si>
    <t>BBBDROP,BLK01,CSNSTORES,JCPENNEY01,KIRKLANDDS,KOHLDSN,MACY02,NRTPORT,OLLIIX,OVERSCONSIGN,OVERSTOCK01</t>
  </si>
  <si>
    <t>II10-1052</t>
  </si>
  <si>
    <t>INK+IVY</t>
  </si>
  <si>
    <t>Ellipse</t>
  </si>
  <si>
    <t>PP001094;PF004582</t>
  </si>
  <si>
    <t>AMAZON,AMAZONDS,BBBDROP,BLK01,CSNSTORES,DESINC,JCPENNEY01,KIRKLANDDS,KOHLDSN,MACY02,OLLIIX,OVERSCONSIGN,OVERSTOCK01,ROOMECOM,TGTDVS,ZOLA,Zulily</t>
  </si>
  <si>
    <t>II10-1053</t>
  </si>
  <si>
    <t>AMAZON,BBBDROP,BLK01,CSNSTORES,DESINC,JCPENNEY01,KIRKLANDDS,KOHLDSN,MACY02,NRTPORT,OLLIIX,OVERSCONSIGN,OVERSTOCK01,ROOMECOM,TGTDVS,ZOLA,Zulily</t>
  </si>
  <si>
    <t>II10-1069</t>
  </si>
  <si>
    <t>PP001094;PF004766</t>
  </si>
  <si>
    <t>8/29/2019</t>
  </si>
  <si>
    <t>BBBDROP,BEALLSDS,BLK01,CSNSTORES,DESINC,JCPENNEY01,KOHLDSN,LAMPDS,MACY02,NRTPORT,OLLIIX,OVERSTOCK01,ROOMECOM,TGTDVS,Zulily</t>
  </si>
  <si>
    <t>II10-1070</t>
  </si>
  <si>
    <t>BBBDROP,BEALLSDS,BLK01,CSNSTORES,DESINC,JCPENNEY01,KIRKLANDDS,KOHLDSN,MACY02,OLLIIX,OVERSTOCK01,ROOMECOM,TGTDVS,Zulily</t>
  </si>
  <si>
    <t>II10-552</t>
  </si>
  <si>
    <t>Alpine</t>
  </si>
  <si>
    <t>3 Piece Comforter Mini Set</t>
  </si>
  <si>
    <t>PF001636;PP000371</t>
  </si>
  <si>
    <t>Ikat</t>
  </si>
  <si>
    <t>AMAZON,AMAZONDS,AMERSIGNDS,BBBDROP,BEALLSDS,BLK01,CSNSTORES,FINGERHUTDS,JCPENNEY01,KIRKLANDDS,KOHLDSN,MACY02,OLLIIX,OVERSCONSIGN,OVERSTOCK01,ROOMECOM,TGTDVS,ZOLA</t>
  </si>
  <si>
    <t>2/4/2021</t>
  </si>
  <si>
    <t>II10-553</t>
  </si>
  <si>
    <t>AMAZON,AMAZONDS,AMERSIGNDS,BBBDROP,BEALLSDS,BLK01,CSNSTORES,FINGERHUTDS,JCPENNEY01,KOHLDSN,MACY02,OLLIIX,OVERSTOCK01,ROOMECOM,TGTDVS,ZOLA,Zulily</t>
  </si>
  <si>
    <t>8/10/2021</t>
  </si>
  <si>
    <t>II10-781</t>
  </si>
  <si>
    <t>PF001637;PP000371</t>
  </si>
  <si>
    <t>AMAZON,AMAZONDS,BBBDROP,BLK01,CSNSTORES,FINGERHUTDS,JCPENNEY01,KOHLDSN,MACY02,NEBFUR01,OLLIIX,OVERSTOCK01,ROOMECOM,TGTDVS,ZOLA</t>
  </si>
  <si>
    <t>II10-782</t>
  </si>
  <si>
    <t>6/30/2017</t>
  </si>
  <si>
    <t>12/7/2023</t>
  </si>
  <si>
    <t>II10-785</t>
  </si>
  <si>
    <t>PF001638;PP000371</t>
  </si>
  <si>
    <t>AMAZON,AMAZONDS,BBBDROP,BLK01,CASTLEGATE,CSNSTORES,DESINC,FINGERHUTDS,JCPENNEY01,KOHLDSN,MACY02,OLLIIX,OVERSTOCK01,TGTDVS,Zulily</t>
  </si>
  <si>
    <t>II10-786</t>
  </si>
  <si>
    <t>AMAZON,AMAZONDS,BBBDROP,BLK01,CSNSTORES,DESINC,FINGERHUTDS,JCPENNEY01,KOHLDSN,MACY02,OLLIIX,OVERSTOCK01,TGTDVS,ZOLA,Zulily</t>
  </si>
  <si>
    <t>II10-994</t>
  </si>
  <si>
    <t>Imani</t>
  </si>
  <si>
    <t>Cotton Printed Comforter Set with Chenille</t>
  </si>
  <si>
    <t>PF004112</t>
  </si>
  <si>
    <t>Global</t>
  </si>
  <si>
    <t>12/26/2017</t>
  </si>
  <si>
    <t>AMAZON,AMAZONDS,AMERSIGNDS,ASHFURNDS,BBBDROP,BEALLSDS,BLK01,CASTLEGATE,CSNSTORES,FINGERHUTDS,HSNDS,JCPENNEY01,KIRKLANDDS,KOHLDSN,LOWESDS,MACY02,NRTPORT,OLLIIX,OVERSCONSIGN,OVERSTOCK01,ROOMECOM,TGTDVS,ZOLA,Zulily</t>
  </si>
  <si>
    <t>10/27/2022</t>
  </si>
  <si>
    <t>II10-995</t>
  </si>
  <si>
    <t>AMAZON,AMAZONDS,AMERSIGNDS,ASHFURNDS,BBBDROP,BEALLSDS,BLK01,CASTLEGATE,CSNSTORES,FINGERHUTDS,HOUZZ,HSNDS,JCPENNEY01,KIRKLANDDS,KOHLDSN,LAMPDS,LOWESDS,MACY02,NRTPORT,OLLIIX,OVERSCONSIGN,OVERSTOCK01,ROOMECOM,TGTDVS,ZOLA,Zulily</t>
  </si>
  <si>
    <t>11/22/2022</t>
  </si>
  <si>
    <t>II10-1089</t>
  </si>
  <si>
    <t>PF005067</t>
  </si>
  <si>
    <t>3/31/2020</t>
  </si>
  <si>
    <t>AMAZON,AMAZONDS,AMERSIGNDS,ASHFURNDS,BBBDROP,BLK01,CASTLEGATE,CSNSTORES,FINGERHUTDS,JCPENNEY01,KOHLDSN,MACY02,NEBFUR01,NRTPORT,OLLIIX,OVERSCONSIGN,OVERSTOCK01,ROOMECOM,TGTDVS,ZOLA,Zulily</t>
  </si>
  <si>
    <t>5/29/2023</t>
  </si>
  <si>
    <t>II10-1090</t>
  </si>
  <si>
    <t>3/30/2020</t>
  </si>
  <si>
    <t>AMAZON,AMAZONDS,AMERSIGNDS,ASHFURNDS,BBBDROP,BEALLSDS,BLK01,CASTLEGATE,CSNSTORES,FINGERHUTDS,JCPENNEY01,KIRKLANDDS,KOHLDSN,LAMPDS,MACY02,NEBFUR01,NRTPORT,OLLIIX,OVERSCONSIGN,OVERSTOCK01,ROOMECOM,TGTDVS,ZOLA,Zulily</t>
  </si>
  <si>
    <t>II10-1093</t>
  </si>
  <si>
    <t>PF005068</t>
  </si>
  <si>
    <t>AMAZON,AMAZONDS,BBBDROP,BEALLSDS,BLK01,CASTLEGATE,CSNSTORES,FINGERHUTDS,JCPENNEY01,KOHLDSN,MACY02,OLLIIX,OVERSTOCK01,TGTDVS,Zulily</t>
  </si>
  <si>
    <t>II10-1094</t>
  </si>
  <si>
    <t>II10-1274</t>
  </si>
  <si>
    <t>White/Navy</t>
  </si>
  <si>
    <t>PP000428;PF005760</t>
  </si>
  <si>
    <t>9/27/2022</t>
  </si>
  <si>
    <t>AMAZONDS,ASHFURNDS,BBBDROP,CSNSTORES,DESINC,FINGERHUTDS,HOUZZ,JCPENNEY01,KOHLDSN,MACY02,NRTPORT,OLLIIX,OVERSTOCK01,TGTDVS,ZOLA,Zulily</t>
  </si>
  <si>
    <t>II10-1275</t>
  </si>
  <si>
    <t>AMAZONDS,AMERSIGNDS,ASHFURNDS,BBBDROP,CASTLEGATE,CSNSTORES,DESINC,FINGERHUTDS,HOUZZ,JCPENNEY01,KOHLDSN,MACY02,NRTPORT,OLLIIX,OVERSCONSIGN,OVERSTOCK01,TGTDVS,ZOLA,Zulily</t>
  </si>
  <si>
    <t>II10-1100</t>
  </si>
  <si>
    <t>Rhea</t>
  </si>
  <si>
    <t>Cotton Jacquard Comforter Mini Set</t>
  </si>
  <si>
    <t>Grey/Black</t>
  </si>
  <si>
    <t>PF005086;PP001731</t>
  </si>
  <si>
    <t>3/9/2020</t>
  </si>
  <si>
    <t>II10-1101</t>
  </si>
  <si>
    <t>6/19/2024</t>
  </si>
  <si>
    <t>AMAZON,AMAZONDS,BBBDROP,BLK01,CASTLEGATE,CSNSTORES,FINGERHUTDS,JCPENNEY01,KIRKLANDDS,KOHLDSN,MACY02,OLLIIX,OVERSTOCK01,ROOMECOM,TGTDVS,Zulily</t>
  </si>
  <si>
    <t>II10-1038</t>
  </si>
  <si>
    <t>Ivory/Charcoal</t>
  </si>
  <si>
    <t>PF004418;PP001731</t>
  </si>
  <si>
    <t>8/30/2018</t>
  </si>
  <si>
    <t>AMAZON,AMAZONDS,AMERSIGNDS,BBBDROP,CASTLEGATE,CSNSTORES,DESINC,FINGERHUTDS,JCPENNEY01,KIRKLANDDS,KOHLDSN,LAMPDS,MACY02,OLLIIX,OVERSCONSIGN,OVERSTOCK01,ROOMECOM,TGTDVS,ZOLA,Zulily</t>
  </si>
  <si>
    <t>9/19/2023</t>
  </si>
  <si>
    <t>II10-1039</t>
  </si>
  <si>
    <t>AMAZON,AMAZONDS,AMERSIGNDS,BBBDROP,BEALLSDS,BLK01,CASTLEGATE,CSNSTORES,DESINC,FINGERHUTDS,HSNDS,JCPENNEY01,KIRKLANDDS,KOHLDSN,MACY02,NEBFUR01,OLLIIX,OVERSTOCK01,ROOMECOM,TGTDVS,ZOLA,Zulily</t>
  </si>
  <si>
    <t>II10-1222</t>
  </si>
  <si>
    <t>Off-White/Navy</t>
  </si>
  <si>
    <t>PF005628</t>
  </si>
  <si>
    <t>6/30/2021</t>
  </si>
  <si>
    <t>AMAZON,CSNSTORES,DESINC,FINGERHUTDS,JCPENNEY01,KOHLDSN,MACY02,OLLIIX,OVERSCONSIGN,OVERSTOCK01,TGTDVS,Zulily</t>
  </si>
  <si>
    <t>II10-1223</t>
  </si>
  <si>
    <t>AMAZON,AMAZONDS,BBBDROP,CSNSTORES,DESINC,FINGERHUTDS,JCPENNEY01,KIRKLANDDS,KOHLDSN,MACY02,OLLIIX,OVERSCONSIGN,OVERSTOCK01,TGTDVS</t>
  </si>
  <si>
    <t>II10-1056</t>
  </si>
  <si>
    <t>Nea</t>
  </si>
  <si>
    <t>Cotton Printed Comforter Set with Trims</t>
  </si>
  <si>
    <t>Off White/Gray</t>
  </si>
  <si>
    <t>PP001095;PF004583</t>
  </si>
  <si>
    <t>Boho</t>
  </si>
  <si>
    <t>BOHO</t>
  </si>
  <si>
    <t>2/27/2019</t>
  </si>
  <si>
    <t>AMAZON,AMAZONDS,AMERSIGNDS,BBBDROP,BEALLSDS,BLK01,CASTLEGATE,CSNSTORES,JCPENNEY01,KIRKLANDDS,KOHLDSN,MACY02,OLLIIX,OVERSTOCK01,TGTDVS,ZOLA,Zulily</t>
  </si>
  <si>
    <t>II10-1057</t>
  </si>
  <si>
    <t>AMAZON,AMAZONDS,AMERSIGNDS,BBBDROP,BEALLSDS,BLK01,CSNSTORES,HOUZZ,JCPENNEY01,KIRKLANDDS,KOHLDSN,MACY02,NEBFUR01,OLLIIX,OVERSCONSIGN,OVERSTOCK01,ROOMECOM,TGTDVS,ZOLA,Zulily</t>
  </si>
  <si>
    <t>II10-1130</t>
  </si>
  <si>
    <t>Black/White</t>
  </si>
  <si>
    <t>PP001095;PF005261</t>
  </si>
  <si>
    <t>12/17/2020</t>
  </si>
  <si>
    <t>AMAZON,ASHFURNDS,BBBDROP,BLK01,CASTLEGATE,CSNSTORES,DESINC,HOUZZ,JCPENNEY01,KOHLDSN,MACY02,OLLIIX,OVERSCONSIGN,OVERSTOCK01,TGTDVS,ZOLA,Zulily</t>
  </si>
  <si>
    <t>II10-1131</t>
  </si>
  <si>
    <t>AMAZON,AMAZONDS,BBBDROP,BLK01,CSNSTORES,DESINC,HOUZZ,JCPENNEY01,KIRKLANDDS,KOHLDSN,MACY02,OLLIIX,OVERSCONSIGN,OVERSTOCK01,TGTDVS,ZOLA,Zulily</t>
  </si>
  <si>
    <t>II10-1061</t>
  </si>
  <si>
    <t>Mila</t>
  </si>
  <si>
    <t>3 Piece Cotton Comforter Set with Chenille Tufting</t>
  </si>
  <si>
    <t>PP001321;PF004763</t>
  </si>
  <si>
    <t>AMAZON,AMAZONDS,AMERSIGNDS,BBBDROP,BEALLSDS,BLK01,CSNSTORES,DESINC,FINGERHUTDS,HSNDS,JCPENNEY01,KIRKLANDDS,KOHLDSN,MACY02,NEBFUR01,OLLIIX,OVERSCONSIGN,OVERSTOCK01,ROOMECOM,TGTDVS,ZOLA,Zulily</t>
  </si>
  <si>
    <t>8/29/2023</t>
  </si>
  <si>
    <t>II10-1062</t>
  </si>
  <si>
    <t>AMAZON,AMAZONDS,AMERSIGNDS,BBBDROP,BEALLSDS,BLK01,CASTLEGATE,CSNSTORES,FINGERHUTDS,HSNDS,JCPENNEY01,KOHLDSN,LAMPDS,MACY02,NEBFUR01,OLLIIX,OVERSCONSIGN,OVERSTOCK01,ROOMECOM,TGTDVS,ZOLA,Zulily</t>
  </si>
  <si>
    <t>II10-1315</t>
  </si>
  <si>
    <t>Auburn</t>
  </si>
  <si>
    <t>PP001321;PF006111</t>
  </si>
  <si>
    <t>11/21/2023</t>
  </si>
  <si>
    <t>AMAZON,JCPENNEY01,KOHLDSN,OLLIIX,OVERSTOCK01</t>
  </si>
  <si>
    <t>II10-1316</t>
  </si>
  <si>
    <t>II10-1248</t>
  </si>
  <si>
    <t>PP001321;PF005708</t>
  </si>
  <si>
    <t>5/5/2022</t>
  </si>
  <si>
    <t>AMAZONDS,AMERSIGNDS,CSNSTORES,FINGERHUTDS,HOUZZ,JCPENNEY01,KOHLDSN,MACY02,OLLIIX,OVERSCONSIGN,OVERSTOCK01,TGTDVS</t>
  </si>
  <si>
    <t>II10-1249</t>
  </si>
  <si>
    <t>AMAZONDS,ASHFURNDS,CSNSTORES,FINGERHUTDS,JCPENNEY01,KOHLDSN,MACY02,OLLIIX,OVERSCONSIGN,OVERSTOCK01,TGTDVS,Zulily</t>
  </si>
  <si>
    <t>II10-1124</t>
  </si>
  <si>
    <t>PP001321;PF005135</t>
  </si>
  <si>
    <t>9/23/2020</t>
  </si>
  <si>
    <t>AMAZON,AMAZONDS,BBBDROP,BLK01,CSNSTORES,FINGERHUTDS,HDDS,HSNDS,JCPENNEY01,KOHLDSN,MACY02,NRTPORT,OLLIIX,OVERSCONSIGN,OVERSTOCK01,TGTDVS,Zulily</t>
  </si>
  <si>
    <t>II10-1125</t>
  </si>
  <si>
    <t>AMAZON,AMAZONDS,BBBDROP,BLK01,CSNSTORES,FINGERHUTDS,HDDS,HSNDS,JCPENNEY01,KOHLDSN,LOWESDS,MACY02,NEBFUR01,OLLIIX,OVERSTOCK01,TGTDVS,Zulily</t>
  </si>
  <si>
    <t>II10-1104</t>
  </si>
  <si>
    <t>Kara</t>
  </si>
  <si>
    <t>3 Piece Cotton Jacquard Comforter Set</t>
  </si>
  <si>
    <t>PP001486;PF005087</t>
  </si>
  <si>
    <t>4/7/2020</t>
  </si>
  <si>
    <t>AMAZON,BBBDROP,BLK01,CSNSTORES,DESINC,HDDS,HSNDS,JCPENNEY01,KIRKLANDDS,KOHLDSN,MACY02,OLLIIX,OVERSCONSIGN,OVERSTOCK01,ROOMECOM,TGTDVS,ZOLA,Zulily</t>
  </si>
  <si>
    <t>3/13/2024</t>
  </si>
  <si>
    <t>II10-1105</t>
  </si>
  <si>
    <t>AMAZON,AMAZONDS,BBBDROP,BLK01,CSNSTORES,HDDS,HOUZZ,HSNDS,JCPENNEY01,KIRKLANDDS,KOHLDSN,MACY02,NRTPORT,OLLIIX,OVERSTOCK01,TGTDVS,ZOLA,Zulily</t>
  </si>
  <si>
    <t>II10-1149</t>
  </si>
  <si>
    <t>PP001486;PF005293</t>
  </si>
  <si>
    <t>1/19/2021</t>
  </si>
  <si>
    <t>AMAZON,AMAZONDS,BBBDROP,CSNSTORES,JCPENNEY01,KOHLDSN,MACY02,OLLIIX,OVERSTOCK01,TGTDVS,ZOLA,Zulily</t>
  </si>
  <si>
    <t>II10-1150</t>
  </si>
  <si>
    <t>AMAZON,AMAZONDS,BBBDROP,CSNSTORES,HOUZZ,JCPENNEY01,KOHLDSN,MACY02,OLLIIX,OVERSTOCK01,TGTDVS,ZOLA</t>
  </si>
  <si>
    <t>II10-1270</t>
  </si>
  <si>
    <t>PP001486;PF005762</t>
  </si>
  <si>
    <t>8/23/2022</t>
  </si>
  <si>
    <t>AMAZONDS,BBBDROP,CSNSTORES,HOUZZ,JCPENNEY01,KOHLDSN,MACY02,OLLIIX,OVERSTOCK01,TGTDVS,ZOLA,Zulily</t>
  </si>
  <si>
    <t>II10-1271</t>
  </si>
  <si>
    <t>AMAZONDS,BBBDROP,CSNSTORES,HOUZZ,JCPENNEY01,KOHLDSN,MACY02,OLLIIX,OVERSCONSIGN,OVERSTOCK01,TGTDVS,ZOLA,Zulily</t>
  </si>
  <si>
    <t>II10-1266</t>
  </si>
  <si>
    <t>PP001486;PF005761</t>
  </si>
  <si>
    <t>AMAZONDS,BBBDROP,CSNSTORES,DESINC,HOUZZ,JCPENNEY01,KOHLDSN,MACY02,OLLIIX,OVERSTOCK01,TGTDVS,ZOLA</t>
  </si>
  <si>
    <t>II10-1267</t>
  </si>
  <si>
    <t>AMAZONDS,BBBDROP,CSNSTORES,HOUZZ,JCPENNEY01,KOHLDSN,MACY02,NEBFUR01,NRTPORT,OLLIIX,OVERSTOCK01,TGTDVS,ZOLA,Zulily</t>
  </si>
  <si>
    <t>II10-1112</t>
  </si>
  <si>
    <t>Arizona</t>
  </si>
  <si>
    <t>PP001500;PF005109</t>
  </si>
  <si>
    <t>10/3/2020</t>
  </si>
  <si>
    <t>AMAZON,AMAZONDS,BBBDROP,BLK01,CSNSTORES,HOUZZ,HSNDS,JCPENNEY01,KOHLDSN,MACY02,OLLIIX,OVERSCONSIGN,OVERSTOCK01,TGTDVS,Zulily</t>
  </si>
  <si>
    <t>II10-1113</t>
  </si>
  <si>
    <t>AMAZON,AMAZONDS,BBBDROP,BLK01,CSNSTORES,HOUZZ,HSNDS,JCPENNEY01,KOHLDSN,MACY02,NRTPORT,OLLIIX,OVERSCONSIGN,OVERSTOCK01,TGTDVS,Zulily</t>
  </si>
  <si>
    <t>II10-1330</t>
  </si>
  <si>
    <t>Cairo</t>
  </si>
  <si>
    <t>PF006275;PP001968</t>
  </si>
  <si>
    <t>II10-1331</t>
  </si>
  <si>
    <t>II10-1260</t>
  </si>
  <si>
    <t>Cody</t>
  </si>
  <si>
    <t>Gray/Navy</t>
  </si>
  <si>
    <t>PP001505;PF005755</t>
  </si>
  <si>
    <t>8/3/2022</t>
  </si>
  <si>
    <t>AMAZONDS,BBBDROP,CASTLEGATE,CSNSTORES,DESINC,JCPENNEY01,KOHLDSN,MACY02,OLLIIX,OVERSTOCK01,TGTDVS,ZOLA,Zulily</t>
  </si>
  <si>
    <t>II10-1261</t>
  </si>
  <si>
    <t>AMAZONDS,BBBDROP,CASTLEGATE,CSNSTORES,DESINC,JCPENNEY01,KOHLDSN,MACY02,OLLIIX,OVERSCONSIGN,OVERSTOCK01,TGTDVS,ZOLA,Zulily</t>
  </si>
  <si>
    <t>II10-1116</t>
  </si>
  <si>
    <t>Gray/Yellow</t>
  </si>
  <si>
    <t>PP001505;PF005117</t>
  </si>
  <si>
    <t>10/21/2020</t>
  </si>
  <si>
    <t>AMAZON,AMAZONDS,BBBDROP,BLK01,CSNSTORES,JCPENNEY01,KIRKLANDDS,KOHLDSN,MACY02,NEBFUR01,NRTPORT,OLLIIX,OVERSCONSIGN,OVERSTOCK01,TGTDVS,Zulily</t>
  </si>
  <si>
    <t>II10-1117</t>
  </si>
  <si>
    <t>AMAZON,AMAZONDS,ASHFURNDS,BBBDROP,BLK01,CSNSTORES,JCPENNEY01,KOHLDSN,MACY02,NEBFUR01,NRTPORT,OLLIIX,OVERSCONSIGN,OVERSTOCK01,TGTDVS,Zulily</t>
  </si>
  <si>
    <t>II10-1162</t>
  </si>
  <si>
    <t>Hayes</t>
  </si>
  <si>
    <t>Chenille 3 Piece Cotton Comforter Set</t>
  </si>
  <si>
    <t>PP001587;PF005332</t>
  </si>
  <si>
    <t>AMERSIGNDS,BBBDROP,CSNSTORES,HDDS,HOUZZ,JCPENNEY01,KIRKLANDDS,KOHLDSN,OLLIIX,OVERSTOCK01,TGTDVS,ZOLA,Zulily</t>
  </si>
  <si>
    <t>II10-1169</t>
  </si>
  <si>
    <t>Lennon</t>
  </si>
  <si>
    <t>3 Piece Organic Cotton Jacquard Comforter Set</t>
  </si>
  <si>
    <t>PP001461;PF005331</t>
  </si>
  <si>
    <t>4/13/2021</t>
  </si>
  <si>
    <t>AMAZON,AMAZONDS,CSNSTORES,JCPENNEY01,KOHLDSN,OLLIIX,OVERSTOCK01,TGTDVS,Zulily</t>
  </si>
  <si>
    <t>II10-1108</t>
  </si>
  <si>
    <t>Marta</t>
  </si>
  <si>
    <t>3 Piece Cotton and Flax Linen Blend Comforter Set</t>
  </si>
  <si>
    <t>PP001488;PF005094</t>
  </si>
  <si>
    <t>7/30/2020</t>
  </si>
  <si>
    <t>AMAZONDS,BBBDROP,BLK01,CSNSTORES,DESINC,FINGERHUTDS,HOUZZ,JCPENNEY01,KIRKLANDDS,KOHLDSN,MACY02,OLLIIX,OVERSCONSIGN,OVERSTOCK01,TGTDVS,ZOLA,Zulily</t>
  </si>
  <si>
    <t>II10-1109</t>
  </si>
  <si>
    <t>AMAZONDS,ASHFURNDS,BBBDROP,BLK01,CSNSTORES,FINGERHUTDS,JCPENNEY01,KIRKLANDDS,KOHLDSN,MACY02,NRTPORT,OLLIIX,OVERSTOCK01,TGTDVS,ZOLA,Zulily</t>
  </si>
  <si>
    <t>II10-1065</t>
  </si>
  <si>
    <t>Mill Valley</t>
  </si>
  <si>
    <t>Reversible Cotton Comforter Set</t>
  </si>
  <si>
    <t>PP001318;PF004764</t>
  </si>
  <si>
    <t>9/2/2019</t>
  </si>
  <si>
    <t>BLK01,CSNSTORES,KIRKLANDDS,KOHLDSN,MACY02,OLLIIX,OVERSTOCK01,TGTDVS,ZOLA,Zulily</t>
  </si>
  <si>
    <t>II10-1214</t>
  </si>
  <si>
    <t>3 Piece Cotton Printed Comforter Set w/ trims</t>
  </si>
  <si>
    <t>PP001725;PF005641</t>
  </si>
  <si>
    <t>11/17/2021</t>
  </si>
  <si>
    <t>AMAZONDS,CSNSTORES,DESINC,JCPENNEY01,KOHLDSN,OLLIIX,OVERSTOCK01,TGTDVS,Zulily</t>
  </si>
  <si>
    <t>II10-1215</t>
  </si>
  <si>
    <t>AMAZONDS,CSNSTORES,JCPENNEY01,KOHLDSN,OLLIIX,OVERSTOCK01,TGTDVS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</si>
  <si>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</si>
  <si>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</si>
  <si>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</si>
  <si>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</si>
  <si>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</si>
  <si>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</si>
  <si>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</si>
  <si>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</si>
  <si>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</si>
  <si>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</si>
  <si>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</si>
  <si>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</si>
  <si>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</si>
  <si>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</si>
  <si>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II10-1312</t>
  </si>
  <si>
    <t>8/19/2024</t>
  </si>
  <si>
    <t>BLK01,CSNSTORES,JCPENNEY01,KOHLDSN,OLLIIX,OVERSTOCK01,TGTDVS,ZOLA</t>
  </si>
  <si>
    <t>II10-931</t>
  </si>
  <si>
    <t>Cotton Comforter Mini Set</t>
  </si>
  <si>
    <t>PP000342</t>
  </si>
  <si>
    <t>AMAZONDS,BBBDROP,BEALLSDS,BLK01,CSNSTORES,FINGERHUTDS,JCPENNEY01,KOHLDSN,MACY02,OLLIIX,OVERSCONSIGN,OVERSTOCK01,TGTDVS,ZOLA</t>
  </si>
  <si>
    <t>II10-932</t>
  </si>
  <si>
    <t>AMAZON,AMAZONDS,BBBDROP,BEALLSDS,CSNSTORES,FINGERHUTDS,JCPENNEY01,KOHLDSN,MACY02,OLLIIX,OVERSTOCK01,TGTDVS,ZOLA,Zulily</t>
  </si>
  <si>
    <t>II10-1012</t>
  </si>
  <si>
    <t>Masie</t>
  </si>
  <si>
    <t>3 Piece Elastic Embroidered Cotton Comforter Set</t>
  </si>
  <si>
    <t>PP000451;PF004164</t>
  </si>
  <si>
    <t>AMAZON,AMAZONDS,ASHFURNDS,BBBDROP,BLK01,CSNSTORES,JCPENNEY01,KOHLDSN,MACY02,OLLIIX,OVERSTOCK01,TGTDVS,ZOLA,Zulily</t>
  </si>
  <si>
    <t>II10-1045</t>
  </si>
  <si>
    <t>PP000451;PF004499</t>
  </si>
  <si>
    <t>10/25/2018</t>
  </si>
  <si>
    <t>AMAZON,AMAZONDS,ASHFURNDS,BBBDROP,BEALLSDS,BLK01,CSNSTORES,JCPENNEY01,KOHLDSN,MACY02,OLLIIX,OVERSTOCK01,TGTDVS,ZOLA</t>
  </si>
  <si>
    <t>II10-800</t>
  </si>
  <si>
    <t>PF001680;PP000451</t>
  </si>
  <si>
    <t>AMAZON,AMAZONDS,ASHFURNDS,BBBDROP,BEALLSDS,BLK01,CSNSTORES,HSNDS,JCPENNEY01,KOHLDSN,MACY02,NEBFUR01,OLLIIX,OVERSCONSIGN,OVERSTOCK01,TGTDVS,ZOLA</t>
  </si>
  <si>
    <t>II10-596</t>
  </si>
  <si>
    <t>PF001679;PP000451</t>
  </si>
  <si>
    <t>AMAZON,AMAZONDS,ASHFURNDS,BEALLSDS,BLK01,CSNSTORES,DESINC,JCPENNEY01,KOHLDSN,MACY02,OLLIIX,OVERSTOCK01,TGTDVS,ZOLA</t>
  </si>
  <si>
    <t>II10-597</t>
  </si>
  <si>
    <t>AMAZON,AMAZONDS,ASHFURNDS,BBBDROP,BEALLSDS,BLK01,CSNSTORES,HOUZZ,HSNDS,JCPENNEY01,KOHLDSN,MACY02,OLLIIX,OVERSCONSIGN,OVERSTOCK01,TGTDVS,ZOLA</t>
  </si>
  <si>
    <t>II10-052</t>
  </si>
  <si>
    <t>Nathan</t>
  </si>
  <si>
    <t>PF001591</t>
  </si>
  <si>
    <t>Mid-Century|Modern/Contemporary</t>
  </si>
  <si>
    <t>BLK01,CSNSTORES,JCPENNEY01,KOHLDSN,MACY02,OLLIIX,OVERSTOCK01,TGTDVS</t>
  </si>
  <si>
    <t>II10-867</t>
  </si>
  <si>
    <t>PF001722</t>
  </si>
  <si>
    <t>Global Inspired|Transitional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</si>
  <si>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</si>
  <si>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</si>
  <si>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</si>
  <si>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</si>
  <si>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</si>
  <si>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</si>
  <si>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II10-047</t>
  </si>
  <si>
    <t>II10-048</t>
  </si>
  <si>
    <t>II12-996</t>
  </si>
  <si>
    <t>Cotton Printed Duvet Cover Set with Chenille</t>
  </si>
  <si>
    <t>AMAZON,AMAZONDS,AMERSIGNDS,ASHFURNDS,BBBDROP,BLK01,CASTLEGATE,CSNSTORES,HSNDS,JCPENNEY01,KOHLDSN,MACY02,OLLIIX,OVERSCONSIGN,OVERSTOCK01,ROOMECOM,TGTDVS,ZOLA,Zulily</t>
  </si>
  <si>
    <t>11/30/2022</t>
  </si>
  <si>
    <t>II12-997</t>
  </si>
  <si>
    <t>AMAZON,AMAZONDS,AMERSIGNDS,ASHFURNDS,BBBDROP,BEALLSDS,BLK01,CASTLEGATE,CSNSTORES,DESINC,HSNDS,JCPENNEY01,KOHLDSN,MACY02,NEBFUR01,OLLIIX,OVERSCONSIGN,OVERSTOCK01,ROOMECOM,TGTDVS,ZOLA,Zulily</t>
  </si>
  <si>
    <t>II12-1091</t>
  </si>
  <si>
    <t>4/23/2020</t>
  </si>
  <si>
    <t>AMAZON,AMAZONDS,AMERSIGNDS,ASHFURNDS,BLK01,CASTLEGATE,CSNSTORES,HOUZZ,HSNDS,JCPENNEY01,KOHLDSN,MACY02,NEBFUR01,OLLIIX,OVERSTOCK01,ROOMECOM,TGTDVS,Zulily</t>
  </si>
  <si>
    <t>8/16/2023</t>
  </si>
  <si>
    <t>II12-1092</t>
  </si>
  <si>
    <t>AMAZON,AMAZONDS,AMERSIGNDS,ASHFURNDS,BBBDROP,BLK01,CASTLEGATE,CSNSTORES,HSNDS,JCPENNEY01,KOHLDSN,MACY02,OLLIIX,OVERSTOCK01,ROOMECOM,TGTDVS,Zulily</t>
  </si>
  <si>
    <t>II12-1095</t>
  </si>
  <si>
    <t>II12-1096</t>
  </si>
  <si>
    <t>AMAZON,AMAZONDS,CASTLEGATE,CSNSTORES,JCPENNEY01,KOHLDSN,MACY02,OLLIIX,OVERSTOCK01,TGTDVS,Zulily</t>
  </si>
  <si>
    <t>II12-1276</t>
  </si>
  <si>
    <t>AMAZONDS,AMERSIGNDS,CSNSTORES,JCPENNEY01,KOHLDSN,MACY02,OLLIIX,OVERSCONSIGN,OVERSTOCK01,TGTDVS,ZOLA,Zulily</t>
  </si>
  <si>
    <t>II12-1277</t>
  </si>
  <si>
    <t>AMAZONDS,ASHFURNDS,BBBDROP,CSNSTORES,JCPENNEY01,KOHLDSN,MACY02,OLLIIX,OVERSTOCK01,TGTDVS,ZOLA,Zulily</t>
  </si>
  <si>
    <t>II12-1040</t>
  </si>
  <si>
    <t>Cotton Jacquard Duvet Cover Mini Set</t>
  </si>
  <si>
    <t>AMAZON,AMAZONDS,AMERSIGNDS,BBBDROP,BEALLSDS,BLK01,CASTLEGATE,CSNSTORES,JCPENNEY01,KOHLDSN,MACY02,OLLIIX,OVERSCONSIGN,OVERSTOCK01,ROOMECOM,TGTDVS,ZOLA</t>
  </si>
  <si>
    <t>II12-1041</t>
  </si>
  <si>
    <t>AMAZON,AMAZONDS,AMERSIGNDS,BBBDROP,BEALLSDS,BLK01,CSNSTORES,JCPENNEY01,KOHLDSN,MACY02,OLLIIX,OVERSTOCK01,ROOMECOM,TGTDVS,ZOLA,Zulily</t>
  </si>
  <si>
    <t>II12-1102</t>
  </si>
  <si>
    <t>II12-1103</t>
  </si>
  <si>
    <t>II12-783</t>
  </si>
  <si>
    <t>3 Piece Duvet Cover Mini Set</t>
  </si>
  <si>
    <t>AMAZON,AMAZONDS,BBBDROP,BEALLSDS,BLK01,CSNSTORES,JCPENNEY01,KOHLDSN,MACY02,NRTPORT,OLLIIX,OVERSCONSIGN,OVERSTOCK01,TGTDVS,ZOLA</t>
  </si>
  <si>
    <t>II12-784</t>
  </si>
  <si>
    <t>AMAZON,AMAZONDS,BBBDROP,BEALLSDS,CASTLEGATE,CSNSTORES,JCPENNEY01,KOHLDSN,MACY02,OLLIIX,OVERSCONSIGN,OVERSTOCK01,TGTDVS,ZOLA</t>
  </si>
  <si>
    <t>II12-554</t>
  </si>
  <si>
    <t>AMAZON,AMAZONDS,BBBDROP,BEALLSDS,BLK01,CSNSTORES,DESINC,JCPENNEY01,KOHLDSN,MACY02,NEBFUR01,NRTPORT,OLLIIX,OVERSTOCK01,TGTDVS,Zulily</t>
  </si>
  <si>
    <t>II12-555</t>
  </si>
  <si>
    <t>AMAZON,AMAZONDS,BBBDROP,BLK01,CSNSTORES,JCPENNEY01,KOHLDSN,MACY02,NEBFUR01,OLLIIX,OVERSTOCK01,TGTDVS,Zulily</t>
  </si>
  <si>
    <t>II12-787</t>
  </si>
  <si>
    <t>II12-788</t>
  </si>
  <si>
    <t>AMAZON,BBBDROP,BLK01,CSNSTORES,JCPENNEY01,KOHLDSN,MACY02,OLLIIX,OVERSTOCK01,TGTDVS,ZOLA,Zulily</t>
  </si>
  <si>
    <t>II12-1114</t>
  </si>
  <si>
    <t>II12-1115</t>
  </si>
  <si>
    <t>AMAZON,AMAZONDS,BBBDROP,BLK01,CSNSTORES,DESINC,HOUZZ,JCPENNEY01,KOHLDSN,MACY02,OLLIIX,OVERSCONSIGN,OVERSTOCK01,TGTDVS,Zulily</t>
  </si>
  <si>
    <t>II12-1332</t>
  </si>
  <si>
    <t>3 Piece Cotton Jacquard Duvet Set</t>
  </si>
  <si>
    <t>II12-1333</t>
  </si>
  <si>
    <t>II12-1262</t>
  </si>
  <si>
    <t>AMAZON,AMAZONDS,CSNSTORES,DESINC,KOHLDSN,MACY02,OLLIIX,OVERSTOCK01,TGTDVS</t>
  </si>
  <si>
    <t>II12-1263</t>
  </si>
  <si>
    <t>AMAZON,AMAZONDS,CSNSTORES,DESINC,JCPENNEY01,KOHLDSN,MACY02,OLLIIX,OVERSTOCK01,TGTDVS,ZOLA,Zulily</t>
  </si>
  <si>
    <t>II12-1118</t>
  </si>
  <si>
    <t>AMAZON,AMAZONDS,BBBDROP,BLK01,CSNSTORES,DESINC,JCPENNEY01,KIRKLANDDS,KOHLDSN,MACY02,OLLIIX,OVERSCONSIGN,OVERSTOCK01,TGTDVS,Zulily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</si>
  <si>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</si>
  <si>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</si>
  <si>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</si>
  <si>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</si>
  <si>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</si>
  <si>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</si>
  <si>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AMAZON,AMAZONDS,BBBDROP,CSNSTORES,DESINC,JCPENNEY01,MACY02,OLLIIX,OVERSCONSIGN,OVERSTOCK01,TGTDVS,ZOLA,Zulily</t>
  </si>
  <si>
    <t>II12-1054</t>
  </si>
  <si>
    <t>Cotton Jacquard Duvet Cover Set</t>
  </si>
  <si>
    <t>AMAZON,BBBDROP,BLK01,CASTLEGATE,CSNSTORES,JCPENNEY01,KOHLDSN,MACY02,OLLIIX,OVERSCONSIGN,OVERSTOCK01,TGTDVS,ZOLA,Zulily</t>
  </si>
  <si>
    <t>II12-1055</t>
  </si>
  <si>
    <t>AMAZON,AMAZONDS,BBBDROP,CSNSTORES,JCPENNEY01,KOHLDSN,MACY02,OLLIIX,OVERSCONSIGN,OVERSTOCK01,TGTDVS,ZOLA,Zulily</t>
  </si>
  <si>
    <t>II12-1071</t>
  </si>
  <si>
    <t>BBBDROP,BEALLSDS,BLK01,CASTLEGATE,CSNSTORES,JCPENNEY01,KOHLDSN,MACY02,OLLIIX,OVERSCONSIGN,OVERSTOCK01,TGTDVS,ZOLA</t>
  </si>
  <si>
    <t>II12-1072</t>
  </si>
  <si>
    <t>BBBDROP,BEALLSDS,BLK01,CSNSTORES,JCPENNEY01,KOHLDSN,MACY02,OLLIIX,OVERSTOCK01,TGTDVS,ZOLA,Zulily</t>
  </si>
  <si>
    <t>II12-1163</t>
  </si>
  <si>
    <t>Chenille 3 Piece Cotton Duvet Cover Set</t>
  </si>
  <si>
    <t>CSNSTORES,DESINC,HDDS,JCPENNEY01,KOHLDSN,MACY02,OLLIIX,OVERSTOCK01,TGTDVS,ZOLA,Zulily</t>
  </si>
  <si>
    <t>II12-1164</t>
  </si>
  <si>
    <t>ASHFURNDS,BBBDROP,CSNSTORES,JCPENNEY01,KOHLDSN,MACY02,OVERSTOCK01,TGTDVS,ZOLA,Zulily</t>
  </si>
  <si>
    <t>II12-1106</t>
  </si>
  <si>
    <t>3 Piece Cotton Jacquard Duvet Cover Set</t>
  </si>
  <si>
    <t>AMAZON,AMAZONDS,BBBDROP,BEALLSDS,BLK01,CSNSTORES,HDDS,JCPENNEY01,KOHLDSN,MACY02,OLLIIX,OVERSTOCK01,TGTDVS,ZOLA,Zulily</t>
  </si>
  <si>
    <t>II12-1107</t>
  </si>
  <si>
    <t>AMAZON,AMAZONDS,BBBDROP,BEALLSDS,BLK01,CSNSTORES,JCPENNEY01,KOHLDSN,MACY02,OLLIIX,OVERSTOCK01,TGTDVS,ZOLA,Zulily</t>
  </si>
  <si>
    <t>II12-1151</t>
  </si>
  <si>
    <t>1/21/2021</t>
  </si>
  <si>
    <t>AMAZON,BBBDROP,CSNSTORES,HOUZZ,JCPENNEY01,KOHLDSN,MACY02,OLLIIX,OVERSCONSIGN,OVERSTOCK01,TGTDVS,Zulily</t>
  </si>
  <si>
    <t>II12-1152</t>
  </si>
  <si>
    <t>AMAZON,AMAZONDS,CSNSTORES,HOUZZ,JCPENNEY01,KOHLDSN,MACY02,OLLIIX,OVERSTOCK01,TGTDVS</t>
  </si>
  <si>
    <t>II12-1272</t>
  </si>
  <si>
    <t>AMAZONDS,BBBDROP,CSNSTORES,JCPENNEY01,KOHLDSN,MACY02,NEBFUR01,NRTPORT,OLLIIX,OVERSTOCK01,TGTDVS,ZOLA,Zulily</t>
  </si>
  <si>
    <t>II12-1273</t>
  </si>
  <si>
    <t>AMAZONDS,CSNSTORES,DESINC,JCPENNEY01,KOHLDSN,MACY02,OLLIIX,OVERSTOCK01,TGTDVS,ZOLA,Zulily</t>
  </si>
  <si>
    <t>II12-1268</t>
  </si>
  <si>
    <t>AMAZONDS,CSNSTORES,JCPENNEY01,KOHLDSN,MACY02,OLLIIX,OVERSTOCK01,TGTDVS,ZOLA,Zulily</t>
  </si>
  <si>
    <t>II12-1269</t>
  </si>
  <si>
    <t>AMAZONDS,CSNSTORES,JCPENNEY01,KOHLDSN,MACY02,OLLIIX,OVERSTOCK01,TGTDVS,ZOLA</t>
  </si>
  <si>
    <t>II12-1171</t>
  </si>
  <si>
    <t>3 Piece Organic Cotton Jacquard Duvet Cover Set</t>
  </si>
  <si>
    <t>AMAZON,CSNSTORES,JCPENNEY01,KOHLDSN,OLLIIX,OVERSCONSIGN,OVERSTOCK01,TGTDVS</t>
  </si>
  <si>
    <t>II12-1110</t>
  </si>
  <si>
    <t>3 Piece Flax and Cotton Blended Duvet Cover Set</t>
  </si>
  <si>
    <t>7/31/2020</t>
  </si>
  <si>
    <t>AMAZONDS,BBBDROP,BLK01,CASTLEGATE,CSNSTORES,JCPENNEY01,KOHLDSN,MACY02,NRTPORT,OLLIIX,OVERSCONSIGN,OVERSTOCK01,TGTDVS,ZOLA</t>
  </si>
  <si>
    <t>II12-1111</t>
  </si>
  <si>
    <t>AMAZONDS,BBBDROP,BLK01,CSNSTORES,JCPENNEY01,KOHLDSN,MACY02,NRTPORT,OLLIIX,OVERSTOCK01,TGTDVS</t>
  </si>
  <si>
    <t>II12-1317</t>
  </si>
  <si>
    <t>3 Piece Cotton Duvet Cover Set with Chenille Tufting</t>
  </si>
  <si>
    <t>AMAZON,JCPENNEY01,OLLIIX,OVERSTOCK01,TGTDVS</t>
  </si>
  <si>
    <t>II12-1318</t>
  </si>
  <si>
    <t>AMAZON,CSNSTORES,KOHLDSN</t>
  </si>
  <si>
    <t>II12-1250</t>
  </si>
  <si>
    <t>II12-1251</t>
  </si>
  <si>
    <t>II12-1063</t>
  </si>
  <si>
    <t>AMAZON,AMAZONDS,AMERSIGNDS,BBBDROP,BEALLSDS,BLK01,CSNSTORES,JCPENNEY01,KOHLDSN,MACY02,OLLIIX,OVERSTOCK01,TGTDVS,ZOLA,Zulily</t>
  </si>
  <si>
    <t>II12-1064</t>
  </si>
  <si>
    <t>AMAZON,AMAZONDS,BBBDROP,BLK01,CSNSTORES,JCPENNEY01,KIRKLANDDS,KOHLDSN,MACY02,OLLIIX,OVERSTOCK01,TGTDVS,ZOLA,Zulily</t>
  </si>
  <si>
    <t>II12-1126</t>
  </si>
  <si>
    <t>AMAZON,AMAZONDS,BBBDROP,BLK01,CSNSTORES,JCPENNEY01,KIRKLANDDS,KOHLDSN,MACY02,OLLIIX,OVERSCONSIGN,OVERSTOCK01,TGTDVS,ZOLA,Zulily</t>
  </si>
  <si>
    <t>II12-1127</t>
  </si>
  <si>
    <t>AMAZON,AMAZONDS,ASHFURNDS,BBBDROP,BLK01,CSNSTORES,JCPENNEY01,KIRKLANDDS,KOHLDSN,MACY02,OLLIIX,OVERSTOCK01,TGTDVS,ZOLA,Zulily</t>
  </si>
  <si>
    <t>II12-1067</t>
  </si>
  <si>
    <t>Reversible Cotton Duvet Cover Set</t>
  </si>
  <si>
    <t>9/6/2019</t>
  </si>
  <si>
    <t>CSNSTORES,KOHLDSN,MACY02,OLLIIX,OVERSTOCK01,TGTDVS,ZOLA,Zulily</t>
  </si>
  <si>
    <t>II12-1068</t>
  </si>
  <si>
    <t>CSNSTORES,HOUZZ,KOHLDSN,MACY02,OLLIIX,OVERSTOCK01,TGTDVS,ZOLA</t>
  </si>
  <si>
    <t>II12-1132</t>
  </si>
  <si>
    <t>Cotton Printed Duvet Cover Set with Trims</t>
  </si>
  <si>
    <t>AMAZON,BBBDROP,BLK01,CASTLEGATE,CSNSTORES,JCPENNEY01,KIRKLANDDS,KOHLDSN,MACY02,OLLIIX,OVERSTOCK01,TGTDVS,ZOLA</t>
  </si>
  <si>
    <t>II12-1133</t>
  </si>
  <si>
    <t>AMAZON,AMAZONDS,BBBDROP,BLK01,CASTLEGATE,CSNSTORES,HOUZZ,JCPENNEY01,KIRKLANDDS,KOHLDSN,MACY02,OLLIIX,OVERSCONSIGN,OVERSTOCK01,TGTDVS,ZOLA</t>
  </si>
  <si>
    <t>II12-1058</t>
  </si>
  <si>
    <t>AMAZON,AMAZONDS,ASHFURNDS,BBBDROP,BEALLSDS,BLK01,CASTLEGATE,CSNSTORES,DESINC,JCPENNEY01,KOHLDSN,MACY02,OLLIIX,OVERSCONSIGN,OVERSTOCK01,ROOMECOM,TGTDVS,ZOLA,Zulily</t>
  </si>
  <si>
    <t>II12-1059</t>
  </si>
  <si>
    <t>AMAZON,AMAZONDS,AMERSIGNDS,ASHFURNDS,BBBDROP,BEALLSDS,BLK01,CASTLEGATE,CSNSTORES,DESINC,JCPENNEY01,KOHLDSN,MACY02,OLLIIX,OVERSTOCK01,TGTDVS,ZOLA,Zulily</t>
  </si>
  <si>
    <t>11/1/2022</t>
  </si>
  <si>
    <t>II12-1216</t>
  </si>
  <si>
    <t>3 Piece Cotton Printed Duvet Cover Set w/ trims</t>
  </si>
  <si>
    <t>AMAZONDS,BBBDROP,CSNSTORES,DESINC,JCPENNEY01,KOHLDSN,OLLIIX,OVERSTOCK01,TGTDVS</t>
  </si>
  <si>
    <t>II12-1217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</si>
  <si>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</si>
  <si>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</si>
  <si>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</si>
  <si>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</si>
  <si>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</si>
  <si>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</si>
  <si>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</si>
  <si>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CSNSTORES,JCPENNEY01,KOHLDSN,OLLIIX,OVERSTOCK01,TGTDVS,ZOLA</t>
  </si>
  <si>
    <t>II12-1314</t>
  </si>
  <si>
    <t>II12-1046</t>
  </si>
  <si>
    <t>3 Piece Elastic Embroidered Cotton Duvet Cover Set</t>
  </si>
  <si>
    <t>AMAZON,AMAZONDS,BBBDROP,BLK01,CSNSTORES,JCPENNEY01,KOHLDSN,MACY02,OLLIIX,OVERSCONSIGN,OVERSTOCK01,ROOMECOM,TGTDVS,ZOLA,Zulily</t>
  </si>
  <si>
    <t>8/24/2021</t>
  </si>
  <si>
    <t>II12-1047</t>
  </si>
  <si>
    <t>2/7/2021</t>
  </si>
  <si>
    <t>II12-1014</t>
  </si>
  <si>
    <t>AMAZON,BLK01,CSNSTORES,JCPENNEY01,KOHLDSN,MACY02,OLLIIX,OVERSTOCK01,TGTDVS,Zulily</t>
  </si>
  <si>
    <t>II12-1015</t>
  </si>
  <si>
    <t>AMAZON,AMAZONDS,BEALLSDS,BLK01,CSNSTORES,JCPENNEY01,KOHLDSN,MACY02,OLLIIX,OVERSTOCK01,TGTDVS,ZOLA</t>
  </si>
  <si>
    <t>II12-801</t>
  </si>
  <si>
    <t>II12-598</t>
  </si>
  <si>
    <t>AMAZONDS,BBBDROP,BLK01,CASTLEGATE,CSNSTORES,DESINC,HOUZZ,JCPENNEY01,KOHLDSN,MACY02,OVERSCONSIGN,OVERSTOCK01,TGTDVS,ZOLA,Zulily</t>
  </si>
  <si>
    <t>II12-599</t>
  </si>
  <si>
    <t>AMAZON,AMAZONDS,BBBDROP,BLK01,CASTLEGATE,CSNSTORES,DESINC,HOUZZ,JCPENNEY01,KOHLDSN,MACY02,OLLIIX,OVERSCONSIGN,OVERSTOCK01,TGTDVS,Zulily</t>
  </si>
  <si>
    <t>II12-933</t>
  </si>
  <si>
    <t>Cotton Duvet Cover Mini Set</t>
  </si>
  <si>
    <t>AMAZON,AMAZONDS,BBBDROP,CSNSTORES,JCPENNEY01,KOHLDSN,MACY02,OLLIIX,OVERSTOCK01,TGTDVS</t>
  </si>
  <si>
    <t>II12-934</t>
  </si>
  <si>
    <t>II12-055</t>
  </si>
  <si>
    <t>Duvet Cover Mini Set</t>
  </si>
  <si>
    <t>BBBDROP,BLK01,CSNSTORES,KOHLDSN,MACY02,OLLIIX,OVERSTOCK01,TGTDVS,Zulily</t>
  </si>
  <si>
    <t>II12-057</t>
  </si>
  <si>
    <t>BBBDROP,CSNSTORES,HOUZZ,KOHLDSN,MACY02,OVERSTOCK01,TGTDVS</t>
  </si>
  <si>
    <t>II12-869</t>
  </si>
  <si>
    <t>II12-049</t>
  </si>
  <si>
    <t>Duvet Cover Set</t>
  </si>
  <si>
    <t>BBBDROP,BLK01,CSNSTORES,DESINC,KOHLDSN,MACY02,OLLIIX,OVERSCONSIGN,OVERSTOCK01,TGTDVS</t>
  </si>
  <si>
    <t>II12-050</t>
  </si>
  <si>
    <t>BBBDROP,BEALLSDS,BLK01,CSNSTORES,DESINC,KOHLDSN,MACY02,OLLIIX,OVERSTOCK01,TGTDVS,ZOLA,Zulily</t>
  </si>
  <si>
    <t>II12-051</t>
  </si>
  <si>
    <t>BBBDROP,BEALLSDS,BLK01,CSNSTORES,HOUZZ,HSNDS,KOHLDSN,MACY02,NRTPORT,OLLIIX,OVERSCONSIGN,OVERSTOCK01,TGTDVS,ZOLA</t>
  </si>
  <si>
    <t>II13-564</t>
  </si>
  <si>
    <t>Pomona</t>
  </si>
  <si>
    <t>3 Piece Embroidered Cotton Quilt Set</t>
  </si>
  <si>
    <t>PF001639;PP000486</t>
  </si>
  <si>
    <t>Chevron</t>
  </si>
  <si>
    <t>11/15/2022</t>
  </si>
  <si>
    <t>II13-565</t>
  </si>
  <si>
    <t>AMAZON,AMAZONDS,BBBDROP,BEALLSDS,BLK01,CSNSTORES,HSNDS,JCPENNEY01,KOHLDSN,LAMPDS,MACY02,OLLIIX,OVERSTOCK01,TGTDVS,ZOLA,Zulily</t>
  </si>
  <si>
    <t>II13-1201</t>
  </si>
  <si>
    <t>PP000486;PF005524</t>
  </si>
  <si>
    <t>9/1/2021</t>
  </si>
  <si>
    <t>AMAZON,AMAZONDS,ASHFURNDS,BBBDROP,BLK01,CSNSTORES,HOUZZ,JCPENNEY01,KIRKLANDDS,KOHLDSN,MACY02,OLLIIX,OVERSTOCK01,TGTDVS,Zulily</t>
  </si>
  <si>
    <t>II13-1202</t>
  </si>
  <si>
    <t>AMAZON,AMAZONDS,ASHFURNDS,BBBDROP,BLK01,CSNSTORES,HOUZZ,JCPENNEY01,KOHLDSN,MACY02,OLLIIX,OVERSCONSIGN,OVERSTOCK01,TGTDVS,ZOLA,Zulily</t>
  </si>
  <si>
    <t>II13-1200</t>
  </si>
  <si>
    <t>PP000486;PF005523</t>
  </si>
  <si>
    <t>AMAZON,AMAZONDS,BBBDROP,BLK01,CSNSTORES,DESINC,HOUZZ,JCPENNEY01,KOHLDSN,MACY02,OLLIIX,OVERSTOCK01,TGTDVS,ZOLA,Zulily</t>
  </si>
  <si>
    <t>II13-1042</t>
  </si>
  <si>
    <t>3 Piece Printed Cotton Quilt Set</t>
  </si>
  <si>
    <t>11/18/2018</t>
  </si>
  <si>
    <t>AMAZON,AMAZONDS,BBBDROP,BLK01,CSNSTORES,HDDS,JCPENNEY01,KOHLDSN,MACY02,OLLIIX,OVERSTOCK01,TGTDVS,ZOLA,Zulily</t>
  </si>
  <si>
    <t>II13-1043</t>
  </si>
  <si>
    <t>II13-1195</t>
  </si>
  <si>
    <t>Cotton 3 Piece Coverlet Set</t>
  </si>
  <si>
    <t>PP000428;PF004112</t>
  </si>
  <si>
    <t>9/29/2021</t>
  </si>
  <si>
    <t>CSNSTORES,DESINC,JCPENNEY01,KOHLDSN,OLLIIX,OVERSCONSIGN,OVERSTOCK01,TGTDVS,ZOLA,Zulily</t>
  </si>
  <si>
    <t>II13-1196</t>
  </si>
  <si>
    <t>CASTLEGATE,CSNSTORES,JCPENNEY01,KOHLDSN,OLLIIX,OVERSCONSIGN,OVERSTOCK01,TGTDVS,Zulily</t>
  </si>
  <si>
    <t>II13-610</t>
  </si>
  <si>
    <t>Kandula</t>
  </si>
  <si>
    <t>3 Piece Reversible Cotton Quilt Set</t>
  </si>
  <si>
    <t>PF001681</t>
  </si>
  <si>
    <t>AMAZON,AMAZONDS,BBBDROP,BLK01,CSNSTORES,DESINC,HOUZZ,HSNDS,JCPENNEY01,KOHLDSN,MACY02,OLLIIX,OVERSCONSIGN,OVERSTOCK01,TGTDVS,ZOLA,Zulily</t>
  </si>
  <si>
    <t>II13-611</t>
  </si>
  <si>
    <t>AMAZON,AMAZONDS,BBBDROP,BLK01,CASTLEGATE,CSNSTORES,DESINC,HOUZZ,HSNDS,JCPENNEY01,KOHLDSN,MACY02,OLLIIX,OVERSTOCK01,TGTDVS,Zulily</t>
  </si>
  <si>
    <t>II13-614</t>
  </si>
  <si>
    <t>PF001682</t>
  </si>
  <si>
    <t>AMAZON,AMAZONDS,BBBDROP,BLK01,CSNSTORES,DESINC,HOUZZ,HSNDS,JCPENNEY01,KOHLDSN,MACY02,OLLIIX,OVERSCONSIGN,OVERSTOCK01,TGTDVS,Zulily</t>
  </si>
  <si>
    <t>II13-615</t>
  </si>
  <si>
    <t>AMAZON,AMAZONDS,BBBDROP,BEALLSDS,BLK01,CSNSTORES,DESINC,HOUZZ,HSNDS,JCPENNEY01,KOHLDSN,MACY02,OLLIIX,OVERSCONSIGN,OVERSTOCK01,TGTDVS,ZOLA,Zulily</t>
  </si>
  <si>
    <t>II13-1246</t>
  </si>
  <si>
    <t>Salar</t>
  </si>
  <si>
    <t>3 Piece Printed Cotton Quilt Set with Trims</t>
  </si>
  <si>
    <t>PP001746;PF005675</t>
  </si>
  <si>
    <t>II13-1247</t>
  </si>
  <si>
    <t>II11-593</t>
  </si>
  <si>
    <t>Sham</t>
  </si>
  <si>
    <t>Cotton Quilted Euro Sham</t>
  </si>
  <si>
    <t>Euro Sham</t>
  </si>
  <si>
    <t>PF003361;PP000437;PF005628</t>
  </si>
  <si>
    <t>AMAZON,AMAZONDS,BBBDROP,CSNSTORES,HDDS,HSNDS,KIRKLANDDS,KOHLDSN,MACY02,OLLIIX,OVERSTOCK01,TGTDVS</t>
  </si>
  <si>
    <t>II11-930</t>
  </si>
  <si>
    <t>PP000362</t>
  </si>
  <si>
    <t>9/15/2017</t>
  </si>
  <si>
    <t>AMAZON,AMAZONDS,BBBDROP,BLK01,DESINC,HDDS,KIRKLANDDS,KOHLDSN,MACY02,OLLIIX,OVERSCONSIGN,OVERSTOCK01,TGTDVS</t>
  </si>
  <si>
    <t>II11-1077</t>
  </si>
  <si>
    <t>PP000362;PP001094;PP001321;PF004815</t>
  </si>
  <si>
    <t>AMAZON,AMAZONDS,BBBDROP,BLK01,CSNSTORES,HDDS,HOUZZ,JCPENNEY01,KOHLDSN,MACY02,NEBFUR01,OLLIIX,OVERSCONSIGN,OVERSTOCK01,TGTDVS</t>
  </si>
  <si>
    <t>II11-229</t>
  </si>
  <si>
    <t>PF003342;PP000439;PP000478</t>
  </si>
  <si>
    <t>AMAZON,AMAZONDS,BBBDROP,BLK01,CSNSTORES,DESINC,HDDS,KOHLDSN,MACY02,OLLIIX,OVERSCONSIGN,OVERSTOCK01,TGTDVS</t>
  </si>
  <si>
    <t>II11-227</t>
  </si>
  <si>
    <t>PF003343;PP000454;PP000508</t>
  </si>
  <si>
    <t>AMAZON,AMAZONDS,ASHFURNDS,BBBDROP,BLK01,CSNSTORES,HDDS,HOUZZ,HSNDS,KIRKLANDDS,KOHLDSN,MACY02,NEBFUR01,OLLIIX,OVERSCONSIGN,OVERSTOCK01,TGTDVS</t>
  </si>
  <si>
    <t>II11-1187</t>
  </si>
  <si>
    <t>Cotton Embroidered Euro Sham</t>
  </si>
  <si>
    <t>PP001620;PF005441</t>
  </si>
  <si>
    <t>6/8/2021</t>
  </si>
  <si>
    <t>AMAZON,AMAZONDS,CSNSTORES,JCPENNEY01,KOHLDSN,MACY02,OLLIIX,OVERSCONSIGN,OVERSTOCK01,TGTDVS</t>
  </si>
  <si>
    <t>II11-551</t>
  </si>
  <si>
    <t>PF003356;PP000371</t>
  </si>
  <si>
    <t>AMAZON,AMAZONDS,BBBDROP,BEALLSDS,BLK01,CSNSTORES,HSNDS,KOHLDSN,MACY02,OLLIIX,OVERSCONSIGN,OVERSTOCK01,TGTDVS</t>
  </si>
  <si>
    <t>II11-550</t>
  </si>
  <si>
    <t>PF003356;PP000371;PP000486</t>
  </si>
  <si>
    <t>AMAZON,AMAZONDS,ASHFURNDS,BEALLSDS,BLK01,CSNSTORES,DESINC,HSNDS,JCPENNEY01,KOHLDSN,MACY02,OLLIIX,OVERSCONSIGN,OVERSTOCK01,TGTDVS</t>
  </si>
  <si>
    <t>II11-600</t>
  </si>
  <si>
    <t>Jane</t>
  </si>
  <si>
    <t>Embroidered Euro Sham</t>
  </si>
  <si>
    <t>AMAZON,AMAZONDS,ASHFURNDS,BBBDROP,BEALLSDS,BLK01,CSNSTORES,HSNDS,JCPENNEY01,KOHLDSN,MACY02,OLLIIX,OVERSCONSIGN,OVERSTOCK01,TGTDVS</t>
  </si>
  <si>
    <t>II30-1209</t>
  </si>
  <si>
    <t>NORMAL PILLOW</t>
  </si>
  <si>
    <t>Other Pillows</t>
  </si>
  <si>
    <t>Bea</t>
  </si>
  <si>
    <t>Embroidered Cotton Oblong Pillow with Tassels</t>
  </si>
  <si>
    <t>Oblong</t>
  </si>
  <si>
    <t>PP001691;PF005602</t>
  </si>
  <si>
    <t>5/6/2021</t>
  </si>
  <si>
    <t>AMAZONDS,CSNSTORES,DESINC,JCPENNEY01,KOHLDSN,MACY02,OLLIIX,OVERSTOCK01,TGTDVS</t>
  </si>
  <si>
    <t>II30-998</t>
  </si>
  <si>
    <t>1/6/2018</t>
  </si>
  <si>
    <t>AMAZON,AMAZONDS,ASHFURNDS,BBBDROP,BLK01,CSNSTORES,DESINC,JCPENNEY01,KIRKLANDDS,KOHLDSN,LAMPDS,MACY02,NRTPORT,OLLIIX,OVERSCONSIGN,OVERSTOCK01,ROOMECOM,TGTDVS</t>
  </si>
  <si>
    <t>II30-221</t>
  </si>
  <si>
    <t>Cario</t>
  </si>
  <si>
    <t>Embroidered Square Pillow</t>
  </si>
  <si>
    <t>18x18"</t>
  </si>
  <si>
    <t>PF003342;PP000371;PP000454;PP000478</t>
  </si>
  <si>
    <t>AMAZON,AMAZONDS,BBBDROP,BEALLSDS,BLK01,JCPENNEY01,KIRKLANDDS,KOHLDSN,MACY02,OLLIIX,OVERSTOCK01,TGTDVS</t>
  </si>
  <si>
    <t>II30-993</t>
  </si>
  <si>
    <t>Chet</t>
  </si>
  <si>
    <t>Embroidered Cotton Oblong Pillow</t>
  </si>
  <si>
    <t>PP000785;PF005628</t>
  </si>
  <si>
    <t>AMAZON,AMAZONDS,BBBDROP,JCPENNEY01,KOHLDSN,MACY02,OLLIIX,OVERSCONSIGN,OVERSTOCK01,TGTDVS</t>
  </si>
  <si>
    <t>II30-1086</t>
  </si>
  <si>
    <t>Cotton Oblong Pillow</t>
  </si>
  <si>
    <t>PP001463</t>
  </si>
  <si>
    <t>2/18/2020</t>
  </si>
  <si>
    <t>AMAZON,AMAZONDS,BBBDROP,BLK01,CSNSTORES,DESINC,HDDS,HOUZZ,JCPENNEY01,KOHLDSN,MACY02,OLLIIX,OVERSTOCK01,TGTDVS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</si>
  <si>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</si>
  <si>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</si>
  <si>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</si>
  <si>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</si>
  <si>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</si>
  <si>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II30-1085</t>
  </si>
  <si>
    <t>Kerala</t>
  </si>
  <si>
    <t>Cotton Square Pillow</t>
  </si>
  <si>
    <t>20x20"</t>
  </si>
  <si>
    <t>PP001462</t>
  </si>
  <si>
    <t>AMAZON,AMAZONDS,BBBDROP,BLK01,JCPENNEY01,KOHLDSN,MACY02,OLLIIX,OVERSCONSIGN,OVERSTOCK01,TGTDVS</t>
  </si>
  <si>
    <t>II30-208</t>
  </si>
  <si>
    <t>Kiran</t>
  </si>
  <si>
    <t>Cotton Oblong Pillow with Chain Stitch</t>
  </si>
  <si>
    <t>12x18"</t>
  </si>
  <si>
    <t>PF003341;PP000460;PP000478</t>
  </si>
  <si>
    <t>AMAZON,AMAZONDS,ASHFURNDS,BBBDROP,BEALLSDS,BLK01,CSNSTORES,DESINC,HOUZZ,HSNDS,KOHLDSN,MACY02,OLLIIX,OVERSTOCK01,TGTDVS,Zulily</t>
  </si>
  <si>
    <t>II30-545</t>
  </si>
  <si>
    <t>Nadia Dot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</si>
  <si>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</si>
  <si>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</si>
  <si>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</si>
  <si>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II30-1283</t>
  </si>
  <si>
    <t>Reva</t>
  </si>
  <si>
    <t>Cotton Oblong Pillow with tassels</t>
  </si>
  <si>
    <t>PP001809;PF005804</t>
  </si>
  <si>
    <t>9/6/2022</t>
  </si>
  <si>
    <t>AMAZONDS,CSNSTORES,JCPENNEY01,KOHLDSN,MACY02,OLLIIX,OVERSTOCK01,TGTDVS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</si>
  <si>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</si>
  <si>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</si>
  <si>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</si>
  <si>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</si>
  <si>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</si>
  <si>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II30-609</t>
  </si>
  <si>
    <t>Cotton Embroidered Decorative Square Pillow</t>
  </si>
  <si>
    <t>PF003362;PP000451;PP000464;PF005628</t>
  </si>
  <si>
    <t>AMAZON,AMAZONDS,ASHFURNDS,BBBDROP,BEALLSDS,CSNSTORES,DESINC,HSNDS,JCPENNEY01,KIRKLANDDS,KOHLDSN,MACY02,NRTPORT,OLLIIX,OVERSCONSIGN,OVERSTOCK01,TGTDVS</t>
  </si>
  <si>
    <t>II30-904</t>
  </si>
  <si>
    <t>Stella Dot</t>
  </si>
  <si>
    <t>12x20"</t>
  </si>
  <si>
    <t>Copper</t>
  </si>
  <si>
    <t>PF001709</t>
  </si>
  <si>
    <t>8/25/2017</t>
  </si>
  <si>
    <t>AMAZON,AMAZONDS,BEALLSDS,BLK01,CSNSTORES,DESINC,HOUZZ,JCPENNEY01,KOHLDSN,MACY02,OLLIIX,OVERSTOCK01,TGTDVS</t>
  </si>
  <si>
    <t>HH10-1618</t>
  </si>
  <si>
    <t>Harbor House</t>
  </si>
  <si>
    <t>Lorelai</t>
  </si>
  <si>
    <t>Cotton Printed 6 Piece Comforter Set</t>
  </si>
  <si>
    <t>PF003337</t>
  </si>
  <si>
    <t>AMAZON,AMAZONDS,CSNSTORES,HSNDS,JCPENNEY01,KOHLDSN,MACY02,OLLIIX,OVERSTOCK01,ROOMECOM</t>
  </si>
  <si>
    <t>HH10-1619</t>
  </si>
  <si>
    <t>AMAZON,AMAZONDS,BBBDROP,BLK01,CSNSTORES,HSNDS,JCPENNEY01,KOHLDSN,MACY02,OLLIIX,OVERSTOCK01,ROOMECOM</t>
  </si>
  <si>
    <t>HH10-1620</t>
  </si>
  <si>
    <t>AMAZON,AMAZONDS,BBBDROP,BLK01,CSNSTORES,HOUZZ,HSNDS,JCPENNEY01,KOHLDSN,MACY02,OLLIIX,OVERSCONSIGN,OVERSTOCK01,ROOMECOM</t>
  </si>
  <si>
    <t>HH10-1621</t>
  </si>
  <si>
    <t>AMAZON,AMAZONDS,BBBDROP,CSNSTORES,DESINC,HSNDS,JCPENNEY01,KOHLDSN,MACY02,NEBFUR01,OLLIIX,OVERSTOCK01,ROOMECOM</t>
  </si>
  <si>
    <t>HH10-1222</t>
  </si>
  <si>
    <t>Maya Bay</t>
  </si>
  <si>
    <t>PF003324</t>
  </si>
  <si>
    <t>AMAZON,AMAZONDS,BBBDROP,CSNSTORES,JCPENNEY01,KOHLDSN,MACY02,OLLIIX,OVERSTOCK01</t>
  </si>
  <si>
    <t>HH10-1223</t>
  </si>
  <si>
    <t>AMAZON,AMAZONDS,AMERSIGNDS,BBBDROP,BEALLSDS,BLK01,CSNSTORES,HOUZZ,HSNDS,JCPENNEY01,KOHLDSN,MACY02,OLLIIX,OVERSTOCK01,ROOMECOM,Zulily</t>
  </si>
  <si>
    <t>2/27/2021</t>
  </si>
  <si>
    <t>HH10-1224</t>
  </si>
  <si>
    <t>AMAZON,AMAZONDS,AMERSIGNDS,BBBDROP,BLK01,CSNSTORES,DESINC,HOUZZ,JCPENNEY01,KOHLDSN,MACY02,OLLIIX,OVERSCONSIGN,OVERSTOCK01,ROOMECOM,Zulily</t>
  </si>
  <si>
    <t>6/6/2021</t>
  </si>
  <si>
    <t>HH10-1225</t>
  </si>
  <si>
    <t>AMAZON,AMAZONDS,BBBDROP,BEALLSDS,BLK01,CSNSTORES,JCPENNEY01,KOHLDSN,MACY02,OLLIIX,OVERSTOCK01,ROOMECOM</t>
  </si>
  <si>
    <t>12/3/2021</t>
  </si>
  <si>
    <t>HH10-093</t>
  </si>
  <si>
    <t>Beach House</t>
  </si>
  <si>
    <t>PF003326</t>
  </si>
  <si>
    <t>AMAZON,AMAZONDS,CSNSTORES,JCPENNEY01,KOHLDSN,MACY02,OLLIIX,OVERSTOCK01,ROOMECOM,Zulily</t>
  </si>
  <si>
    <t>HH10-094</t>
  </si>
  <si>
    <t>AMAZON,AMAZONDS,ASHFURNDS,BBBDROP,CSNSTORES,HOUZZ,JCPENNEY01,KOHLDSN,MACY02,OLLIIX,OVERSTOCK01</t>
  </si>
  <si>
    <t>HH10-095</t>
  </si>
  <si>
    <t>AMAZON,AMAZONDS,ASHFURNDS,BBBDROP,BLK01,CSNSTORES,HOUZZ,JCPENNEY01,KOHLDSN,MACY02,OLLIIX,OVERSCONSIGN,OVERSTOCK01,ROOMECOM</t>
  </si>
  <si>
    <t>HH10-096</t>
  </si>
  <si>
    <t>11/9/2022</t>
  </si>
  <si>
    <t>HH10-097</t>
  </si>
  <si>
    <t>AMAZONDS,ASHFURNDS,BLK01,CSNSTORES,JCPENNEY01,KOHLDSN,MACY02,OLLIIX,OVERSTOCK01</t>
  </si>
  <si>
    <t>HH10-1683</t>
  </si>
  <si>
    <t>Hallie</t>
  </si>
  <si>
    <t>6 Piece Cotton Comforter Set</t>
  </si>
  <si>
    <t>PF004246</t>
  </si>
  <si>
    <t>12/14/2017</t>
  </si>
  <si>
    <t>AMAZON,AMAZONDS,BBBDROP,BLK01,CSNSTORES,JCPENNEY01,KOHLDSN,MACY02,OLLIIX,OVERSTOCK01</t>
  </si>
  <si>
    <t>HH10-1684</t>
  </si>
  <si>
    <t>AMAZON,AMAZONDS,BBBDROP,BLK01,CSNSTORES,HSNDS,JCPENNEY01,KOHLDSN,MACY02,NRTPORT,OLLIIX,OVERSCONSIGN,OVERSTOCK01,ROOMECOM</t>
  </si>
  <si>
    <t>HH10-1685</t>
  </si>
  <si>
    <t>AMAZON,AMAZONDS,BBBDROP,BEALLSDS,BLK01,CASTLEGATE,CSNSTORES,JCPENNEY01,KOHLDSN,MACY02,OLLIIX,OVERSTOCK01,ROOMECOM</t>
  </si>
  <si>
    <t>8/17/2023</t>
  </si>
  <si>
    <t>HH10-1686</t>
  </si>
  <si>
    <t>3/16/2023</t>
  </si>
  <si>
    <t>HH10-1689</t>
  </si>
  <si>
    <t>Anslee</t>
  </si>
  <si>
    <t>3 Piece Cotton Yarn Dyed Comforter Set</t>
  </si>
  <si>
    <t>PF004247;PP000875</t>
  </si>
  <si>
    <t>AMAZON,AMAZONDS,BBBDROP,BEALLSDS,BLK01,CSNSTORES,JCPENNEY01,KOHLDSN,MACY02,OLLIIX,OVERSTOCK01</t>
  </si>
  <si>
    <t>HH10-1690</t>
  </si>
  <si>
    <t>AMAZON,AMAZONDS,BBBDROP,BEALLSDS,BLK01,CSNSTORES,HSNDS,JCPENNEY01,KOHLDSN,MACY02,OLLIIX,OVERSCONSIGN,OVERSTOCK01,Zulily</t>
  </si>
  <si>
    <t>HH10-1831</t>
  </si>
  <si>
    <t>Brooks</t>
  </si>
  <si>
    <t>5 Piece Oversized Cotton Stripe Comforter Set</t>
  </si>
  <si>
    <t>White/Blue</t>
  </si>
  <si>
    <t>PP001815;PF005827</t>
  </si>
  <si>
    <t>12/6/2022</t>
  </si>
  <si>
    <t>BBBDROP,CSNSTORES,JCPENNEY01,MACY02,NRTPORT,OLLIIX,OVERSTOCK01</t>
  </si>
  <si>
    <t>HH10-1832</t>
  </si>
  <si>
    <t>BBBDROP,CSNSTORES,JCPENNEY01,MACY02,OLLIIX,OVERSTOCK01</t>
  </si>
  <si>
    <t>HH10-494</t>
  </si>
  <si>
    <t>Chelsea</t>
  </si>
  <si>
    <t>PF003320</t>
  </si>
  <si>
    <t>AMAZON,AMAZONDS,BBBDROP,BEALLSDS,BLK01,CASTLEGATE,CSNSTORES,HSNDS,KOHLDSN,MACY02,OLLIIX,OVERSTOCK01</t>
  </si>
  <si>
    <t>HH10-495</t>
  </si>
  <si>
    <t>AMAZON,AMAZONDS,BEALLSDS,BLK01,CSNSTORES,HSNDS,KOHLDSN,MACY02,OLLIIX,OVERSCONSIGN,OVERSTOCK01,Zulily</t>
  </si>
  <si>
    <t>HH10-480</t>
  </si>
  <si>
    <t>Coastline</t>
  </si>
  <si>
    <t>Oversized Cotton Jacquard Comforter Set</t>
  </si>
  <si>
    <t>PF003317</t>
  </si>
  <si>
    <t>AMAZONDS,CSNSTORES,HOUZZ,KOHLDSN,MACY02,OLLIIX,OVERSTOCK01</t>
  </si>
  <si>
    <t>HH10-396</t>
  </si>
  <si>
    <t>AMAZON,AMAZONDS,CSNSTORES,HSNDS,MACY02,OLLIIX,OVERSTOCK01</t>
  </si>
  <si>
    <t>HH10-397</t>
  </si>
  <si>
    <t>AMAZONDS,BBBDROP,BEALLSDS,BLK01,CSNSTORES,DESINC,HOUZZ,KOHLDSN,MACY02,NRTPORT,OLLIIX,OVERSTOCK01,Zulily</t>
  </si>
  <si>
    <t>HH10-398</t>
  </si>
  <si>
    <t>AMAZON,AMAZONDS,BBBDROP,BEALLSDS,BLK01,CSNSTORES,KOHLDSN,MACY02,OLLIIX,OVERSTOCK01,Zulily</t>
  </si>
  <si>
    <t>HH10-415</t>
  </si>
  <si>
    <t>AMAZON,AMAZONDS,BEALLSDS,BLK01,CSNSTORES,DESINC,HOUZZ,KOHLDSN,MACY02,NRTPORT,OLLIIX,OVERSTOCK01</t>
  </si>
  <si>
    <t>HH10-1544</t>
  </si>
  <si>
    <t>6 Piece Oversized Cotton Jacquard Comforter Set</t>
  </si>
  <si>
    <t>PF003318</t>
  </si>
  <si>
    <t>AMAZON,AMAZONDS,BBBDROP,BLK01,CSNSTORES,HOUZZ,KOHLDSN,MACY02,OLLIIX,OVERSCONSIGN,OVERSTOCK01</t>
  </si>
  <si>
    <t>HH10-1545</t>
  </si>
  <si>
    <t>AMAZON,AMAZONDS,BBBDROP,BEALLSDS,BLK01,CSNSTORES,DESINC,HOUZZ,KOHLDSN,MACY02,OLLIIX,OVERSTOCK01</t>
  </si>
  <si>
    <t>HH10-1546</t>
  </si>
  <si>
    <t>HH10-1547</t>
  </si>
  <si>
    <t>AMAZON,AMAZONDS,CSNSTORES,HOUZZ,KOHLDSN,MACY02,OLLIIX,OVERSTOCK01</t>
  </si>
  <si>
    <t>HH10-702</t>
  </si>
  <si>
    <t>Crystal Beach</t>
  </si>
  <si>
    <t>PF003321</t>
  </si>
  <si>
    <t>AMAZON,AMAZONDS,BBBDROP,CSNSTORES,HOUZZ,JCPENNEY01,KOHLDSN,MACY02,OLLIIX,OVERSCONSIGN,OVERSTOCK01,Zulily</t>
  </si>
  <si>
    <t>HH10-703</t>
  </si>
  <si>
    <t>AMAZONDS,BBBDROP,CSNSTORES,DESINC,HOUZZ,JCPENNEY01,KOHLDSN,MACY02,OLLIIX,OVERSCONSIGN,OVERSTOCK01,Zulily</t>
  </si>
  <si>
    <t>HH10-704</t>
  </si>
  <si>
    <t>AMAZONDS,BLK01,CSNSTORES,HOUZZ,JCPENNEY01,KOHLDSN,MACY02,OLLIIX,OVERSTOCK01</t>
  </si>
  <si>
    <t>HH10-1850</t>
  </si>
  <si>
    <t>Kiawah Island</t>
  </si>
  <si>
    <t>6 Piece Oversized Cotton Comforter Set with Throw Pillow</t>
  </si>
  <si>
    <t>PP001898;PF006055</t>
  </si>
  <si>
    <t>10/3/2023</t>
  </si>
  <si>
    <t>AMAZON,CSNSTORES,JCPENNEY01,KOHLDSN,MACY02,OLLIIX,OVERSTOCK01</t>
  </si>
  <si>
    <t>HH10-1851</t>
  </si>
  <si>
    <t>AMAZON,AMAZONDS,CSNSTORES,JCPENNEY01,KOHLDSN,MACY02,OLLIIX,OVERSTOCK01</t>
  </si>
  <si>
    <t>HH10-1852</t>
  </si>
  <si>
    <t>HH10-1853</t>
  </si>
  <si>
    <t>AMAZON,AMAZONDS,CSNSTORES,JCPENNEY01,KOHLDSN,MACY02,NRTPORT,OLLIIX,OVERSTOCK01</t>
  </si>
  <si>
    <t>HH10-1799</t>
  </si>
  <si>
    <t>Livia</t>
  </si>
  <si>
    <t>PP001574;PF005294</t>
  </si>
  <si>
    <t>HH10-1800</t>
  </si>
  <si>
    <t>AMAZONDS,BBBDROP,BEALLSDS,BLK01,CSNSTORES,HDDS,JCPENNEY01,KOHLDSN,MACY02,OLLIIX,OVERSCONSIGN,OVERSTOCK01</t>
  </si>
  <si>
    <t>HH10-1801</t>
  </si>
  <si>
    <t>HH10-1802</t>
  </si>
  <si>
    <t>AMAZONDS,BBBDROP,BEALLSDS,BLK01,CASTLEGATE,CSNSTORES,JCPENNEY01,KOHLDSN,MACY02,OLLIIX,OVERSCONSIGN,OVERSTOCK01</t>
  </si>
  <si>
    <t>HH10-1789</t>
  </si>
  <si>
    <t>Meadow</t>
  </si>
  <si>
    <t>5 Piece Cotton Comforter Set</t>
  </si>
  <si>
    <t>PP001457;PF005030</t>
  </si>
  <si>
    <t>BBBDROP,BEALLSDS,BLK01,CSNSTORES,DESINC,JCPENNEY01,KOHLDSN,MACY02,OLLIIX,OVERSTOCK01</t>
  </si>
  <si>
    <t>HH10-1790</t>
  </si>
  <si>
    <t>BBBDROP,BEALLSDS,BLK01,CASTLEGATE,CSNSTORES,DESINC,JCPENNEY01,KOHLDSN,MACY02,OLLIIX,OVERSTOCK01</t>
  </si>
  <si>
    <t>HH10-1864</t>
  </si>
  <si>
    <t>Morgan</t>
  </si>
  <si>
    <t>6 Piece Cotton Jacquard Oversized Comforter Set</t>
  </si>
  <si>
    <t>PP001753;PF006226</t>
  </si>
  <si>
    <t>Farm House|Lodge/Cabin</t>
  </si>
  <si>
    <t>4/13/2024</t>
  </si>
  <si>
    <t>AMAZON,CSNSTORES,OVERSTOCK01</t>
  </si>
  <si>
    <t>HH10-1865</t>
  </si>
  <si>
    <t>AMAZON,AMAZONDS,CSNSTORES,KOHLDSN,OLLIIX,OVERSTOCK01</t>
  </si>
  <si>
    <t>HH10-1866</t>
  </si>
  <si>
    <t>HH10-1867</t>
  </si>
  <si>
    <t>AMAZON,KOHLDSN,OVERSTOCK01</t>
  </si>
  <si>
    <t>HH10-1824</t>
  </si>
  <si>
    <t>White/Grey</t>
  </si>
  <si>
    <t>PF005694;PP001753</t>
  </si>
  <si>
    <t>AMAZON,AMERSIGNDS,CSNSTORES,JCPENNEY01,KOHLDSN,MACY02,OLLIIX,OVERSTOCK01</t>
  </si>
  <si>
    <t>HH10-1825</t>
  </si>
  <si>
    <t>AMAZON,AMAZONDS,AMERSIGNDS,BLK01,CSNSTORES,DESINC,JCPENNEY01,KOHLDSN,MACY02,NRTPORT,OLLIIX,OVERSTOCK01</t>
  </si>
  <si>
    <t>HH10-1826</t>
  </si>
  <si>
    <t>AMAZON,AMAZONDS,BLK01,CSNSTORES,DESINC,JCPENNEY01,KOHLDSN,MACY02,NEBFUR01,OLLIIX,OVERSCONSIGN,OVERSTOCK01</t>
  </si>
  <si>
    <t>HH10-1827</t>
  </si>
  <si>
    <t>AMAZON,AMAZONDS,CSNSTORES,DESINC,JCPENNEY01,KOHLDSN,MACY02,OLLIIX,OVERSTOCK01</t>
  </si>
  <si>
    <t>HH10-1837</t>
  </si>
  <si>
    <t>Pismo Beach</t>
  </si>
  <si>
    <t>6 Piece Oversized Cotton Comforter Set with Throw Pillows</t>
  </si>
  <si>
    <t>Blue/White</t>
  </si>
  <si>
    <t>PP001857;PF005939</t>
  </si>
  <si>
    <t>HH10-1838</t>
  </si>
  <si>
    <t>HH10-1839</t>
  </si>
  <si>
    <t>AMAZON,AMAZONDS,CSNSTORES,DESINC,KOHLDSN,MACY02,OLLIIX,OVERSTOCK01</t>
  </si>
  <si>
    <t>HH10-1840</t>
  </si>
  <si>
    <t>HH10-1345</t>
  </si>
  <si>
    <t>Suzanna</t>
  </si>
  <si>
    <t>Comforter Mini set</t>
  </si>
  <si>
    <t>PF003327</t>
  </si>
  <si>
    <t>AMAZON,AMAZONDS,BBBDROP,BLK01,CSNSTORES,DESINC,JCPENNEY01,KOHLDSN,MACY02,NRTPORT,OLLIIX,OVERSTOCK01</t>
  </si>
  <si>
    <t>HH10-1346</t>
  </si>
  <si>
    <t>AMAZON,AMAZONDS,BBBDROP,BEALLSDS,BLK01,CSNSTORES,HOUZZ,JCPENNEY01,KOHLDSN,MACY02,OLLIIX,OVERSTOCK01</t>
  </si>
  <si>
    <t>HH10-1646</t>
  </si>
  <si>
    <t>PP000337</t>
  </si>
  <si>
    <t>10/6/2017</t>
  </si>
  <si>
    <t>AMAZON,AMAZONDS,BBBDROP,BEALLSDS,BLK01,CSNSTORES,HSNDS,JCPENNEY01,KOHLDSN,MACY02,OLLIIX,OVERSTOCK01</t>
  </si>
  <si>
    <t>HH10-1647</t>
  </si>
  <si>
    <t>AMAZON,AMAZONDS,AMERSIGNDS,BBBDROP,BEALLSDS,BLK01,CSNSTORES,DESINC,JCPENNEY01,KOHLDSN,MACY02,OLLIIX,OVERSCONSIGN,OVERSTOCK01,Zulily</t>
  </si>
  <si>
    <t>HH12-1691</t>
  </si>
  <si>
    <t>3 Piece Cotton Yarn Dyed Duvet Cover Set</t>
  </si>
  <si>
    <t>HH12-1692</t>
  </si>
  <si>
    <t>AMAZON,AMAZONDS,BBBDROP,BEALLSDS,BLK01,CSNSTORES,JCPENNEY01,KOHLDSN,MACY02,NEBFUR01,OLLIIX,OVERSCONSIGN,OVERSTOCK01,ROOMECOM</t>
  </si>
  <si>
    <t>HH12-1687</t>
  </si>
  <si>
    <t>5 Piece Cotton Duvet Cover Set</t>
  </si>
  <si>
    <t>HH12-1688</t>
  </si>
  <si>
    <t>AMERSIGNDS,BBBDROP,BLK01,CSNSTORES,JCPENNEY01,KOHLDSN,MACY02,NEBFUR01,OLLIIX,OVERSTOCK01,ROOMECOM</t>
  </si>
  <si>
    <t>4/13/2023</t>
  </si>
  <si>
    <t>HH12-1622</t>
  </si>
  <si>
    <t>Cotton Printed 5 Piece Duvet Cover Set</t>
  </si>
  <si>
    <t>AMAZON,AMAZONDS,BBBDROP,CSNSTORES,HOUZZ,JCPENNEY01,KOHLDSN,MACY02,OLLIIX,OVERSTOCK01,ROOMECOM</t>
  </si>
  <si>
    <t>HH12-1623</t>
  </si>
  <si>
    <t>AMAZON,AMAZONDS,BBBDROP,BLK01,CSNSTORES,DESINC,JCPENNEY01,KOHLDSN,MACY02,NRTPORT,OLLIIX,OVERSCONSIGN,OVERSTOCK01,ROOMECOM</t>
  </si>
  <si>
    <t>HH12-275</t>
  </si>
  <si>
    <t>2 Piece Duvet Cover Set</t>
  </si>
  <si>
    <t>AMAZONDS,BEALLSDS,CASTLEGATE,CSNSTORES,KOHLDSN,MACY02,NRTPORT,OLLIIX,OVERSTOCK01</t>
  </si>
  <si>
    <t>HH12-099</t>
  </si>
  <si>
    <t>3 Piece Duvet Cover Set</t>
  </si>
  <si>
    <t>AMAZON,BEALLSDS,BLK01,CSNSTORES,DESINC,HSNDS,KOHLDSN,MACY02,NRTPORT,OLLIIX,OVERSCONSIGN,OVERSTOCK01</t>
  </si>
  <si>
    <t>HH12-100</t>
  </si>
  <si>
    <t>AMAZON,AMAZONDS,BEALLSDS,CSNSTORES,DESINC,KOHLDSN,MACY02,OLLIIX,OVERSCONSIGN,OVERSTOCK01,Zulily</t>
  </si>
  <si>
    <t>HH12-248</t>
  </si>
  <si>
    <t>AMAZON,AMAZONDS,BBBDROP,CSNSTORES,KOHLDSN,MACY02,OLLIIX,OVERSTOCK01</t>
  </si>
  <si>
    <t>HH12-249</t>
  </si>
  <si>
    <t>AMAZON,BBBDROP,BLK01,CSNSTORES,DESINC,KOHLDSN,MACY02,OLLIIX,OVERSCONSIGN,OVERSTOCK01</t>
  </si>
  <si>
    <t>HH12-1542</t>
  </si>
  <si>
    <t>AMAZONDS,BEALLSDS,BLK01,CSNSTORES,KOHLDSN,MACY02,OLLIIX,OVERSCONSIGN,OVERSTOCK01</t>
  </si>
  <si>
    <t>HH12-1543</t>
  </si>
  <si>
    <t>AMAZON,AMAZONDS,BEALLSDS,BLK01,CSNSTORES,HOUZZ,KOHLDSN,MACY02,OLLIIX,OVERSTOCK01</t>
  </si>
  <si>
    <t>HH12-1545</t>
  </si>
  <si>
    <t>5 Piece Duvet Set</t>
  </si>
  <si>
    <t>BEALLSDS,BLK01,CSNSTORES,DESINC,HOUZZ,JCPENNEY01,KOHLDSN,MACY02,OLLIIX,OVERSTOCK01</t>
  </si>
  <si>
    <t>HH12-1546</t>
  </si>
  <si>
    <t>BEALLSDS,BLK01,CSNSTORES,DESINC,JCPENNEY01,KOHLDSN,MACY02,OLLIIX,OVERSTOCK01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</si>
  <si>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</si>
  <si>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</si>
  <si>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</si>
  <si>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</si>
  <si>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</si>
  <si>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</si>
  <si>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</si>
  <si>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BLK01,CSNSTORES,KOHLDSN,MACY02,OVERSTOCK01</t>
  </si>
  <si>
    <t>HH12-1804</t>
  </si>
  <si>
    <t>AMAZONDS,BEALLSDS,BLK01,CSNSTORES,JCPENNEY01,KOHLDSN,MACY02,OLLIIX,OVERSCONSIGN,OVERSTOCK01</t>
  </si>
  <si>
    <t>HH12-1226</t>
  </si>
  <si>
    <t>AMAZON,AMAZONDS,AMERSIGNDS,BEALLSDS,BLK01,CSNSTORES,JCPENNEY01,KOHLDSN,MACY02,OLLIIX,OVERSTOCK01</t>
  </si>
  <si>
    <t>HH12-1227</t>
  </si>
  <si>
    <t>AMAZON,AMAZONDS,AMERSIGNDS,BEALLSDS,BLK01,CSNSTORES,JCPENNEY01,KOHLDSN,MACY02,OLLIIX,OVERSTOCK01,ROOMECOM</t>
  </si>
  <si>
    <t>HH12-1868</t>
  </si>
  <si>
    <t>5 Piece Cotton Jaquard Duvet Set</t>
  </si>
  <si>
    <t>AMAZON,OLLIIX</t>
  </si>
  <si>
    <t>HH12-1869</t>
  </si>
  <si>
    <t>CSNSTORES,OLLIIX</t>
  </si>
  <si>
    <t>HH12-1828</t>
  </si>
  <si>
    <t>HH12-1829</t>
  </si>
  <si>
    <t>AMAZON,CSNSTORES,DESINC,JCPENNEY01,KOHLDSN,MACY02,OLLIIX,OVERSTOCK01</t>
  </si>
  <si>
    <t>HH12-1841</t>
  </si>
  <si>
    <t>5 Piece Cotton Duvet Cover Set with Throw Pillows</t>
  </si>
  <si>
    <t>HH12-1842</t>
  </si>
  <si>
    <t>AMAZON,AMAZONDS,CSNSTORES,HOUZZ,JCPENNEY01,KOHLDSN,MACY02,NRTPORT,OLLIIX,OVERSTOCK01</t>
  </si>
  <si>
    <t>HH12-1347</t>
  </si>
  <si>
    <t>AMAZON,AMAZONDS,ASHFURNDS,BBBDROP,BLK01,CSNSTORES,KOHLDSN,MACY02,NRTPORT,OLLIIX,OVERSTOCK01</t>
  </si>
  <si>
    <t>HH12-1348</t>
  </si>
  <si>
    <t>AMAZON,AMAZONDS,ASHFURNDS,BBBDROP,BLK01,CSNSTORES,DESINC,KOHLDSN,MACY02,NRTPORT,OLLIIX,OVERSTOCK01</t>
  </si>
  <si>
    <t>HH12-1648</t>
  </si>
  <si>
    <t>Cotton Duvet Mini Set</t>
  </si>
  <si>
    <t>AMAZON,AMAZONDS,ASHFURNDS,BEALLSDS,BLK01,CSNSTORES,DESINC,HOUZZ,KOHLDSN,MACY02,OLLIIX,OVERSTOCK01</t>
  </si>
  <si>
    <t>HH12-1649</t>
  </si>
  <si>
    <t xml:space="preserve">Cotton Duvet  Mini Set</t>
  </si>
  <si>
    <t>AMAZON,AMAZONDS,BBBDROP,BLK01,CSNSTORES,KOHLDSN,MACY02,NRTPORT,OLLIIX,OVERSCONSIGN,OVERSTOCK01</t>
  </si>
  <si>
    <t>HH13-1547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</si>
  <si>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</si>
  <si>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</si>
  <si>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</si>
  <si>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2/24/2023</t>
  </si>
  <si>
    <t>HH13-1548</t>
  </si>
  <si>
    <t>AMAZON,AMAZONDS,BBBDROP,BLK01,CASTLEGATE,CSNSTORES,HOUZZ,JCPENNEY01,KOHLDSN,MACY02,OLLIIX,OVERSCONSIGN,OVERSTOCK01,ROOMECOM,Zulily</t>
  </si>
  <si>
    <t>1/30/2023</t>
  </si>
  <si>
    <t>HH13-1835</t>
  </si>
  <si>
    <t>PP001816;PF005828</t>
  </si>
  <si>
    <t>11/2/2022</t>
  </si>
  <si>
    <t>AMAZONDS,CSNSTORES,JCPENNEY01,KOHLDSN,MACY02,OLLIIX,OVERSCONSIGN,OVERSTOCK01</t>
  </si>
  <si>
    <t>HH13-1836</t>
  </si>
  <si>
    <t>AMAZONDS,CSNSTORES,HDDS,JCPENNEY01,KOHLDSN,MACY02,OLLIIX,OVERSTOCK01</t>
  </si>
  <si>
    <t>HH30-106</t>
  </si>
  <si>
    <t>Oblong Pillow</t>
  </si>
  <si>
    <t>BLK01,CSNSTORES,DESINC,HOUZZ,MACY02,OLLIIX,OVERSCONSIGN,OVERSTOCK01,ROOMECOM</t>
  </si>
  <si>
    <t>HH30-272</t>
  </si>
  <si>
    <t>Decorative Pillow</t>
  </si>
  <si>
    <t>ASHFURNDS,BLK01,CSNSTORES,KOHLDSN,MACY02,NRTPORT,OLLIIX,OVERSTOCK01,ROOMECOM</t>
  </si>
  <si>
    <t>HH30-1229A</t>
  </si>
  <si>
    <t>Square Pillow</t>
  </si>
  <si>
    <t>16x16"</t>
  </si>
  <si>
    <t>AMAZON,AMAZONDS,BBBDROP,BLK01,CSNSTORES,JCPENNEY01,KOHLDSN,MACY02,NRTPORT,OLLIIX,OVERSCONSIGN,OVERSTOCK01,ROOMECOM</t>
  </si>
  <si>
    <t>HH30-1230A</t>
  </si>
  <si>
    <t>AMAZON,AMAZONDS,BBBDROP,BLK01,CSNSTORES,DESINC,JCPENNEY01,KOHLDSN,MACY02,NRTPORT,OLLIIX,OVERSCONSIGN,OVERSTOCK01</t>
  </si>
  <si>
    <t>HH30-1694</t>
  </si>
  <si>
    <t>Embroidered Cotton Oblong Decorative Pillow</t>
  </si>
  <si>
    <t>PP000875</t>
  </si>
  <si>
    <t>AMAZON,AMAZONDS,BBBDROP,BEALLSDS,BLK01,CSNSTORES,DESINC,HOUZZ,HSNDS,JCPENNEY01,KOHLDSN,MACY02,NRTPORT,OLLIIX,OVERSCONSIGN,OVERSTOCK01,ROOMECOM,Zulily</t>
  </si>
  <si>
    <t>7/27/2023</t>
  </si>
  <si>
    <t>HH30-1693</t>
  </si>
  <si>
    <t>Embroidered Cotton Square Decorative Pillow</t>
  </si>
  <si>
    <t>AMAZON,AMAZONDS,BBBDROP,BEALLSDS,BLK01,CSNSTORES,JCPENNEY01,KOHLDSN,MACY02,NRTPORT,OLLIIX,OVERSTOCK01,ROOMECOM</t>
  </si>
  <si>
    <t>HH30-255</t>
  </si>
  <si>
    <t>AMAZON,AMAZONDS,BBBDROP,BEALLSDS,BLK01,CSNSTORES,DESINC,KOHLDSN,MACY02,OLLIIX,OVERSCONSIGN,OVERSTOCK01</t>
  </si>
  <si>
    <t>HH30-497</t>
  </si>
  <si>
    <t>AMAZON,AMAZONDS,BLK01,CSNSTORES,KOHLDSN,MACY02,OLLIIX,OVERSCONSIGN,OVERSTOCK01</t>
  </si>
  <si>
    <t>HH30-402A</t>
  </si>
  <si>
    <t>12x16"</t>
  </si>
  <si>
    <t>AMAZON,AMAZONDS,BBBDROP,BEALLSDS,BLK01,CSNSTORES,KOHLDSN,MACY02,OLLIIX,OVERSTOCK01</t>
  </si>
  <si>
    <t>HH30-401A</t>
  </si>
  <si>
    <t>8/24/2024</t>
  </si>
  <si>
    <t>AMAZON,AMAZONDS,BBBDROP,BLK01,CSNSTORES,DESINC,KOHLDSN,MACY02,OLLIIX,OVERSCONSIGN,OVERSTOCK01</t>
  </si>
  <si>
    <t>HH30-709A</t>
  </si>
  <si>
    <t>Quilted Bolster Pillow</t>
  </si>
  <si>
    <t>D7x18"</t>
  </si>
  <si>
    <t>AMAZON,AMAZONDS,BBBDROP,BLK01,CSNSTORES,HOUZZ,JCPENNEY01,KOHLDSN,MACY02,OLLIIX,OVERSCONSIGN,OVERSTOCK01</t>
  </si>
  <si>
    <t>HH30-708A</t>
  </si>
  <si>
    <t>AMAZON,AMAZONDS,BBBDROP,BLK01,CSNSTORES,HOUZZ,JCPENNEY01,KOHLDSN,MACY02,NRTPORT,OLLIIX,OVERSCONSIGN,OVERSTOCK01</t>
  </si>
  <si>
    <t>HH30-706A</t>
  </si>
  <si>
    <t>Pieced Square Pillow</t>
  </si>
  <si>
    <t>HH30-1650</t>
  </si>
  <si>
    <t>10/5/2017</t>
  </si>
  <si>
    <t>AMAZON,AMAZONDS,ASHFURNDS,BBBDROP,BLK01,CASTLEGATE,CSNSTORES,JCPENNEY01,KOHLDSN,MACY02,OLLIIX,OVERSCONSIGN,OVERSTOCK01</t>
  </si>
  <si>
    <t>HH30-1651</t>
  </si>
  <si>
    <t>10/12/2017</t>
  </si>
  <si>
    <t>AMAZON,AMAZONDS,ASHFURNDS,BBBDROP,BEALLSDS,BLK01,CSNSTORES,DESINC,JCPENNEY01,KOHLDSN,MACY02,OLLIIX,OVERSTOCK01</t>
  </si>
  <si>
    <t>HH11-496</t>
  </si>
  <si>
    <t>Cotton European Sham</t>
  </si>
  <si>
    <t>AMAZON,AMAZONDS,BBBDROP,BEALLSDS,CSNSTORES,DESINC,KOHLDSN,MACY02,NRTPORT,OLLIIX,OVERSTOCK01</t>
  </si>
  <si>
    <t>HH11-399</t>
  </si>
  <si>
    <t>AMAZON,AMAZONDS,BEALLSDS,BLK01,CSNSTORES,DESINC,HOUZZ,KOHLDSN,MACY02,OLLIIX,OVERSTOCK01</t>
  </si>
  <si>
    <t>HH11-705</t>
  </si>
  <si>
    <t>AMAZON,AMAZONDS,BBBDROP,BLK01,CSNSTORES,HOUZZ,JCPENNEY01,KOHLDSN,MACY02,OLLIIX,OVERSCONSIGN,OVERSTOCK01,Zulily</t>
  </si>
  <si>
    <t>HH11-1228A</t>
  </si>
  <si>
    <t>AMAZON,AMAZONDS,BBBDROP,CSNSTORES,DESINC,JCPENNEY01,KOHLDSN,MACY02,OLLIIX,OVERSCONSIGN,OVERSTOCK01</t>
  </si>
  <si>
    <t>WR14-2021</t>
  </si>
  <si>
    <t>Woolrich</t>
  </si>
  <si>
    <t>Quilt</t>
  </si>
  <si>
    <t>Buffalo Check</t>
  </si>
  <si>
    <t>Oversized Quilt Mini Set</t>
  </si>
  <si>
    <t>PF003309</t>
  </si>
  <si>
    <t>8/12/2017</t>
  </si>
  <si>
    <t>BBBDROP,BLK01,CASTLEGATE,CSNSTORES,FINGERHUTDS,HDDS,JCPENNEY01,KOHLDSN,MACY02,OLLIIX,OVERSCONSIGN,OVERSTOCK01,ROOMECOM,TGTDVS</t>
  </si>
  <si>
    <t>4/6/2022</t>
  </si>
  <si>
    <t>WR14-2022</t>
  </si>
  <si>
    <t>AMAZON,AMAZONDS,BBBDROP,BLK01,CSNSTORES,DESINC,FINGERHUTDS,HDDS,JCPENNEY01,KOHLDSN,MACY02,OLLIIX,OVERSCONSIGN,OVERSTOCK01,ROOMECOM,TGTDVS,Zulily</t>
  </si>
  <si>
    <t>10/26/2021</t>
  </si>
  <si>
    <t>WR14-2020</t>
  </si>
  <si>
    <t>AMAZON,AMAZONDS,BLK01,CSNSTORES,FINGERHUTDS,HDDS,JCPENNEY01,KOHLDSN,MACY02,OLLIIX,OVERSTOCK01,ROOMECOM,TGTDVS,Zulily</t>
  </si>
  <si>
    <t>1/10/2023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</si>
  <si>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</si>
  <si>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</si>
  <si>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</si>
  <si>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</si>
  <si>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</si>
  <si>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</si>
  <si>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</si>
  <si>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</si>
  <si>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PF003308</t>
  </si>
  <si>
    <t>AAFESDS,AMAZON,AMAZONDS,BLK01,CSNSTORES,HDDS,JCPENNEY01,KOHLDSN,MACY02,OLLIIX,OVERSTOCK01,TGTDVS</t>
  </si>
  <si>
    <t>WR14-1725</t>
  </si>
  <si>
    <t>AAFESDS,AMAZON,AMAZONDS,BLK01,CSNSTORES,HDDS,JCPENNEY01,KOHLDSN,MACY02,OLLIIX,OVERSTOCK01,TGTDVS,Zulily</t>
  </si>
  <si>
    <t>WR13-3919</t>
  </si>
  <si>
    <t>Mill Creek</t>
  </si>
  <si>
    <t>Oversized Cotton Quilt Set</t>
  </si>
  <si>
    <t>PP000534;PF004793</t>
  </si>
  <si>
    <t>7/18/2023</t>
  </si>
  <si>
    <t>AMAZON,AMAZONDS,CSNSTORES,HDDS,JCPENNEY01,KOHLDSN,MACY02,OLLIIX,OVERSCONSIGN,OVERSTOCK01,TGTDVS</t>
  </si>
  <si>
    <t>WR13-2815</t>
  </si>
  <si>
    <t>8/30/2019</t>
  </si>
  <si>
    <t>WR13-2816</t>
  </si>
  <si>
    <t>AMAZON,AMAZONDS,ASHFURNDS,BBBDROP,BLK01,CASTLEGATE,CSNSTORES,FINGERHUTDS,HSNDS,JCPENNEY01,KOHLDSN,MACY02,OLLIIX,OVERSCONSIGN,OVERSTOCK01,TGTDVS,Zulily</t>
  </si>
  <si>
    <t>WR13-2947</t>
  </si>
  <si>
    <t>Montana</t>
  </si>
  <si>
    <t>Printed Cotton Oversized Quilt Mini Set</t>
  </si>
  <si>
    <t>PP001497;PF005105</t>
  </si>
  <si>
    <t>6/26/2020</t>
  </si>
  <si>
    <t>AAFESDS,AMAZON,AMAZONDS,BBBDROP,BLK01,CASTLEGATE,CSNSTORES,JCPENNEY01,KOHLDSN,MACY02,OLLIIX,OVERSTOCK01,TGTDVS,WALMARTDS,Zulily</t>
  </si>
  <si>
    <t>WR13-2948</t>
  </si>
  <si>
    <t>AAFESDS,AMAZON,AMAZONDS,ASHFURNDS,BBBDROP,BLK01,CASTLEGATE,CSNSTORES,HDDS,JCPENNEY01,KOHLDSN,MACY02,OLLIIX,OVERSCONSIGN,OVERSTOCK01,TGTDVS,WALMARTDS,Zulily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</si>
  <si>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</si>
  <si>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</si>
  <si>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</si>
  <si>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</si>
  <si>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</si>
  <si>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</si>
  <si>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</si>
  <si>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</si>
  <si>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AMAZON,AMAZONDS,BLK01,CSNSTORES,JCPENNEY01,KOHLDSN,MACY02,OLLIIX,OVERSTOCK01,TGTDVS,Zulily</t>
  </si>
  <si>
    <t>WR13-3905</t>
  </si>
  <si>
    <t>WR14-2202</t>
  </si>
  <si>
    <t>Riverview</t>
  </si>
  <si>
    <t>Reversible Oversized Cotton Quilt Mini Set</t>
  </si>
  <si>
    <t>WR13-3042</t>
  </si>
  <si>
    <t>Spruce Hill</t>
  </si>
  <si>
    <t>PP001508;PF005120</t>
  </si>
  <si>
    <t>8/18/2020</t>
  </si>
  <si>
    <t>WR13-3043</t>
  </si>
  <si>
    <t>AAFESDS,AMAZON,AMAZONDS,BBBDROP,BLK01,CSNSTORES,DESINC,JCPENNEY01,KOHLDSN,MACY02,OLLIIX,OVERSTOCK01,TGTDVS,Zulily</t>
  </si>
  <si>
    <t>WR14-1730</t>
  </si>
  <si>
    <t>Sunset</t>
  </si>
  <si>
    <t>PF003308;PP000534</t>
  </si>
  <si>
    <t>AMAZON,AMAZONDS,AMERSIGNDS,BBBDROP,BLK01,CSNSTORES,FINGERHUTDS,HDDS,HSNDS,JCPENNEY01,KOHLDSN,MACY02,NEBFUR01,OLLIIX,OVERSTOCK01,TGTDVS,Zulily</t>
  </si>
  <si>
    <t>WR14-1731</t>
  </si>
  <si>
    <t>AAFESDS,AMAZON,AMAZONDS,AMERSIGNDS,BBBDROP,BLK01,CSNSTORES,FINGERHUTDS,HDDS,HSNDS,JCPENNEY01,KOHLDSN,MACY02,OLLIIX,OVERSTOCK01,TGTDVS,Zulily</t>
  </si>
  <si>
    <t>WR14-1785</t>
  </si>
  <si>
    <t>Quilt Mini Set</t>
  </si>
  <si>
    <t>AMAZON,AMAZONDS,BLK01,CSNSTORES,HDDS,JCPENNEY01,KOHLDSN,MACY02,OLLIIX,OVERSTOCK01,TGTDVS,Zulily</t>
  </si>
  <si>
    <t>WR14-1786</t>
  </si>
  <si>
    <t>AMAZON,AMAZONDS,BBBDROP,BLK01,CASTLEGATE,CSNSTORES,HDDS,JCPENNEY01,KOHLDSN,MACY02,OLLIIX,OVERSCONSIGN,OVERSTOCK01,TGTDVS,Zulily</t>
  </si>
  <si>
    <t>WR14-1787</t>
  </si>
  <si>
    <t>AMAZON,AMAZONDS,BBBDROP,BLK01,CSNSTORES,HDDS,JCPENNEY01,KOHLDSN,MACY02,OLLIIX,OVERSTOCK01,TGTDVS,Zulily</t>
  </si>
  <si>
    <t>WR14-1788</t>
  </si>
  <si>
    <t>AMAZON,AMAZONDS,BLK01,CSNSTORES,HDDS,JCPENNEY01,KOHLDSN,MACY02,OLLIIX,OVERSCONSIGN,OVERSTOCK01,TGTDVS,Zulily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</si>
  <si>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</si>
  <si>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</si>
  <si>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</si>
  <si>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</si>
  <si>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</si>
  <si>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</si>
  <si>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AMAZON,AMAZONDS,ASHFURNDS,BBBDROP,BLK01,CSNSTORES,DESINC,FINGERHUTDS,JCPENNEY01,KOHLDSN,MACY02,OLLIIX,OVERSCONSIGN,OVERSTOCK01,TGTDVS,Zulily</t>
  </si>
  <si>
    <t>WR13-2524</t>
  </si>
  <si>
    <t>AMAZON,AMAZONDS,ASHFURNDS,BBBDROP,BLK01,CSNSTORES,FINGERHUTDS,HDDS,JCPENNEY01,KOHLDSN,MACY02,OLLIIX,OVERSTOCK01,TGTDVS,Zulily</t>
  </si>
  <si>
    <t>WR14-2233</t>
  </si>
  <si>
    <t>Twin Falls</t>
  </si>
  <si>
    <t>Oversized 4 Piece Quilt Set</t>
  </si>
  <si>
    <t>Brown/Blue</t>
  </si>
  <si>
    <t>AMAZON,AMAZONDS,ASHFURNDS,BBBDROP,BLK01,CSNSTORES,HDDS,JCPENNEY01,KOHLDSN,MACY02,OLLIIX,OVERSTOCK01,TGTDVS,Zulily</t>
  </si>
  <si>
    <t>WR14-2234</t>
  </si>
  <si>
    <t>AAFESDS,AMAZON,AMAZONDS,BBBDROP,BLK01,CSNSTORES,FINGERHUTDS,HDDS,JCPENNEY01,KOHLDSN,LOWESDS,MACY02,OLLIIX,OVERSTOCK01,TGTDVS,Zulily</t>
  </si>
  <si>
    <t>WR13-3918</t>
  </si>
  <si>
    <t>Winter Hills</t>
  </si>
  <si>
    <t>WR14-1728</t>
  </si>
  <si>
    <t>AMAZON,AMAZONDS,BBBDROP,BLK01,CSNSTORES,DESINC,FINGERHUTDS,HDDS,JCPENNEY01,KOHLDSN,LOWESDS,MACY02,OLLIIX,OVERSCONSIGN,OVERSTOCK01,TGTDVS,Zulily</t>
  </si>
  <si>
    <t>WR14-1729</t>
  </si>
  <si>
    <t>AAFESDS,AMAZON,AMAZONDS,BBBDROP,BLK01,CSNSTORES,FINGERHUTDS,HDDS,JCPENNEY01,KOHLDSN,MACY02,OLLIIX,OVERSCONSIGN,OVERSTOCK01,TGTDVS,Zulily</t>
  </si>
  <si>
    <t>WR14-1726</t>
  </si>
  <si>
    <t>Winter Plains</t>
  </si>
  <si>
    <t>AMAZON,AMAZONDS,BBBDROP,BLK01,CSNSTORES,FINGERHUTDS,HDDS,JCPENNEY01,KOHLDSN,MACY02,NEBFUR01,OLLIIX,OVERSCONSIGN,OVERSTOCK01,ROOMECOM,TGTDVS,Zulily</t>
  </si>
  <si>
    <t>8/4/2021</t>
  </si>
  <si>
    <t>WR14-1727</t>
  </si>
  <si>
    <t>AMAZON,AMAZONDS,BEALLSDS,BLK01,CSNSTORES,FINGERHUTDS,HDDS,JCPENNEY01,KOHLDSN,MACY02,NEBFUR01,OLLIIX,OVERSCONSIGN,OVERSTOCK01,ROOMECOM,TGTDVS,Zulily</t>
  </si>
  <si>
    <t>WR14-1783</t>
  </si>
  <si>
    <t>Woolrich Check</t>
  </si>
  <si>
    <t>Gingham</t>
  </si>
  <si>
    <t>AMERSIGNDS,BBBDROP,BLK01,CSNSTORES,FINGERHUTDS,HDDS,JCPENNEY01,KOHLDSN,MACY02,OLLIIX,OVERSTOCK01,TGTDVS,Zulily</t>
  </si>
  <si>
    <t>WR14-1784</t>
  </si>
  <si>
    <t>AAFESDS,AMERSIGNDS,BBBDROP,BLK01,CSNSTORES,FINGERHUTDS,HDDS,JCPENNEY01,KOHLDSN,MACY02,OLLIIX,OVERSCONSIGN,OVERSTOCK01,TGTDVS,Zulily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</si>
  <si>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</si>
  <si>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</si>
  <si>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</si>
  <si>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</si>
  <si>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</si>
  <si>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AMAZONDS,CSNSTORES,JCPENNEY01,KOHLDSN,MACY02,OLLIIX,OVERSTOCK01,TGTDVS,Zulily</t>
  </si>
  <si>
    <t>WR13-3589</t>
  </si>
  <si>
    <t>AMAZONDS,BLK01,CSNSTORES,DESINC,JCPENNEY01,KOHLDSN,MACY02,OLLIIX,OVERSTOCK01,TGTDVS,Zulily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</si>
  <si>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</si>
  <si>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</si>
  <si>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</si>
  <si>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</si>
  <si>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</si>
  <si>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</si>
  <si>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WR13-3884</t>
  </si>
  <si>
    <t>WR13-2121</t>
  </si>
  <si>
    <t>5 Piece Day Bed Cover Set</t>
  </si>
  <si>
    <t>9/7/2017</t>
  </si>
  <si>
    <t>WR13-2122</t>
  </si>
  <si>
    <t>WR10-2191</t>
  </si>
  <si>
    <t>Oversized Denim Comforter Set</t>
  </si>
  <si>
    <t>PF003316</t>
  </si>
  <si>
    <t>Lodge/Cabin|Modern/Contemporary</t>
  </si>
  <si>
    <t>10/3/2017</t>
  </si>
  <si>
    <t>AMAZON,AMAZONDS,BBBDROP,BEALLSDS,BLK01,CSNSTORES,FINGERHUTDS,HDDS,JCPENNEY01,KOHLDSN,MACY02,OLLIIX,OVERSCONSIGN,OVERSTOCK01,TGTDVS</t>
  </si>
  <si>
    <t>WR10-2192</t>
  </si>
  <si>
    <t>AMAZON,AMAZONDS,BBBDROP,BEALLSDS,BLK01,CSNSTORES,HDDS,HOUZZ,JCPENNEY01,KOHLDSN,MACY02,OLLIIX,OVERSCONSIGN,OVERSTOCK01,TGTDVS</t>
  </si>
  <si>
    <t>WR10-2193</t>
  </si>
  <si>
    <t>AMAZON,AMAZONDS,BBBDROP,BEALLSDS,BLK01,CSNSTORES,FINGERHUTDS,HDDS,JCPENNEY01,KOHLDSN,MACY02,NEBFUR01,OLLIIX,OVERSCONSIGN,OVERSTOCK01,ROOMECOM,TGTDVS,Zulily</t>
  </si>
  <si>
    <t>11/7/2023</t>
  </si>
  <si>
    <t>WR10-2194</t>
  </si>
  <si>
    <t>AMAZON,AMAZONDS,BBBDROP,BEALLSDS,BLK01,CSNSTORES,FINGERHUTDS,HDDS,JCPENNEY01,KOHLDSN,LOWESDS,MACY02,NEBFUR01,OLLIIX,OVERSCONSIGN,OVERSTOCK01,ROOMECOM,TGTDVS,Zulily</t>
  </si>
  <si>
    <t>4/2/2024</t>
  </si>
  <si>
    <t>WR10-2178</t>
  </si>
  <si>
    <t>Bitter Creek</t>
  </si>
  <si>
    <t>Oversized Comforter Set</t>
  </si>
  <si>
    <t>Grey/Brown</t>
  </si>
  <si>
    <t>PF003315</t>
  </si>
  <si>
    <t>AMAZON,AMAZONDS,BBBDROP,BEALLSDS,BLK01,CSNSTORES,FINGERHUTDS,HDDS,JCPENNEY01,KOHLDSN,MACY02,NEBFUR01,OLLIIX,OVERSTOCK01,TGTDVS</t>
  </si>
  <si>
    <t>WR10-2179</t>
  </si>
  <si>
    <t>9/30/2017</t>
  </si>
  <si>
    <t>AAFESDS,AMAZON,AMAZONDS,ASHFURNDS,BBBDROP,BEALLSDS,BLK01,CSNSTORES,FINGERHUTDS,HDDS,JCPENNEY01,KOHLDSN,MACY02,NEBFUR01,OLLIIX,OVERSTOCK01,TGTDVS,Zulily</t>
  </si>
  <si>
    <t>WR10-2180</t>
  </si>
  <si>
    <t>AAFESDS,AMAZON,AMAZONDS,ASHFURNDS,BBBDROP,BEALLSDS,BLK01,CSNSTORES,FINGERHUTDS,HDDS,JCPENNEY01,KOHLDSN,MACY02,NEBFUR01,OLLIIX,OVERSTOCK01,TGTDVS</t>
  </si>
  <si>
    <t>WR10-2181</t>
  </si>
  <si>
    <t>AMAZON,AMAZONDS,BBBDROP,BEALLSDS,BLK01,CSNSTORES,DESINC,FINGERHUTDS,HDDS,JCPENNEY01,KOHLDSN,MACY02,NEBFUR01,OLLIIX,OVERSTOCK01,TGTDVS</t>
  </si>
  <si>
    <t>WR10-079</t>
  </si>
  <si>
    <t>Hadley Plaid</t>
  </si>
  <si>
    <t>Oversized Cozy Spun Comforter Set</t>
  </si>
  <si>
    <t>PF003305</t>
  </si>
  <si>
    <t>AMAZON,AMAZONDS,ASHFURNDS,BLK01,CSNSTORES,FINGERHUTDS,HDDS,JCPENNEY01,KOHLDSN,MACY02,OLLIIX,OVERSTOCK01,Zulily</t>
  </si>
  <si>
    <t>WR10-080</t>
  </si>
  <si>
    <t>AAFESDS,AMAZON,AMAZONDS,BBBDROP,BLK01,CSNSTORES,FINGERHUTDS,HDDS,JCPENNEY01,KOHLDSN,MACY02,OLLIIX,OVERSCONSIGN,OVERSTOCK01,Zulily</t>
  </si>
  <si>
    <t>WR10-081</t>
  </si>
  <si>
    <t>AMAZON,AMAZONDS,BBBDROP,BLK01,CSNSTORES,FINGERHUTDS,HDDS,HOUZZ,JCPENNEY01,KOHLDSN,MACY02,OLLIIX,OVERSCONSIGN,OVERSTOCK01,Zulily</t>
  </si>
  <si>
    <t>WR10-3974</t>
  </si>
  <si>
    <t>Breckenridge</t>
  </si>
  <si>
    <t>Chenille Oversized Comforter Set</t>
  </si>
  <si>
    <t>PF006169</t>
  </si>
  <si>
    <t>2/28/2024</t>
  </si>
  <si>
    <t>CSNSTORES,KOHLDSN</t>
  </si>
  <si>
    <t>WR10-3975</t>
  </si>
  <si>
    <t>2/27/2024</t>
  </si>
  <si>
    <t>CSNSTORES,KOHLDSN,NRTPORT,OLLIIX,OVERSTOCK01</t>
  </si>
  <si>
    <t>WR10-3976</t>
  </si>
  <si>
    <t>CSNSTORES,JCPENNEY01,KOHLDSN,NRTPORT,OLLIIX,OVERSTOCK01,TGTDVS</t>
  </si>
  <si>
    <t>WR11-082</t>
  </si>
  <si>
    <t>Euro sham</t>
  </si>
  <si>
    <t>AMAZON,AMAZONDS,BBBDROP,BLK01,CSNSTORES,HDDS,KOHLDSN,MACY02,OLLIIX,OVERSCONSIGN,OVERSTOCK01,TGTDVS</t>
  </si>
  <si>
    <t>WR30-2189</t>
  </si>
  <si>
    <t>Bear</t>
  </si>
  <si>
    <t>Square Berber Pillow</t>
  </si>
  <si>
    <t>Animal</t>
  </si>
  <si>
    <t>10/4/2017</t>
  </si>
  <si>
    <t>ASHFURNDS,BBBDROP,BLK01,CSNSTORES,DESINC,HDDS,KOHLDSN,MACY02,OLLIIX,OVERSTOCK01,TGTDVS</t>
  </si>
  <si>
    <t>WR30-425</t>
  </si>
  <si>
    <t>Pieced Oblong Pillow</t>
  </si>
  <si>
    <t>AMAZON,AMAZONDS,ASHFURNDS,BBBDROP,BLK01,CSNSTORES,DESINC,HDDS,KOHLDSN,MACY02,OLLIIX,OVERSCONSIGN,OVERSTOCK01</t>
  </si>
  <si>
    <t>WR50-1783</t>
  </si>
  <si>
    <t>Quilted Throw</t>
  </si>
  <si>
    <t>WR50-1785</t>
  </si>
  <si>
    <t>AMAZON,AMAZONDS,ASHFURNDS,BLK01,CSNSTORES,KOHLDSN,MACY02,OLLIIX,OVERSCONSIGN,OVERSTOCK01,TGTDVS</t>
  </si>
  <si>
    <t>WR50-1781</t>
  </si>
  <si>
    <t>AMAZON,AMAZONDS,BEALLSDS,BLK01,CSNSTORES,DESINC,JCPENNEY01,KOHLDSN,MACY02,NRTPORT,OLLIIX,OVERSTOCK01</t>
  </si>
  <si>
    <t>WR50-1782</t>
  </si>
  <si>
    <t>AMAZON,AMAZONDS,BLK01,CSNSTORES,HDDS,JCPENNEY01,KOHLDSN,MACY02,OLLIIX,OVERSTOCK01,TGTDVS,WALMARTDS</t>
  </si>
  <si>
    <t>WR50-1786</t>
  </si>
  <si>
    <t>AMAZON,AMAZONDS,BEALLSDS,BLK01,CSNSTORES,KOHLDSN,MACY02,NEBFUR01,OLLIIX,OVERSCONSIGN,OVERSTOCK01,TGTDVS,Zulily</t>
  </si>
  <si>
    <t>WR50-1784</t>
  </si>
  <si>
    <t>AMAZON,AMAZONDS,BBBDROP,BLK01,CSNSTORES,KOHLDSN,MACY02,OLLIIX,OVERSCONSIGN,OVERSTOCK01,TGTDVS</t>
  </si>
  <si>
    <t>WR50-1780</t>
  </si>
  <si>
    <t>AMAZON,AMAZONDS,BBBDROP,BLK01,CSNSTORES,JCPENNEY01,KOHLDSN,MACY02,OLLIIX,OVERSTOCK01,WALMARTDS,Zulily</t>
  </si>
  <si>
    <t>MPP13-049</t>
  </si>
  <si>
    <t>Madison Park Pure</t>
  </si>
  <si>
    <t>Ronan</t>
  </si>
  <si>
    <t>Dermot</t>
  </si>
  <si>
    <t>Dierdre</t>
  </si>
  <si>
    <t>4 Piece Cotton Quilt Set with Throw Pillow</t>
  </si>
  <si>
    <t>PF001381;PP000494</t>
  </si>
  <si>
    <t>AMAZON,AMAZONDS,BBBDROP,BEALLSDS,BLK01,CASTLEGATE,CSNSTORES,FINGERHUTDS,HOUZZ,JCPENNEY01,KOHLDSN,MACY02,OLLIIX,OVERSCONSIGN,OVERSTOCK01,TGTDVS,WALMARTDS,Zulily</t>
  </si>
  <si>
    <t>MPP13-050</t>
  </si>
  <si>
    <t>4 Piece Cotton Quilt Set with Trhow Pillow</t>
  </si>
  <si>
    <t>MPP13-055</t>
  </si>
  <si>
    <t>Alexa</t>
  </si>
  <si>
    <t>Karina</t>
  </si>
  <si>
    <t>4 Piece Coverlet Set</t>
  </si>
  <si>
    <t>PF001384;PP000369</t>
  </si>
  <si>
    <t>MPP13-054</t>
  </si>
  <si>
    <t>Andrea</t>
  </si>
  <si>
    <t>Gianna</t>
  </si>
  <si>
    <t>PF001383;PP000369</t>
  </si>
  <si>
    <t>MPP10-001</t>
  </si>
  <si>
    <t>BR10-3844</t>
  </si>
  <si>
    <t>Beautyrest</t>
  </si>
  <si>
    <t>Apollo</t>
  </si>
  <si>
    <t>3 Piece Striped Seersucker Oversized Comforter Set</t>
  </si>
  <si>
    <t>PP001825;PF005863</t>
  </si>
  <si>
    <t>AMAZON,AMAZONDS,CSNSTORES,JCPENNEY01,KIRKLANDDS,KOHLDSN,MACY02,OLLIIX,OVERSTOCK01,TGTDVS,ZOLA</t>
  </si>
  <si>
    <t>BR10-3840</t>
  </si>
  <si>
    <t>PP001825;PF005862</t>
  </si>
  <si>
    <t>AAFESDS,AMAZON,AMAZONDS,CASTLEGATE,CSNSTORES,JCPENNEY01,KIRKLANDDS,KOHLDSN,MACY02,NEBFUR01,OLLIIX,OVERSTOCK01,TGTDVS,ZOLA,Zulily</t>
  </si>
  <si>
    <t>BR10-3841</t>
  </si>
  <si>
    <t>AMAZON,AMAZONDS,ASHFURNDS,CASTLEGATE,CSNSTORES,JCPENNEY01,KIRKLANDDS,KOHLDSN,MACY02,NEBFUR01,OLLIIX,OVERSTOCK01,TGTDVS,ZOLA,Zulily</t>
  </si>
  <si>
    <t>BR10-3856</t>
  </si>
  <si>
    <t>Kent</t>
  </si>
  <si>
    <t>3 Piece Striped Herringbone Oversized Comforter Set</t>
  </si>
  <si>
    <t>PP001827;PF005866</t>
  </si>
  <si>
    <t>BBBDROP,CSNSTORES,JCPENNEY01,KOHLDSN,MACY02,OLLIIX,OVERSTOCK01,TGTDVS,ZOLA</t>
  </si>
  <si>
    <t>BR10-3860</t>
  </si>
  <si>
    <t>PP001827;PF005867</t>
  </si>
  <si>
    <t>BBBDROP,CSNSTORES,JCPENNEY01,KOHLDSN,MACY02,OLLIIX,OVERSTOCK01,TGTDVS,ZOLA,Zulily</t>
  </si>
  <si>
    <t>BR10-3864</t>
  </si>
  <si>
    <t>3 Piece Striated Cationic Dyed Oversized Comforter Set with Pleats</t>
  </si>
  <si>
    <t>PP001828;PF005869</t>
  </si>
  <si>
    <t>ASHFURNDS,BBBDROP,CSNSTORES,DESINC,JCPENNEY01,KOHLDSN,MACY02,OLLIIX,OVERSTOCK01,TGTDVS,ZOLA</t>
  </si>
  <si>
    <t>BR10-3865</t>
  </si>
  <si>
    <t>AAFESDS,ASHFURNDS,BBBDROP,CSNSTORES,DESINC,JCPENNEY01,KOHLDSN,MACY02,OLLIIX,OVERSTOCK01,TGTDVS,ZOLA</t>
  </si>
  <si>
    <t>BR10-3868</t>
  </si>
  <si>
    <t>3 Piece Striated Cationic Dyed Oversized Comforter Set With Pleats</t>
  </si>
  <si>
    <t>PP001828;PF005870</t>
  </si>
  <si>
    <t>AAFESDS,BBBDROP,CSNSTORES,JCPENNEY01,KOHLDSN,MACY02,OLLIIX,OVERSTOCK01,TGTDVS,ZOLA</t>
  </si>
  <si>
    <t>BR10-3869</t>
  </si>
  <si>
    <t>AAFESDS,BBBDROP,CSNSTORES,DESINC,JCPENNEY01,KOHLDSN,MACY02,OLLIIX,OVERSTOCK01,TGTDVS,ZOLA</t>
  </si>
  <si>
    <t>BR10-3848</t>
  </si>
  <si>
    <t>Miro</t>
  </si>
  <si>
    <t>3 Piece Gauze Oversized Comforter Set</t>
  </si>
  <si>
    <t>PP001826;PF005864</t>
  </si>
  <si>
    <t>12/14/2022</t>
  </si>
  <si>
    <t>CSNSTORES,JCPENNEY01,KOHLDSN,MACY02,OLLIIX,OVERSTOCK01,TGTDVS,ZOLA</t>
  </si>
  <si>
    <t>BR10-3849</t>
  </si>
  <si>
    <t>CSNSTORES,JCPENNEY01,KOHLDSN,MACY02,NEBFUR01,OLLIIX,OVERSTOCK01,TGTDVS,ZOLA,Zulily</t>
  </si>
  <si>
    <t>BR10-3852</t>
  </si>
  <si>
    <t>PP001826;PF005865</t>
  </si>
  <si>
    <t>CSNSTORES,DESINC,JCPENNEY01,KOHLDSN,MACY02,OLLIIX,OVERSTOCK01,TGTDVS,ZOLA</t>
  </si>
  <si>
    <t>BR10-3853</t>
  </si>
  <si>
    <t>BR13-3872</t>
  </si>
  <si>
    <t>Guthrie</t>
  </si>
  <si>
    <t>3 Piece Striated Cationic Dyed Oversized Quilt Set</t>
  </si>
  <si>
    <t>PP001829;PF005871</t>
  </si>
  <si>
    <t>BR13-3873</t>
  </si>
  <si>
    <t>BBBDROP,CASTLEGATE,CSNSTORES,JCPENNEY01,KOHLDSN,MACY02,NEBFUR01,OLLIIX,OVERSTOCK01,TGTDVS,ZOLA,Zulily</t>
  </si>
  <si>
    <t>BR13-3874</t>
  </si>
  <si>
    <t>PP001829;PF005872</t>
  </si>
  <si>
    <t>CSNSTORES,JCPENNEY01,KOHLDSN,MACY02,OLLIIX,OVERSTOCK01,TGTDVS,Zulily</t>
  </si>
  <si>
    <t>BR13-3875</t>
  </si>
  <si>
    <t>BBBDROP,CSNSTORES,DESINC,JCPENNEY01,KOHLDSN,MACY02,NEBFUR01,OLLIIX,OVERSTOCK01,TGTDVS,ZOLA</t>
  </si>
  <si>
    <t>BR12-3846</t>
  </si>
  <si>
    <t>3 Piece Striped Seersucker Oversized Duvet Cover Set</t>
  </si>
  <si>
    <t>BR12-3842</t>
  </si>
  <si>
    <t>BR12-3843</t>
  </si>
  <si>
    <t>CSNSTORES,JCPENNEY01,KOHLDSN,MACY02,NEBFUR01,OLLIIX,OVERSTOCK01,TGTDVS,ZOLA</t>
  </si>
  <si>
    <t>BR12-3858</t>
  </si>
  <si>
    <t>3 Piece Striped Herringbone Oversized Duvet Cover Set</t>
  </si>
  <si>
    <t>BBBDROP,CSNSTORES,HOUZZ,JCPENNEY01,KOHLDSN,MACY02,OLLIIX,OVERSTOCK01,TGTDVS,Zulily</t>
  </si>
  <si>
    <t>BR12-3859</t>
  </si>
  <si>
    <t>BR12-3862</t>
  </si>
  <si>
    <t>BR12-3863</t>
  </si>
  <si>
    <t>BBBDROP,CSNSTORES,JCPENNEY01,KOHLDSN,MACY02,OLLIIX,OVERSTOCK01,TGTDVS</t>
  </si>
  <si>
    <t>BR12-3866</t>
  </si>
  <si>
    <t>3 Piece Striated Cationic Dyed Oversized Duvet Cover Set with Pleats</t>
  </si>
  <si>
    <t>CSNSTORES,DESINC,JCPENNEY01,KOHLDSN,MACY02,OLLIIX,OVERSTOCK01,TGTDVS,ZOLA,Zulily</t>
  </si>
  <si>
    <t>BR12-3867</t>
  </si>
  <si>
    <t>ASHFURNDS,BBBDROP,CSNSTORES,JCPENNEY01,KOHLDSN,MACY02,OLLIIX,OVERSTOCK01,TGTDVS,ZOLA,Zulily</t>
  </si>
  <si>
    <t>BR12-3870</t>
  </si>
  <si>
    <t>BBBDROP,CASTLEGATE,CSNSTORES,JCPENNEY01,KOHLDSN,MACY02,OLLIIX,OVERSTOCK01,TGTDVS,ZOLA,Zulily</t>
  </si>
  <si>
    <t>BR12-3871</t>
  </si>
  <si>
    <t>BR12-3850</t>
  </si>
  <si>
    <t>3 Piece Gauze Oversized Duvet Cover Set</t>
  </si>
  <si>
    <t>BR12-3851</t>
  </si>
  <si>
    <t>CSNSTORES,JCPENNEY01,KOHLDSN,MACY02,OLLIIX,OVERSTOCK01,TGTDVS,ZOLA,Zulily</t>
  </si>
  <si>
    <t>BR12-3854</t>
  </si>
  <si>
    <t>BR12-3855</t>
  </si>
  <si>
    <t>CH10-011</t>
  </si>
  <si>
    <t xml:space="preserve">Chapel Hill </t>
  </si>
  <si>
    <t>Arlo</t>
  </si>
  <si>
    <t>PF006290</t>
  </si>
  <si>
    <t>CH10-012</t>
  </si>
  <si>
    <t>CH10-013</t>
  </si>
  <si>
    <t>Oversized Cotton Matelasse Comforter Set</t>
  </si>
  <si>
    <t>PF006289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</si>
  <si>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</si>
  <si>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</si>
  <si>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</si>
  <si>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</si>
  <si>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</si>
  <si>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</si>
  <si>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</si>
  <si>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</si>
  <si>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BBBDROP,BLK01,CASTLEGATE,CSNSTORES,DESINC,HOUZZ,JCPENNEY01,KIRKLANDDS,KOHLDSN,MACY02,OLLIIX,OVERSTOCK01,TGTDVS,ZOLA,Zulily</t>
  </si>
  <si>
    <t>LCN10-0106</t>
  </si>
  <si>
    <t>BBBDROP,BLK01,CSNSTORES,DESINC,JCPENNEY01,KIRKLANDDS,KOHLDSN,MACY02,OLLIIX,OVERSCONSIGN,OVERSTOCK01,TGTDVS,ZOLA,Zulily</t>
  </si>
  <si>
    <t>CSP10-1476</t>
  </si>
  <si>
    <t>Adalyn</t>
  </si>
  <si>
    <t>4 Piece Cotton and Rayon from Bamboo Blend Waffle Weave Comforter Cover Set w/removable insert</t>
  </si>
  <si>
    <t>PP001677;PF005573</t>
  </si>
  <si>
    <t>AMERSIGNDS,BBBDROP,BLK01,CSNSTORES,JCPENNEY01,KIRKLANDDS,KOHLDSN,MACY02,OLLIIX,OVERSTOCK01,TGTDVS,ZOLA,Zulily</t>
  </si>
  <si>
    <t>CSP10-1477</t>
  </si>
  <si>
    <t>BBBDROP,BLK01,CSNSTORES,JCPENNEY01,KIRKLANDDS,KOHLDSN,MACY02,OLLIIX,OVERSTOCK01,TGTDVS,ZOLA,Zulily</t>
  </si>
  <si>
    <t>LCN12-0107</t>
  </si>
  <si>
    <t>3 Piece Organic Cotton Oversized Duvet Cover Set</t>
  </si>
  <si>
    <t>Farmhouse|Modern/Contemporary</t>
  </si>
  <si>
    <t>AMERSIGNDS,BBBDROP,BLK01,CASTLEGATE,CSNSTORES,JCPENNEY01,KIRKLANDDS,KOHLDSN,MACY02,OLLIIX,OVERSTOCK01,TGTDVS,ZOLA,Zulily</t>
  </si>
  <si>
    <t>LCN12-0108</t>
  </si>
  <si>
    <t>BBBDROP,BLK01,CSNSTORES,DESINC,JCPENNEY01,KIRKLANDDS,KOHLDSN,MACY02,OLLIIX,OVERSTOCK01,TGTDVS,ZOLA,Zulily</t>
  </si>
  <si>
    <t>CSP12-1478</t>
  </si>
  <si>
    <t>3 Piece Cotton and Rayon from Bamboo Blend Waffle Weave Duvet Cover Set</t>
  </si>
  <si>
    <t>BBBDROP,BLK01,CSNSTORES,JCPENNEY01,KIRKLANDDS,KOHLDSN,MACY02,OLLIIX,OVERSTOCK01,TGTDVS,ZOLA</t>
  </si>
  <si>
    <t>CSP12-1479</t>
  </si>
  <si>
    <t>EO12-2054</t>
  </si>
  <si>
    <t>Echo Design</t>
  </si>
  <si>
    <t>Montauk</t>
  </si>
  <si>
    <t>EO30-2146A</t>
  </si>
  <si>
    <t>Shibori</t>
  </si>
  <si>
    <t>Embroidery Square Pillow</t>
  </si>
  <si>
    <t>PF002542</t>
  </si>
  <si>
    <t>EO30-2147A</t>
  </si>
  <si>
    <t>Embroidery Oblong Pillow</t>
  </si>
  <si>
    <t>10x20"</t>
  </si>
  <si>
    <t>Pink</t>
  </si>
  <si>
    <t>PF002543</t>
  </si>
  <si>
    <t>JLA10-054</t>
  </si>
  <si>
    <t>Hampton Hill</t>
  </si>
  <si>
    <t>Canovia Springs</t>
  </si>
  <si>
    <t>9 Piece Jacquard Comforter Set</t>
  </si>
  <si>
    <t>PF003270</t>
  </si>
  <si>
    <t>AMAZON,AMAZONDS,BBBDROP,BLK01,CSNSTORES,HOUZZ,JCPENNEY01,KOHLDSN,MACY02,NEBFUR01,OLLIIX,OVERSCONSIGN,OVERSTOCK01</t>
  </si>
  <si>
    <t>JLA10-055</t>
  </si>
  <si>
    <t>10 Piece Jacquard Comforter Set</t>
  </si>
  <si>
    <t>10</t>
  </si>
  <si>
    <t>AMAZON,AMAZONDS,BLK01,CSNSTORES,HOUZZ,JCPENNEY01,KOHLDSN,MACY02,OLLIIX,OVERSTOCK01</t>
  </si>
  <si>
    <t>FB13-1027</t>
  </si>
  <si>
    <t>Velvet Touch</t>
  </si>
  <si>
    <t>3 Piece Luxurious Oversized Quilt Set</t>
  </si>
  <si>
    <t>PF003280</t>
  </si>
  <si>
    <t>5/2/2017</t>
  </si>
  <si>
    <t>BBBDROP,BEALLSDS,BLK01,CSNSTORES,JCPENNEY01,KOHLDSN,MACY02,OLLIIX,OVERSCONSIGN,OVERSTOCK01</t>
  </si>
  <si>
    <t>FB13-1028</t>
  </si>
  <si>
    <t>AMERSIGNDS,BBBDROP,BEALLSDS,BLK01,CASTLEGATE,CSNSTORES,JCPENNEY01,KOHLDSN,MACY02,OLLIIX,OVERSTOCK01</t>
  </si>
  <si>
    <t>JLA13-499</t>
  </si>
  <si>
    <t>Peacock</t>
  </si>
  <si>
    <t>PF003273</t>
  </si>
  <si>
    <t>AMERSIGNDS,BBBDROP,BLK01,CSNSTORES,JCPENNEY01,KOHLDSN,MACY02,OLLIIX,OVERSTOCK01,Zulily</t>
  </si>
  <si>
    <t>JLA13-500</t>
  </si>
  <si>
    <t>AMERSIGNDS,BBBDROP,BEALLSDS,BLK01,CASTLEGATE,CSNSTORES,HOUZZ,JCPENNEY01,KOHLDSN,MACY02,OLLIIX,OVERSTOCK01,Zulily</t>
  </si>
  <si>
    <t>FB13-1148</t>
  </si>
  <si>
    <t>PF003287</t>
  </si>
  <si>
    <t>BBBDROP,BLK01,CSNSTORES,JCPENNEY01,KOHLDSN,MACY02,NRTPORT,OLLIIX,OVERSTOCK01</t>
  </si>
  <si>
    <t>FB13-1149</t>
  </si>
  <si>
    <t>BBBDROP,BLK01,CASTLEGATE,CSNSTORES,JCPENNEY01,KOHLDSN,MACY02,OLLIIX,OVERSTOCK01</t>
  </si>
  <si>
    <t>FB41-1131</t>
  </si>
  <si>
    <t>VALANCE</t>
  </si>
  <si>
    <t>Valance</t>
  </si>
  <si>
    <t>Window Valance</t>
  </si>
  <si>
    <t>54x18"</t>
  </si>
  <si>
    <t>4/11/2017</t>
  </si>
  <si>
    <t>FB40-1129</t>
  </si>
  <si>
    <t>WINDOW PANEL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</si>
  <si>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</si>
  <si>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</si>
  <si>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</si>
  <si>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</si>
  <si>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</si>
  <si>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</si>
  <si>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BLK01,CSNSTORES,KOHLDSN,MACY02,OLLIIX,OVERSTOCK01</t>
  </si>
  <si>
    <t>SP10-001</t>
  </si>
  <si>
    <t xml:space="preserve">Intelligent Design </t>
  </si>
  <si>
    <t>Barb</t>
  </si>
  <si>
    <t>D</t>
  </si>
  <si>
    <t>NS11-3662</t>
  </si>
  <si>
    <t>N Natori</t>
  </si>
  <si>
    <t>Bed Skirt&amp;Sham</t>
  </si>
  <si>
    <t>Cocoon</t>
  </si>
  <si>
    <t>Quilt Top Euro Sham</t>
  </si>
  <si>
    <t>PP001696;PF005608</t>
  </si>
  <si>
    <t>11/2/2021</t>
  </si>
  <si>
    <t>AMAZONDS,CSNSTORES,JCPENNEY01,KOHLDSN,MACY02,OLLIIX,OVERSTOCK01</t>
  </si>
  <si>
    <t>Restricted</t>
  </si>
  <si>
    <t>NS11-3657</t>
  </si>
  <si>
    <t>PP001696;PF005609</t>
  </si>
  <si>
    <t>AMAZONDS,CSNSTORES,JCPENNEY01,KOHLDSN,MACY02,NRTPORT,OLLIIX,OVERSTOCK01</t>
  </si>
  <si>
    <t>NS11-1824A</t>
  </si>
  <si>
    <t>Cherry Blossom</t>
  </si>
  <si>
    <t>PF002589</t>
  </si>
  <si>
    <t>AMAZON,AMAZONDS,BBBDROP,CSNSTORES,HSNDS,JCPENNEY01,KOHLDSN,MACY02,OLLIIX,OVERSTOCK01</t>
  </si>
  <si>
    <t>NS11-3253</t>
  </si>
  <si>
    <t>Hanae</t>
  </si>
  <si>
    <t>Cotton Blend Yarn Dyed Euro Sham</t>
  </si>
  <si>
    <t>26x26"</t>
  </si>
  <si>
    <t>PP000991;PF004456</t>
  </si>
  <si>
    <t>9/30/2018</t>
  </si>
  <si>
    <t>AMAZON,BLK01,CSNSTORES,HSNDS,JCPENNEY01,KOHLDSN,MACY02,OLLIIX,OVERSTOCK01</t>
  </si>
  <si>
    <t>NS11-3247</t>
  </si>
  <si>
    <t>PP000991;PF004455;PP000992</t>
  </si>
  <si>
    <t>AMAZON,AMAZONDS,ASHFURNDS,BBBDROP,BLK01,CSNSTORES,HSNDS,JCPENNEY01,KOHLDSN,MACY02,OLLIIX,OVERSTOCK01</t>
  </si>
  <si>
    <t>NS10-3705</t>
  </si>
  <si>
    <t>Brush Stroke</t>
  </si>
  <si>
    <t>4 Piece Oversized Reversible Seersucker Comforter Set</t>
  </si>
  <si>
    <t>PF005695;PP001754</t>
  </si>
  <si>
    <t>5/11/2022</t>
  </si>
  <si>
    <t>8/10/2024</t>
  </si>
  <si>
    <t>NS10-3706</t>
  </si>
  <si>
    <t>AMAZONDS,CSNSTORES,JCPENNEY01,KOHLDSN,MACY02,NRTPORT,OLLIIX,OVERSCONSIGN,OVERSTOCK01,TGTDVS</t>
  </si>
  <si>
    <t>NS10-1848</t>
  </si>
  <si>
    <t>PF002588</t>
  </si>
  <si>
    <t>BBBDROP,CSNSTORES,JCPENNEY01,KOHLDSN,MACY02,OLLIIX,OVERSTOCK01</t>
  </si>
  <si>
    <t>NS10-1849</t>
  </si>
  <si>
    <t>NS10-3249</t>
  </si>
  <si>
    <t>Cotton Blend Yarn Dyed 3 Piece Comforter Set</t>
  </si>
  <si>
    <t>AMERSIGNDS,BLK01,CASTLEGATE,CSNSTORES,DESINC,HSNDS,JCPENNEY01,KOHLDSN,MACY02,OLLIIX,OVERSTOCK01</t>
  </si>
  <si>
    <t>NS10-3250</t>
  </si>
  <si>
    <t>ASHFURNDS,BBBDROP,BLK01,CSNSTORES,HSNDS,JCPENNEY01,KOHLDSN,MACY02,OLLIIX,OVERSTOCK01</t>
  </si>
  <si>
    <t>NS10-3243</t>
  </si>
  <si>
    <t>PP000991;PF004455</t>
  </si>
  <si>
    <t>AMERSIGNDS,BLK01,CSNSTORES,HSNDS,JCPENNEY01,KOHLDSN,MACY02,NEBFUR01,OLLIIX,OVERSTOCK01</t>
  </si>
  <si>
    <t>NS10-3244</t>
  </si>
  <si>
    <t>AMERSIGNDS,ASHFURNDS,BBBDROP,BLK01,CSNSTORES,HSNDS,JCPENNEY01,KOHLDSN,MACY02,OLLIIX,OVERSTOCK01,Zulily</t>
  </si>
  <si>
    <t>NS10-3255</t>
  </si>
  <si>
    <t>Sakura Blossom</t>
  </si>
  <si>
    <t>3 Piece Cotton Sateen Printed Comforter Set</t>
  </si>
  <si>
    <t>PP000992;PF004457</t>
  </si>
  <si>
    <t>9/28/2018</t>
  </si>
  <si>
    <t>AMAZON,AMAZONDS,ASHFURNDS,BLK01,CSNSTORES,HSNDS,JCPENNEY01,KOHLDSN,MACY02,OLLIIX,OVERSTOCK01</t>
  </si>
  <si>
    <t>NS10-3256</t>
  </si>
  <si>
    <t>AMAZON,AMAZONDS,BEALLSDS,BLK01,CSNSTORES,HOUZZ,HSNDS,JCPENNEY01,KOHLDSN,MACY02,OLLIIX,OVERSTOCK01,Zulily</t>
  </si>
  <si>
    <t>NS10-3653</t>
  </si>
  <si>
    <t>3 Piece Quilt Top Comforter Mini Set</t>
  </si>
  <si>
    <t>AMAZON,AMAZONDS,AMERSIGNDS,BBBDROP,CASTLEGATE,CSNSTORES,JCPENNEY01,KOHLDSN,MACY02,OLLIIX,OVERSTOCK01</t>
  </si>
  <si>
    <t>NS10-3654</t>
  </si>
  <si>
    <t>AMAZON,AMERSIGNDS,ASHFURNDS,BBBDROP,CSNSTORES,JCPENNEY01,KOHLDSN,MACY02,OLLIIX,OVERSTOCK01</t>
  </si>
  <si>
    <t>NS10-3725</t>
  </si>
  <si>
    <t>Origami</t>
  </si>
  <si>
    <t>3 Piece Oversized Knit Quilted Top Comforter Mini Set</t>
  </si>
  <si>
    <t>PP001768;PF005709</t>
  </si>
  <si>
    <t>9/14/2022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</si>
  <si>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</si>
  <si>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</si>
  <si>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</si>
  <si>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</si>
  <si>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</si>
  <si>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AMAZON,BBBDROP,CSNSTORES,JCPENNEY01,KOHLDSN,MACY02,OLLIIX,OVERSTOCK01</t>
  </si>
  <si>
    <t>NS12-3655</t>
  </si>
  <si>
    <t>NS12-3656</t>
  </si>
  <si>
    <t>AMAZON,AMAZONDS,BBBDROP,CASTLEGATE,CSNSTORES,JCPENNEY01,KOHLDSN,MACY02,OLLIIX,OVERSTOCK01</t>
  </si>
  <si>
    <t>NS12-2005</t>
  </si>
  <si>
    <t>AMAZON,AMAZONDS,BBBDROP,CSNSTORES,KOHLDSN,MACY02,OLLIIX,OVERSTOCK01,Zulily</t>
  </si>
  <si>
    <t>NS12-2006</t>
  </si>
  <si>
    <t>NS12-3251</t>
  </si>
  <si>
    <t>Cotton Blend Yarn Dyed 3 Piece Duvet Cover Set</t>
  </si>
  <si>
    <t>BLK01,CSNSTORES,HSNDS,JCPENNEY01,KOHLDSN,MACY02,OLLIIX,OVERSTOCK01</t>
  </si>
  <si>
    <t>NS12-3252</t>
  </si>
  <si>
    <t>BLK01,CSNSTORES,DESINC,HSNDS,JCPENNEY01,KOHLDSN,MACY02,OLLIIX,OVERSTOCK01,Zulily</t>
  </si>
  <si>
    <t>NS12-3245</t>
  </si>
  <si>
    <t>NS12-3246</t>
  </si>
  <si>
    <t>BBBDROP,CSNSTORES,DESINC,JCPENNEY01,KOHLDSN,MACY02,OLLIIX,OVERSTOCK01</t>
  </si>
  <si>
    <t>NS12-3257</t>
  </si>
  <si>
    <t>3 Piece Cotton Sateen Printed Duvet Cover Set</t>
  </si>
  <si>
    <t>AMAZON,AMAZONDS,BBBDROP,BLK01,CSNSTORES,JCPENNEY01,KOHLDSN,MACY02,OLLIIX,OVERSCONSIGN,OVERSTOCK01,Zulily</t>
  </si>
  <si>
    <t>NS12-3258</t>
  </si>
  <si>
    <t>AMAZON,AMAZONDS,BLK01,CSNSTORES,JCPENNEY01,KOHLDSN,MACY02,NEBFUR01,OLLIIX,OVERSCONSIGN,OVERSTOCK01</t>
  </si>
  <si>
    <t>NS30-3729</t>
  </si>
  <si>
    <t>Normal Pillow</t>
  </si>
  <si>
    <t>Knit Quilted Top Decorative Square Pillow 18x18"</t>
  </si>
  <si>
    <t>JCPENNEY01,KOHLDSN,MACY02,OVERSTOCK01,TGTDVS</t>
  </si>
  <si>
    <t>NS30-1827A</t>
  </si>
  <si>
    <t>12x22"</t>
  </si>
  <si>
    <t>PF002592</t>
  </si>
  <si>
    <t>AMAZON,AMAZONDS,BBBDROP,BLK01,CSNSTORES,KOHLDSN,MACY02,OLLIIX,OVERSTOCK01</t>
  </si>
  <si>
    <t>NS30-1825A</t>
  </si>
  <si>
    <t>PF002590</t>
  </si>
  <si>
    <t>AMAZON,AMAZONDS,BLK01,CSNSTORES,KOHLDSN,MACY02,OVERSTOCK01</t>
  </si>
  <si>
    <t>NS30-1826A</t>
  </si>
  <si>
    <t>PF002591</t>
  </si>
  <si>
    <t>NS30-3254</t>
  </si>
  <si>
    <t>PP000991</t>
  </si>
  <si>
    <t>AMAZONDS,BLK01,CSNSTORES,HSNDS,JCPENNEY01,KOHLDSN,MACY02,OLLIIX,OVERSTOCK01</t>
  </si>
  <si>
    <t>NS30-3248</t>
  </si>
  <si>
    <t>AMAZON,AMAZONDS,BBBDROP,BLK01,CSNSTORES,JCPENNEY01,KOHLDSN,MACY02,NRTPORT,OLLIIX,OVERSCONSIGN,OVERSTOCK01</t>
  </si>
  <si>
    <t>NS30-3259</t>
  </si>
  <si>
    <t>PP000992;PF004458</t>
  </si>
  <si>
    <t>AMAZON,AMAZONDS,BBBDROP,BLK01,CSNSTORES,HSNDS,JCPENNEY01,KOHLDSN,MACY02,NRTPORT,OLLIIX,OVERSTOCK01,Zulily</t>
  </si>
  <si>
    <t>MP95C-0269</t>
  </si>
  <si>
    <t>ART</t>
  </si>
  <si>
    <t>CANVAS</t>
  </si>
  <si>
    <t>Canvas</t>
  </si>
  <si>
    <t>Luminous</t>
  </si>
  <si>
    <t>Heavily Embellished 3-piece Canvas Wall Art Set</t>
  </si>
  <si>
    <t>See below</t>
  </si>
  <si>
    <t>4/23/2021</t>
  </si>
  <si>
    <t>AMAZON,AMAZONDS,AMERSIGNDS,BEALLSDS,CSNSTORES,JCPENNEY01,KIRKLANDDS,KOHLDSN,MACY02,NEBFUR01,OLLIIX,OVERSTOCK01,ROOMECOM,TGTDVS,Zulily</t>
  </si>
  <si>
    <t>MP95C-0155</t>
  </si>
  <si>
    <t>PF004270</t>
  </si>
  <si>
    <t>3/18/2018</t>
  </si>
  <si>
    <t>AMAZON,AMAZONDS,AMERSIGNDS,BBBDROP,BEALLSDS,BLK01,CSNSTORES,HOUZZ,KIRKLANDDS,KOHLDSN,LAMPDS,NEBFUR01,OLLIIX,OVERSTOCK01,ROOMECOM,TGTDVS</t>
  </si>
  <si>
    <t>11/25/2021</t>
  </si>
  <si>
    <t>MP95C-0158</t>
  </si>
  <si>
    <t>PP000926</t>
  </si>
  <si>
    <t>5/24/2018</t>
  </si>
  <si>
    <t>AMAZON,AMAZONDS,AMERSIGNDS,BBBDROP,CSNSTORES,HOUZZ,KIRKLANDDS,KOHLDSN,LAMPDS,MACY02,NRTPORT,OLLIIX,OVERSTOCK01</t>
  </si>
  <si>
    <t>MP95C-0172</t>
  </si>
  <si>
    <t>Twilight Mystere</t>
  </si>
  <si>
    <t>Hand Embellished 3-Piece Canvas Wall Art Set</t>
  </si>
  <si>
    <t>PP001035;PF004516</t>
  </si>
  <si>
    <t>AMAZON,AMAZONDS,AMERSIGNDS,BBBDROP,CSNSTORES,DESINC,KOHLDSN,LAMPDS,MACY02,NEBFUR01,OLLIIX,OVERSCONSIGN,OVERSTOCK01,ROOMECOM,TGTDVS,Zulily</t>
  </si>
  <si>
    <t>MP95C-0173</t>
  </si>
  <si>
    <t>Glimmer</t>
  </si>
  <si>
    <t>Heavily Embellished 2-piece Canvas Wall Art Set</t>
  </si>
  <si>
    <t>2-Piece</t>
  </si>
  <si>
    <t>PP001036;PF004517</t>
  </si>
  <si>
    <t>Hotel|Modern/Contemporary</t>
  </si>
  <si>
    <t>AMAZON,AMAZONDS,AMERSIGNDS,BBBDROP,BEALLSDS,BLK01,CASTLEGATE,CSNSTORES,DESINC,KIRKLANDDS,KOHLDSN,LAMPDS,MACY02,OLLIIX,OVERSTOCK01,ROOMECOM,TGTDVS,Zulily</t>
  </si>
  <si>
    <t>MP95C-0268</t>
  </si>
  <si>
    <t>PF005465</t>
  </si>
  <si>
    <t>AMAZON,AMAZONDS,AMERSIGNDS,BLK01,CASTLEGATE,CSNSTORES,DESINC,HOUZZ,JCPENNEY01,KIRKLANDDS,KOHLDSN,LAMPDS,MACY02,NEBFUR01,OLLIIX,OVERSCONSIGN,OVERSTOCK01,ROOMECOM,TGTDVS,Zulily</t>
  </si>
  <si>
    <t>9/18/2022</t>
  </si>
  <si>
    <t>MP95C-0125</t>
  </si>
  <si>
    <t>Midnight Tide Blue</t>
  </si>
  <si>
    <t>Abstract 5-piece Canvas Wall Art Set</t>
  </si>
  <si>
    <t>PP000603</t>
  </si>
  <si>
    <t>9/13/2017</t>
  </si>
  <si>
    <t>AMERSIGNDS,BBBDROP,BEALLSDS,CSNSTORES,DESINC,KIRKLANDDS,KOHLDSN,LAMPDS,MACY02,NEBFUR01,OLLIIX,OVERSTOCK01,ROOMECOM,TGTDVS,Zulily</t>
  </si>
  <si>
    <t>MP95C-0185</t>
  </si>
  <si>
    <t>Gold Medallion</t>
  </si>
  <si>
    <t>Triptych 3-piece Dimensional Resin Canvas Wall Art Set</t>
  </si>
  <si>
    <t>PP001173;PF004666</t>
  </si>
  <si>
    <t>1/28/2019</t>
  </si>
  <si>
    <t>AMERSIGNDS,ASHFURNDS,BBBDROP,CSNSTORES,HOUZZ,KIRKLANDDS,KOHLDSN,LAMPDS,MACY02,NEBFUR01,OLLIIX,OVERSCONSIGN,OVERSTOCK01,ROOMECOM,Zulily</t>
  </si>
  <si>
    <t>MP95C-0284</t>
  </si>
  <si>
    <t>Moving Midas</t>
  </si>
  <si>
    <t>Gold Foil Abstract 2-piece Framed Canvas Wall Art Set</t>
  </si>
  <si>
    <t>PP001663</t>
  </si>
  <si>
    <t>AMAZON,AMERSIGNDS,BLK01,CSNSTORES,DESINC,JCPENNEY01,KIRKLANDDS,KOHLDSN,LAMPDS,MACY02,NEBFUR01,OLLIIX,OVERSTOCK01,ROOMECOM,TGTDVS,Zulily</t>
  </si>
  <si>
    <t>10/5/2022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</si>
  <si>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</si>
  <si>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</si>
  <si>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</si>
  <si>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</si>
  <si>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</si>
  <si>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</si>
  <si>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AMAZON,AMAZONDS,AMERSIGNDS,ASHFURNDS,CSNSTORES,DESINC,KIRKLANDDS,KOHLDSN,LAMPDS,MACY02,NEBFUR01,OLLIIX,OVERSTOCK01,ROOMECOM,TGTDVS,Zulily</t>
  </si>
  <si>
    <t>11/23/2022</t>
  </si>
  <si>
    <t>MP95C-0120</t>
  </si>
  <si>
    <t>Teal Tides</t>
  </si>
  <si>
    <t>Triptych 3-piece Canvas Wall Art Set</t>
  </si>
  <si>
    <t>PF002038</t>
  </si>
  <si>
    <t>7/27/2017</t>
  </si>
  <si>
    <t>AMERSIGNDS,ASHFURNDS,BEALLSDS,BLK01,HOUZZ,KIRKLANDDS,KOHLDSN,LAMPDS,NEBFUR01,OLLIIX,OVERSTOCK01,ROOMECOM,TGTDVS,Zulily</t>
  </si>
  <si>
    <t>9/7/2022</t>
  </si>
  <si>
    <t>MP95C-0226</t>
  </si>
  <si>
    <t>Blue Midst Forest</t>
  </si>
  <si>
    <t>Gold Foil Triptych 3-piece Canvas Wall Art Set</t>
  </si>
  <si>
    <t>Blue Multi</t>
  </si>
  <si>
    <t>PP001407;PF004953</t>
  </si>
  <si>
    <t>Landscape</t>
  </si>
  <si>
    <t>AMAZON,AMAZONDS,AMERSIGNDS,BBBDROP,BLK01,CSNSTORES,DESINC,HOUZZ,JCPENNEY01,KIRKLANDDS,KOHLDSN,LAMPDS,MACY02,NEBFUR01,OLLIIX,OVERSTOCK01,ROOMECOM,TGTDVS,Zulily</t>
  </si>
  <si>
    <t>MP95C-0052</t>
  </si>
  <si>
    <t>Dewy Forest</t>
  </si>
  <si>
    <t>Gold Foil Abstract 3-piece Canvas Wall Art Set</t>
  </si>
  <si>
    <t>PF001944</t>
  </si>
  <si>
    <t>AMAZON,AMAZONDS,AMERSIGNDS,ASHFURNDS,BEALLSDS,BLK01,CASTLEGATE,CSNSTORES,DESINC,HOUZZ,KIRKLANDDS,KOHLDSN,LAMPDS,MACY02,NEBFUR01,OLLIIX,OVERSTOCK01,ROOMECOM,TGTDVS</t>
  </si>
  <si>
    <t>9/4/2022</t>
  </si>
  <si>
    <t>MP95C-0009</t>
  </si>
  <si>
    <t>PF001837</t>
  </si>
  <si>
    <t>AMAZON,AMAZONDS,AMERSIGNDS,BBBDROP,BLK01,CASTLEGATE,CSNSTORES,HOUZZ,KIRKLANDDS,KOHLDSN,LAMPDS,MACY02,OLLIIX,OVERSTOCK01,ROOMECOM,TGTDVS,Zulily</t>
  </si>
  <si>
    <t>1/25/2023</t>
  </si>
  <si>
    <t>MP95C-0216</t>
  </si>
  <si>
    <t>PP001323;PF004768</t>
  </si>
  <si>
    <t>6/10/2019</t>
  </si>
  <si>
    <t>AMAZON,AMAZONDS,BLK01,CSNSTORES,DESINC,KIRKLANDDS,KOHLDSN,LAMPDS,MACY02,OLLIIX,OVERSTOCK01,TGTDVS,Zulily</t>
  </si>
  <si>
    <t>Offered</t>
  </si>
  <si>
    <t>MP95C-0051</t>
  </si>
  <si>
    <t>PF001943</t>
  </si>
  <si>
    <t>AMAZON,AMAZONDS,AMERSIGNDS,ASHFURNDS,BLK01,CSNSTORES,HOUZZ,KIRKLANDDS,KOHLDSN,LAMPDS,OLLIIX,ROOMECOM,TGTDVS,Zulily</t>
  </si>
  <si>
    <t>MP95C-0006</t>
  </si>
  <si>
    <t>Blue Skies</t>
  </si>
  <si>
    <t>Gel Coat Canvas</t>
  </si>
  <si>
    <t>PF001820</t>
  </si>
  <si>
    <t>AMERSIGNDS,BLK01,CSNSTORES,HOUZZ,KOHLDSN,LAMPDS,MACY02,OLLIIX,OVERSTOCK01,ROOMECOM,TGTDVS,Zulily</t>
  </si>
  <si>
    <t>10/28/2022</t>
  </si>
  <si>
    <t>MP95C-0285</t>
  </si>
  <si>
    <t>Auric Beam</t>
  </si>
  <si>
    <t>Gold Foil Abstract Framed Canvas Wall Art</t>
  </si>
  <si>
    <t>PP001664</t>
  </si>
  <si>
    <t>9/1/2024</t>
  </si>
  <si>
    <t>AMAZONDS,AMERSIGNDS,CSNSTORES,DESINC,JCPENNEY01,KIRKLANDDS,KOHLDSN,LAMPDS,MACY02,NEBFUR01,OLLIIX,OVERSTOCK01,ROOMECOM,TGTDVS,Zulily</t>
  </si>
  <si>
    <t>MP95C-0171</t>
  </si>
  <si>
    <t>Sterling Mist</t>
  </si>
  <si>
    <t>100% Hand Brush Embellished Canvas 3 Piece Set</t>
  </si>
  <si>
    <t>PP001033;PF004515</t>
  </si>
  <si>
    <t>AMAZON,AMAZONDS,AMERSIGNDS,ASHFURNDS,CSNSTORES,KOHLDSN,LAMPDS,MACY02,OLLIIX,OVERSTOCK01,ROOMECOM,TGTDVS</t>
  </si>
  <si>
    <t>1/27/2023</t>
  </si>
  <si>
    <t>MP95C-0197</t>
  </si>
  <si>
    <t>Winter Glaze</t>
  </si>
  <si>
    <t>PP001172;PF004665</t>
  </si>
  <si>
    <t>2/21/2019</t>
  </si>
  <si>
    <t>AMAZON,AMAZONDS,AMERSIGNDS,BBBDROP,BLK01,CSNSTORES,DESINC,KIRKLANDDS,KOHLDSN,LAMPDS,MACY02,OLLIIX,OVERSTOCK01,ROOMECOM,TGTDVS,ZOLA</t>
  </si>
  <si>
    <t>MP95C-0112</t>
  </si>
  <si>
    <t>Midday Bloom Florals</t>
  </si>
  <si>
    <t>Embellished Canvas Wall Art</t>
  </si>
  <si>
    <t>PF002014</t>
  </si>
  <si>
    <t>6/21/2017</t>
  </si>
  <si>
    <t>AMAZON,AMAZONDS,BBBDROP,BEALLSDS,BLK01,CSNSTORES,DESINC,KIRKLANDDS,KOHLDSN,LAMPDS,MACY02,OLLIIX,OVERSTOCK01,ROOMECOM,TGTDVS,Zulily</t>
  </si>
  <si>
    <t>MP95C-0041</t>
  </si>
  <si>
    <t>Forest Reflections</t>
  </si>
  <si>
    <t>PF001911</t>
  </si>
  <si>
    <t>AMAZON,AMAZONDS,AMERSIGNDS,ASHFURNDS,BEALLSDS,BLK01,CSNSTORES,DESINC,HOUZZ,KIRKLANDDS,KOHLDSN,LAMPDS,MACY02,OLLIIX,OVERSTOCK01,ROOMECOM,TGTDVS,Zulily</t>
  </si>
  <si>
    <t>MP95C-0060</t>
  </si>
  <si>
    <t>Weathered Damask Walls</t>
  </si>
  <si>
    <t>Printed Linen 3 Piece Set</t>
  </si>
  <si>
    <t>PF001949</t>
  </si>
  <si>
    <t>ASHFURNDS,BEALLSDS,BLK01,CSNSTORES,DESINC,KOHLDSN,LAMPDS,OLLIIX,OVERSTOCK01,ROOMECOM,TGTDVS</t>
  </si>
  <si>
    <t>MP95C-0207</t>
  </si>
  <si>
    <t>Autumn Forest</t>
  </si>
  <si>
    <t>Triptych 3-piece Textured Canvas Wall Art Set</t>
  </si>
  <si>
    <t>4/17/2019</t>
  </si>
  <si>
    <t>AMAZON,AMAZONDS,AMERSIGNDS,BBBDROP,BLK01,CSNSTORES,DESINC,KIRKLANDDS,KOHLDSN,LAMPDS,MACY02,NEBFUR01,OLLIIX,OVERSTOCK01,ROOMECOM,TGTDVS,Zulily</t>
  </si>
  <si>
    <t>MP95C-0037</t>
  </si>
  <si>
    <t>Linen Botanicals</t>
  </si>
  <si>
    <t>Illustration 3-piece Canvas Wall Art Set</t>
  </si>
  <si>
    <t>PF001908</t>
  </si>
  <si>
    <t>ASHFURNDS,BIGLOTSDS,BLK01,CSNSTORES,DESINC,KIRKLANDDS,KOHLDSN,LAMPDS,MACY02,OLLIIX,OVERSCONSIGN,OVERSTOCK01,ROOMECOM,TGTDVS,Zulily</t>
  </si>
  <si>
    <t>12/3/2022</t>
  </si>
  <si>
    <t>ID95C-0059</t>
  </si>
  <si>
    <t>Beach Dogs</t>
  </si>
  <si>
    <t>Chihuahua Canvas Wall Art</t>
  </si>
  <si>
    <t>Chihuahua/Blue Multi</t>
  </si>
  <si>
    <t>10/7/2023</t>
  </si>
  <si>
    <t>AMAZON,AMAZONDS,DESINC,MACY02,OLLIIX,TGTDVS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</si>
  <si>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</si>
  <si>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</si>
  <si>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</si>
  <si>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</si>
  <si>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</si>
  <si>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</si>
  <si>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AMAZON,AMAZONDS,CSNSTORES,MACY02,OLLIIX,TGTDVS</t>
  </si>
  <si>
    <t>ID95C-0058</t>
  </si>
  <si>
    <t>Golden Retriever Canvas Wall Art</t>
  </si>
  <si>
    <t>Golden Retriever/Blue Multi</t>
  </si>
  <si>
    <t>AMAZON,AMAZONDS,CSNSTORES,DESINC,MACY02,OLLIIX,TGTDVS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</si>
  <si>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</si>
  <si>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</si>
  <si>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</si>
  <si>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</si>
  <si>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</si>
  <si>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</si>
  <si>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AMAZON,AMAZONDS,MACY02,OLLIIX,TGTDVS</t>
  </si>
  <si>
    <t>MP95C-0245</t>
  </si>
  <si>
    <t>Charcoal Leaf</t>
  </si>
  <si>
    <t>Heavy Textured Canvas with Gold Foil Embellishment</t>
  </si>
  <si>
    <t>Charcoal/Gold</t>
  </si>
  <si>
    <t>PP001415;PF004967</t>
  </si>
  <si>
    <t>10/31/2019</t>
  </si>
  <si>
    <t>AMAZON,AMERSIGNDS,BLK01,CSNSTORES,JCPENNEY01,KIRKLANDDS,OLLIIX,OVERSTOCK01,ROOMECOM,Zulily</t>
  </si>
  <si>
    <t>MP95C-0002</t>
  </si>
  <si>
    <t>Gilded Violet</t>
  </si>
  <si>
    <t>Gel Coat Printed Canvas 3 Piece Set</t>
  </si>
  <si>
    <t>PF001856</t>
  </si>
  <si>
    <t>CSNSTORES,DESINC,KIRKLANDDS,KOHLDSN,LAMPDS,MACY02,OLLIIX,OVERSCONSIGN,OVERSTOCK01,ROOMECOM,TGTDVS</t>
  </si>
  <si>
    <t>MP95C-0053</t>
  </si>
  <si>
    <t>Gleeful Bloom Yellow</t>
  </si>
  <si>
    <t>Hand Embellished Printed Canvas 3 Piece Set</t>
  </si>
  <si>
    <t>PF001945</t>
  </si>
  <si>
    <t>ASHFURNDS,BBBDROP,KOHLDSN,ROOMECOM,TGTDVS</t>
  </si>
  <si>
    <t>MP95C-0126</t>
  </si>
  <si>
    <t>Glistening Gold Marble</t>
  </si>
  <si>
    <t>Gel Coat Canvas With Gold Foil (5pcs/set)</t>
  </si>
  <si>
    <t>Blue/Sand</t>
  </si>
  <si>
    <t>PP000602</t>
  </si>
  <si>
    <t>9/12/2017</t>
  </si>
  <si>
    <t>BEALLSDS,CSNSTORES,DESINC,KIRKLANDDS,KOHLDSN,LAMPDS,MACY02,OLLIIX,OVERSTOCK01,ROOMECOM,TGTDVS</t>
  </si>
  <si>
    <t>MP95C-0330</t>
  </si>
  <si>
    <t>Grumpy Cats</t>
  </si>
  <si>
    <t>I Don't Care Canvas Wall Art</t>
  </si>
  <si>
    <t>I Don't Care/Multi</t>
  </si>
  <si>
    <t>1/6/2024</t>
  </si>
  <si>
    <t>AMAZON,AMAZONDS,OLLIIX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</si>
  <si>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</si>
  <si>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</si>
  <si>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</si>
  <si>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</si>
  <si>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</si>
  <si>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</si>
  <si>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</si>
  <si>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</si>
  <si>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</si>
  <si>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</si>
  <si>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</si>
  <si>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</si>
  <si>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AMAZON,AMAZONDS,OLLIIX,TGTDVS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</si>
  <si>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</si>
  <si>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</si>
  <si>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</si>
  <si>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</si>
  <si>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</si>
  <si>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</si>
  <si>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</si>
  <si>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</si>
  <si>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</si>
  <si>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</si>
  <si>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AMAZON,AMAZONDS,KOHLDSN,MACY02,OLLIIX</t>
  </si>
  <si>
    <t>MP95C-0336</t>
  </si>
  <si>
    <t>Jungle Lion Canvas Wall Art</t>
  </si>
  <si>
    <t>Lion Green Multi</t>
  </si>
  <si>
    <t>AMAZON,AMAZONDS,KOHLDSN,OLLIIX,TGTDVS</t>
  </si>
  <si>
    <t>MP95C-0338</t>
  </si>
  <si>
    <t>Jungle Tiger Canvas Wall Art</t>
  </si>
  <si>
    <t>Tiger Green Multi</t>
  </si>
  <si>
    <t>MP95C-0208</t>
  </si>
  <si>
    <t>Luminous Bloom</t>
  </si>
  <si>
    <t>Gold Foil and Hand Embellished Floral Canvas Wall Art</t>
  </si>
  <si>
    <t>AMAZON,AMAZONDS,AMERSIGNDS,BBBDROP,BLK01,CSNSTORES,DESINC,KIRKLANDDS,KOHLDSN,LAMPDS,MACY02,NEBFUR01,OLLIIX,OVERSTOCK01,Zulily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</si>
  <si>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</si>
  <si>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</si>
  <si>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</si>
  <si>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</si>
  <si>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</si>
  <si>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</si>
  <si>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CSNSTORES,DESINC,KIRKLANDDS,MACY02,OLLIIX,TGTDVS</t>
  </si>
  <si>
    <t>MP95C-0076</t>
  </si>
  <si>
    <t>Old White Barn</t>
  </si>
  <si>
    <t>PF001889</t>
  </si>
  <si>
    <t>Still Life</t>
  </si>
  <si>
    <t>BEALLSDS,BLK01,KOHLDSN,OLLIIX</t>
  </si>
  <si>
    <t>MP95C-0323</t>
  </si>
  <si>
    <t>Peaceful River</t>
  </si>
  <si>
    <t>Hand Embellished Framed Canvas Abstract Landscape Wall Art</t>
  </si>
  <si>
    <t>Green Multi</t>
  </si>
  <si>
    <t>9/20/2023</t>
  </si>
  <si>
    <t>CSNSTORES,DESINC,MACY02,OLLIIX,OVERSTOCK01,TGTDVS,ZOLA</t>
  </si>
  <si>
    <t>MP95C-0205</t>
  </si>
  <si>
    <t>Radiant Flatland</t>
  </si>
  <si>
    <t>Hand Embellished Glitter 2-piece Canvas Wall Art Set</t>
  </si>
  <si>
    <t>5/14/2019</t>
  </si>
  <si>
    <t>AMAZON,AMAZONDS,AMERSIGNDS,ASHFURNDS,BLK01,CSNSTORES,KIRKLANDDS,KOHLDSN,LAMPDS,MACY02,NEBFUR01,OLLIIX,OVERSTOCK01,Zulily</t>
  </si>
  <si>
    <t>MP95C-0321</t>
  </si>
  <si>
    <t>Shimmering Symphony</t>
  </si>
  <si>
    <t>Glitter and Gold Foil Abstract Triptych 3-piece Canvas Wall Art Set</t>
  </si>
  <si>
    <t>AMAZON,DESINC,KIRKLANDDS,MACY02,OLLIIX,OVERSTOCK01,TGTDVS,ZOLA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</si>
  <si>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</si>
  <si>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</si>
  <si>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</si>
  <si>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</si>
  <si>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</si>
  <si>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</si>
  <si>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</si>
  <si>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AMAZON,AMAZONDS,DESINC,MACY02,NRTPORT,OLLIIX,TGTDVS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</si>
  <si>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</si>
  <si>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</si>
  <si>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</si>
  <si>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</si>
  <si>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</si>
  <si>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</si>
  <si>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AMAZON,AMAZONDS,DESINC,MACY02,OLLIIX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</si>
  <si>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</si>
  <si>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</si>
  <si>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</si>
  <si>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</si>
  <si>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</si>
  <si>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</si>
  <si>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AMAZON,AMAZONDS,DESINC,OLLIIX,OVERSTOCK01</t>
  </si>
  <si>
    <t>MP95C-0179A</t>
  </si>
  <si>
    <t>Framed Graphics</t>
  </si>
  <si>
    <t>Blue Horizon</t>
  </si>
  <si>
    <t>5-piece Gallery Framed Canvas Wall Art Set</t>
  </si>
  <si>
    <t>PP001102;PF004596</t>
  </si>
  <si>
    <t>Global Inspired|Industrial</t>
  </si>
  <si>
    <t>12/28/2018</t>
  </si>
  <si>
    <t>AMAZON,AMAZONDS,AMERSIGNDS,ASHFURNDS,BBBDROP,BLK01,CSNSTORES,KIRKLANDDS,KOHLDSN,MACY02,OLLIIX,OVERSTOCK01,ROOMECOM,TGTDVS</t>
  </si>
  <si>
    <t>11/17/2022</t>
  </si>
  <si>
    <t>MP95C-0117</t>
  </si>
  <si>
    <t>Ethereal</t>
  </si>
  <si>
    <t>Diptych 2-piece Framed Canvas Wall Art Set</t>
  </si>
  <si>
    <t>PF002035</t>
  </si>
  <si>
    <t>8/26/2017</t>
  </si>
  <si>
    <t>AMAZON,AMAZONDS,AMERSIGNDS,BBBDROP,BEALLSDS,BLK01,CSNSTORES,DESINC,KIRKLANDDS,KOHLDSN,LAMPDS,MACY02,OLLIIX,OVERSTOCK01,ROOMECOM,TGTDVS</t>
  </si>
  <si>
    <t>10/7/2022</t>
  </si>
  <si>
    <t>MP95C-0146A</t>
  </si>
  <si>
    <t>Seascape</t>
  </si>
  <si>
    <t>4-piece Framed Canvas Wall Art Set</t>
  </si>
  <si>
    <t>PP000790</t>
  </si>
  <si>
    <t>AMAZON,AMAZONDS,AMERSIGNDS,BEALLSDS,BLK01,CSNSTORES,DESINC,HOUZZ,KIRKLANDDS,KOHLDSN,LAMPDS,MACY02,OLLIIX,OVERSTOCK01,ROOMECOM,TGTDVS</t>
  </si>
  <si>
    <t>MP95C-0101</t>
  </si>
  <si>
    <t>Grey Surrounding</t>
  </si>
  <si>
    <t>Silver Foil Abstract 3-piece Framed Canvas Wall Art Set</t>
  </si>
  <si>
    <t>PF001999</t>
  </si>
  <si>
    <t>4/21/2017</t>
  </si>
  <si>
    <t>AMERSIGNDS,BBBDROP,BEALLSDS,BLK01,CSNSTORES,KIRKLANDDS,KOHLDSN,LAMPDS,MACY02,NEBFUR01,OLLIIX,OVERSTOCK01,ROOMECOM,TGTDVS,Zulily</t>
  </si>
  <si>
    <t>MP95C-0143</t>
  </si>
  <si>
    <t>Strato</t>
  </si>
  <si>
    <t>Gold Foil and Hand Embellished Abstract Framed Canvas Wall Art</t>
  </si>
  <si>
    <t>PP000787</t>
  </si>
  <si>
    <t>AMERSIGNDS,ASHFURNDS,BBBDROP,BEALLSDS,BLK01,CSNSTORES,DESINC,KIRKLANDDS,KOHLDSN,LAMPDS,MACY02,NEBFUR01,NRTPORT,OLLIIX,OVERSTOCK01,ROOMECOM,Zulily</t>
  </si>
  <si>
    <t>MP95C-0058</t>
  </si>
  <si>
    <t>Blue Print Botanicals</t>
  </si>
  <si>
    <t>3-piece Framed Canvas Wall Art Set</t>
  </si>
  <si>
    <t>PF001948</t>
  </si>
  <si>
    <t>BBBDROP,BEALLSDS,BIGLOTSDS,BLK01,DESINC,HOUZZ,KIRKLANDDS,KOHLDSN,MACY02,OLLIIX,OVERSCONSIGN,OVERSTOCK01,ROOMECOM,TGTDVS,Zulily</t>
  </si>
  <si>
    <t>MP95C-0127</t>
  </si>
  <si>
    <t>Blue Embrace</t>
  </si>
  <si>
    <t>PP000601</t>
  </si>
  <si>
    <t>AMERSIGNDS,BBBDROP,BEALLSDS,BLK01,CSNSTORES,HOUZZ,KIRKLANDDS,KOHLDSN,LAMPDS,MACY02,NEBFUR01,OLLIIX,OVERSCONSIGN,OVERSTOCK01,ROOMECOM,TGTDVS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</si>
  <si>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</si>
  <si>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</si>
  <si>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</si>
  <si>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</si>
  <si>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</si>
  <si>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</si>
  <si>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AMAZON,AMAZONDS,AMERSIGNDS,BEALLSDS,BLK01,CSNSTORES,DESINC,HOUZZ,JCPENNEY01,KIRKLANDDS,KOHLDSN,LAMPDS,MACY02,NEBFUR01,OLLIIX,OVERSTOCK01,ROOMECOM,Zulily</t>
  </si>
  <si>
    <t>11/21/2022</t>
  </si>
  <si>
    <t>MP95C-0103A</t>
  </si>
  <si>
    <t>Blue Bliss</t>
  </si>
  <si>
    <t>Abstract 5-piece Gallery Framed Canvas Wall Art Set</t>
  </si>
  <si>
    <t>PF002001</t>
  </si>
  <si>
    <t>AMAZON,AMAZONDS,AMERSIGNDS,ASHFURNDS,BBBDROP,BEALLSDS,BLK01,CSNSTORES,DESINC,HOUZZ,KIRKLANDDS,KOHLDSN,LAMPDS,MACY02,NEBFUR01,OLLIIX,OVERSTOCK01,ZOLA,Zulily</t>
  </si>
  <si>
    <t>MP95C-0133</t>
  </si>
  <si>
    <t>Blue Lagoon 2</t>
  </si>
  <si>
    <t>Abstract 2-piece Framed Canvas Wall Art Set</t>
  </si>
  <si>
    <t>PP000609</t>
  </si>
  <si>
    <t>AMAZON,AMAZONDS,AMERSIGNDS,ASHFURNDS,BBBDROP,BEALLSDS,BLK01,CSNSTORES,DESINC,HDDS,KIRKLANDDS,KOHLDSN,LAMPDS,NRTPORT,OLLIIX,OVERSTOCK01,TGTDVS</t>
  </si>
  <si>
    <t>MP95C-0063</t>
  </si>
  <si>
    <t>Golden Harvest</t>
  </si>
  <si>
    <t>Framed Canvas 3 Piece Set</t>
  </si>
  <si>
    <t>PF001951</t>
  </si>
  <si>
    <t>CSNSTORES,KOHLDSN,MACY02,OLLIIX</t>
  </si>
  <si>
    <t>10/14/2022</t>
  </si>
  <si>
    <t>MP95C-0325</t>
  </si>
  <si>
    <t>Moody Coast</t>
  </si>
  <si>
    <t>Hand Embellished Landscape Framed Canvas Wall Art</t>
  </si>
  <si>
    <t>Blue/Pink</t>
  </si>
  <si>
    <t>10/21/2023</t>
  </si>
  <si>
    <t>DESINC,MACY02,OLLIIX,OVERSTOCK01</t>
  </si>
  <si>
    <t>MP95C-0062</t>
  </si>
  <si>
    <t>Ocean Seashells</t>
  </si>
  <si>
    <t>PF001950</t>
  </si>
  <si>
    <t>4/22/2017</t>
  </si>
  <si>
    <t>AMAZON,AMERSIGNDS,BBBDROP,BEALLSDS,BLK01,CSNSTORES,DESINC,HOUZZ,KIRKLANDDS,KOHLDSN,LAMPDS,MACY02,OLLIIX,OVERSTOCK01,TGTDVS,Zulily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</si>
  <si>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</si>
  <si>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</si>
  <si>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</si>
  <si>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</si>
  <si>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</si>
  <si>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</si>
  <si>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</si>
  <si>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</si>
  <si>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</si>
  <si>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</si>
  <si>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</si>
  <si>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</si>
  <si>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AMAZON,AMAZONDS,CSNSTORES,DESINC,NRTPORT,OLLIIX,TGTDVS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</si>
  <si>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</si>
  <si>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</si>
  <si>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</si>
  <si>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</si>
  <si>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</si>
  <si>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</si>
  <si>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AMAZON,AMAZONDS,CSNSTORES,DESINC,MACY02,OLLIIX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</si>
  <si>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</si>
  <si>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</si>
  <si>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</si>
  <si>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</si>
  <si>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</si>
  <si>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</si>
  <si>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AMAZON,AMAZONDS,CSNSTORES,DESINC,MACY02,NRTPORT,OLLIIX,OVERSTOCK01,TGTDVS</t>
  </si>
  <si>
    <t>MP95C-0297</t>
  </si>
  <si>
    <t>Wall Decor</t>
  </si>
  <si>
    <t>Embellished Floral 2-piece Canvas Wall Art Set</t>
  </si>
  <si>
    <t>PP001774</t>
  </si>
  <si>
    <t>4/12/2022</t>
  </si>
  <si>
    <t>AMAZONDS,CSNSTORES,DESINC,HOUZZ,JCPENNEY01,KIRKLANDDS,KOHLDSN,LAMPDS,MACY02,NEBFUR01,OLLIIX,OVERSTOCK01,TGTDVS,ZOLA,Zulily</t>
  </si>
  <si>
    <t>MP95C-0301</t>
  </si>
  <si>
    <t>Kalamata Branches</t>
  </si>
  <si>
    <t>Botanical Illustration 2-piece Framed Canvas Wall Art Set</t>
  </si>
  <si>
    <t>4/29/2022</t>
  </si>
  <si>
    <t>AMAZONDS,CSNSTORES,DESINC,JCPENNEY01,KIRKLANDDS,KOHLDSN,MACY02,OLLIIX,OVERSTOCK01,ZOLA</t>
  </si>
  <si>
    <t>MP95C-0300</t>
  </si>
  <si>
    <t>Natural Essence</t>
  </si>
  <si>
    <t>Hand Embellished Abstract 5-piece Gallery Canvas Wall Art Set</t>
  </si>
  <si>
    <t>PP001780</t>
  </si>
  <si>
    <t>5/30/2022</t>
  </si>
  <si>
    <t>AMAZONDS,AMERSIGNDS,BEALLSDS,BLK01,CSNSTORES,DESINC,JCPENNEY01,KIRKLANDDS,KOHLDSN,LOWESDS,MACY02,OLLIIX,OVERSTOCK01,TGTDVS,ZOLA,Zulily</t>
  </si>
  <si>
    <t>MP167-0357</t>
  </si>
  <si>
    <t>AWD</t>
  </si>
  <si>
    <t>Lenzie</t>
  </si>
  <si>
    <t>Multi-colored Lily Pad Leaves 2-piece Metal Wall Decor Set</t>
  </si>
  <si>
    <t>12/30/2019</t>
  </si>
  <si>
    <t>8/3/2024</t>
  </si>
  <si>
    <t>AMAZON,AMAZONDS,AMERSIGNDS,BBBDROP,BLK01,CSNSTORES,DESINC,HOUZZ,JCPENNEY01,KIRKLANDDS,KOHLDSN,LAMPDS,LOWESDS,MACY02,NEBFUR01,NRTPORT,OLLIIX,OVERSTOCK01,ROOMECOM,ZOLA,Zulily</t>
  </si>
  <si>
    <t>MP95B-0244</t>
  </si>
  <si>
    <t>Legion</t>
  </si>
  <si>
    <t>Multi-colored Geometric Metal Discs Wall Decor</t>
  </si>
  <si>
    <t>PP001427;PF004979</t>
  </si>
  <si>
    <t>11/4/2019</t>
  </si>
  <si>
    <t>AMAZON,AMAZONDS,AMERSIGNDS,ASHFURNDS,BLK01,CSNSTORES,DESINC,JCPENNEY01,KIRKLANDDS,KOHLDSN,LAMPDS,MACY02,OLLIIX,OVERSTOCK01,ROOMECOM,TGTDVS,Zulily</t>
  </si>
  <si>
    <t>MP167-0098</t>
  </si>
  <si>
    <t>Mandal Panel</t>
  </si>
  <si>
    <t>Two-tone Geometric 3-piece Wood Wall Decor Set</t>
  </si>
  <si>
    <t>PF003106</t>
  </si>
  <si>
    <t>8/2/2017</t>
  </si>
  <si>
    <t>AMAZON,AMAZONDS,AMERSIGNDS,ASHFURNDS,BBBDROP,CSNSTORES,DESINC,KIRKLANDDS,KOHLDSN,MACY02,NEBFUR01,OLLIIX,OVERSTOCK01,ROOMECOM,TGTDVS,ZOLA,Zulily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</si>
  <si>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</si>
  <si>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</si>
  <si>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</si>
  <si>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</si>
  <si>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</si>
  <si>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</si>
  <si>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AMAZON,AMAZONDS,ASHFURNDS,BBBDROP,BLK01,CSNSTORES,HOUZZ,KIRKLANDDS,KOHLDSN,LAMPDS,MACY02,OLLIIX,OVERSTOCK01,ROOMECOM,TGTDVS,ZOLA,Zulily</t>
  </si>
  <si>
    <t>MP95B-0277</t>
  </si>
  <si>
    <t>9/18/2021</t>
  </si>
  <si>
    <t>AMAZON,AMAZONDS,BLK01,CSNSTORES,DESINC,JCPENNEY01,KIRKLANDDS,KOHLDSN,MACY02,OLLIIX,OVERSTOCK01,TGTDVS,Zulily</t>
  </si>
  <si>
    <t>MP95B-0296</t>
  </si>
  <si>
    <t>6/2/2022</t>
  </si>
  <si>
    <t>AMAZONDS,AMERSIGNDS,CSNSTORES,JCPENNEY01,KIRKLANDDS,KOHLDSN,NEBFUR01,OLLIIX,OVERSTOCK01,TGTDVS,ZOLA,Zulily</t>
  </si>
  <si>
    <t>MP95B-0257</t>
  </si>
  <si>
    <t>Medallion Trio</t>
  </si>
  <si>
    <t>Distressed White Floral 3-piece Carved Wood Wall Decor Set</t>
  </si>
  <si>
    <t>Natural/White</t>
  </si>
  <si>
    <t>PF005258</t>
  </si>
  <si>
    <t>11/28/2020</t>
  </si>
  <si>
    <t>AMAZON,AMAZONDS,AMERSIGNDS,ASHFURNDS,BLK01,CASTLEGATE,CSNSTORES,DESINC,HDDS,JCPENNEY01,KIRKLANDDS,KOHLDSN,LAMPDS,MACY02,OLLIIX,OVERSTOCK01,ROOMECOM,TGTDVS,Zulily</t>
  </si>
  <si>
    <t>MP95B-0259</t>
  </si>
  <si>
    <t>Arwen</t>
  </si>
  <si>
    <t>Two-tone Medallion Carved Wood 4-piece Wall Decor Set</t>
  </si>
  <si>
    <t>PF005260</t>
  </si>
  <si>
    <t>AMAZON,AMAZONDS,AMERSIGNDS,ASHFURNDS,CSNSTORES,HDDS,HOUZZ,JCPENNEY01,KIRKLANDDS,KOHLDSN,MACY02,OLLIIX,OVERSTOCK01,ROOMECOM,TGTDVS,ZOLA,Zulily</t>
  </si>
  <si>
    <t>MP95B-0250</t>
  </si>
  <si>
    <t>Golden Gingko Leaves</t>
  </si>
  <si>
    <t>3-piece Metal Wall Decor Set</t>
  </si>
  <si>
    <t>PP001434;PF005000</t>
  </si>
  <si>
    <t>AMERSIGNDS,ASHFURNDS,BLK01,CSNSTORES,DESINC,HOUZZ,JCPENNEY01,KOHLDSN,LAMPDS,MACY02,OLLIIX,OVERSTOCK01,ROOMECOM,Zulily</t>
  </si>
  <si>
    <t>10/18/2022</t>
  </si>
  <si>
    <t>MP95B-0280</t>
  </si>
  <si>
    <t>Birch Palms</t>
  </si>
  <si>
    <t>Two-tone 2-piece Wood Panel Wall Decor Set</t>
  </si>
  <si>
    <t>Dark Brown</t>
  </si>
  <si>
    <t>PP001658</t>
  </si>
  <si>
    <t>AMAZON,AMAZONDS,AMERSIGNDS,BBBDROP,BLK01,CSNSTORES,DESINC,HOUZZ,JCPENNEY01,KIRKLANDDS,LAMPDS,LOWESDS,MACY02,NEBFUR01,NRTPORT,OLLIIX,OVERSTOCK01,TGTDVS,ZOLA,Zulily</t>
  </si>
  <si>
    <t>MP95B-0252</t>
  </si>
  <si>
    <t>Boho Notion</t>
  </si>
  <si>
    <t>White Medallion Wood Wall Decor</t>
  </si>
  <si>
    <t>PP001436;PF005003</t>
  </si>
  <si>
    <t>5/21/2020</t>
  </si>
  <si>
    <t>AMAZON,AMAZONDS,AMERSIGNDS,BBBDROP,BLK01,CSNSTORES,DESINC,JCPENNEY01,KOHLDSN,LAMPDS,OLLIIX,OVERSTOCK01,TGTDVS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</si>
  <si>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</si>
  <si>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</si>
  <si>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</si>
  <si>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</si>
  <si>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</si>
  <si>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</si>
  <si>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AMAZON,AMAZONDS,AMERSIGNDS,BBBDROP,BLK01,CSNSTORES,DESINC,HOUZZ,JCPENNEY01,KIRKLANDDS,KOHLDSN,LAMPDS,MACY02,NRTPORT,OLLIIX,OVERSTOCK01</t>
  </si>
  <si>
    <t>MP95B-0263</t>
  </si>
  <si>
    <t>Bronze</t>
  </si>
  <si>
    <t>AMAZONDS,AMERSIGNDS,BBBDROP,BLK01,CASTLEGATE,CSNSTORES,DESINC,HOUZZ,JCPENNEY01,KIRKLANDDS,KOHLDSN,LAMPDS,MACY02,NRTPORT,OLLIIX,OVERSTOCK01,TGTDVS</t>
  </si>
  <si>
    <t>MP95B-0230</t>
  </si>
  <si>
    <t>PP001413;PF004959</t>
  </si>
  <si>
    <t>AMAZON,AMAZONDS,AMERSIGNDS,BBBDROP,BLK01,CSNSTORES,DESINC,JCPENNEY01,KIRKLANDDS,KOHLDSN,LAMPDS,MACY02,NRTPORT,OLLIIX,OVERSTOCK01,TGTDVS,Zulily</t>
  </si>
  <si>
    <t>MP95B-0231</t>
  </si>
  <si>
    <t>Damask Wood Panel</t>
  </si>
  <si>
    <t>Two-tone Geometric Wall Decor</t>
  </si>
  <si>
    <t>Wood</t>
  </si>
  <si>
    <t>PP001412;PF004958</t>
  </si>
  <si>
    <t>AMAZON,AMAZONDS,BLK01,CSNSTORES,DESINC,HOUZZ,JCPENNEY01,KIRKLANDDS,KOHLDSN,LAMPDS,MACY02,NEBFUR01,NRTPORT,OLLIIX,OVERSTOCK01,TGTDVS</t>
  </si>
  <si>
    <t>12/8/2021</t>
  </si>
  <si>
    <t>MP95B-0241</t>
  </si>
  <si>
    <t>Ella</t>
  </si>
  <si>
    <t>Round Natural Fiber and Mirror 3-piece Wall Decor Set</t>
  </si>
  <si>
    <t>PP001424;PF004976</t>
  </si>
  <si>
    <t>AMERSIGNDS,ASHFURNDS,BLK01,CSNSTORES,HOUZZ,JCPENNEY01,KIRKLANDDS,KOHLDSN,LAMPDS,OLLIIX,OVERSTOCK01,TGTDVS,Zulily</t>
  </si>
  <si>
    <t>MP95B-0276</t>
  </si>
  <si>
    <t>Exton</t>
  </si>
  <si>
    <t>Two-tone Overlapping Geometric Wood Panel Wall Decor</t>
  </si>
  <si>
    <t>PP001636</t>
  </si>
  <si>
    <t>AMAZON,AMAZONDS,BBBDROP,CSNSTORES,JCPENNEY01,KOHLDSN,LAMPDS,MACY02,NEBFUR01,OLLIIX,OVERSCONSIGN,OVERSTOCK01,TGTDVS,Zulily</t>
  </si>
  <si>
    <t>MP95B-0291</t>
  </si>
  <si>
    <t>Florian</t>
  </si>
  <si>
    <t>Grey Laser Cut Wood 2-piece Panel Wall Decor Set</t>
  </si>
  <si>
    <t>Reclaimed Grey</t>
  </si>
  <si>
    <t>PP001717</t>
  </si>
  <si>
    <t>AMAZONDS,AMERSIGNDS,CASTLEGATE,CSNSTORES,DESINC,JCPENNEY01,KIRKLANDDS,KOHLDSN,LAMPDS,MACY02,NRTPORT,OLLIIX,OVERSTOCK01,TGTDVS,ZOLA,Zulily</t>
  </si>
  <si>
    <t>MP95B-0229</t>
  </si>
  <si>
    <t>Grey Medallion</t>
  </si>
  <si>
    <t>Carved Wood Round Wall Decor</t>
  </si>
  <si>
    <t>PP001410;PF004956</t>
  </si>
  <si>
    <t>AMAZON,AMAZONDS,AMERSIGNDS,BBBDROP,BIGLOTSDS,CSNSTORES,JCPENNEY01,KIRKLANDDS,KOHLDSN,LAMPDS,MACY02,NEBFUR01,OLLIIX,OVERSTOCK01,ROOMECOM,TGTDVS</t>
  </si>
  <si>
    <t>MP95B-0274</t>
  </si>
  <si>
    <t>Laurel Branches</t>
  </si>
  <si>
    <t>Laser Cut Tree Framed Panel Wall Decor</t>
  </si>
  <si>
    <t>PP001634</t>
  </si>
  <si>
    <t>AMAZON,AMAZONDS,AMERSIGNDS,BLK01,CSNSTORES,HOUZZ,JCPENNEY01,KIRKLANDDS,KOHLDSN,LAMPDS,MACY02,NEBFUR01,OLLIIX,OVERSTOCK01,TGTDVS,ZOLA,Zulily</t>
  </si>
  <si>
    <t>MP95B-0275</t>
  </si>
  <si>
    <t>PP001635</t>
  </si>
  <si>
    <t>AMAZONDS,AMERSIGNDS,BLK01,CSNSTORES,HOUZZ,JCPENNEY01,KIRKLANDDS,KOHLDSN,LAMPDS,MACY02,NEBFUR01,OLLIIX,OVERSCONSIGN,OVERSTOCK01,TGTDVS</t>
  </si>
  <si>
    <t>MP95B-0273</t>
  </si>
  <si>
    <t xml:space="preserve">Leah </t>
  </si>
  <si>
    <t>Round Two-tone Medallion Wall Decor</t>
  </si>
  <si>
    <t>PP001633</t>
  </si>
  <si>
    <t>AMAZON,AMAZONDS,AMERSIGNDS,BLK01,CSNSTORES,DESINC,HDDS,HOUZZ,JCPENNEY01,KIRKLANDDS,KOHLDSN,MACY02,OLLIIX,OVERSTOCK01,TGTDVS,Zulily</t>
  </si>
  <si>
    <t>MP95B-0224</t>
  </si>
  <si>
    <t>Paper Cloaked Leaves</t>
  </si>
  <si>
    <t>Metal Framed Decor Panel</t>
  </si>
  <si>
    <t>9/13/2019</t>
  </si>
  <si>
    <t>AMAZON,AMAZONDS,AMERSIGNDS,BLK01,CSNSTORES,HOUZZ,JCPENNEY01,KIRKLANDDS,KOHLDSN,LAMPDS,MACY02,OLLIIX,OVERSTOCK01,TGTDVS,Zulily</t>
  </si>
  <si>
    <t>11/27/2021</t>
  </si>
  <si>
    <t>MP95B-0217</t>
  </si>
  <si>
    <t>Awd</t>
  </si>
  <si>
    <t>Perched Birds</t>
  </si>
  <si>
    <t>Hand Painted Wood Plank Panel Wall Decor</t>
  </si>
  <si>
    <t>AMAZON,AMAZONDS,AMERSIGNDS,ASHFURNDS,BBBDROP,BIGLOTSDS,BLK01,CSNSTORES,DESINC,HOUZZ,KIRKLANDDS,KOHLDSN,LAMPDS,LOWESDS,MACY02,NEBFUR01,OLLIIX,OVERSTOCK01,ROOMECOM,TGTDVS,Zulily</t>
  </si>
  <si>
    <t>MP95C-0235</t>
  </si>
  <si>
    <t>Grey Branches</t>
  </si>
  <si>
    <t>Hand Embellished 2-piece Wood Panel Wall Decor Set</t>
  </si>
  <si>
    <t>10/9/2019</t>
  </si>
  <si>
    <t>AMERSIGNDS,BBBDROP,BLK01,CSNSTORES,JCPENNEY01,KIRKLANDDS,KOHLDSN,LAMPDS,OLLIIX,OVERSTOCK01,ROOMECOM,TGTDVS,Zulily</t>
  </si>
  <si>
    <t>MP95B-0305</t>
  </si>
  <si>
    <t>Olana</t>
  </si>
  <si>
    <t>Medallion MDF Wood Carved Wall Décor</t>
  </si>
  <si>
    <t>PP001832</t>
  </si>
  <si>
    <t>12/29/2022</t>
  </si>
  <si>
    <t>AMAZON,AMAZONDS,ASHFURNDS,CSNSTORES,DESINC,HOUZZ,KIRKLANDDS,KOHLDSN,OLLIIX,OVERSTOCK01</t>
  </si>
  <si>
    <t>MP95B-0319</t>
  </si>
  <si>
    <t>Radiant</t>
  </si>
  <si>
    <t>Half-moon 2-piece Metal Wall Decor Set</t>
  </si>
  <si>
    <t>AMAZON,CSNSTORES,DESINC,MACY02,OLLIIX,OVERSTOCK01</t>
  </si>
  <si>
    <t>MP95B-0358</t>
  </si>
  <si>
    <t>Solana</t>
  </si>
  <si>
    <t>Framed Abstract Coastal Rice Shadowbox Wall Decor</t>
  </si>
  <si>
    <t>4/11/2024</t>
  </si>
  <si>
    <t>OLLIIX,TGTDVS</t>
  </si>
  <si>
    <t>MP95B-0002</t>
  </si>
  <si>
    <t>Patterned Tiles</t>
  </si>
  <si>
    <t>Distressed Yellow Medallion 3-piece Wall Decor Set</t>
  </si>
  <si>
    <t>PF001903</t>
  </si>
  <si>
    <t>AMAZON,AMERSIGNDS,ASHFURNDS,BBBDROP,BIGLOTSDS,BLK01,CSNSTORES,DESINC,KIRKLANDDS,KOHLDSN,LAMPDS,MACY02,OLLIIX,OVERSTOCK01,ROOMECOM,ZOLA,Zulily</t>
  </si>
  <si>
    <t>MP95B-0270</t>
  </si>
  <si>
    <t>Distressed Navy Blue Medallion 3-piece Wall Decor Set</t>
  </si>
  <si>
    <t>PF005466</t>
  </si>
  <si>
    <t>AMAZON,AMAZONDS,AMERSIGNDS,BEALLSDS,BLK01,CSNSTORES,DESINC,JCPENNEY01,KIRKLANDDS,KOHLDSN,LAMPDS,MACY02,NRTPORT,OLLIIX,OVERSTOCK01,TGTDVS,Zulily</t>
  </si>
  <si>
    <t>MP95B-0190</t>
  </si>
  <si>
    <t>Montage</t>
  </si>
  <si>
    <t>Distressed Black and White Medallion Tile 3-piece Wall Decor Set</t>
  </si>
  <si>
    <t>PP001181;PF004678</t>
  </si>
  <si>
    <t>AMAZON,AMAZONDS,AMERSIGNDS,BBBDROP,BIGLOTSDS,BLK01,CSNSTORES,DESINC,KIRKLANDDS,KOHLDSN,MACY02,NEBFUR01,NRTPORT,OLLIIX,OVERSTOCK01,ROOMECOM,Zulily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</si>
  <si>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</si>
  <si>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</si>
  <si>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</si>
  <si>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</si>
  <si>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</si>
  <si>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</si>
  <si>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AMAZON,AMAZONDS,AMERSIGNDS,BLK01,CSNSTORES,JCPENNEY01,KIRKLANDDS,KOHLDSN,LAMPDS,MACY02,OLLIIX,OVERSTOCK01,TGTDVS,Zulily</t>
  </si>
  <si>
    <t>MP95B-0262</t>
  </si>
  <si>
    <t>Avant Garden</t>
  </si>
  <si>
    <t>Dried Flower 2-piece Shadow Box Wall Decor Set</t>
  </si>
  <si>
    <t>PF005412</t>
  </si>
  <si>
    <t>AMAZON,AMAZONDS,AMERSIGNDS,BLK01,CSNSTORES,DESINC,JCPENNEY01,KIRKLANDDS,KOHLDSN,LAMPDS,MACY02,NEBFUR01,OLLIIX,OVERSTOCK01,TGTDVS,ZOLA,Zulily</t>
  </si>
  <si>
    <t>12/16/2021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</si>
  <si>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</si>
  <si>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</si>
  <si>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</si>
  <si>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</si>
  <si>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</si>
  <si>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AMAZONDS,AMERSIGNDS,BEALLSDS,BLK01,CSNSTORES,DESINC,HOUZZ,JCPENNEY01,KIRKLANDDS,KOHLDSN,LAMPDS,MACY02,OLLIIX,OVERSTOCK01,TGTDVS,ZOLA,Zulily</t>
  </si>
  <si>
    <t>MP95B-0295</t>
  </si>
  <si>
    <t>Framed Abstract Coastal Rice Paper 3-piece Shadowbox Wall Decor Set</t>
  </si>
  <si>
    <t>PP001738</t>
  </si>
  <si>
    <t>AMAZONDS,AMERSIGNDS,BLK01,CSNSTORES,DESINC,JCPENNEY01,KIRKLANDDS,KOHLDSN,LAMPDS,MACY02,OLLIIX,OVERSTOCK01,TGTDVS,ZOLA,Zulily</t>
  </si>
  <si>
    <t>MP95G-0260</t>
  </si>
  <si>
    <t>Tala</t>
  </si>
  <si>
    <t>Framed Geometric Rice Paper Panel 2-piece Shadowbox Wall Decor Set</t>
  </si>
  <si>
    <t>PF005354</t>
  </si>
  <si>
    <t>AMAZONDS,BLK01,CSNSTORES,DESINC,HOUZZ,JCPENNEY01,KIRKLANDDS,KOHLDSN,LAMPDS,OLLIIX,OVERSTOCK01,TGTDVS,ZOLA,Zulily</t>
  </si>
  <si>
    <t>MP95G-0006</t>
  </si>
  <si>
    <t>FRAMED GRAPHICS</t>
  </si>
  <si>
    <t>Natural Agate Trio</t>
  </si>
  <si>
    <t>Real Stone Framed Glass and Double Matted Wall Art</t>
  </si>
  <si>
    <t>PF001834</t>
  </si>
  <si>
    <t>AMAZON,AMAZONDS,AMERSIGNDS,ASHFURNDS,BLK01,CSNSTORES,DESINC,HDDS,HOUZZ,KIRKLANDDS,KOHLDSN,LAMPDS,MACY02,NEBFUR01,OLLIIX,OVERSTOCK01,ROOMECOM,TGTDVS,Zulily</t>
  </si>
  <si>
    <t>MP95G-0005</t>
  </si>
  <si>
    <t>PF001833</t>
  </si>
  <si>
    <t>AMAZONDS,BBBDROP,BLK01,CSNSTORES,DESINC,HOUZZ,KOHLDSN,NEBFUR01,OLLIIX,OVERSTOCK01,ROOMECOM,TGTDVS,Zulily</t>
  </si>
  <si>
    <t>5/25/2023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</si>
  <si>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</si>
  <si>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</si>
  <si>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</si>
  <si>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</si>
  <si>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</si>
  <si>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</si>
  <si>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AMERSIGNDS,ASHFURNDS,BBBDROP,BLK01,CSNSTORES,DESINC,HDDS,HOUZZ,JCPENNEY01,KIRKLANDDS,KOHLDSN,LAMPDS,LOWESDS,MACY02,NEBFUR01,OLLIIX,OVERSTOCK01,ROOMECOM,TGTDVS,Zulily</t>
  </si>
  <si>
    <t>MP95G-0256</t>
  </si>
  <si>
    <t>Linden</t>
  </si>
  <si>
    <t>Fern 2-piece Framed Glass Wall Art Set</t>
  </si>
  <si>
    <t>9/7/2020</t>
  </si>
  <si>
    <t>AMAZONDS,AMERSIGNDS,CSNSTORES,DESINC,JCPENNEY01,KIRKLANDDS,KOHLDSN,MACY02,NEBFUR01,OLLIIX,OVERSTOCK01,ROOMECOM,TGTDVS</t>
  </si>
  <si>
    <t>9/9/2022</t>
  </si>
  <si>
    <t>MP95G-0286</t>
  </si>
  <si>
    <t>Abstract Reveal</t>
  </si>
  <si>
    <t>Framed Glass and Gallery Matted Wall Art</t>
  </si>
  <si>
    <t>PP001665</t>
  </si>
  <si>
    <t>AMAZON,AMAZONDS,AMERSIGNDS,BLK01,CSNSTORES,DESINC,HDDS,HOUZZ,JCPENNEY01,KIRKLANDDS,KOHLDSN,LAMPDS,MACY02,NEBFUR01,OLLIIX,OVERSTOCK01,ROOMECOM,TGTDVS,ZOLA,Zulily</t>
  </si>
  <si>
    <t>MP95G-0004</t>
  </si>
  <si>
    <t>Natural Agate</t>
  </si>
  <si>
    <t>PF001832</t>
  </si>
  <si>
    <t>AMAZON,AMAZONDS,BLK01,CSNSTORES,HOUZZ,KOHLDSN,LAMPDS,MACY02,OLLIIX,OVERSCONSIGN,OVERSTOCK01,ROOMECOM,TGTDVS,Zulily</t>
  </si>
  <si>
    <t>MP95G-0003</t>
  </si>
  <si>
    <t>PF001831</t>
  </si>
  <si>
    <t>AMAZON,AMAZONDS,BLK01,CSNSTORES,HOUZZ,KOHLDSN,OLLIIX,OVERSTOCK01,ROOMECOM,TGTDVS,Zulily</t>
  </si>
  <si>
    <t>MP95G-0313</t>
  </si>
  <si>
    <t>Abstract Talon</t>
  </si>
  <si>
    <t>Framed Glass and Single Matted Foiled Deckle Edge Wall Art</t>
  </si>
  <si>
    <t>4/24/2023</t>
  </si>
  <si>
    <t>AMAZON,CSNSTORES,DESINC,JCPENNEY01,KOHLDSN,LAMPDS,MACY02,OLLIIX</t>
  </si>
  <si>
    <t>MP95G-0307</t>
  </si>
  <si>
    <t>Ashlar</t>
  </si>
  <si>
    <t>Hand Painted Abstract Framed Glass and Matted Wall Art</t>
  </si>
  <si>
    <t>10/26/2022</t>
  </si>
  <si>
    <t>AMAZON,AMAZONDS,AMERSIGNDS,ASHFURNDS,BLK01,CSNSTORES,DESINC,HOUZZ,JCPENNEY01,KIRKLANDDS,KOHLDSN,LAMPDS,MACY02,OLLIIX,OVERSTOCK01,TGTDVS,Zulily</t>
  </si>
  <si>
    <t>MP95G-0306</t>
  </si>
  <si>
    <t>Enchanted Forest</t>
  </si>
  <si>
    <t>Hand Painted Abstract Landscape Framed and Matted Wall Art</t>
  </si>
  <si>
    <t>Grey/Gold</t>
  </si>
  <si>
    <t>AMAZON,ASHFURNDS,CSNSTORES,JCPENNEY01,KIRKLANDDS,KOHLDSN,NEBFUR01,OLLIIX,OVERSTOCK01</t>
  </si>
  <si>
    <t>MP95G-0128</t>
  </si>
  <si>
    <t>Lilac Blooming Spring</t>
  </si>
  <si>
    <t>Frame Graphic</t>
  </si>
  <si>
    <t>PP000600</t>
  </si>
  <si>
    <t>BLK01,KIRKLANDDS,KOHLDSN,OLLIIX,ROOMECOM</t>
  </si>
  <si>
    <t>1/20/2023</t>
  </si>
  <si>
    <t>MP95G-0282</t>
  </si>
  <si>
    <t>Skipping Stones</t>
  </si>
  <si>
    <t>Geo UV Printed Shadowbox 2 Piece Wall Art Set</t>
  </si>
  <si>
    <t>PP001661</t>
  </si>
  <si>
    <t>AMAZON,CSNSTORES,JCPENNEY01,KOHLDSN,MACY02,NEBFUR01,OLLIIX,OVERSTOCK01,TGTDVS,Zulily</t>
  </si>
  <si>
    <t>MP95G-0324</t>
  </si>
  <si>
    <t>Sparkling Sea</t>
  </si>
  <si>
    <t>Framed Glass and Single Matted Abstract Landscape Coastal Wall Art</t>
  </si>
  <si>
    <t>10/12/2023</t>
  </si>
  <si>
    <t>AMAZON,DESINC,KIRKLANDDS,MACY02,OLLIIX,TGTDVS</t>
  </si>
  <si>
    <t>MP95G-0299</t>
  </si>
  <si>
    <t>Abstract Ambit</t>
  </si>
  <si>
    <t>Framed Glass Wall Art</t>
  </si>
  <si>
    <t>PP001779</t>
  </si>
  <si>
    <t>6/1/2022</t>
  </si>
  <si>
    <t>BEALLSDS,CSNSTORES,DESINC,JCPENNEY01,KOHLDSN,MACY02,OLLIIX,OVERSTOCK01,ZOLA,Zulily</t>
  </si>
  <si>
    <t>MP95G-0298</t>
  </si>
  <si>
    <t>Fair Florets</t>
  </si>
  <si>
    <t>3-piece Framed Glass Wall Art Set</t>
  </si>
  <si>
    <t>PP001778</t>
  </si>
  <si>
    <t>AMAZON,AMAZONDS,AMERSIGNDS,BLK01,CSNSTORES,DESINC,JCPENNEY01,KIRKLANDDS,KOHLDSN,MACY02,NEBFUR01,NRTPORT,OLLIIX,OVERSTOCK01,TGTDVS,ZOLA,Zulily</t>
  </si>
  <si>
    <t>MP160-0181</t>
  </si>
  <si>
    <t>DEC. MIRROR</t>
  </si>
  <si>
    <t>Mirrors</t>
  </si>
  <si>
    <t>Fiore</t>
  </si>
  <si>
    <t>Sunburst Wall Decor Mirror 29.5"D</t>
  </si>
  <si>
    <t>29.5" Dia</t>
  </si>
  <si>
    <t>AMAZON,AMAZONDS,AMERSIGNDS,ASHFURNDS,BBBDROP,CSNSTORES,DESINC,HDDS,HOUZZ,KOHLDSN,LAMPDS,MACY02,NRTPORT,OLLIIX,OVERSTOCK01,ROOMECOM,TGTDVS</t>
  </si>
  <si>
    <t>MP160-0230</t>
  </si>
  <si>
    <t>Sunburst Wall Decor Mirror 14.5"D</t>
  </si>
  <si>
    <t>14.5" Dia</t>
  </si>
  <si>
    <t>AMAZON,AMAZONDS,AMERSIGNDS,ASHFURNDS,BBBDROP,BLK01,CSNSTORES,DESINC,HOUZZ,KIRKLANDDS,KOHLDSN,LAMPDS,MACY02,NEBFUR01,NRTPORT,OLLIIX,OVERSTOCK01,ROOMECOM</t>
  </si>
  <si>
    <t>MP95F-0265</t>
  </si>
  <si>
    <t>PF005437</t>
  </si>
  <si>
    <t>AMAZON,AMAZONDS,BLK01,CSNSTORES,DESINC,JCPENNEY01,KOHLDSN,LAMPDS,MACY02,OLLIIX,OVERSTOCK01,ROOMECOM,TGTDVS</t>
  </si>
  <si>
    <t>MP95F-0267</t>
  </si>
  <si>
    <t>Natural Jute Rope Round Wall Mirror 26"</t>
  </si>
  <si>
    <t>PF005440</t>
  </si>
  <si>
    <t>AMAZON,AMAZONDS,AMERSIGNDS,BLK01,CASTLEGATE,CSNSTORES,HOUZZ,JCPENNEY01,KIRKLANDDS,KOHLDSN,LAMPDS,MACY02,OLLIIX,OVERSTOCK01,TGTDVS,Zulily</t>
  </si>
  <si>
    <t>MP95F-0315</t>
  </si>
  <si>
    <t>Decor Mirror</t>
  </si>
  <si>
    <t>Adaline</t>
  </si>
  <si>
    <t>Arched Metal Floral Wall Mirror</t>
  </si>
  <si>
    <t>25.75"H</t>
  </si>
  <si>
    <t>AMAZON,AMAZONDS,CSNSTORES,DESINC,LAMPDS,MACY02,NRTPORT,OLLIIX,OVERSTOCK01,TGTDVS,ZOLA</t>
  </si>
  <si>
    <t>MP95F-0360</t>
  </si>
  <si>
    <t>29.75"H</t>
  </si>
  <si>
    <t>MP95F-0318</t>
  </si>
  <si>
    <t>Adelaide</t>
  </si>
  <si>
    <t>Gold Scalloped Wood Wall Mirror</t>
  </si>
  <si>
    <t>AMAZON,CSNSTORES,LAMPDS,MACY02,OLLIIX,OVERSTOCK01,TGTDVS</t>
  </si>
  <si>
    <t>MP95F-0359</t>
  </si>
  <si>
    <t>Aurelia</t>
  </si>
  <si>
    <t>Rounded Rectangle Fluted Wall Mirror</t>
  </si>
  <si>
    <t>AMAZON</t>
  </si>
  <si>
    <t>MP95F-0320</t>
  </si>
  <si>
    <t>Lilbeth</t>
  </si>
  <si>
    <t>Beaded Arch Wall Decor Mirror</t>
  </si>
  <si>
    <t>CSNSTORES,DESINC,HOUZZ,MACY02,OLLIIX,OVERSTOCK01,TGTDVS,ZOLA</t>
  </si>
  <si>
    <t>MP95F-0327</t>
  </si>
  <si>
    <t>Mia</t>
  </si>
  <si>
    <t>Gold Metal Arch Wall Mirror</t>
  </si>
  <si>
    <t>AMAZON,NRTPORT,OLLIIX,TGTDVS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</si>
  <si>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</si>
  <si>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</si>
  <si>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</si>
  <si>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</si>
  <si>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</si>
  <si>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</si>
  <si>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</si>
  <si>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</si>
  <si>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AMAZON,AMAZONDS,AMERSIGNDS,BBBDROP,CSNSTORES,HOUZZ,KIRKLANDDS,KOHLDSN,LAMPDS,NEBFUR01,OLLIIX,OVERSTOCK01,ROOMECOM,ZOLA</t>
  </si>
  <si>
    <t>MP167-0352</t>
  </si>
  <si>
    <t>Rabbit</t>
  </si>
  <si>
    <t>Small Object</t>
  </si>
  <si>
    <t>Small</t>
  </si>
  <si>
    <t>Nickel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</si>
  <si>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</si>
  <si>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</si>
  <si>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</si>
  <si>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</si>
  <si>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</si>
  <si>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</si>
  <si>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</si>
  <si>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AMAZON,AMAZONDS,AMERSIGNDS,ASHFURNDS,BBBDROP,BEALLSDS,BLK01,CSNSTORES,HDDS,KIRKLANDDS,KOHLDSN,LAMPDS,NEBFUR01,OLLIIX,OVERSTOCK01,ROOMECOM,TGTDVS,ZOLA,Zulily</t>
  </si>
  <si>
    <t>MP95A-0001</t>
  </si>
  <si>
    <t>Moroccan Tile</t>
  </si>
  <si>
    <t>4-piece Framed Art Set</t>
  </si>
  <si>
    <t>PF001830</t>
  </si>
  <si>
    <t>AMAZON,AMERSIGNDS,ASHFURNDS,BEALLSDS,BLK01,CSNSTORES,HDDS,HOUZZ,HSNDS,KOHLDSN,LAMPDS,MACY02,OLLIIX,OVERSTOCK01,TGTDVS</t>
  </si>
  <si>
    <t>MP163-0183</t>
  </si>
  <si>
    <t>BOXES &amp; BASKETS</t>
  </si>
  <si>
    <t>Baskets</t>
  </si>
  <si>
    <t>Basket Set of 2</t>
  </si>
  <si>
    <t>MP95D-0304</t>
  </si>
  <si>
    <t>CLOCKS</t>
  </si>
  <si>
    <t>Clocks(161)</t>
  </si>
  <si>
    <t>23.6" Wood Wall Clock</t>
  </si>
  <si>
    <t>PP001422</t>
  </si>
  <si>
    <t>9/5/2022</t>
  </si>
  <si>
    <t>AMAZON,AMAZONDS,BLK01,CSNSTORES,JCPENNEY01,KIRKLANDDS,KOHLDSN,LAMPDS,MACY02,NEBFUR01,OLLIIX,OVERSTOCK01,TGTDVS,ZOLA</t>
  </si>
  <si>
    <t>MP95D-0303</t>
  </si>
  <si>
    <t>Natural/Black</t>
  </si>
  <si>
    <t>AMAZON,AMAZONDS,BLK01,CSNSTORES,HOUZZ,JCPENNEY01,KIRKLANDDS,KOHLDSN,NEBFUR01,OLLIIX,OVERSTOCK01,TGTDVS,ZOLA,Zulily</t>
  </si>
  <si>
    <t>MP95D-0239</t>
  </si>
  <si>
    <t>Natural/Grey</t>
  </si>
  <si>
    <t>PP001422;PF004974</t>
  </si>
  <si>
    <t>12/6/2019</t>
  </si>
  <si>
    <t>AMAZON,AMAZONDS,AMERSIGNDS,ASHFURNDS,BBBDROP,BLK01,CSNSTORES,DESINC,HDDS,HOUZZ,JCPENNEY01,KIRKLANDDS,KOHLDSN,LAMPDS,MACY02,NEBFUR01,NRTPORT,OLLIIX,OVERSTOCK01,ZOLA,Zulily</t>
  </si>
  <si>
    <t>MT95C-0036A</t>
  </si>
  <si>
    <t>Martha Stewart</t>
  </si>
  <si>
    <t>Blue Drift</t>
  </si>
  <si>
    <t>PF005355</t>
  </si>
  <si>
    <t>MT Perry Street</t>
  </si>
  <si>
    <t>AMAZON,AMAZONDS,ASHFURNDS,BLK01,CSNSTORES,DESINC,HDDS,HOUZZ,JCPENNEY01,KIRKLANDDS,KOHLDSN,OLLIIX,OVERSTOCK01,ROOMECOM,TGTDVS,ZOLA</t>
  </si>
  <si>
    <t>MT95C-0006</t>
  </si>
  <si>
    <t>Herbal Botany</t>
  </si>
  <si>
    <t>4-piece Botanical Illustration Framed Canvas Wall Art Set</t>
  </si>
  <si>
    <t>MT Bedford</t>
  </si>
  <si>
    <t>6/1/2019</t>
  </si>
  <si>
    <t>AMAZON,AMAZONDS,AMERSIGNDS,BBBDROP,BLK01,CASTLEGATE,CSNSTORES,DESINC,HDDS,HOUZZ,JCPENNEY01,KIRKLANDDS,KOHLDSN,MACY02,NEBFUR01,OLLIIX,OVERSTOCK01,ROOMECOM,TGTDVS,ZOLA,Zulily</t>
  </si>
  <si>
    <t>MT95C-0035</t>
  </si>
  <si>
    <t>Vista</t>
  </si>
  <si>
    <t>Abstract Landscape 5-piece Gallery Canvas Wall Art Set</t>
  </si>
  <si>
    <t>PF005278</t>
  </si>
  <si>
    <t>11/20/2020</t>
  </si>
  <si>
    <t>AMAZON,AMAZONDS,BLK01,CSNSTORES,DESINC,HDDS,HOUZZ,JCPENNEY01,KIRKLANDDS,KOHLDSN,MACY02,OLLIIX,OVERSTOCK01,ROOMECOM,TGTDVS,ZOLA</t>
  </si>
  <si>
    <t>MT95C-0005</t>
  </si>
  <si>
    <t>French Herbarium</t>
  </si>
  <si>
    <t>2-piece Framed Canvas Wall Art Set</t>
  </si>
  <si>
    <t>AMAZON,ASHFURNDS,BLK01,CSNSTORES,DESINC,JCPENNEY01,KIRKLANDDS,KOHLDSN,MACY02,OLLIIX,OVERSTOCK01,ROOMECOM,TGTDVS,ZOLA,Zulily</t>
  </si>
  <si>
    <t>9/28/2022</t>
  </si>
  <si>
    <t>MT95C-0024</t>
  </si>
  <si>
    <t>Lake Walk</t>
  </si>
  <si>
    <t>Abstract Landscape Framed Canvas Wall Art</t>
  </si>
  <si>
    <t>PP001443;PF005010</t>
  </si>
  <si>
    <t>AMAZON,AMAZONDS,BBBDROP,BLK01,CASTLEGATE,CSNSTORES,DESINC,HDDS,HOUZZ,JCPENNEY01,KIRKLANDDS,KOHLDSN,MACY02,OLLIIX,OVERSTOCK01,ROOMECOM,ZOLA,Zulily</t>
  </si>
  <si>
    <t>MT95C-0025</t>
  </si>
  <si>
    <t>Foggy Morning</t>
  </si>
  <si>
    <t>PP001444;PF005011</t>
  </si>
  <si>
    <t>AMAZONDS,BLK01,CSNSTORES,DESINC,HOUZZ,JCPENNEY01,KOHLDSN,MACY02,OLLIIX,OVERSTOCK01,ROOMECOM,TGTDVS,ZOLA,Zulily</t>
  </si>
  <si>
    <t>MT95C-0023</t>
  </si>
  <si>
    <t>Across The Plains 2</t>
  </si>
  <si>
    <t>PP001442;PF005009</t>
  </si>
  <si>
    <t>AMAZON,AMAZONDS,BLK01,CSNSTORES,DESINC,JCPENNEY01,KOHLDSN,LAMPDS,MACY02,OLLIIX,OVERSTOCK01,TGTDVS,ZOLA,Zulily</t>
  </si>
  <si>
    <t>MT95C-0020</t>
  </si>
  <si>
    <t>Squall</t>
  </si>
  <si>
    <t>Framed Canvas Art</t>
  </si>
  <si>
    <t>PP001439;PF005006</t>
  </si>
  <si>
    <t>AMAZON,BBBDROP,CSNSTORES,OLLIIX,OVERSTOCK01,ROOMECOM,TGTDVS</t>
  </si>
  <si>
    <t>MT95C-0013</t>
  </si>
  <si>
    <t>Stratus</t>
  </si>
  <si>
    <t>Abstract Framed Canvas Wall Art</t>
  </si>
  <si>
    <t>AMAZONDS,ASHFURNDS,BBBDROP,BLK01,CSNSTORES,HOUZZ,JCPENNEY01,KIRKLANDDS,KOHLDSN,MACY02,OLLIIX,OVERSTOCK01,ROOMECOM,TGTDVS,ZOLA</t>
  </si>
  <si>
    <t>MT95C-0011</t>
  </si>
  <si>
    <t>Study in Gold &amp; White</t>
  </si>
  <si>
    <t>Framed Canvas with Gold Foil</t>
  </si>
  <si>
    <t>AMAZON,AMAZONDS,BLK01,CSNSTORES,HOUZZ,LAMPDS,OLLIIX,OVERSTOCK01,ROOMECOM,TGTDVS,Zulily</t>
  </si>
  <si>
    <t>MT167-0023</t>
  </si>
  <si>
    <t>Faye</t>
  </si>
  <si>
    <t>Gold Foil Metal Ginkgo Leaf Wall Decor</t>
  </si>
  <si>
    <t>3/13/2020</t>
  </si>
  <si>
    <t>AMAZON,AMAZONDS,BLK01,CSNSTORES,DESINC,HOUZZ,JCPENNEY01,KOHLDSN,LAMPDS,MACY02,OLLIIX,OVERSTOCK01,ROOMECOM,ZOLA,Zulily</t>
  </si>
  <si>
    <t>9/26/2022</t>
  </si>
  <si>
    <t>MT95B-0083</t>
  </si>
  <si>
    <t>Staggered Stones</t>
  </si>
  <si>
    <t>Blue Natural Agate Double Mat Shadow Box Wall Decor</t>
  </si>
  <si>
    <t>MT Lily Pond</t>
  </si>
  <si>
    <t>AMAZON,TGTDVS</t>
  </si>
  <si>
    <t>MT95B-0085</t>
  </si>
  <si>
    <t>Off-White Natural Agate Double Mat Shadow Box Wall Decor</t>
  </si>
  <si>
    <t>AMAZON,OLLIIX,TGTDVS</t>
  </si>
  <si>
    <t>MT95B-0077</t>
  </si>
  <si>
    <t>Elements</t>
  </si>
  <si>
    <t>Geometric MDF Wood Carved Wall Decor 3 Piece Set</t>
  </si>
  <si>
    <t>AMAZONDS,ASHFURNDS,BLK01,CSNSTORES,JCPENNEY01,KOHLDSN,LAMPDS,OLLIIX,OVERSTOCK01,TGTDVS</t>
  </si>
  <si>
    <t>MT95B-0079</t>
  </si>
  <si>
    <t>Framed Rice Paper Shadow Box Gingko Leaf Wall Decor Art</t>
  </si>
  <si>
    <t>AMAZON,AMAZONDS,CSNSTORES,MACY02,OLLIIX,OVERSTOCK01,TGTDVS</t>
  </si>
  <si>
    <t>MT95B-0064</t>
  </si>
  <si>
    <t>Cerulean Stones</t>
  </si>
  <si>
    <t>Framed Blue Agate Shadowbox Wall Decor Panel</t>
  </si>
  <si>
    <t>PP001689</t>
  </si>
  <si>
    <t>11/22/2021</t>
  </si>
  <si>
    <t>AMAZON,AMAZONDS,BLK01,CSNSTORES,HDDS,HOUZZ,JCPENNEY01,KIRKLANDDS,KOHLDSN,LAMPDS,MACY02,OLLIIX,OVERSCONSIGN,OVERSTOCK01,TGTDVS</t>
  </si>
  <si>
    <t>MT95B-0065</t>
  </si>
  <si>
    <t>Indigo Shells</t>
  </si>
  <si>
    <t>Framed Sea Urchin Shadow Box Wall Decor</t>
  </si>
  <si>
    <t>PP001690</t>
  </si>
  <si>
    <t>AMAZON,AMAZONDS,BLK01,CSNSTORES,HOUZZ,JCPENNEY01,KIRKLANDDS,KOHLDSN,LAMPDS,MACY02,OLLIIX,OVERSTOCK01,TGTDVS,ZOLA</t>
  </si>
  <si>
    <t>MT160-0021</t>
  </si>
  <si>
    <t>Gold Gingko Leaf Round Wall Mirror 30.5"</t>
  </si>
  <si>
    <t>7/9/2020</t>
  </si>
  <si>
    <t>AMAZON,AMAZONDS,AMERSIGNDS,ASHFURNDS,BBBDROP,BLK01,CSNSTORES,DESINC,HDDS,HOUZZ,JCPENNEY01,KIRKLANDDS,KOHLDSN,LAMPDS,MACY02,OLLIIX,OVERSTOCK01,ROOMECOM,TGTDVS,ZOLA,Zulily</t>
  </si>
  <si>
    <t>MT160-0011</t>
  </si>
  <si>
    <t>Katonah</t>
  </si>
  <si>
    <t>Black Round Wall Mirror 36"</t>
  </si>
  <si>
    <t>6/3/2019</t>
  </si>
  <si>
    <t>AMAZON,AMAZONDS,ASHFURNDS,BLK01,CSNSTORES,HOUZZ,JCPENNEY01,KOHLDSN,MACY02,OLLIIX,OVERSTOCK01,ROOMECOM,ZOLA</t>
  </si>
  <si>
    <t>MT95F-0078</t>
  </si>
  <si>
    <t>Natural Rattan Round Wall Mirror</t>
  </si>
  <si>
    <t>AMAZON,AMAZONDS,CSNSTORES,HOUZZ,KOHLDSN,LAMPDS,MACY02,OLLIIX,OVERSTOCK01,TGTDVS</t>
  </si>
  <si>
    <t>MT95F-0088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</si>
  <si>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</si>
  <si>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</si>
  <si>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</si>
  <si>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</si>
  <si>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</si>
  <si>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</si>
  <si>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AMAZON,AMAZONDS,CSNSTORES,DESINC,MACY02,OLLIIX,OVERSTOCK01,TGTDVS</t>
  </si>
  <si>
    <t>MT160-0005</t>
  </si>
  <si>
    <t>Jefferson</t>
  </si>
  <si>
    <t>Rectangle Accent Mirror</t>
  </si>
  <si>
    <t>6/2/2019</t>
  </si>
  <si>
    <t>OLLIIX,ZOLA</t>
  </si>
  <si>
    <t>MT95G-0003</t>
  </si>
  <si>
    <t>Lady Fern Collection</t>
  </si>
  <si>
    <t>Botanical Illustration 3-piece Framed Glass and Single Matted Wall Art Set</t>
  </si>
  <si>
    <t>AMAZONDS,BLK01,CSNSTORES,DESINC,JCPENNEY01,KIRKLANDDS,KOHLDSN,LAMPDS,OLLIIX,OVERSTOCK01,ROOMECOM,ZOLA,Zulily</t>
  </si>
  <si>
    <t>4/17/2023</t>
  </si>
  <si>
    <t>MT95G-0001</t>
  </si>
  <si>
    <t>Pretty Bird</t>
  </si>
  <si>
    <t>Double Mat Framed Graphic 4 Piece Set</t>
  </si>
  <si>
    <t>MT95G-0030</t>
  </si>
  <si>
    <t>Estuary</t>
  </si>
  <si>
    <t>Abstract Landscape Framed Glass Wall Art</t>
  </si>
  <si>
    <t>PP001449;PF005016</t>
  </si>
  <si>
    <t>AMAZONDS,ASHFURNDS,BLK01,CSNSTORES,DESINC,HOUZZ,JCPENNEY01,KIRKLANDDS,KOHLDSN,MACY02,OLLIIX,OVERSTOCK01,ROOMECOM,ZOLA,Zulily</t>
  </si>
  <si>
    <t>6/6/2024</t>
  </si>
  <si>
    <t>MT95G-0029</t>
  </si>
  <si>
    <t>Across The Plains 1</t>
  </si>
  <si>
    <t>Framed Glass and Double Matted Abstract Landscape Wall Art</t>
  </si>
  <si>
    <t>PP001448;PF005015</t>
  </si>
  <si>
    <t>AMAZON,AMAZONDS,BLK01,CSNSTORES,DESINC,HDDS,JCPENNEY01,KIRKLANDDS,KOHLDSN,MACY02,OLLIIX,TGTDVS,ZOLA,Zulily</t>
  </si>
  <si>
    <t>MT95G-0081</t>
  </si>
  <si>
    <t>Gilded Nature</t>
  </si>
  <si>
    <t>Gold Metallic Leaf Panel Framed Graphic Wall Decor 3-Piece Set</t>
  </si>
  <si>
    <t>Nature</t>
  </si>
  <si>
    <t>AMAZON,AMAZONDS,CSNSTORES,KIRKLANDDS,OLLIIX</t>
  </si>
  <si>
    <t>MT95G-0087</t>
  </si>
  <si>
    <t>Gilded Trio</t>
  </si>
  <si>
    <t>Gold Metallic Leaf Square Framed Graphic Wall Decor 3-Piece Set</t>
  </si>
  <si>
    <t>AMAZON,AMAZONDS,KIRKLANDDS,OLLIIX</t>
  </si>
  <si>
    <t>MT95G-0086</t>
  </si>
  <si>
    <t>The Duel</t>
  </si>
  <si>
    <t>Cheetah Framed Graphic Wall Decor 2 Piece set</t>
  </si>
  <si>
    <t>CSNSTORES,KIRKLANDDS,OLLIIX,TGTDVS</t>
  </si>
  <si>
    <t>IIF22-0039</t>
  </si>
  <si>
    <t>Topi</t>
  </si>
  <si>
    <t>Natural Wood Slice Mosaic Wall Decor</t>
  </si>
  <si>
    <t>PF000990;PP000059</t>
  </si>
  <si>
    <t>5/11/2017</t>
  </si>
  <si>
    <t>AMERSIGNDS,CSNSTORES,DESINC,KIRKLANDDS,KOHLDSN,LAMPDS,OLLIIX,OVERSTOCK01,ROOMECOM,TGTDVS,Zulily</t>
  </si>
  <si>
    <t>II167-907</t>
  </si>
  <si>
    <t>Ranger</t>
  </si>
  <si>
    <t>Layered Triangles Wood Wall Decor</t>
  </si>
  <si>
    <t>PF003047</t>
  </si>
  <si>
    <t>Industrial</t>
  </si>
  <si>
    <t>AMERSIGNDS,ASHFURNDS,BBBDROP,CSNSTORES,KIRKLANDDS,KOHLDSN,LAMPDS,NRTPORT,OLLIIX,OVERSTOCK01,ROOMECOM,TGTDVS,ZOLA,Zulily</t>
  </si>
  <si>
    <t>II167-944</t>
  </si>
  <si>
    <t>Ralston</t>
  </si>
  <si>
    <t>Ivory Geometric Carved Wood Wall Decor</t>
  </si>
  <si>
    <t>AMERSIGNDS,ASHFURNDS,CSNSTORES,DESINC,KIRKLANDDS,KOHLDSN,MACY02,OLLIIX,OVERSTOCK01,ROOMECOM,TGTDVS,Zulily</t>
  </si>
  <si>
    <t>II167-905</t>
  </si>
  <si>
    <t>Savoy</t>
  </si>
  <si>
    <t>Distressed Black Metal Wall Decor</t>
  </si>
  <si>
    <t>PF003045</t>
  </si>
  <si>
    <t>AMAZON,AMAZONDS,AMERSIGNDS,ASHFURNDS,BLK01,CSNSTORES,KIRKLANDDS,KOHLDSN,LAMPDS,MACY02,NEBFUR01,OLLIIX,OVERSTOCK01,ROOMECOM,Zulily</t>
  </si>
  <si>
    <t>II95B-0159</t>
  </si>
  <si>
    <t>Paths Collide</t>
  </si>
  <si>
    <t>Framed Carved Resin Dimensional Wall Decor</t>
  </si>
  <si>
    <t>MACY02,OLLIIX</t>
  </si>
  <si>
    <t>II95B-0152</t>
  </si>
  <si>
    <t>Henna</t>
  </si>
  <si>
    <t>Framed Medallion Rice Paper Shadow Box Wall Decor</t>
  </si>
  <si>
    <t>PP001873</t>
  </si>
  <si>
    <t>AMAZON,AMAZONDS,CSNSTORES,DESINC,HOUZZ,JCPENNEY01,KIRKLANDDS,KOHLDSN,MACY02,NRTPORT,OLLIIX,OVERSTOCK01,TGTDVS</t>
  </si>
  <si>
    <t>II95C-0142</t>
  </si>
  <si>
    <t>Celestial Orbit Navy</t>
  </si>
  <si>
    <t>Silver Foil Abstract 2-piece Canvas Wall Art Set</t>
  </si>
  <si>
    <t>PP000800</t>
  </si>
  <si>
    <t>AMAZON,AMAZONDS,AMERSIGNDS,ASHFURNDS,BEALLSDS,BLK01,CSNSTORES,DESINC,KIRKLANDDS,KOHLDSN,LAMPDS,MACY02,NEBFUR01,OLLIIX,OVERSTOCK01,ROOMECOM,TGTDVS,Zulily</t>
  </si>
  <si>
    <t>II95C-0061</t>
  </si>
  <si>
    <t>Rolling Waves</t>
  </si>
  <si>
    <t>PF001917</t>
  </si>
  <si>
    <t>AMERSIGNDS,ASHFURNDS,BBBDROP,BEALLSDS,BLK01,CSNSTORES,DESINC,HDDS,HOUZZ,KIRKLANDDS,KOHLDSN,LAMPDS,MACY02,OLLIIX,OVERSTOCK01,ROOMECOM,TGTDVS</t>
  </si>
  <si>
    <t>II95C-0086</t>
  </si>
  <si>
    <t>Shattering Rock Yellow</t>
  </si>
  <si>
    <t>Abstract Canvas Wall Art</t>
  </si>
  <si>
    <t>PF001886</t>
  </si>
  <si>
    <t>AMERSIGNDS,BBBDROP,BEALLSDS,BLK01,CSNSTORES,DESINC,HOUZZ,KIRKLANDDS,KOHLDSN,LAMPDS,OLLIIX,OVERSTOCK01,ROOMECOM,TGTDVS,Zulily</t>
  </si>
  <si>
    <t>II95C-0154</t>
  </si>
  <si>
    <t>Botanical Waterfall</t>
  </si>
  <si>
    <t>Eucalyptus 2-piece Framed Canvas Wall Decor Set</t>
  </si>
  <si>
    <t>6/1/2023</t>
  </si>
  <si>
    <t>AMAZON,CSNSTORES,KIRKLANDDS,KOHLDSN,LAMPDS,OLLIIX,OVERSTOCK01,TGTDVS</t>
  </si>
  <si>
    <t>II95C-0150</t>
  </si>
  <si>
    <t>Desert Serenity</t>
  </si>
  <si>
    <t>Hand Embellished Abstract 2-piece Framed Canvas Wall Art Set</t>
  </si>
  <si>
    <t>PP001871</t>
  </si>
  <si>
    <t>AMAZON,ASHFURNDS,CSNSTORES,KIRKLANDDS,KOHLDSN,LOWESDS,OLLIIX,OVERSTOCK01,TGTDVS,ZOLA</t>
  </si>
  <si>
    <t>II95C-0075</t>
  </si>
  <si>
    <t>Ocean Breeze Blossom</t>
  </si>
  <si>
    <t>4 Piece Set Gel Coat Printed on Canvas</t>
  </si>
  <si>
    <t>PF001937</t>
  </si>
  <si>
    <t>KIRKLANDDS,KOHLDSN,ROOMECOM</t>
  </si>
  <si>
    <t>WA95C-0007</t>
  </si>
  <si>
    <t>Painted Puzzle</t>
  </si>
  <si>
    <t>Canvas With Heavy Gel Coat</t>
  </si>
  <si>
    <t>PF001854</t>
  </si>
  <si>
    <t>CSNSTORES,KIRKLANDDS,KOHLDSN,LAMPDS,OLLIIX,OVERSTOCK01,ROOMECOM,TGTDVS,ZOLA,Zulily</t>
  </si>
  <si>
    <t>II95C-0151</t>
  </si>
  <si>
    <t>Silver Sand</t>
  </si>
  <si>
    <t>Hand Embellished Abstract 3-piece Canvas Wall Art Set</t>
  </si>
  <si>
    <t>PP001870</t>
  </si>
  <si>
    <t>AMAZON,ASHFURNDS,JCPENNEY01,OLLIIX,OVERSTOCK01,ZOLA</t>
  </si>
  <si>
    <t>II95C-0072</t>
  </si>
  <si>
    <t>Two Black Dominos</t>
  </si>
  <si>
    <t>2-piece Canvas Wall Art Set</t>
  </si>
  <si>
    <t>PF001935</t>
  </si>
  <si>
    <t>AMAZON,AMAZONDS,AMERSIGNDS,ASHFURNDS,BLK01,KIRKLANDDS,KOHLDSN,LAMPDS,MACY02,NEBFUR01,NRTPORT,OLLIIX,OVERSTOCK01,ROOMECOM,TGTDVS,ZOLA,Zulily</t>
  </si>
  <si>
    <t>II95C-0158</t>
  </si>
  <si>
    <t>Windswept</t>
  </si>
  <si>
    <t>Hand Embellished Highland Bull Canvas Wall Art</t>
  </si>
  <si>
    <t>CSNSTORES,DESINC,KIRKLANDDS,OLLIIX,TGTDVS</t>
  </si>
  <si>
    <t>II95C-0002</t>
  </si>
  <si>
    <t>Yellow Sierra</t>
  </si>
  <si>
    <t>PF001847</t>
  </si>
  <si>
    <t>II95C-0157</t>
  </si>
  <si>
    <t>Derby</t>
  </si>
  <si>
    <t>Hand Embellished Horse Framed Canvas Wall Art</t>
  </si>
  <si>
    <t>AMAZON,DESINC,KIRKLANDDS,LAMPDS,OLLIIX,OVERSTOCK01,TGTDVS</t>
  </si>
  <si>
    <t>II95C-0161</t>
  </si>
  <si>
    <t>Jeweled Geo</t>
  </si>
  <si>
    <t>Hand-Embellished Abstract 2-Piece Framed Canvas Wall Art Set</t>
  </si>
  <si>
    <t>AMAZON,MACY02,OLLIIX</t>
  </si>
  <si>
    <t>II95C-0160</t>
  </si>
  <si>
    <t>Neutral Stones</t>
  </si>
  <si>
    <t>Figural 2-piece Framed Canvas Wall Art Set</t>
  </si>
  <si>
    <t>II95F-0155</t>
  </si>
  <si>
    <t>Natural Rattan Rectangle Wall Mirror</t>
  </si>
  <si>
    <t>AMAZON,AMAZONDS,CSNSTORES,DESINC,HOUZZ,LAMPDS,MACY02,NRTPORT,OLLIIX,OVERSTOCK01,TGTDVS,ZOLA</t>
  </si>
  <si>
    <t>II95F-0153</t>
  </si>
  <si>
    <t>Remi</t>
  </si>
  <si>
    <t>Arched Wood Wall Mirror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</si>
  <si>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</si>
  <si>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</si>
  <si>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</si>
  <si>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</si>
  <si>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</si>
  <si>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CSNSTORES,DESINC,KIRKLANDDS,KOHLDSN,MACY02,OLLIIX,OVERSTOCK01,TGTDVS,ZOLA</t>
  </si>
  <si>
    <t>II162-918</t>
  </si>
  <si>
    <t>VASES &amp; BOWLS</t>
  </si>
  <si>
    <t>Vases</t>
  </si>
  <si>
    <t>YORK</t>
  </si>
  <si>
    <t>Decorative Vase</t>
  </si>
  <si>
    <t>PF003058</t>
  </si>
  <si>
    <t>MPS95A-0038</t>
  </si>
  <si>
    <t>Sunburst</t>
  </si>
  <si>
    <t>Hand Painted Dimensional Resin Wall Art</t>
  </si>
  <si>
    <t>30x30"</t>
  </si>
  <si>
    <t>PF005495</t>
  </si>
  <si>
    <t>AMAZON,AMAZONDS,AMERSIGNDS,BLK01,CSNSTORES,JCPENNEY01,KIRKLANDDS,KOHLDSN,MACY02,OLLIIX,OVERSTOCK01,ROOMECOM,TGTDVS</t>
  </si>
  <si>
    <t>11/4/2022</t>
  </si>
  <si>
    <t>MPS95A-0022</t>
  </si>
  <si>
    <t>PF002028</t>
  </si>
  <si>
    <t>10/13/2017</t>
  </si>
  <si>
    <t>AMAZON,AMAZONDS,AMERSIGNDS,ASHFURNDS,BEALLSDS,BLK01,CSNSTORES,HDDS,KIRKLANDDS,KOHLDSN,LAMPDS,MACY02,NEBFUR01,OLLIIX,OVERSTOCK01,ROOMECOM,TGTDVS</t>
  </si>
  <si>
    <t>MPS95A-0023</t>
  </si>
  <si>
    <t>PF002029</t>
  </si>
  <si>
    <t>AMAZON,AMAZONDS,AMERSIGNDS,BLK01,CSNSTORES,HDDS,HOUZZ,KIRKLANDDS,KOHLDSN,LAMPDS,MACY02,NEBFUR01,OLLIIX,OVERSTOCK01,ROOMECOM,TGTDVS,ZOLA</t>
  </si>
  <si>
    <t>MPS95B-0040</t>
  </si>
  <si>
    <t>Hand Painted Triptych 3-piece Dimensional Resin Wall Art Set</t>
  </si>
  <si>
    <t>3-Piece</t>
  </si>
  <si>
    <t>AMAZONDS,AMERSIGNDS,CASTLEGATE,CSNSTORES,DESINC,HOUZZ,JCPENNEY01,KIRKLANDDS,KOHLDSN,LAMPDS,MACY02,NEBFUR01,OLLIIX,OVERSTOCK01,TGTDVS,ZOLA</t>
  </si>
  <si>
    <t>MPS95B-0044</t>
  </si>
  <si>
    <t>MPS95B-0045</t>
  </si>
  <si>
    <t>AMAZON,CSNSTORES,KIRKLANDDS,OLLIIX,OVERSTOCK01</t>
  </si>
  <si>
    <t>MPS167-211</t>
  </si>
  <si>
    <t>Ansen</t>
  </si>
  <si>
    <t>Mirrored Ceramic Decorative Vases 3-piece set</t>
  </si>
  <si>
    <t>PF002966</t>
  </si>
  <si>
    <t>AMAZON,AMAZONDS,AMERSIGNDS,BBBDROP,BLK01,CASTLEGATE,CSNSTORES,HDDS,HOUZZ,KOHLDSN,LAMPDS,MACY02,NEBFUR01,NRTPORT,OLLIIX,OVERSCONSIGN,OVERSTOCK01,ROOMECOM</t>
  </si>
  <si>
    <t>9/25/2022</t>
  </si>
  <si>
    <t>MPS162-347</t>
  </si>
  <si>
    <t>9/9/2019</t>
  </si>
  <si>
    <t>AMAZON,AMAZONDS,AMERSIGNDS,BBBDROP,BLK01,CSNSTORES,DESINC,HDDS,HOUZZ,KOHLDSN,LAMPDS,MACY02,NRTPORT,OLLIIX,OVERSTOCK01,ZOLA</t>
  </si>
  <si>
    <t>MPS162-248</t>
  </si>
  <si>
    <t>Blue and Bronze Decorative Glass Vases 3-piece set</t>
  </si>
  <si>
    <t>Blue Metal</t>
  </si>
  <si>
    <t>PF002984</t>
  </si>
  <si>
    <t>AMAZON,AMAZONDS,AMERSIGNDS,BBBDROP,BLK01,CSNSTORES,DESINC,HOUZZ,KOHLDSN,LAMPDS,MACY02,NEBFUR01,OLLIIX,OVERSTOCK01,ROOMECOM,ZOLA</t>
  </si>
  <si>
    <t>10/31/2022</t>
  </si>
  <si>
    <t>MPS95F-0035</t>
  </si>
  <si>
    <t>Marlowe</t>
  </si>
  <si>
    <t>Beaded Round Wall Mirror 27"D</t>
  </si>
  <si>
    <t>27" Dia</t>
  </si>
  <si>
    <t>9/5/2020</t>
  </si>
  <si>
    <t>AMAZON,AMAZONDS,AMERSIGNDS,BLK01,CSNSTORES,DESINC,HDDS,HOUZZ,JCPENNEY01,KIRKLANDDS,KOHLDSN,LAMPDS,OLLIIX,OVERSTOCK01,ROOMECOM,TGTDVS</t>
  </si>
  <si>
    <t>MPS160-339</t>
  </si>
  <si>
    <t>Beaded Round Wall Mirror 36"D</t>
  </si>
  <si>
    <t>36" Dia</t>
  </si>
  <si>
    <t>11/6/2018</t>
  </si>
  <si>
    <t>AMAZON,AMAZONDS,AMERSIGNDS,ASHFURNDS,BBBDROP,CSNSTORES,DESINC,HOUZZ,KOHLDSN,LAMPDS,OLLIIX,OVERSTOCK01,ROOMECOM,TGTDVS</t>
  </si>
  <si>
    <t>MPS95F-0036</t>
  </si>
  <si>
    <t>PF005436</t>
  </si>
  <si>
    <t>AMAZON,AMAZONDS,AMERSIGNDS,BBBDROP,BLK01,CSNSTORES,DESINC,HDDS,HOUZZ,JCPENNEY01,KOHLDSN,NEBFUR01,OLLIIX,OVERSTOCK01,ROOMECOM,TGTDVS</t>
  </si>
  <si>
    <t>MPS95F-0037</t>
  </si>
  <si>
    <t>PF005435</t>
  </si>
  <si>
    <t>AMAZON,AMAZONDS,AMERSIGNDS,BLK01,CSNSTORES,DESINC,HDDS,HOUZZ,KIRKLANDDS,KOHLDSN,MACY02,OLLIIX,OVERSTOCK01,ROOMECOM,TGTDVS,Zulily</t>
  </si>
  <si>
    <t>MPS95F-0034</t>
  </si>
  <si>
    <t>AMAZON,AMAZONDS,AMERSIGNDS,BBBDROP,BLK01,CSNSTORES,DESINC,HDDS,HOUZZ,JCPENNEY01,KIRKLANDDS,KOHLDSN,LAMPDS,NEBFUR01,OLLIIX,OVERSTOCK01,ROOMECOM,TGTDVS</t>
  </si>
  <si>
    <t>2/22/2024</t>
  </si>
  <si>
    <t>MPS160-279</t>
  </si>
  <si>
    <t>PP001618</t>
  </si>
  <si>
    <t>11/16/2022</t>
  </si>
  <si>
    <t>MPS95F-0042</t>
  </si>
  <si>
    <t>11/26/2022</t>
  </si>
  <si>
    <t>AMERSIGNDS,CSNSTORES,DESINC,HDDS,HOUZZ,KIRKLANDDS,KOHLDSN,MACY02,OLLIIX,OVERSTOCK01,TGTDVS</t>
  </si>
  <si>
    <t>MPS95F-0043</t>
  </si>
  <si>
    <t>AMERSIGNDS,CSNSTORES,DESINC,HDDS,HOUZZ,KIRKLANDDS,KOHLDSN,OLLIIX,OVERSTOCK01,TGTDVS</t>
  </si>
  <si>
    <t>MPS160-280</t>
  </si>
  <si>
    <t>Eclipse</t>
  </si>
  <si>
    <t>Silver Trio Wall Mirror</t>
  </si>
  <si>
    <t>Antique Silver</t>
  </si>
  <si>
    <t>PP001769</t>
  </si>
  <si>
    <t>AMAZON,AMAZONDS,AMERSIGNDS,CSNSTORES,KOHLDSN,LAMPDS,NEBFUR01,OLLIIX,OVERSTOCK01,ROOMECOM,TGTDVS</t>
  </si>
  <si>
    <t>9/11/2022</t>
  </si>
  <si>
    <t>MPS95F-0039</t>
  </si>
  <si>
    <t>Gold Trio Wall Mirror</t>
  </si>
  <si>
    <t>6/29/2022</t>
  </si>
  <si>
    <t>AMAZONDS,AMERSIGNDS,CSNSTORES,DESINC,HOUZZ,JCPENNEY01,KIRKLANDDS,KOHLDSN,MACY02,OLLIIX,OVERSTOCK01,TGTDVS,ZOLA</t>
  </si>
  <si>
    <t>MPS95F-0041</t>
  </si>
  <si>
    <t>Gold Beaded Round Wall Mirror 3-piece set</t>
  </si>
  <si>
    <t>AMAZONDS,BLK01,CSNSTORES,HDDS,HOUZZ,JCPENNEY01,KIRKLANDDS,KOHLDSN,MACY02,OLLIIX,OVERSTOCK01,TGTDVS,ZOLA</t>
  </si>
  <si>
    <t>MPS95C-0020</t>
  </si>
  <si>
    <t>Blue Seascape</t>
  </si>
  <si>
    <t>Framed Canvas Wall Art</t>
  </si>
  <si>
    <t>PF001995</t>
  </si>
  <si>
    <t>BBBDROP,CSNSTORES,DESINC,KOHLDSN,LAMPDS,MACY02,OLLIIX,OVERSTOCK01,ROOMECOM,TGTDVS,ZOLA</t>
  </si>
  <si>
    <t>UH95C-0030</t>
  </si>
  <si>
    <t>Urban Habitat</t>
  </si>
  <si>
    <t>Cosmic Curl</t>
  </si>
  <si>
    <t>Black/Taupe</t>
  </si>
  <si>
    <t>PP001611</t>
  </si>
  <si>
    <t>AMAZON,AMAZONDS,AMERSIGNDS,BBBDROP,CSNSTORES,HDDS,JCPENNEY01,KIRKLANDDS,KOHLDSN,LAMPDS,MACY02,NEBFUR01,OLLIIX,ROOMECOM,TGTDVS,ZOLA</t>
  </si>
  <si>
    <t>UH95C-0019</t>
  </si>
  <si>
    <t>This and That Way</t>
  </si>
  <si>
    <t>PP000593</t>
  </si>
  <si>
    <t>AMAZON,AMAZONDS,AMERSIGNDS,BBBDROP,CSNSTORES,KOHLDSN,LAMPDS,NEBFUR01,OLLIIX,OVERSTOCK01,ROOMECOM,TGTDVS,Zulily</t>
  </si>
  <si>
    <t>UH95C-0002</t>
  </si>
  <si>
    <t>Gilded Feathers</t>
  </si>
  <si>
    <t>Gold Foil 2-piece Canvas Wall Art Set</t>
  </si>
  <si>
    <t>PF001877</t>
  </si>
  <si>
    <t>AMAZON,AMAZONDS,AMERSIGNDS,BBBDROP,BEALLSDS,BLK01,CSNSTORES,DESINC,HOUZZ,KIRKLANDDS,KOHLDSN,LAMPDS,OLLIIX,OVERSTOCK01,ROOMECOM,TGTDVS</t>
  </si>
  <si>
    <t>1/19/2023</t>
  </si>
  <si>
    <t>UH95C-0020</t>
  </si>
  <si>
    <t>Grey Rock Garden</t>
  </si>
  <si>
    <t>Gel Coat Framed Canvas 2 Piece Set</t>
  </si>
  <si>
    <t>PP000611</t>
  </si>
  <si>
    <t>AMERSIGNDS,BBBDROP,CSNSTORES,KOHLDSN,NEBFUR01,OLLIIX,OVERSTOCK01,TGTDVS,Zulily</t>
  </si>
  <si>
    <t>UH95C-0006</t>
  </si>
  <si>
    <t>Traveling Road</t>
  </si>
  <si>
    <t>Abstract Printed Canvas with Metallic Foil 3 Piece Set</t>
  </si>
  <si>
    <t>PF001888</t>
  </si>
  <si>
    <t>AMAZON,AMERSIGNDS,BLK01,CSNSTORES,HDDS,KOHLDSN,NEBFUR01,OLLIIX,OVERSTOCK01,ROOMECOM</t>
  </si>
  <si>
    <t>UH95C-0033</t>
  </si>
  <si>
    <t>Wandering Strokes</t>
  </si>
  <si>
    <t>Abstract Framed Canvas 3 Piece Set</t>
  </si>
  <si>
    <t>PP001666</t>
  </si>
  <si>
    <t>CSNSTORES,KIRKLANDDS,KOHLDSN,NEBFUR01,OLLIIX,OVERSTOCK01</t>
  </si>
  <si>
    <t>UH95G-0034</t>
  </si>
  <si>
    <t>Humming Birds</t>
  </si>
  <si>
    <t>2-Piece Framed Graphics Wall Art Set</t>
  </si>
  <si>
    <t>AMAZON,CSNSTORES,KIRKLANDDS,MACY02,OLLIIX,TGTDVS</t>
  </si>
  <si>
    <t>ID95A-0035</t>
  </si>
  <si>
    <t>Vintage Models</t>
  </si>
  <si>
    <t>3-piece Framed Wall Art Set</t>
  </si>
  <si>
    <t>PF002025</t>
  </si>
  <si>
    <t>AMERSIGNDS,BIGLOTSDS,BLK01,CSNSTORES,DESINC,KIRKLANDDS,KOHLDSN,NEBFUR01,OLLIIX,OVERSTOCK01,ROOMECOM,TGTDVS,Zulily</t>
  </si>
  <si>
    <t>8/15/2023</t>
  </si>
  <si>
    <t>ID95A-0040</t>
  </si>
  <si>
    <t>Island Views</t>
  </si>
  <si>
    <t>2-piece Framed Wall Art Set</t>
  </si>
  <si>
    <t>Pink/Blue</t>
  </si>
  <si>
    <t>PP001835</t>
  </si>
  <si>
    <t>AMAZON,HOUZZ,KIRKLANDDS,KOHLDSN,OLLIIX,ZOLA</t>
  </si>
  <si>
    <t>ID95B-0025</t>
  </si>
  <si>
    <t>Summer Bliss</t>
  </si>
  <si>
    <t>Silver Framed Floral Medallion 3-piece Wall Decor Set</t>
  </si>
  <si>
    <t>PF001929</t>
  </si>
  <si>
    <t>AMERSIGNDS,ASHFURNDS,BEALLSDS,BIGLOTSDS,BLK01,CSNSTORES,DESINC,KIRKLANDDS,KOHLDSN,LAMPDS,MACY02,NEBFUR01,OLLIIX,OVERSTOCK01,ROOMECOM,TGTDVS,Zulily</t>
  </si>
  <si>
    <t>9/15/2022</t>
  </si>
  <si>
    <t>ID95C-0027</t>
  </si>
  <si>
    <t>Flight Time</t>
  </si>
  <si>
    <t>AMERSIGNDS,BBBDROP,BEALLSDS,CSNSTORES,KIRKLANDDS,KOHLDSN,LAMPDS,MACY02,NEBFUR01,OLLIIX,OVERSTOCK01,ROOMECOM,TGTDVS,Zulily</t>
  </si>
  <si>
    <t>ID95C-0013</t>
  </si>
  <si>
    <t>Gold Palms</t>
  </si>
  <si>
    <t>Gold Foil Embellished Canvas</t>
  </si>
  <si>
    <t>PF001915</t>
  </si>
  <si>
    <t>BBBDROP,BLK01,CSNSTORES,KOHLDSN,MACY02,OLLIIX,ROOMECOM,TGTDVS</t>
  </si>
  <si>
    <t>ID95C-0034</t>
  </si>
  <si>
    <t>Sentiment Arrows</t>
  </si>
  <si>
    <t>Printed Canvas (3pcs/set)</t>
  </si>
  <si>
    <t>PF002024</t>
  </si>
  <si>
    <t>WA95C-0001</t>
  </si>
  <si>
    <t>Sweet Florals</t>
  </si>
  <si>
    <t>2-piece Hand Embellished Canvas Wall Art Set</t>
  </si>
  <si>
    <t>PF001851</t>
  </si>
  <si>
    <t>BBBDROP,BIGLOTSDS,BLK01,KIRKLANDDS,KOHLDSN,OLLIIX,OVERSTOCK01,ROOMECOM,TGTDVS,Zulily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</si>
  <si>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</si>
  <si>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</si>
  <si>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</si>
  <si>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</si>
  <si>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</si>
  <si>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</si>
  <si>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</si>
  <si>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</si>
  <si>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</si>
  <si>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AMERSIGNDS,ASHFURNDS,BBBDROP,CASTLEGATE,CSNSTORES,DESINC,HDDS,HOUZZ,KIRKLANDDS,KOHLDSN,MACY02F,OLLIIX,OVERSTOCK01,ROOMECOM,TGTDVS</t>
  </si>
  <si>
    <t>FPF18-0512</t>
  </si>
  <si>
    <t>PF000756;PP000233</t>
  </si>
  <si>
    <t>AMERSIGNDS,ASHFURNDS,BBBDROP,CASTLEGATE,CSNSTORES,HDDS,KIRKLANDDS,KOHLDSN,MACY02F,OLLIIX,OVERSTOCK01,ROOMECOM,TGTDVS</t>
  </si>
  <si>
    <t>FPF18-0513</t>
  </si>
  <si>
    <t>PF000757;PP000233</t>
  </si>
  <si>
    <t>7/14/2024</t>
  </si>
  <si>
    <t>AMERSIGNDS,ASHFURNDS,CASTLEGATE,CSNSTORES,HDDS,KOHLDSN,MACY02F,OLLIIX,OVERSTOCK01,ROOMECOM,TGTDVS,Zulily</t>
  </si>
  <si>
    <t>MP100-0891</t>
  </si>
  <si>
    <t>Dusty Blue</t>
  </si>
  <si>
    <t>PP000233</t>
  </si>
  <si>
    <t>7/6/2019</t>
  </si>
  <si>
    <t>AMERSIGNDS,ASHFURNDS,BBBDROP,CASTLEGATE,CSNSTORES,HDDS,KOHLDSN,LAMPDS,MACY02F,OLLIIX,OVERSTOCK01,TGTDVS</t>
  </si>
  <si>
    <t>MP100-1121</t>
  </si>
  <si>
    <t>2/2/2022</t>
  </si>
  <si>
    <t>AMAZONDS,AMERSIGNDS,ASHFURNDS,CSNSTORES,HDDS,JCPENNEY01,KIRKLANDDS,KOHLDSN,LAMPDS,MACY02F,OLLIIX,OVERSTOCK01,TGTDVS,Zulily</t>
  </si>
  <si>
    <t>MP100-1054</t>
  </si>
  <si>
    <t>10/29/2020</t>
  </si>
  <si>
    <t>AMERSIGNDS,ASHFURNDS,CSNSTORES,HDDS,HOUZZ,JCPENNEY01,KOHLDSN,LAMPDS,MACY02F,OLLIIX,OVERSTOCK01</t>
  </si>
  <si>
    <t>FPF18-0428</t>
  </si>
  <si>
    <t>Arianna</t>
  </si>
  <si>
    <t>Leda</t>
  </si>
  <si>
    <t>Aria</t>
  </si>
  <si>
    <t>Swoop Wing Chair</t>
  </si>
  <si>
    <t>PF000708;PP000082</t>
  </si>
  <si>
    <t>AMERSIGNDS,ASHFURNDS,BBBDROP,CASTLEGATE,CSNSTORES,HDDS,JCPENNEY01,KOHLDSN,LAMPDS,MACY02F,OLLIIX,OVERSTOCK01,ROOMECOM,TGTDVS,Zulily</t>
  </si>
  <si>
    <t>MP100-0018</t>
  </si>
  <si>
    <t>PF001029;PP000082</t>
  </si>
  <si>
    <t>ASHFURNDS,BBBDROP,CASTLEGATE,CSNSTORES,HDDS,JCPENNEY01,KOHLDSN,LAMPDS,MACY02F,OLLIIX,OVERSTOCK01,ROOMECOM</t>
  </si>
  <si>
    <t>2/29/2024</t>
  </si>
  <si>
    <t>FPF18-0429</t>
  </si>
  <si>
    <t>PF000709;PP000082</t>
  </si>
  <si>
    <t>10/1/2024</t>
  </si>
  <si>
    <t>4/23/2024</t>
  </si>
  <si>
    <t>MP100-0983</t>
  </si>
  <si>
    <t>8/13/2024</t>
  </si>
  <si>
    <t>AMAZONDS,CSNSTORES,HDDS,JCPENNEY01,KOHLDSN,LAMPDS,MACY02F,OLLIIX,OVERSTOCK01,ROOMECOM,TGTDVS,Zulily</t>
  </si>
  <si>
    <t>MP100-0982</t>
  </si>
  <si>
    <t>Taupe Multi</t>
  </si>
  <si>
    <t>AMAZONDS,ASHFURNDS,BBBDROP,CSNSTORES,HDDS,JCPENNEY01,KOHLDSN,LAMPDS,MACY02F,OLLIIX,OVERSTOCK01,TGTDVS</t>
  </si>
  <si>
    <t>MP100-0386</t>
  </si>
  <si>
    <t>Diedra</t>
  </si>
  <si>
    <t>Paulie</t>
  </si>
  <si>
    <t>Cane Armchair</t>
  </si>
  <si>
    <t>Cream/Reclaimed Natural</t>
  </si>
  <si>
    <t>PF000276</t>
  </si>
  <si>
    <t>AAFESDS,AMERSIGNDS,BBBDROP,BLK01,CASTLEGATE,CSNSTORES,HDDS,HOUZZ,KIRKLANDDS,KOHLDSN,LAMPDS,MACY02F,NEBFUR01,OLLIIX,OVERSTOCK01,ROOMECOM,TGTDVS</t>
  </si>
  <si>
    <t>4/8/2022</t>
  </si>
  <si>
    <t>MP100-1075</t>
  </si>
  <si>
    <t>Tan/Espresso</t>
  </si>
  <si>
    <t>AMAZONDS,AMERSIGNDS,ASHFURNDS,BBBDROP,BLK01,CSNSTORES,HDDS,HOUZZ,JCPENNEY01,KOHLDSN,LAMPDS,MACY02F,OLLIIX,OVERSTOCK01,ROOMECOM,Zulily</t>
  </si>
  <si>
    <t>5/27/2022</t>
  </si>
  <si>
    <t>MP100-1174</t>
  </si>
  <si>
    <t>Accent Chair</t>
  </si>
  <si>
    <t>2/23/2022</t>
  </si>
  <si>
    <t>AMERSIGNDS,ASHFURNDS,CSNSTORES,HDDS,HOUZZ,JCPENNEY01,KIRKLANDDS,KOHLDSN,LAMPDS,NEBFUR01,OLLIIX,OVERSTOCK01,TGTDVS</t>
  </si>
  <si>
    <t>FPF18-0078</t>
  </si>
  <si>
    <t>Barton</t>
  </si>
  <si>
    <t>Weston</t>
  </si>
  <si>
    <t>Colette</t>
  </si>
  <si>
    <t>Wing Chair</t>
  </si>
  <si>
    <t>PF000593;PP000093</t>
  </si>
  <si>
    <t>CASTLEGATE,CSNSTORES,KOHLDSN,MACY02F,OLLIIX,OVERSTOCK01,ROOMECOM,TGTDVS</t>
  </si>
  <si>
    <t>8/1/2018</t>
  </si>
  <si>
    <t>8/7/2018</t>
  </si>
  <si>
    <t>FPF18-0417</t>
  </si>
  <si>
    <t>PF000701;PP000093</t>
  </si>
  <si>
    <t>CASTLEGATE,CSNSTORES,KOHLDSN,LAMPDS,MACY02F,OLLIIX,OVERSTOCK01,ROOMECOM</t>
  </si>
  <si>
    <t>FPF18-0419</t>
  </si>
  <si>
    <t>PF000703;PP000093</t>
  </si>
  <si>
    <t>CASTLEGATE,CSNSTORES,KOHLDSN,MACY02F,OLLIIX,OVERSTOCK01,ROOMECOM</t>
  </si>
  <si>
    <t>8/29/2018</t>
  </si>
  <si>
    <t>FPF18-0152</t>
  </si>
  <si>
    <t>PF000616;PP000093</t>
  </si>
  <si>
    <t>CASTLEGATE,CSNSTORES,HOUZZ,KIRKLANDDS,KOHLDSN,NEBFUR01,OLLIIX,OVERSTOCK01,ROOMECOM</t>
  </si>
  <si>
    <t>8/10/2018</t>
  </si>
  <si>
    <t>FPF18-0151</t>
  </si>
  <si>
    <t>PF000615;PP000093</t>
  </si>
  <si>
    <t>8/2/2018</t>
  </si>
  <si>
    <t>FPF18-0153</t>
  </si>
  <si>
    <t>Collette</t>
  </si>
  <si>
    <t>Taupe/Cream</t>
  </si>
  <si>
    <t>PF000617;PP000093</t>
  </si>
  <si>
    <t>CASTLEGATE,CSNSTORES,MACY02F,OLLIIX,ROOMECOM</t>
  </si>
  <si>
    <t>FPF18-0418</t>
  </si>
  <si>
    <t>PF000702;PP000093</t>
  </si>
  <si>
    <t>10/29/2018</t>
  </si>
  <si>
    <t>MCC100-0001</t>
  </si>
  <si>
    <t>Colton</t>
  </si>
  <si>
    <t>Charlie</t>
  </si>
  <si>
    <t>Track Arm Club Chair</t>
  </si>
  <si>
    <t>Grey Multi</t>
  </si>
  <si>
    <t>PF001017;PP000128</t>
  </si>
  <si>
    <t>AMERSIGNDS,ASHFURNDS,BBBDROP,CASTLEGATE,CSNSTORES,HDDS,HOUZZ,KOHLDSN,LAMPDS,MACY02F,OLLIIX,OVERSTOCK01,ROOMECOM,Zulily</t>
  </si>
  <si>
    <t>FMY011JBH</t>
  </si>
  <si>
    <t>PF000577;PP000128</t>
  </si>
  <si>
    <t>AMAZONDS,AMERSIGNDS,ASHFURNDS,CASTLEGATE,CSNSTORES,HDDS,KIRKLANDDS,KOHLDSN,LAMPDS,MACY02F,OLLIIX,ROOMECOM</t>
  </si>
  <si>
    <t>7/4/2018</t>
  </si>
  <si>
    <t>FPF18-0160</t>
  </si>
  <si>
    <t>PF000621;PP000128</t>
  </si>
  <si>
    <t>AMERSIGNDS,ASHFURNDS,CASTLEGATE,CSNSTORES,KIRKLANDDS,KOHLDSN,LAMPDS,MACY02F,OLLIIX,OVERSTOCK01,ROOMECOM,Zulily</t>
  </si>
  <si>
    <t>5060SND</t>
  </si>
  <si>
    <t>Sand</t>
  </si>
  <si>
    <t>PF000571;PP000128</t>
  </si>
  <si>
    <t>8/22/2024</t>
  </si>
  <si>
    <t>ASHFURNDS,CASTLEGATE,CSNSTORES,KOHLDSN,LAMPDS,MACY02F,OLLIIX,OVERSCONSIGN,OVERSTOCK01,ROOMECOM</t>
  </si>
  <si>
    <t>FPF18-0161</t>
  </si>
  <si>
    <t>PF000622;PP000128</t>
  </si>
  <si>
    <t>ASHFURNDS,CASTLEGATE,CSNSTORES,HDDS,KOHLDSN,LAMPDS,MACY02F,OLLIIX,OVERSTOCK01,ROOMECOM</t>
  </si>
  <si>
    <t>7/12/2018</t>
  </si>
  <si>
    <t>5060GRN</t>
  </si>
  <si>
    <t>PF000570;PP000128</t>
  </si>
  <si>
    <t>AMAZONDS,CASTLEGATE,CSNSTORES,KOHLDSN,LAMPDS,MACY02F,OLLIIX,OVERSTOCK01,ROOMECOM</t>
  </si>
  <si>
    <t>MP100-0016</t>
  </si>
  <si>
    <t>PF001027;PP000128</t>
  </si>
  <si>
    <t>ASHFURNDS,CSNSTORES,KOHLDSN,MACY02F,OLLIIX,ROOMECOM</t>
  </si>
  <si>
    <t>MP100-0808</t>
  </si>
  <si>
    <t>Sophie</t>
  </si>
  <si>
    <t>Camel Back Exposed Wood Chair</t>
  </si>
  <si>
    <t>PP000216</t>
  </si>
  <si>
    <t>5/13/2019</t>
  </si>
  <si>
    <t>AMERSIGNDS,CASTLEGATE,CSNSTORES,DESINC,HOUZZ,KIRKLANDDS,KOHLDSN,LAMPDS,MACY02F,NEBFUR01,OLLIIX,OVERSTOCK01,ROOMECOM,TGTDVS,Zulily</t>
  </si>
  <si>
    <t>11/24/2020</t>
  </si>
  <si>
    <t>FPF18-0501</t>
  </si>
  <si>
    <t>PF000021;PP000216</t>
  </si>
  <si>
    <t>6/23/2024</t>
  </si>
  <si>
    <t>AMERSIGNDS,ASHFURNDS,BLK01,CSNSTORES,HDDS,HOUZZ,KOHLDSN,LAMPDS,MACY02F,NEBFUR01,OLLIIX,OVERSTOCK01,ROOMECOM,TGTDVS</t>
  </si>
  <si>
    <t>FPF18-0218</t>
  </si>
  <si>
    <t>Oxford</t>
  </si>
  <si>
    <t>Liam</t>
  </si>
  <si>
    <t>Mid-Century Accent Chair</t>
  </si>
  <si>
    <t>PF000650;PP000226</t>
  </si>
  <si>
    <t>AMERSIGNDS,ASHFURNDS,CASTLEGATE,CSNSTORES,HDDS,HOUZZ,KIRKLANDDS,KOHLDSN,LAMPDS,OLLIIX,OVERSTOCK01,ROOMECOM</t>
  </si>
  <si>
    <t>FPF18-0219</t>
  </si>
  <si>
    <t>Burnt Orange</t>
  </si>
  <si>
    <t>PF000651;PP000226</t>
  </si>
  <si>
    <t>AMERSIGNDS,ASHFURNDS,CASTLEGATE,CSNSTORES,HDDS,KOHLDSN,LAMPDS,MACY02F,OLLIIX,OVERSTOCK01,ROOMECOM</t>
  </si>
  <si>
    <t>FPF18-0217</t>
  </si>
  <si>
    <t>PF000649;PP000226</t>
  </si>
  <si>
    <t>AMERSIGNDS,CASTLEGATE,CSNSTORES,HDDS,KOHLDSN,MACY02F,OLLIIX,OVERSTOCK01,ROOMECOM</t>
  </si>
  <si>
    <t>7/11/2018</t>
  </si>
  <si>
    <t>MP100-0151</t>
  </si>
  <si>
    <t>PF001052;PP000226</t>
  </si>
  <si>
    <t>AMERSIGNDS,ASHFURNDS,CASTLEGATE,CSNSTORES,LAMPDS,OLLIIX,OVERSTOCK01,ROOMECOM</t>
  </si>
  <si>
    <t>8/20/2019</t>
  </si>
  <si>
    <t>MP100-1048</t>
  </si>
  <si>
    <t>10/8/2020</t>
  </si>
  <si>
    <t>AMERSIGNDS,ASHFURNDS,CSNSTORES,HDDS,JCPENNEY01,KOHLDSN,LAMPDS,MACY02F,OLLIIX,OVERSTOCK01</t>
  </si>
  <si>
    <t>FPF18-0172</t>
  </si>
  <si>
    <t>Alyssa</t>
  </si>
  <si>
    <t>Tufted Armless Chair</t>
  </si>
  <si>
    <t>PF000630;PP000194</t>
  </si>
  <si>
    <t>AMERSIGNDS,BLK01,CASTLEGATE,CSNSTORES,HDDS,HOUZZ,KIRKLANDDS,KOHLDSN,MACY02F,NEBFUR01,OLLIIX,OVERSTOCK01,ROOMECOM</t>
  </si>
  <si>
    <t>FPF18-0495</t>
  </si>
  <si>
    <t>PF000747;PP000194</t>
  </si>
  <si>
    <t>BLK01,CASTLEGATE,CSNSTORES,DESINC,HDDS,KOHLDSN,LAMPDS,MACY02F,NEBFUR01,OLLIIX,OVERSTOCK01,ROOMECOM,Zulily</t>
  </si>
  <si>
    <t>FPF18-0442</t>
  </si>
  <si>
    <t>Brentwood</t>
  </si>
  <si>
    <t>Cole</t>
  </si>
  <si>
    <t>Exposed Wood Arm Chair</t>
  </si>
  <si>
    <t>PF000020;PP000101</t>
  </si>
  <si>
    <t>AMAZON,AMAZONDS,AMERSIGNDS,BBBDROP,CSNSTORES,HDDS,HOUZZ,JCPENNEY01,KOHLDSN,MACY02F,OLLIIX,OVERSTOCK01,ROOMECOM,TGTDVS</t>
  </si>
  <si>
    <t>6/13/2022</t>
  </si>
  <si>
    <t>FPF18-0154</t>
  </si>
  <si>
    <t>PF000563;PP000101</t>
  </si>
  <si>
    <t>5/7/2017</t>
  </si>
  <si>
    <t>AMAZONDS,AMERSIGNDS,BLK01,CSNSTORES,HDDS,HOUZZ,KIRKLANDDS,KOHLDSN,LAMPDS,MACY02F,OLLIIX,OVERSTOCK01,ROOMECOM,Zulily</t>
  </si>
  <si>
    <t>FPF18-0226</t>
  </si>
  <si>
    <t>Korey</t>
  </si>
  <si>
    <t>Abby</t>
  </si>
  <si>
    <t>Channel Back Slipper Chair</t>
  </si>
  <si>
    <t>PF000658;PP000189</t>
  </si>
  <si>
    <t>6/27/2024</t>
  </si>
  <si>
    <t>AMAZONDS,AMERSIGNDS,ASHFURNDS,BBBDROP,CSNSTORES,HDDS,KOHLDSN,LAMPDS,MACY02F,OLLIIX,OVERSTOCK01,ROOMECOM,TGTDVS,Zulily</t>
  </si>
  <si>
    <t>FPF18-0416</t>
  </si>
  <si>
    <t>Erika</t>
  </si>
  <si>
    <t>Bree</t>
  </si>
  <si>
    <t>Laura</t>
  </si>
  <si>
    <t>PF000700;PP000154</t>
  </si>
  <si>
    <t>AMAZON,AMAZONDS,AMERSIGNDS,ASHFURNDS,CASTLEGATE,CSNSTORES,DESINC,HDDS,HOUZZ,KOHLDSN,LAMPDS,MACY02F,OLLIIX,OVERSTOCK01,ROOMECOM,TGTDVS,Zulily</t>
  </si>
  <si>
    <t>9/15/2023</t>
  </si>
  <si>
    <t>MP100-0993</t>
  </si>
  <si>
    <t>Orange Multi</t>
  </si>
  <si>
    <t>6/25/2020</t>
  </si>
  <si>
    <t>AMAZONDS,AMERSIGNDS,ASHFURNDS,CSNSTORES,HDDS,HOUZZ,JCPENNEY01,KOHLDSN,MACY02F,OLLIIX,OVERSTOCK01,ROOMECOM,TGTDVS,Zulily</t>
  </si>
  <si>
    <t>MP100-0785</t>
  </si>
  <si>
    <t>Donohue</t>
  </si>
  <si>
    <t>Sunnee</t>
  </si>
  <si>
    <t>Lyla</t>
  </si>
  <si>
    <t>Accent Arm Chair</t>
  </si>
  <si>
    <t>Light Grey/Camel Oak</t>
  </si>
  <si>
    <t>3/7/2019</t>
  </si>
  <si>
    <t>AMAZONDS,BBBDROP,BLK01,CSNSTORES,DESINC,HDDS,HOUZZ,KOHLDSN,LAMPDS,OLLIIX,OVERSTOCK01,ROOMECOM,TGTDVS,Zulily</t>
  </si>
  <si>
    <t>MP100-1242</t>
  </si>
  <si>
    <t>Light Blue/Antique Cream</t>
  </si>
  <si>
    <t>10/25/2024</t>
  </si>
  <si>
    <t>CSNSTORES,KOHLDSN,OLLIIX,OVERSTOCK01</t>
  </si>
  <si>
    <t>MP100-1145</t>
  </si>
  <si>
    <t>Light Blue/Camel Oak</t>
  </si>
  <si>
    <t>2/15/2022</t>
  </si>
  <si>
    <t>AMAZONDS,AMERSIGNDS,BLK01,CSNSTORES,HDDS,HOUZZ,JCPENNEY01,KIRKLANDDS,KOHLDSN,OLLIIX,OVERSTOCK01,TGTDVS,Zulily</t>
  </si>
  <si>
    <t>MP100-1241</t>
  </si>
  <si>
    <t>Light Grey/Antique Cream</t>
  </si>
  <si>
    <t>FPF18-0486</t>
  </si>
  <si>
    <t>Brooke</t>
  </si>
  <si>
    <t>Miri</t>
  </si>
  <si>
    <t>Annie</t>
  </si>
  <si>
    <t>Tight Back Club Chair</t>
  </si>
  <si>
    <t>PF000738;PP000105</t>
  </si>
  <si>
    <t>AMERSIGNDS,ASHFURNDS,BBBDROP,CASTLEGATE,CSNSTORES,HDDS,JCPENNEY01,KOHLDSN,LAMPDS,OLLIIX,OVERSTOCK01,ROOMECOM,TGTDVS</t>
  </si>
  <si>
    <t>FPF18-0108</t>
  </si>
  <si>
    <t>PF000602;PP000105</t>
  </si>
  <si>
    <t>AMERSIGNDS,ASHFURNDS,CASTLEGATE,CSNSTORES,HDDS,HOUZZ,KOHLDSN,MACY02F,OLLIIX,OVERSTOCK01,ROOMECOM,TGTDVS</t>
  </si>
  <si>
    <t>6/13/2018</t>
  </si>
  <si>
    <t>FPF18-0109</t>
  </si>
  <si>
    <t>PF000603;PP000105</t>
  </si>
  <si>
    <t>ASHFURNDS,CASTLEGATE,CSNSTORES,KOHLDSN,MACY02F,OLLIIX,OVERSTOCK01,ROOMECOM,TGTDVS</t>
  </si>
  <si>
    <t>MP100-0991</t>
  </si>
  <si>
    <t>AMAZONDS,AMERSIGNDS,ASHFURNDS,BBBDROP,CASTLEGATE,CSNSTORES,HDDS,JCPENNEY01,KOHLDSN,LAMPDS,MACY02F,OLLIIX,OVERSTOCK01,TGTDVS</t>
  </si>
  <si>
    <t>FPF18-0253</t>
  </si>
  <si>
    <t>Elsa</t>
  </si>
  <si>
    <t>Faith</t>
  </si>
  <si>
    <t>PF000677;PP000270</t>
  </si>
  <si>
    <t>AMERSIGNDS,ASHFURNDS,BLK01,CASTLEGATE,CSNSTORES,DESINC,HDDS,KOHLDSN,LAMPDS,MACY02F,OLLIIX,OVERSTOCK01,ROOMECOM,TGTDVS,ZOLA,Zulily</t>
  </si>
  <si>
    <t>FPF18-0484</t>
  </si>
  <si>
    <t>PF000736;PP000270</t>
  </si>
  <si>
    <t>AMERSIGNDS,BBBDROP,BLK01,CASTLEGATE,CSNSTORES,HDDS,KOHLDSN,LAMPDS,MACY02F,NEBFUR01,OLLIIX,OVERSTOCK01,ROOMECOM,TGTDVS</t>
  </si>
  <si>
    <t>FPF18-0485</t>
  </si>
  <si>
    <t>PF000737;PP000270</t>
  </si>
  <si>
    <t>BLK01,CASTLEGATE,MACY02F,OLLIIX,OVERSTOCK01,ROOMECOM</t>
  </si>
  <si>
    <t>FPF18-0028</t>
  </si>
  <si>
    <t>Dexter</t>
  </si>
  <si>
    <t>Camron</t>
  </si>
  <si>
    <t>Conner</t>
  </si>
  <si>
    <t>Armless Shelter Chair</t>
  </si>
  <si>
    <t>PF000585;PP000145</t>
  </si>
  <si>
    <t>BLK01,CASTLEGATE,CSNSTORES,HDDS,HOUZZ,KOHLDSN,MACY02F,OLLIIX,OVERSTOCK01,ROOMECOM,TGTDVS</t>
  </si>
  <si>
    <t>1/15/2024</t>
  </si>
  <si>
    <t>FPF18-0494</t>
  </si>
  <si>
    <t>Fremont</t>
  </si>
  <si>
    <t>Barrel Arm Chair</t>
  </si>
  <si>
    <t>Slate Blue</t>
  </si>
  <si>
    <t>PF000746;PP000161</t>
  </si>
  <si>
    <t>ASHFURNDS,CASTLEGATE,CSNSTORES,DESINC,HDDS,HOUZZ,KIRKLANDDS,KOHLDSN,LAMPDS,MACY02F,OLLIIX,OVERSTOCK01,ROOMECOM,TGTDVS,Zulily</t>
  </si>
  <si>
    <t>FPF18-0493</t>
  </si>
  <si>
    <t>PF000745;PP000161</t>
  </si>
  <si>
    <t>AMAZONDS,CASTLEGATE,CSNSTORES,HDDS,KIRKLANDDS,KOHLDSN,LAMPDS,OLLIIX,OVERSTOCK01,ROOMECOM,TGTDVS</t>
  </si>
  <si>
    <t>3/5/2024</t>
  </si>
  <si>
    <t>MP100-0375</t>
  </si>
  <si>
    <t>Escher</t>
  </si>
  <si>
    <t>Denton</t>
  </si>
  <si>
    <t>Blue Multi/Brown</t>
  </si>
  <si>
    <t>PF001072;PP000155</t>
  </si>
  <si>
    <t>6/27/2017</t>
  </si>
  <si>
    <t>10/10/2023</t>
  </si>
  <si>
    <t>MP100-0994</t>
  </si>
  <si>
    <t>6/24/2020</t>
  </si>
  <si>
    <t>CSNSTORES,MACY02F,OLLIIX,OVERSTOCK01</t>
  </si>
  <si>
    <t>MP100-0465</t>
  </si>
  <si>
    <t>Halford</t>
  </si>
  <si>
    <t>Donner</t>
  </si>
  <si>
    <t>PP000344</t>
  </si>
  <si>
    <t>BBBDROP,CASTLEGATE,CSNSTORES,KOHLDSN,LAMPDS,MACY02F,OLLIIX,OVERSTOCK01,ROOMECOM,TGTDVS</t>
  </si>
  <si>
    <t>MP100-0708</t>
  </si>
  <si>
    <t>Accent Wingback Chair</t>
  </si>
  <si>
    <t>AMAZONDS,ASHFURNDS,CSNSTORES,KIRKLANDDS,KOHLDSN,LAMPDS,MACY02F,OLLIIX,OVERSTOCK01,TGTDVS,ZOLA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</si>
  <si>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</si>
  <si>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</si>
  <si>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</si>
  <si>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</si>
  <si>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</si>
  <si>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</si>
  <si>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ASHFURNDS,CASTLEGATE,CSNSTORES,HDDS,KOHLDSN,MACY02F,OLLIIX,OVERSTOCK01,ROOMECOM,TGTDVS,Zulily</t>
  </si>
  <si>
    <t>FPF18-0040</t>
  </si>
  <si>
    <t>PF000587;PP000176</t>
  </si>
  <si>
    <t>AMERSIGNDS,ASHFURNDS,CASTLEGATE,CSNSTORES,HDDS,LAMPDS,MACY02F,OLLIIX,OVERSTOCK01,ROOMECOM,TGTDVS</t>
  </si>
  <si>
    <t>FPF18-0053</t>
  </si>
  <si>
    <t>PF000592;PP000176</t>
  </si>
  <si>
    <t>AMERSIGNDS,ASHFURNDS,CASTLEGATE,CSNSTORES,DESINC,HDDS,KOHLDSN,MACY02F,OLLIIX,OVERSTOCK01,TGTDVS</t>
  </si>
  <si>
    <t>FPF18-0106</t>
  </si>
  <si>
    <t>PF000601;PP000176</t>
  </si>
  <si>
    <t>ASHFURNDS,CASTLEGATE,CSNSTORES,HDDS,KOHLDSN,LAMPDS,MACY02F,OLLIIX,OVERSTOCK01</t>
  </si>
  <si>
    <t>MP100-0441</t>
  </si>
  <si>
    <t>Nicoli</t>
  </si>
  <si>
    <t>Flint</t>
  </si>
  <si>
    <t>PF001083</t>
  </si>
  <si>
    <t>7/26/2017</t>
  </si>
  <si>
    <t>7/21/2024</t>
  </si>
  <si>
    <t>ASHFURNDS,BBBDROP,CSNSTORES,HOUZZ,KIRKLANDDS,KOHLDSN,LAMPDS,MACY02F,OLLIIX,OVERSTOCK01,ROOMECOM,Zulily</t>
  </si>
  <si>
    <t>MP100-0957</t>
  </si>
  <si>
    <t>MiaRose</t>
  </si>
  <si>
    <t>Milana</t>
  </si>
  <si>
    <t>Carlie</t>
  </si>
  <si>
    <t>7/2/2020</t>
  </si>
  <si>
    <t>AMAZONDS,AMERSIGNDS,CSNSTORES,DESINC,HDDS,HOUZZ,KOHLDSN,MACY02F,NEBFUR01,OLLIIX,OVERSTOCK01,ROOMECOM,TGTDVS,Zulily</t>
  </si>
  <si>
    <t>5/1/2023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</si>
  <si>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</si>
  <si>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</si>
  <si>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</si>
  <si>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</si>
  <si>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</si>
  <si>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</si>
  <si>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</si>
  <si>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ASHFURNDS,BLK01,CSNSTORES,HDDS,JCPENNEY01,KOHLDSN,LAMPDS,MACY02F,OLLIIX,OVERSTOCK01,ROOMECOM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</si>
  <si>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</si>
  <si>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</si>
  <si>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</si>
  <si>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</si>
  <si>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</si>
  <si>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</si>
  <si>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</si>
  <si>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AMERSIGNDS,ASHFURNDS,BLK01,CASTLEGATE,CSNSTORES,HDDS,HOUZZ,JCPENNEY01,KOHLDSN,LAMPDS,MACY02F,OLLIIX,OVERSTOCK01,ROOMECOM,TGTDVS,Zulily</t>
  </si>
  <si>
    <t>8/26/2022</t>
  </si>
  <si>
    <t>FPF18-0401</t>
  </si>
  <si>
    <t>Hannah</t>
  </si>
  <si>
    <t>Isa</t>
  </si>
  <si>
    <t>Lilith</t>
  </si>
  <si>
    <t>Button Tufted Wing Chair</t>
  </si>
  <si>
    <t>PF000692;PP000170</t>
  </si>
  <si>
    <t>AMERSIGNDS,BBBDROP,CASTLEGATE,CSNSTORES,HOUZZ,KOHLDSN,LAMPDS,MACY02F,OLLIIX,OVERSTOCK01,ROOMECOM,TGTDVS,Zulily</t>
  </si>
  <si>
    <t>3/14/2024</t>
  </si>
  <si>
    <t>FPF18-0403</t>
  </si>
  <si>
    <t>PF000694;PP000170</t>
  </si>
  <si>
    <t>BBBDROP,CASTLEGATE,CSNSTORES,KOHLDSN,LAMPDS,MACY02F,OLLIIX,OVERSTOCK01,TGTDVS</t>
  </si>
  <si>
    <t>MP100-0618</t>
  </si>
  <si>
    <t>Heston</t>
  </si>
  <si>
    <t>Lea</t>
  </si>
  <si>
    <t>Kileen</t>
  </si>
  <si>
    <t>1/17/2018</t>
  </si>
  <si>
    <t>ASHFURNDS,CSNSTORES,HDDS,KIRKLANDDS,LAMPDS,MACY02F,OLLIIX,OVERSTOCK01,ROOMECOM</t>
  </si>
  <si>
    <t>MP100-0617</t>
  </si>
  <si>
    <t>ASHFURNDS,CSNSTORES,LAMPDS,MACY02F,OLLIIX,OVERSTOCK01,TGTDVS</t>
  </si>
  <si>
    <t>MP100-0257</t>
  </si>
  <si>
    <t>Killeen</t>
  </si>
  <si>
    <t>Natural/Morocco</t>
  </si>
  <si>
    <t>PF001066;PP000175</t>
  </si>
  <si>
    <t>ASHFURNDS,BLK01,CSNSTORES,HDDS,HOUZZ,KIRKLANDDS,KOHLDSN,LAMPDS,MACY02F,OLLIIX,OVERSTOCK01,TGTDVS</t>
  </si>
  <si>
    <t>MP100-0538</t>
  </si>
  <si>
    <t>Malabar</t>
  </si>
  <si>
    <t>Leigh</t>
  </si>
  <si>
    <t>Daly</t>
  </si>
  <si>
    <t>PP000671</t>
  </si>
  <si>
    <t>1/19/2018</t>
  </si>
  <si>
    <t>ASHFURNDS,CASTLEGATE,CSNSTORES,HDDS,KOHLDSN,LAMPDS,MACY02F,OLLIIX,OVERSCONSIGN,OVERSTOCK01,ROOMECOM</t>
  </si>
  <si>
    <t>MP100-1168</t>
  </si>
  <si>
    <t>ASHFURNDS,CSNSTORES,DESINC,KOHLDSN,MACY02F,OLLIIX,OVERSTOCK01,ZOLA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</si>
  <si>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</si>
  <si>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</si>
  <si>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</si>
  <si>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</si>
  <si>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</si>
  <si>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</si>
  <si>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</si>
  <si>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CSNSTORES,KOHLDSN,MACY02F,OLLIIX,OVERSTOCK01,ROOMECOM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</si>
  <si>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</si>
  <si>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</si>
  <si>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</si>
  <si>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</si>
  <si>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</si>
  <si>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</si>
  <si>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</si>
  <si>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ASHFURNDS,CSNSTORES,HDDS,HOUZZ,KOHLDSN,MACY02F,OLLIIX,OVERSTOCK01,ROOMECOM</t>
  </si>
  <si>
    <t>FPF18-0468</t>
  </si>
  <si>
    <t>Hancock</t>
  </si>
  <si>
    <t>Silloth</t>
  </si>
  <si>
    <t>Button Tufted Back Accent Chair</t>
  </si>
  <si>
    <t>PF000722;PP000169</t>
  </si>
  <si>
    <t>AMERSIGNDS,ASHFURNDS,CASTLEGATE,CSNSTORES,HDDS,KIRKLANDDS,KOHLDSN,LAMPDS,MACY02F,OLLIIX,OVERSTOCK01,ROOMECOM</t>
  </si>
  <si>
    <t>FPF18-0395</t>
  </si>
  <si>
    <t>Embry</t>
  </si>
  <si>
    <t>Maren</t>
  </si>
  <si>
    <t>Open Back Accent Chair</t>
  </si>
  <si>
    <t>PF000690;PP000125</t>
  </si>
  <si>
    <t>AMAZON,AMAZONDS,ASHFURNDS,CSNSTORES,HDDS,KOHLDSN,LAMPDS,MACY02F,OLLIIX,OVERSTOCK01,ROOMECOM,TGTDVS</t>
  </si>
  <si>
    <t>MP100-1084</t>
  </si>
  <si>
    <t>Fallon</t>
  </si>
  <si>
    <t>Hawkins</t>
  </si>
  <si>
    <t>Calan</t>
  </si>
  <si>
    <t>AMAZONDS,BLK01,CSNSTORES,HDDS,KIRKLANDDS,OLLIIX,OVERSTOCK01,ROOMECOM,TGTDVS</t>
  </si>
  <si>
    <t>FPF18-0472</t>
  </si>
  <si>
    <t>Addy</t>
  </si>
  <si>
    <t>Preston</t>
  </si>
  <si>
    <t>Conway</t>
  </si>
  <si>
    <t>PF000726;PP000074</t>
  </si>
  <si>
    <t>CASTLEGATE,CSNSTORES,HOUZZ,KOHLDSN,MACY02F,OLLIIX,OVERSTOCK01,TGTDVS</t>
  </si>
  <si>
    <t>MP100-1225</t>
  </si>
  <si>
    <t>Annika</t>
  </si>
  <si>
    <t>Elisha</t>
  </si>
  <si>
    <t>Bernay</t>
  </si>
  <si>
    <t>Faux Leather Accent Arm Chair</t>
  </si>
  <si>
    <t>PP001872</t>
  </si>
  <si>
    <t>AMERSIGNDS,CSNSTORES,KIRKLANDDS,KOHLDSN,OLLIIX,OVERSTOCK01,TGTDVS</t>
  </si>
  <si>
    <t>MP100-0575</t>
  </si>
  <si>
    <t>Brayden</t>
  </si>
  <si>
    <t>Kendrick</t>
  </si>
  <si>
    <t>PP000716</t>
  </si>
  <si>
    <t>1/23/2018</t>
  </si>
  <si>
    <t>ASHFURNDS,CASTLEGATE,CSNSTORES,HOUZZ,KOHLDSN,MACY02F,OLLIIX,OVERSTOCK01</t>
  </si>
  <si>
    <t>MP100-1109</t>
  </si>
  <si>
    <t>Calder</t>
  </si>
  <si>
    <t>Webster</t>
  </si>
  <si>
    <t>Metal Leg Accent chair</t>
  </si>
  <si>
    <t>AMERSIGNDS,ASHFURNDS,CSNSTORES,HDDS,KIRKLANDDS,KOHLDSN,LAMPDS,NEBFUR01,OLLIIX,OVERSTOCK01,ROOMECOM,TGTDVS</t>
  </si>
  <si>
    <t>8/31/2022</t>
  </si>
  <si>
    <t>MP100-1011</t>
  </si>
  <si>
    <t>Clearwater</t>
  </si>
  <si>
    <t>Blakeley</t>
  </si>
  <si>
    <t>Daire</t>
  </si>
  <si>
    <t>AMAZONDS,AMERSIGNDS,CSNSTORES,HOUZZ,KIRKLANDDS,KOHLDSN,LAMPDS,MACY02F,OLLIIX,OVERSTOCK01,TGTDVS</t>
  </si>
  <si>
    <t>MP100-1006</t>
  </si>
  <si>
    <t>Douglas</t>
  </si>
  <si>
    <t>Benjamin</t>
  </si>
  <si>
    <t>Mccoy</t>
  </si>
  <si>
    <t>Cream/Taupe</t>
  </si>
  <si>
    <t>10/7/2020</t>
  </si>
  <si>
    <t>ASHFURNDS,BLK01,CSNSTORES,HDDS,HOUZZ,JCPENNEY01,KOHLDSN,MACY02F,OLLIIX,ROOMECOM,TGTDVS</t>
  </si>
  <si>
    <t>11/4/2020</t>
  </si>
  <si>
    <t>11/27/2020</t>
  </si>
  <si>
    <t>MP100-1202</t>
  </si>
  <si>
    <t>Halton</t>
  </si>
  <si>
    <t>Upholstered Accent Chair</t>
  </si>
  <si>
    <t>Light Gray</t>
  </si>
  <si>
    <t>CSNSTORES,OLLIIX,OVERSTOCK01</t>
  </si>
  <si>
    <t>Declined</t>
  </si>
  <si>
    <t>FPF18-0052</t>
  </si>
  <si>
    <t>Hayden</t>
  </si>
  <si>
    <t>Alex</t>
  </si>
  <si>
    <t>Karly</t>
  </si>
  <si>
    <t>Slipper Accent Chair</t>
  </si>
  <si>
    <t>PF000591;PP000174</t>
  </si>
  <si>
    <t>AMAZONDS,AMERSIGNDS,CSNSTORES,HDDS,HOUZZ,KOHLDSN,LAMPDS,MACY02F,OLLIIX,OVERSTOCK01,TGTDVS</t>
  </si>
  <si>
    <t>MP100-1219</t>
  </si>
  <si>
    <t>Josefine</t>
  </si>
  <si>
    <t>Percy</t>
  </si>
  <si>
    <t>Wilbur</t>
  </si>
  <si>
    <t>Spindle Accent Armchair with Removable Back Pillow</t>
  </si>
  <si>
    <t>Light Grey</t>
  </si>
  <si>
    <t>4/7/2023</t>
  </si>
  <si>
    <t>FPF18-0507</t>
  </si>
  <si>
    <t>Kari</t>
  </si>
  <si>
    <t>Adria</t>
  </si>
  <si>
    <t>Jenal</t>
  </si>
  <si>
    <t>Slant Back Wood Accent Chair</t>
  </si>
  <si>
    <t>PF000023;PP000185</t>
  </si>
  <si>
    <t>ASHFURNDS,CSNSTORES,MACY02F,OLLIIX,OVERSTOCK01,ROOMECOM</t>
  </si>
  <si>
    <t>FPF18-0098</t>
  </si>
  <si>
    <t>Marcel</t>
  </si>
  <si>
    <t>High Back Wing Chair</t>
  </si>
  <si>
    <t>PF000599;PP000203</t>
  </si>
  <si>
    <t>AMAZONDS,AMERSIGNDS,ASHFURNDS,CASTLEGATE,CSNSTORES,HDDS,KOHLDSN,MACY02F,NEBFUR01,OLLIIX,OVERSTOCK01,ROOMECOM</t>
  </si>
  <si>
    <t>FPF18-0435</t>
  </si>
  <si>
    <t>Maxwell</t>
  </si>
  <si>
    <t>Roan</t>
  </si>
  <si>
    <t>Lyle</t>
  </si>
  <si>
    <t>PF000714;PP000209</t>
  </si>
  <si>
    <t>ASHFURNDS,CASTLEGATE,CSNSTORES,JCPENNEY01,KOHLDSN,LAMPDS,OLLIIX,OVERSTOCK01</t>
  </si>
  <si>
    <t>MP100-0017</t>
  </si>
  <si>
    <t>PF001028;PP000209</t>
  </si>
  <si>
    <t>ASHFURNDS,CASTLEGATE,CSNSTORES,HDDS,JCPENNEY01,KOHLDSN,LAMPDS,MACY02F,OLLIIX,OVERSTOCK01</t>
  </si>
  <si>
    <t>MP100-1203</t>
  </si>
  <si>
    <t>Odessa</t>
  </si>
  <si>
    <t>Gilman</t>
  </si>
  <si>
    <t>Leanne</t>
  </si>
  <si>
    <t>12/7/2022</t>
  </si>
  <si>
    <t>AMERSIGNDS,CSNSTORES,KIRKLANDDS,KOHLDSN,LAMPDS,OLLIIX,OVERSTOCK01,TGTDVS,ZOLA</t>
  </si>
  <si>
    <t>MP100-0780</t>
  </si>
  <si>
    <t>Simmons</t>
  </si>
  <si>
    <t>Tita</t>
  </si>
  <si>
    <t>Tan/Natural</t>
  </si>
  <si>
    <t>2/5/2019</t>
  </si>
  <si>
    <t>ASHFURNDS,CSNSTORES,JCPENNEY01,KIRKLANDDS,KOHLDSN,LAMPDS,MACY02F,OLLIIX,OVERSTOCK01,TGTDVS</t>
  </si>
  <si>
    <t>MP100-1187</t>
  </si>
  <si>
    <t>Tage</t>
  </si>
  <si>
    <t>Bianca</t>
  </si>
  <si>
    <t>Marlee</t>
  </si>
  <si>
    <t>Upholstered Accent Armchair</t>
  </si>
  <si>
    <t>CSNSTORES,KOHLDSN,LAMPDS,OLLIIX,OVERSTOCK01,TGTDVS</t>
  </si>
  <si>
    <t>FPF18-0082</t>
  </si>
  <si>
    <t>Accent Chest</t>
  </si>
  <si>
    <t>Audrey</t>
  </si>
  <si>
    <t>Upton</t>
  </si>
  <si>
    <t>Contemporary Cutout Arm Chair</t>
  </si>
  <si>
    <t>PF000594;PP000267</t>
  </si>
  <si>
    <t>MP100-1182</t>
  </si>
  <si>
    <t>Chair</t>
  </si>
  <si>
    <t>Dinah</t>
  </si>
  <si>
    <t>Senna</t>
  </si>
  <si>
    <t>Irina</t>
  </si>
  <si>
    <t>Open Back Accent chair with Antique Gold Metallic Legs</t>
  </si>
  <si>
    <t>7/27/2022</t>
  </si>
  <si>
    <t>ASHFURNDS,CSNSTORES,HOUZZ,KOHLDSN,LAMPDS,OLLIIX,OVERSTOCK01,TGTDVS,ZOLA</t>
  </si>
  <si>
    <t>MP100-1188</t>
  </si>
  <si>
    <t>Gavin</t>
  </si>
  <si>
    <t>Raiston</t>
  </si>
  <si>
    <t>Faux Leather Channel Accent Armchair</t>
  </si>
  <si>
    <t>AMERSIGNDS,ASHFURNDS,KOHLDSN,LAMPDS,OLLIIX,TGTDVS</t>
  </si>
  <si>
    <t>MP100-1157</t>
  </si>
  <si>
    <t>Grafton</t>
  </si>
  <si>
    <t>Rile</t>
  </si>
  <si>
    <t>Nettie</t>
  </si>
  <si>
    <t>Upholstered Armless Accent Lounge chair</t>
  </si>
  <si>
    <t>7/5/2022</t>
  </si>
  <si>
    <t>CSNSTORES,LAMPDS,MACY02F,OLLIIX,OVERSTOCK01,ZOLA</t>
  </si>
  <si>
    <t>MP100-1162</t>
  </si>
  <si>
    <t>Ian</t>
  </si>
  <si>
    <t>Cora</t>
  </si>
  <si>
    <t>Upholstered Tufted Mid-Century Accent Chair</t>
  </si>
  <si>
    <t>5/3/2022</t>
  </si>
  <si>
    <t>CSNSTORES,KIRKLANDDS,LAMPDS,OLLIIX,OVERSTOCK01</t>
  </si>
  <si>
    <t>MP100-1161</t>
  </si>
  <si>
    <t>Lampert</t>
  </si>
  <si>
    <t>Samantha</t>
  </si>
  <si>
    <t>Abbot</t>
  </si>
  <si>
    <t>Upholstered Open Arm Metal Leg Accent chair</t>
  </si>
  <si>
    <t>ASHFURNDS,CSNSTORES,KIRKLANDDS,LAMPDS,OLLIIX,OVERSTOCK01,TGTDVS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</si>
  <si>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</si>
  <si>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</si>
  <si>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</si>
  <si>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</si>
  <si>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</si>
  <si>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</si>
  <si>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CSNSTORES,HOUZZ,MACY02F,OLLIIX,OVERSTOCK01</t>
  </si>
  <si>
    <t>MP100-0495</t>
  </si>
  <si>
    <t>Green/White</t>
  </si>
  <si>
    <t>9/20/2017</t>
  </si>
  <si>
    <t>MP104-0391</t>
  </si>
  <si>
    <t>BAR STOOL</t>
  </si>
  <si>
    <t>Counter Stool</t>
  </si>
  <si>
    <t>High Wingback Button Tufted Upholstered 27" Swivel Counter Stool with Nailhead Accent</t>
  </si>
  <si>
    <t>Camel/Brown</t>
  </si>
  <si>
    <t>PP000169</t>
  </si>
  <si>
    <t>AMAZONDS,BBBDROP,CSNSTORES,HOUZZ,KIRKLANDDS,KOHLDSN,MACY02F,NEBFUR01,OLLIIX,OVERSCONSIGN,OVERSTOCK01,ROOMECOM</t>
  </si>
  <si>
    <t>2/15/2023</t>
  </si>
  <si>
    <t>MP104-0716</t>
  </si>
  <si>
    <t>AMERSIGNDS,CSNSTORES,HOUZZ,KOHLDSN,LAMPDS,MACY02F,OLLIIX,OVERSTOCK01,ROOMECOM</t>
  </si>
  <si>
    <t>MP104-1047</t>
  </si>
  <si>
    <t>AMAZONDS,AMERSIGNDS,CSNSTORES,HOUZZ,KOHLDSN,LAMPDS,MACY02F,OLLIIX,OVERSTOCK01,ROOMECOM</t>
  </si>
  <si>
    <t>3/28/2021</t>
  </si>
  <si>
    <t>FPF20-0402</t>
  </si>
  <si>
    <t>Avila</t>
  </si>
  <si>
    <t>Saffron</t>
  </si>
  <si>
    <t>Tufted Back Counter Stool</t>
  </si>
  <si>
    <t>PF000798;PP000092</t>
  </si>
  <si>
    <t>AMAZONDS,AMERSIGNDS,ASHFURNDS,BBBDROP,BEALLSDS,BLK01,CASTLEGATE,CSNSTORES,HOUZZ,KOHLDSN,LAMPDS,MACY02F,OLLIIX,OVERSTOCK01,ROOMECOM,TGTDVS,Zulily</t>
  </si>
  <si>
    <t>MP104-1003</t>
  </si>
  <si>
    <t>9/8/2020</t>
  </si>
  <si>
    <t>AMERSIGNDS,BBBDROP,BLK01,CASTLEGATE,CSNSTORES,HOUZZ,JCPENNEY01,KOHLDSN,LAMPDS,MACY02F,OLLIIX,OVERSTOCK01,ROOMECOM,TGTDVS</t>
  </si>
  <si>
    <t>6/24/2021</t>
  </si>
  <si>
    <t>FPF20-0532</t>
  </si>
  <si>
    <t>PF000802;PP000092</t>
  </si>
  <si>
    <t>AMAZON,AMAZONDS,AMERSIGNDS,BBBDROP,BLK01,CASTLEGATE,CSNSTORES,KIRKLANDDS,KOHLDSN,LAMPDS,OLLIIX,OVERSTOCK01,ROOMECOM,TGTDVS</t>
  </si>
  <si>
    <t>10/21/2022</t>
  </si>
  <si>
    <t>FPF20-0531</t>
  </si>
  <si>
    <t>PF000801;PP000092</t>
  </si>
  <si>
    <t>AMAZONDS,AMERSIGNDS,BLK01,CASTLEGATE,CSNSTORES,HOUZZ,KIRKLANDDS,KOHLDSN,LAMPDS,MACY02F,OLLIIX,OVERSTOCK01,ROOMECOM,TGTDVS</t>
  </si>
  <si>
    <t>MP104-0037</t>
  </si>
  <si>
    <t>Cirque</t>
  </si>
  <si>
    <t>Kagen</t>
  </si>
  <si>
    <t>Wells</t>
  </si>
  <si>
    <t>Counter Stool Set of 2</t>
  </si>
  <si>
    <t>PF000284;PP000121</t>
  </si>
  <si>
    <t>AMERSIGNDS,BEALLSDS,CASTLEGATE,CSNSTORES,HOUZZ,KOHLDSN,LAMPDS,MACY02F,NEBFUR01,OLLIIX,OVERSTOCK01,ROOMECOM,TGTDVS,Zulily</t>
  </si>
  <si>
    <t>11/10/2022</t>
  </si>
  <si>
    <t>FPF18-0186</t>
  </si>
  <si>
    <t>PF000005;PP000121</t>
  </si>
  <si>
    <t>AMERSIGNDS,CASTLEGATE,CSNSTORES,HDDS,KOHLDSN,LAMPDS,OLLIIX,OVERSTOCK01,ROOMECOM,TGTDVS</t>
  </si>
  <si>
    <t>Temp Discontinued</t>
  </si>
  <si>
    <t>4/22/2022</t>
  </si>
  <si>
    <t>FPF20-0540</t>
  </si>
  <si>
    <t>PF000069;PP000121</t>
  </si>
  <si>
    <t>AMERSIGNDS,CASTLEGATE,CSNSTORES,HOUZZ,KOHLDSN,LAMPDS,NEBFUR01,OLLIIX,OVERSTOCK01,ROOMECOM,TGTDVS</t>
  </si>
  <si>
    <t>FPF18-0187</t>
  </si>
  <si>
    <t>PF000006;PP000121</t>
  </si>
  <si>
    <t>AMERSIGNDS,BLK01,CASTLEGATE,CSNSTORES,HOUZZ,KOHLDSN,LAMPDS,NEBFUR01,OLLIIX,OVERSTOCK01,ROOMECOM,TGTDVS</t>
  </si>
  <si>
    <t>MP104-0055</t>
  </si>
  <si>
    <t>Marian</t>
  </si>
  <si>
    <t>Misha</t>
  </si>
  <si>
    <t>Khloe</t>
  </si>
  <si>
    <t>Tufted Counter Stool</t>
  </si>
  <si>
    <t>PF000297;PP000205</t>
  </si>
  <si>
    <t>AMERSIGNDS,CASTLEGATE,CSNSTORES,HOUZZ,KOHLDSN,LAMPDS,MACY02F,NEBFUR01,OLLIIX,OVERSTOCK01,ROOMECOM,TGTDVS</t>
  </si>
  <si>
    <t>8/4/2022</t>
  </si>
  <si>
    <t>2/8/2023</t>
  </si>
  <si>
    <t>FPF20-0395</t>
  </si>
  <si>
    <t>PF000048;PP000205</t>
  </si>
  <si>
    <t>10/17/2024</t>
  </si>
  <si>
    <t>AMERSIGNDS,BLK01,CASTLEGATE,CSNSTORES,KOHLDSN,LAMPDS,MACY02F,OLLIIX,OVERSTOCK01,ROOMECOM,TGTDVS</t>
  </si>
  <si>
    <t>8/21/2022</t>
  </si>
  <si>
    <t>MP104-1127</t>
  </si>
  <si>
    <t>3/17/2022</t>
  </si>
  <si>
    <t>AMERSIGNDS,BBBDROP,CASTLEGATE,CSNSTORES,HOUZZ,JCPENNEY01,KIRKLANDDS,KOHLDSN,MACY02F,OLLIIX,OVERSTOCK01,TGTDVS</t>
  </si>
  <si>
    <t>MP104-1119</t>
  </si>
  <si>
    <t>Emmett</t>
  </si>
  <si>
    <t>Janet</t>
  </si>
  <si>
    <t>Cheryl</t>
  </si>
  <si>
    <t>25.75" Swivel Counter Stool</t>
  </si>
  <si>
    <t>10/13/2021</t>
  </si>
  <si>
    <t>AMERSIGNDS,CSNSTORES,HOUZZ,JCPENNEY01,KOHLDSN,LAMPDS,MACY02F,OLLIIX,OVERSTOCK01,ROOMECOM,Zulily</t>
  </si>
  <si>
    <t>MP104-0943</t>
  </si>
  <si>
    <t>2/6/2020</t>
  </si>
  <si>
    <t>AMAZONDS,AMERSIGNDS,BBBDROP,CSNSTORES,HDDS,HOUZZ,JCPENNEY01,KOHLDSN,LAMPDS,MACY02F,OLLIIX,OVERSTOCK01,ROOMECOM,TGTDVS</t>
  </si>
  <si>
    <t>MP104-1105</t>
  </si>
  <si>
    <t>5/18/2021</t>
  </si>
  <si>
    <t>AMAZONDS,AMERSIGNDS,ASHFURNDS,BBBDROP,BLK01,CSNSTORES,HDDS,HOUZZ,JCPENNEY01,KIRKLANDDS,KOHLDSN,LAMPDS,MACY02F,NEBFUR01,OLLIIX,OVERSTOCK01,ROOMECOM,TGTDVS,Zulily</t>
  </si>
  <si>
    <t>FPF20-0401</t>
  </si>
  <si>
    <t>Belfast</t>
  </si>
  <si>
    <t>Nomad</t>
  </si>
  <si>
    <t>Westly</t>
  </si>
  <si>
    <t>Saddle Counter Stool</t>
  </si>
  <si>
    <t>PF000797;PP000095</t>
  </si>
  <si>
    <t>AMAZONDS,AMERSIGNDS,BBBDROP,BEALLSDS,BLK01,CASTLEGATE,CSNSTORES,HOUZZ,KOHLDSN,LAMPDS,MACY02F,NEBFUR01,OLLIIX,OVERSTOCK01,ROOMECOM,TGTDVS,Zulily</t>
  </si>
  <si>
    <t>10/23/2022</t>
  </si>
  <si>
    <t>FUR101-0039</t>
  </si>
  <si>
    <t>PF000814;PP000095</t>
  </si>
  <si>
    <t>AMAZONDS,AMERSIGNDS,BLK01,CSNSTORES,HOUZZ,KOHLDSN,LAMPDS,MACY02F,NEBFUR01,OLLIIX,OVERSTOCK01,ROOMECOM,TGTDVS,Zulily</t>
  </si>
  <si>
    <t>FUR101-0037</t>
  </si>
  <si>
    <t>PF000812;PP000095</t>
  </si>
  <si>
    <t>AMAZON,AMAZONDS,BEALLSDS,BLK01,CASTLEGATE,CSNSTORES,HOUZZ,KOHLDSN,LAMPDS,NEBFUR01,OLLIIX,OVERSTOCK01,ROOMECOM,TGTDVS</t>
  </si>
  <si>
    <t>MP104-1123</t>
  </si>
  <si>
    <t>12/17/2021</t>
  </si>
  <si>
    <t>AMAZONDS,AMERSIGNDS,BLK01,CSNSTORES,DESINC,HOUZZ,KIRKLANDDS,KOHLDSN,LAMPDS,MACY02F,OLLIIX,OVERSTOCK01,TGTDVS,Zulily</t>
  </si>
  <si>
    <t>MP104-0986</t>
  </si>
  <si>
    <t>Carson</t>
  </si>
  <si>
    <t>Fillmore</t>
  </si>
  <si>
    <t>Troy</t>
  </si>
  <si>
    <t>Counter Stool with Swivel Seat</t>
  </si>
  <si>
    <t>6/15/2020</t>
  </si>
  <si>
    <t>BBBDROP,BLK01,CASTLEGATE,CSNSTORES,JCPENNEY01,KIRKLANDDS,KOHLDSN,LAMPDS,MACY02F,OLLIIX,OVERSTOCK01,ROOMECOM</t>
  </si>
  <si>
    <t>MP104-0512</t>
  </si>
  <si>
    <t>Counter Stool With Swivel Seat</t>
  </si>
  <si>
    <t>PP000620</t>
  </si>
  <si>
    <t>BBBDROP,CASTLEGATE,CSNSTORES,HDDS,HOUZZ,KIRKLANDDS,KOHLDSN,LAMPDS,MACY02F,OLLIIX,OVERSTOCK01,ROOMECOM,TGTDVS</t>
  </si>
  <si>
    <t>4/10/2022</t>
  </si>
  <si>
    <t>MP104-1153</t>
  </si>
  <si>
    <t>1/24/2022</t>
  </si>
  <si>
    <t>BBBDROP,CSNSTORES,HOUZZ,JCPENNEY01,KIRKLANDDS,KOHLDSN,LAMPDS,MACY02F,OLLIIX,OVERSTOCK01,Zulily</t>
  </si>
  <si>
    <t>FPF20-0556</t>
  </si>
  <si>
    <t>Colfax</t>
  </si>
  <si>
    <t>Weldon</t>
  </si>
  <si>
    <t>Lorsted</t>
  </si>
  <si>
    <t>PF000085;PP000127</t>
  </si>
  <si>
    <t>AMERSIGNDS,CASTLEGATE,CSNSTORES,HOUZZ,MACY02F,OLLIIX,OVERSTOCK01,ROOMECOM,TGTDVS,Zulily</t>
  </si>
  <si>
    <t>FPF20-0557</t>
  </si>
  <si>
    <t>PF000086;PP000127</t>
  </si>
  <si>
    <t>AMERSIGNDS,BBBDROP,BLK01,CASTLEGATE,CSNSTORES,HOUZZ,KOHLDSN,LAMPDS,MACY02F,OLLIIX,OVERSTOCK01,ROOMECOM,TGTDVS</t>
  </si>
  <si>
    <t>MP104-0515</t>
  </si>
  <si>
    <t>Pearce</t>
  </si>
  <si>
    <t>Walsh</t>
  </si>
  <si>
    <t>Howard</t>
  </si>
  <si>
    <t>PP000623</t>
  </si>
  <si>
    <t>1/20/2018</t>
  </si>
  <si>
    <t>7/3/2024</t>
  </si>
  <si>
    <t>AMERSIGNDS,CASTLEGATE,CSNSTORES,HDDS,HOUZZ,KOHLDSN,LAMPDS,MACY02F,OLLIIX,OVERSTOCK01,ROOMECOM,TGTDVS</t>
  </si>
  <si>
    <t>8/24/2022</t>
  </si>
  <si>
    <t>MP104-0988</t>
  </si>
  <si>
    <t>AAFESDS,AMERSIGNDS,BBBDROP,CASTLEGATE,CSNSTORES,HOUZZ,JCPENNEY01,KIRKLANDDS,KOHLDSN,LAMPDS,MACY02F,NEBFUR01,OLLIIX,OVERSCONSIGN,OVERSTOCK01,ROOMECOM,TGTDVS,ZOLA</t>
  </si>
  <si>
    <t>MP104-1146</t>
  </si>
  <si>
    <t>1/28/2022</t>
  </si>
  <si>
    <t>AMERSIGNDS,BBBDROP,CSNSTORES,DESINC,HOUZZ,JCPENNEY01,KOHLDSN,LAMPDS,MACY02F,OLLIIX,OVERSCONSIGN,OVERSTOCK01,TGTDVS</t>
  </si>
  <si>
    <t>MP104-1147</t>
  </si>
  <si>
    <t>CSNSTORES,HOUZZ,JCPENNEY01,KOHLDSN,NEBFUR01,OLLIIX,OVERSTOCK01</t>
  </si>
  <si>
    <t>MP104-0514</t>
  </si>
  <si>
    <t>Simon</t>
  </si>
  <si>
    <t>Reed</t>
  </si>
  <si>
    <t>Gunther</t>
  </si>
  <si>
    <t>PP000622</t>
  </si>
  <si>
    <t>AMERSIGNDS,CSNSTORES,DESINC,HOUZZ,KOHLDSN,LAMPDS,MACY02F,OLLIIX,OVERSTOCK01,ROOMECOM,TGTDVS</t>
  </si>
  <si>
    <t>MP104-1073</t>
  </si>
  <si>
    <t>12/29/2020</t>
  </si>
  <si>
    <t>CSNSTORES,HOUZZ,JCPENNEY01,KIRKLANDDS,KOHLDSN,LAMPDS,MACY02F,NEBFUR01,OLLIIX,OVERSTOCK01,ROOMECOM</t>
  </si>
  <si>
    <t>MP104-0944</t>
  </si>
  <si>
    <t>Mateo</t>
  </si>
  <si>
    <t>Quarry</t>
  </si>
  <si>
    <t>Swivel Counter Stool</t>
  </si>
  <si>
    <t>2/10/2020</t>
  </si>
  <si>
    <t>AMERSIGNDS,BLK01,CSNSTORES,HOUZZ,KOHLDSN,MACY02F,NEBFUR01,OLLIIX,OVERSCONSIGN,OVERSTOCK01,ROOMECOM,TGTDVS</t>
  </si>
  <si>
    <t>MP104-1104</t>
  </si>
  <si>
    <t>AMERSIGNDS,BLK01,CSNSTORES,HOUZZ,JCPENNEY01,KOHLDSN,LAMPDS,MACY02F,OLLIIX,OVERSTOCK01,ROOMECOM,TGTDVS</t>
  </si>
  <si>
    <t>6/25/2022</t>
  </si>
  <si>
    <t>MP104-0440</t>
  </si>
  <si>
    <t>Kellen</t>
  </si>
  <si>
    <t>Mervin</t>
  </si>
  <si>
    <t>Savage</t>
  </si>
  <si>
    <t>Light Blue</t>
  </si>
  <si>
    <t>PF001125;PP000186</t>
  </si>
  <si>
    <t>8/7/2017</t>
  </si>
  <si>
    <t>BBBDROP,CSNSTORES,KOHLDSN,LAMPDS,MACY02F,NEBFUR01,OLLIIX,OVERSTOCK01,ROOMECOM</t>
  </si>
  <si>
    <t>MP104-1074</t>
  </si>
  <si>
    <t>Jillian</t>
  </si>
  <si>
    <t>Marshall</t>
  </si>
  <si>
    <t>Ellery</t>
  </si>
  <si>
    <t>AMERSIGNDS,BLK01,CASTLEGATE,CSNSTORES,HOUZZ,JCPENNEY01,KIRKLANDDS,KOHLDSN,LAMPDS,MACY02F,OLLIIX,OVERSTOCK01,ROOMECOM,TGTDVS,Zulily</t>
  </si>
  <si>
    <t>MP104-0510</t>
  </si>
  <si>
    <t xml:space="preserve">Counter  Stool with Swivel Seat</t>
  </si>
  <si>
    <t>PP000619</t>
  </si>
  <si>
    <t>AMERSIGNDS,BBBDROP,CASTLEGATE,CSNSTORES,HOUZZ,KOHLDSN,LAMPDS,MACY02F,OLLIIX,OVERSTOCK01,ROOMECOM,TGTDVS</t>
  </si>
  <si>
    <t>8/14/2023</t>
  </si>
  <si>
    <t>MP104-0040</t>
  </si>
  <si>
    <t>Brody</t>
  </si>
  <si>
    <t>Victor</t>
  </si>
  <si>
    <t>Wing Counter Stool</t>
  </si>
  <si>
    <t>PF000285;PP000104</t>
  </si>
  <si>
    <t>CASTLEGATE,CSNSTORES,HOUZZ,KOHLDSN,LAMPDS,MACY02F,OLLIIX,OVERSTOCK01,ROOMECOM,TGTDVS</t>
  </si>
  <si>
    <t>FPF20-0551</t>
  </si>
  <si>
    <t>PF000080;PP000104</t>
  </si>
  <si>
    <t>AMERSIGNDS,BLK01,CASTLEGATE,CSNSTORES,HOUZZ,KOHLDSN,LAMPDS,MACY02F,OLLIIX,OVERSTOCK01,ROOMECOM,TGTDVS</t>
  </si>
  <si>
    <t>12/30/2022</t>
  </si>
  <si>
    <t>MP104-0041</t>
  </si>
  <si>
    <t>PF000286;PP000104</t>
  </si>
  <si>
    <t>AMERSIGNDS,CASTLEGATE,CSNSTORES,HOUZZ,KOHLDSN,MACY02F,OLLIIX,OVERSTOCK01,ROOMECOM,TGTDVS</t>
  </si>
  <si>
    <t>1/4/2023</t>
  </si>
  <si>
    <t>FPF20-0552</t>
  </si>
  <si>
    <t>Camel</t>
  </si>
  <si>
    <t>Amory</t>
  </si>
  <si>
    <t>PF000081;PP000108</t>
  </si>
  <si>
    <t>BLK01,CASTLEGATE,CSNSTORES,HOUZZ,KOHLDSN,LAMPDS,MACY02F,NEBFUR01,OLLIIX,OVERSTOCK01,ROOMECOM,TGTDVS</t>
  </si>
  <si>
    <t>MP104-1079</t>
  </si>
  <si>
    <t>Maison</t>
  </si>
  <si>
    <t>Marc</t>
  </si>
  <si>
    <t>Eugene</t>
  </si>
  <si>
    <t>Charcoal/Antique Gold</t>
  </si>
  <si>
    <t>BLK01,CSNSTORES,HOUZZ,JCPENNEY01,KOHLDSN,LAMPDS,MACY02F,OLLIIX,OVERSTOCK01,ROOMECOM,TGTDVS</t>
  </si>
  <si>
    <t>MP104-1247</t>
  </si>
  <si>
    <t>Dark Grey/Antique Gold</t>
  </si>
  <si>
    <t>MP104-1238</t>
  </si>
  <si>
    <t>Bryce</t>
  </si>
  <si>
    <t>Robertson</t>
  </si>
  <si>
    <t>Thornton</t>
  </si>
  <si>
    <t>26"H Upholstered Counter Stool with Metal Base</t>
  </si>
  <si>
    <t>10/4/2023</t>
  </si>
  <si>
    <t>CSNSTORES,KIRKLANDDS,OLLIIX,OVERSTOCK01</t>
  </si>
  <si>
    <t>MP104-0762</t>
  </si>
  <si>
    <t>Davisina</t>
  </si>
  <si>
    <t>Sugar</t>
  </si>
  <si>
    <t>Counterstool</t>
  </si>
  <si>
    <t>3/4/2019</t>
  </si>
  <si>
    <t>AMERSIGNDS,BBBDROP,BLK01,CSNSTORES,HOUZZ,KIRKLANDDS,KOHLDSN,LAMPDS,MACY02F,NEBFUR01,OLLIIX,OVERSCONSIGN,OVERSTOCK01,ROOMECOM,TGTDVS</t>
  </si>
  <si>
    <t>MP104-0768</t>
  </si>
  <si>
    <t>Connie</t>
  </si>
  <si>
    <t>Dave</t>
  </si>
  <si>
    <t>Mcline</t>
  </si>
  <si>
    <t>AMAZONDS,AMERSIGNDS,CSNSTORES,DESINC,HOUZZ,KOHLDSN,MACY02F,OLLIIX,OVERSTOCK01,ROOMECOM,TGTDVS,Zulily</t>
  </si>
  <si>
    <t>MP104-1239</t>
  </si>
  <si>
    <t>Cane Back Counter Stool</t>
  </si>
  <si>
    <t>10/13/2023</t>
  </si>
  <si>
    <t>AMERSIGNDS,CSNSTORES,DESINC,KOHLDSN,OLLIIX,OVERSTOCK01,TGTDVS</t>
  </si>
  <si>
    <t>MP104-0787</t>
  </si>
  <si>
    <t>Glenwood</t>
  </si>
  <si>
    <t>Crimson</t>
  </si>
  <si>
    <t>Farwell</t>
  </si>
  <si>
    <t>AMAZONDS,AMERSIGNDS,BBBDROP,CASTLEGATE,CSNSTORES,HOUZZ,KOHLDSN,MACY02F,NEBFUR01,OLLIIX,OVERSTOCK01,TGTDVS,ZOLA,Zulily</t>
  </si>
  <si>
    <t>MP104-1173</t>
  </si>
  <si>
    <t>2/22/2022</t>
  </si>
  <si>
    <t>CSNSTORES,HOUZZ,KIRKLANDDS,KOHLDSN,LAMPDS,MACY02F,OLLIIX,OVERSTOCK01,TGTDVS</t>
  </si>
  <si>
    <t>MP104-1208</t>
  </si>
  <si>
    <t>Hermosa</t>
  </si>
  <si>
    <t>Rosita</t>
  </si>
  <si>
    <t>Woven Counter Stool 25"</t>
  </si>
  <si>
    <t>12/5/2022</t>
  </si>
  <si>
    <t>CSNSTORES,HOUZZ,KOHLDSN,LAMPDS,OLLIIX,OVERSTOCK01,TGTDVS,ZOLA</t>
  </si>
  <si>
    <t>MP104-1110</t>
  </si>
  <si>
    <t>9/6/2021</t>
  </si>
  <si>
    <t>AMAZONDS,BBBDROP,CSNSTORES,DESINC,HOUZZ,JCPENNEY01,KIRKLANDDS,KOHLDSN,LAMPDS,NEBFUR01,OLLIIX,OVERSCONSIGN,OVERSTOCK01,ROOMECOM,TGTDVS,Zulily</t>
  </si>
  <si>
    <t>MP104-1085</t>
  </si>
  <si>
    <t>Isadora</t>
  </si>
  <si>
    <t>Andrina</t>
  </si>
  <si>
    <t>Faustina</t>
  </si>
  <si>
    <t>Counter stool</t>
  </si>
  <si>
    <t>CSNSTORES,HOUZZ,LAMPDS,MACY02F,OLLIIX,OVERSTOCK01,TGTDVS</t>
  </si>
  <si>
    <t>FPF20-0283</t>
  </si>
  <si>
    <t>Jodi</t>
  </si>
  <si>
    <t>Lydia</t>
  </si>
  <si>
    <t>Lauren</t>
  </si>
  <si>
    <t>Tufted Wing Counter Stool</t>
  </si>
  <si>
    <t>PF000781;PP000180</t>
  </si>
  <si>
    <t>AMAZONDS,AMERSIGNDS,CASTLEGATE,CSNSTORES,KOHLDSN,MACY02F,OLLIIX,OVERSTOCK01,ROOMECOM</t>
  </si>
  <si>
    <t>MP104-0556</t>
  </si>
  <si>
    <t>Kobe</t>
  </si>
  <si>
    <t>Heyes</t>
  </si>
  <si>
    <t>Bryant</t>
  </si>
  <si>
    <t>PP000670</t>
  </si>
  <si>
    <t>1/13/2018</t>
  </si>
  <si>
    <t>MP104-1150</t>
  </si>
  <si>
    <t>2/18/2022</t>
  </si>
  <si>
    <t>CSNSTORES,HOUZZ,KOHLDSN,MACY02F,OLLIIX,OVERSTOCK01</t>
  </si>
  <si>
    <t>MP104-1197</t>
  </si>
  <si>
    <t>Onyx</t>
  </si>
  <si>
    <t>Boyle</t>
  </si>
  <si>
    <t>Grattan</t>
  </si>
  <si>
    <t>Upholstered 360 Degree Swivel Counter Stool 26" H</t>
  </si>
  <si>
    <t>AMERSIGNDS,CSNSTORES,DESINC,KOHLDSN,NEBFUR01,OLLIIX,OVERSTOCK01</t>
  </si>
  <si>
    <t>MP104-0577</t>
  </si>
  <si>
    <t>CASTLEGATE,CSNSTORES,KOHLDSN,LAMPDS,MACY02F,OLLIIX,OVERSTOCK01,ROOMECOM,TGTDVS,ZOLA,Zulily</t>
  </si>
  <si>
    <t>10/27/2021</t>
  </si>
  <si>
    <t>MP104-1181</t>
  </si>
  <si>
    <t>4/21/2022</t>
  </si>
  <si>
    <t>CSNSTORES,JCPENNEY01,KIRKLANDDS,KOHLDSN,MACY02F,OLLIIX,OVERSTOCK01,Zulily</t>
  </si>
  <si>
    <t>MP104-1212</t>
  </si>
  <si>
    <t>Stewart</t>
  </si>
  <si>
    <t>Monica</t>
  </si>
  <si>
    <t>Rachel</t>
  </si>
  <si>
    <t>Upholstered 360 Degree Swivel Counter Stool 25" H</t>
  </si>
  <si>
    <t>CSNSTORES,HOUZZ,JCPENNEY01,LAMPDS,MACY02F,OLLIIX,OVERSTOCK01,TGTDVS</t>
  </si>
  <si>
    <t>MP104-0810</t>
  </si>
  <si>
    <t>Tuscan</t>
  </si>
  <si>
    <t>Wheatley</t>
  </si>
  <si>
    <t>Muriel</t>
  </si>
  <si>
    <t>PP001129</t>
  </si>
  <si>
    <t>CSNSTORES,HOUZZ,KOHLDSN,LAMPDS,MACY02F,OLLIIX,OVERSTOCK01,ROOMECOM,TGTDVS,Zulily</t>
  </si>
  <si>
    <t>12/4/2020</t>
  </si>
  <si>
    <t>MP104-0062</t>
  </si>
  <si>
    <t>Bar Stool</t>
  </si>
  <si>
    <t>30-Inch Bar Stool</t>
  </si>
  <si>
    <t>PF000305;PP000127</t>
  </si>
  <si>
    <t>8/16/2017</t>
  </si>
  <si>
    <t>AMERSIGNDS,BLK01,CSNSTORES,KIRKLANDDS,KOHLDSN,MACY02F,NEBFUR01,OLLIIX,OVERSTOCK01,ROOMECOM,TGTDVS</t>
  </si>
  <si>
    <t>MP104-0061</t>
  </si>
  <si>
    <t>PF000304;PP000127</t>
  </si>
  <si>
    <t>CSNSTORES,DESINC,KOHLDSN,MACY02F,NEBFUR01,OLLIIX,ROOMECOM</t>
  </si>
  <si>
    <t>FPF20-0394</t>
  </si>
  <si>
    <t>PF000047;PP000127</t>
  </si>
  <si>
    <t>BBBDROP,CSNSTORES,HOUZZ,KOHLDSN,MACY02F,OLLIIX,OVERSTOCK01,ROOMECOM</t>
  </si>
  <si>
    <t>MP104-0060</t>
  </si>
  <si>
    <t>PF000303;PP000127</t>
  </si>
  <si>
    <t>AMERSIGNDS,CSNSTORES,HOUZZ,KIRKLANDDS,KOHLDSN,MACY02F,NEBFUR01,OLLIIX,OVERSTOCK01,ROOMECOM</t>
  </si>
  <si>
    <t>FPF20-0559</t>
  </si>
  <si>
    <t>Nate</t>
  </si>
  <si>
    <t>Everitt</t>
  </si>
  <si>
    <t>Gally</t>
  </si>
  <si>
    <t>PF000088;PP000222</t>
  </si>
  <si>
    <t>AMERSIGNDS,CSNSTORES,KOHLDSN,MACY02F,OLLIIX,OVERSTOCK01,ROOMECOM,TGTDVS</t>
  </si>
  <si>
    <t>FPF20-0558</t>
  </si>
  <si>
    <t>PF000087;PP000222</t>
  </si>
  <si>
    <t>BBBDROP,CASTLEGATE,CSNSTORES,HOUZZ,JCPENNEY01,KOHLDSN,MACY02F,OLLIIX,OVERSTOCK01,ROOMECOM,TGTDVS</t>
  </si>
  <si>
    <t>11/11/2020</t>
  </si>
  <si>
    <t>3/19/2021</t>
  </si>
  <si>
    <t>MP104-0046</t>
  </si>
  <si>
    <t>Dawson</t>
  </si>
  <si>
    <t>Parler</t>
  </si>
  <si>
    <t>Bracken</t>
  </si>
  <si>
    <t>Arm 26‘’ Counter Stool</t>
  </si>
  <si>
    <t>PF000289;PP000141</t>
  </si>
  <si>
    <t>CSNSTORES,DESINC,JCPENNEY01,LAMPDS,NEBFUR01,OLLIIX,OVERSTOCK01,ROOMECOM</t>
  </si>
  <si>
    <t>MP104-0044</t>
  </si>
  <si>
    <t>PF000287;PP000141</t>
  </si>
  <si>
    <t>CSNSTORES,MACY02F,OLLIIX,OVERSTOCK01,ROOMECOM</t>
  </si>
  <si>
    <t>12/2/2022</t>
  </si>
  <si>
    <t>MP104-1053</t>
  </si>
  <si>
    <t>Bar Stool with Swivel Seat</t>
  </si>
  <si>
    <t>10/19/2020</t>
  </si>
  <si>
    <t>AMERSIGNDS,BBBDROP,BLK01,CSNSTORES,HOUZZ,KOHLDSN,LAMPDS,OLLIIX,OVERSTOCK01,ROOMECOM,TGTDVS</t>
  </si>
  <si>
    <t>MP104-1148</t>
  </si>
  <si>
    <t>AMERSIGNDS,CSNSTORES,KOHLDSN,LAMPDS,OLLIIX,OVERSTOCK01,TGTDVS</t>
  </si>
  <si>
    <t>MP104-1052</t>
  </si>
  <si>
    <t>AMERSIGNDS,BLK01,CASTLEGATE,CSNSTORES,JCPENNEY01,KOHLDSN,MACY02F,OLLIIX,OVERSTOCK01,TGTDVS</t>
  </si>
  <si>
    <t>2/11/2021</t>
  </si>
  <si>
    <t>MP104-1149</t>
  </si>
  <si>
    <t>CSNSTORES,DESINC,KOHLDSN,OLLIIX,TGTDVS</t>
  </si>
  <si>
    <t>MP104-0392</t>
  </si>
  <si>
    <t>High Wingback Button Tufted Upholstered 30" Swivel Bar Stool with Nailhead Accent</t>
  </si>
  <si>
    <t>AMERSIGNDS,CSNSTORES,HOUZZ,KOHLDSN,LAMPDS,MACY02F,OLLIIX,ROOMECOM</t>
  </si>
  <si>
    <t>MP104-0717</t>
  </si>
  <si>
    <t>BLK01,CSNSTORES,HOUZZ,ROOMECOM,Zulily</t>
  </si>
  <si>
    <t>FUR101-0038</t>
  </si>
  <si>
    <t>Mushroom</t>
  </si>
  <si>
    <t>PF000813;PP000095</t>
  </si>
  <si>
    <t>BLK01,CASTLEGATE,HOUZZ,KOHLDSN,LAMPDS,MACY02F,OLLIIX,OVERSTOCK01,ROOMECOM,TGTDVS,Zulily</t>
  </si>
  <si>
    <t>MP104-1133</t>
  </si>
  <si>
    <t>Bixby</t>
  </si>
  <si>
    <t>Dunas</t>
  </si>
  <si>
    <t>Burke</t>
  </si>
  <si>
    <t>Faux Leather Counter Stool with Metal Frame</t>
  </si>
  <si>
    <t>2/19/2022</t>
  </si>
  <si>
    <t>FPF20-0553</t>
  </si>
  <si>
    <t>PF000082;PP000108</t>
  </si>
  <si>
    <t>BLK01,CSNSTORES,KOHLDSN,LAMPDS,MACY02F,OLLIIX,ROOMECOM</t>
  </si>
  <si>
    <t>MP104-1056</t>
  </si>
  <si>
    <t>Bar Stool Set of 2</t>
  </si>
  <si>
    <t>12/3/2020</t>
  </si>
  <si>
    <t>AMERSIGNDS,CSNSTORES,DESINC,KOHLDSN,LAMPDS,OLLIIX,OVERSTOCK01,ROOMECOM,Zulily</t>
  </si>
  <si>
    <t>1/24/2021</t>
  </si>
  <si>
    <t>FPF20-0399</t>
  </si>
  <si>
    <t>Cleo</t>
  </si>
  <si>
    <t>Aida</t>
  </si>
  <si>
    <t>Islia</t>
  </si>
  <si>
    <t>PF000052;PP000123</t>
  </si>
  <si>
    <t>CASTLEGATE,CSNSTORES,KOHLDSN,OLLIIX,OVERSTOCK01,ROOMECOM</t>
  </si>
  <si>
    <t>MP104-1086</t>
  </si>
  <si>
    <t>Copeland</t>
  </si>
  <si>
    <t>Jakoba</t>
  </si>
  <si>
    <t>Eros</t>
  </si>
  <si>
    <t>Brown Multi</t>
  </si>
  <si>
    <t>CSNSTORES,HOUZZ,JCPENNEY01,KIRKLANDDS,LAMPDS,OLLIIX,OVERSTOCK01</t>
  </si>
  <si>
    <t>6/27/2022</t>
  </si>
  <si>
    <t>MP104-0067</t>
  </si>
  <si>
    <t>Bar Stool|Dining Chair</t>
  </si>
  <si>
    <t>PF000309;PP000222</t>
  </si>
  <si>
    <t>MP103-0706</t>
  </si>
  <si>
    <t>MOTION</t>
  </si>
  <si>
    <t>Swivel</t>
  </si>
  <si>
    <t>Tyler</t>
  </si>
  <si>
    <t>Memo</t>
  </si>
  <si>
    <t>Swivel Chair</t>
  </si>
  <si>
    <t>Teal Multi</t>
  </si>
  <si>
    <t>AMAZONDS,AMERSIGNDS,ASHFURNDS,BBBDROP,BLK01,CASTLEGATE,CSNSTORES,HDDS,HOUZZ,KOHLDSN,MACY02F,OLLIIX,OVERSTOCK01,ROOMECOM,TGTDVS</t>
  </si>
  <si>
    <t>2/7/2019</t>
  </si>
  <si>
    <t>6/26/2019</t>
  </si>
  <si>
    <t>MP103-0236</t>
  </si>
  <si>
    <t>Natural Multi</t>
  </si>
  <si>
    <t>PF001096;PP000273</t>
  </si>
  <si>
    <t>8/25/2024</t>
  </si>
  <si>
    <t>AMAZONDS,AMERSIGNDS,ASHFURNDS,BLK01,CASTLEGATE,CSNSTORES,HDDS,HOUZZ,JCPENNEY01,KIRKLANDDS,KOHLDSN,MACY02F,OLLIIX,OVERSTOCK01,ROOMECOM,TGTDVS,Zulily</t>
  </si>
  <si>
    <t>1/23/2019</t>
  </si>
  <si>
    <t>MP103-0481</t>
  </si>
  <si>
    <t>Chocolate</t>
  </si>
  <si>
    <t>MP103-1103</t>
  </si>
  <si>
    <t>AMAZONDS,AMERSIGNDS,ASHFURNDS,BLK01,CSNSTORES,HDDS,JCPENNEY01,KIRKLANDDS,KOHLDSN,MACY02F,OLLIIX,OVERSTOCK01,TGTDVS</t>
  </si>
  <si>
    <t>MP103-1071</t>
  </si>
  <si>
    <t>AMAZONDS,AMERSIGNDS,ASHFURNDS,BBBDROP,CASTLEGATE,CSNSTORES,DESINC,HDDS,JCPENNEY01,KIRKLANDDS,KOHLDSN,LAMPDS,MACY02F,OLLIIX,OVERSTOCK01,TGTDVS</t>
  </si>
  <si>
    <t>MP103-0482</t>
  </si>
  <si>
    <t>Capstone</t>
  </si>
  <si>
    <t>Wilmette</t>
  </si>
  <si>
    <t>Milton</t>
  </si>
  <si>
    <t>Tufted Barrel Swivel Chair</t>
  </si>
  <si>
    <t>AMERSIGNDS,ASHFURNDS,CASTLEGATE,CSNSTORES,HDDS,HOUZZ,KIRKLANDDS,KOHLDSN,LAMPDS,MACY02F,OLLIIX,OVERSTOCK01,ROOMECOM,TGTDVS</t>
  </si>
  <si>
    <t>MP103-0242</t>
  </si>
  <si>
    <t>Slate</t>
  </si>
  <si>
    <t>PF001102</t>
  </si>
  <si>
    <t>5/25/2017</t>
  </si>
  <si>
    <t>AMERSIGNDS,ASHFURNDS,CASTLEGATE,CSNSTORES,HDDS,JCPENNEY01,KOHLDSN,LAMPDS,MACY02F,OLLIIX,OVERSTOCK01,ROOMECOM,ZOLA,Zulily</t>
  </si>
  <si>
    <t>MP103-1226</t>
  </si>
  <si>
    <t>7/31/2023</t>
  </si>
  <si>
    <t>CSNSTORES,KIRKLANDDS,MACY02F,OLLIIX,OVERSTOCK01,TGTDVS</t>
  </si>
  <si>
    <t>MP103-1077</t>
  </si>
  <si>
    <t>AMAZONDS,AMERSIGNDS,ASHFURNDS,CSNSTORES,HDDS,JCPENNEY01,KOHLDSN,LAMPDS,OLLIIX,OVERSTOCK01,TGTDVS</t>
  </si>
  <si>
    <t>MP103-0985</t>
  </si>
  <si>
    <t>Brianne</t>
  </si>
  <si>
    <t>Betty</t>
  </si>
  <si>
    <t>Wide Seat Swivel Arm Chair</t>
  </si>
  <si>
    <t>AMAZONDS,AMERSIGNDS,BBBDROP,CASTLEGATE,CSNSTORES,HOUZZ,KIRKLANDDS,KOHLDSN,LAMPDS,MACY02F,OLLIIX,OVERSTOCK01,ROOMECOM,Zulily</t>
  </si>
  <si>
    <t>MP103-0241</t>
  </si>
  <si>
    <t>PF001101</t>
  </si>
  <si>
    <t>5/24/2017</t>
  </si>
  <si>
    <t>AMAZONDS,AMERSIGNDS,BBBDROP,CASTLEGATE,CSNSTORES,HOUZZ,KOHLDSN,MACY02F,OLLIIX,OVERSTOCK01,TGTDVS</t>
  </si>
  <si>
    <t>MP103-0697</t>
  </si>
  <si>
    <t>AMERSIGNDS,CASTLEGATE,CSNSTORES,DESINC,HDDS,HOUZZ,KIRKLANDDS,KOHLDSN,LAMPDS,MACY02F,OLLIIX,OVERSTOCK01,TGTDVS,Zulily</t>
  </si>
  <si>
    <t>MP103-1144</t>
  </si>
  <si>
    <t>1/26/2022</t>
  </si>
  <si>
    <t>CSNSTORES,HOUZZ,KIRKLANDDS,KOHLDSN,LAMPDS,OLLIIX,OVERSTOCK01,TGTDVS</t>
  </si>
  <si>
    <t>MP103-1000</t>
  </si>
  <si>
    <t>Adele</t>
  </si>
  <si>
    <t>Jayne</t>
  </si>
  <si>
    <t>Findlay</t>
  </si>
  <si>
    <t>AMERSIGNDS,BLK01,CSNSTORES,HDDS,KOHLDSN,MACY02F,OLLIIX,OVERSTOCK01</t>
  </si>
  <si>
    <t>MP103-0237</t>
  </si>
  <si>
    <t>PF001097</t>
  </si>
  <si>
    <t>AMERSIGNDS,ASHFURNDS,BLK01,CASTLEGATE,CSNSTORES,HDDS,HOUZZ,KOHLDSN,OLLIIX,OVERSTOCK01</t>
  </si>
  <si>
    <t>MP103-1193</t>
  </si>
  <si>
    <t>Archer</t>
  </si>
  <si>
    <t>Cedar</t>
  </si>
  <si>
    <t>Grimmer</t>
  </si>
  <si>
    <t>Faux Leather 360 Degree Swivel Arm Chair</t>
  </si>
  <si>
    <t>AMERSIGNDS,CSNSTORES,JCPENNEY01,KIRKLANDDS,KOHLDSN,LAMPDS,MACY02F,OLLIIX,OVERSTOCK01</t>
  </si>
  <si>
    <t>MP103-1245</t>
  </si>
  <si>
    <t>Upholstered Swivel Chair with Wood Base</t>
  </si>
  <si>
    <t>MP103-1246</t>
  </si>
  <si>
    <t>MP103-0239</t>
  </si>
  <si>
    <t>Calvin</t>
  </si>
  <si>
    <t>Gayla</t>
  </si>
  <si>
    <t>Galva</t>
  </si>
  <si>
    <t>Light Green</t>
  </si>
  <si>
    <t>PF001099</t>
  </si>
  <si>
    <t>CASTLEGATE,CSNSTORES,HDDS,HOUZZ,JCPENNEY01,KOHLDSN,MACY02F,OLLIIX,OVERSTOCK01,TGTDVS</t>
  </si>
  <si>
    <t>MP103-1072</t>
  </si>
  <si>
    <t>AMAZONDS,ASHFURNDS,CSNSTORES,HDDS,HOUZZ,JCPENNEY01,KIRKLANDDS,KOHLDSN,LAMPDS,MACY02F,OLLIIX,OVERSCONSIGN,OVERSTOCK01,TGTDVS</t>
  </si>
  <si>
    <t>MP103-1111</t>
  </si>
  <si>
    <t>Circa</t>
  </si>
  <si>
    <t>Upholstered Swivel Chair</t>
  </si>
  <si>
    <t>ASHFURNDS,CSNSTORES,HOUZZ,JCPENNEY01,KOHLDSN,MACY02F,OLLIIX,OVERSTOCK01</t>
  </si>
  <si>
    <t>MP103-0243</t>
  </si>
  <si>
    <t>Deanna</t>
  </si>
  <si>
    <t>Morton</t>
  </si>
  <si>
    <t>Sparta</t>
  </si>
  <si>
    <t>Upholstered Swivel Accent Chair</t>
  </si>
  <si>
    <t>PF001103</t>
  </si>
  <si>
    <t>AMERSIGNDS,ASHFURNDS,BLK01,CASTLEGATE,CSNSTORES,HDDS,HOUZZ,JCPENNEY01,KIRKLANDDS,KOHLDSN,MACY02F,OLLIIX,OVERSTOCK01,TGTDVS</t>
  </si>
  <si>
    <t>MP103-0480</t>
  </si>
  <si>
    <t>CASTLEGATE,CSNSTORES,HOUZZ,KOHLDSN,LAMPDS,MACY02F,OLLIIX,OVERSTOCK01</t>
  </si>
  <si>
    <t>MP103-0287</t>
  </si>
  <si>
    <t>Harris</t>
  </si>
  <si>
    <t>Lois</t>
  </si>
  <si>
    <t>Sidney</t>
  </si>
  <si>
    <t>PF001115;PP000172</t>
  </si>
  <si>
    <t>AMERSIGNDS,CASTLEGATE,CSNSTORES,HDDS,HOUZZ,KOHLDSN,MACY02F,OLLIIX,OVERSTOCK01,Zulily</t>
  </si>
  <si>
    <t>MP103-0702</t>
  </si>
  <si>
    <t>Chenille Swivel Chair</t>
  </si>
  <si>
    <t>Dusty Aqua</t>
  </si>
  <si>
    <t>AMERSIGNDS,BLK01,CASTLEGATE,CSNSTORES,HOUZZ,KIRKLANDDS,OLLIIX,OVERSTOCK01,Zulily</t>
  </si>
  <si>
    <t>MP103-0240</t>
  </si>
  <si>
    <t>PF001100;PP000172</t>
  </si>
  <si>
    <t>AMERSIGNDS,ASHFURNDS,BBBDROP,CASTLEGATE,CSNSTORES,HDDS,HOUZZ,KOHLDSN,OLLIIX,OVERSTOCK01</t>
  </si>
  <si>
    <t>MP103-1215</t>
  </si>
  <si>
    <t>Kaley</t>
  </si>
  <si>
    <t>Paloma</t>
  </si>
  <si>
    <t>Adobe</t>
  </si>
  <si>
    <t>Upholstered 360 Degree Swivel Chair</t>
  </si>
  <si>
    <t>CSNSTORES,KIRKLANDDS,KOHLDSN,MACY02F,OLLIIX,OVERSTOCK01,TGTDVS,ZOLA</t>
  </si>
  <si>
    <t>MP103-1224</t>
  </si>
  <si>
    <t>Kubrick</t>
  </si>
  <si>
    <t>Barry</t>
  </si>
  <si>
    <t>Beckner</t>
  </si>
  <si>
    <t>CSNSTORES,KIRKLANDDS,LAMPDS,MACY02F,OLLIIX,OVERSTOCK01,TGTDVS,ZOLA,Zulily</t>
  </si>
  <si>
    <t>MP103-1204</t>
  </si>
  <si>
    <t>Monarch</t>
  </si>
  <si>
    <t>Irene</t>
  </si>
  <si>
    <t>Jenny</t>
  </si>
  <si>
    <t>Armless 360 Degree Swivel Chair</t>
  </si>
  <si>
    <t>CSNSTORES,JCPENNEY01,KOHLDSN,LAMPDS,OLLIIX,OVERSTOCK01,ZOLA</t>
  </si>
  <si>
    <t>MP103-0678</t>
  </si>
  <si>
    <t>Owen</t>
  </si>
  <si>
    <t>Admiral</t>
  </si>
  <si>
    <t>Roxbury</t>
  </si>
  <si>
    <t>6/4/2018</t>
  </si>
  <si>
    <t>CSNSTORES,KOHLDSN,MACY02F,OLLIIX,OVERSTOCK01,Zulily</t>
  </si>
  <si>
    <t>MP103-1158</t>
  </si>
  <si>
    <t>Ryker</t>
  </si>
  <si>
    <t>Rileigh</t>
  </si>
  <si>
    <t>Renee</t>
  </si>
  <si>
    <t>Upholstered Barrel 360 Degree Swivel chair</t>
  </si>
  <si>
    <t>CSNSTORES,DESINC,KOHLDSN,LAMPDS,MACY02F,OLLIIX,OVERSTOCK01</t>
  </si>
  <si>
    <t>MP103-1186</t>
  </si>
  <si>
    <t>Sikora</t>
  </si>
  <si>
    <t>Gayley</t>
  </si>
  <si>
    <t>Felipe</t>
  </si>
  <si>
    <t>Channel Tufted Swivel Armchair</t>
  </si>
  <si>
    <t>CSNSTORES,HOUZZ,OLLIIX</t>
  </si>
  <si>
    <t>MP103-0609</t>
  </si>
  <si>
    <t>Recliner</t>
  </si>
  <si>
    <t>Aidan</t>
  </si>
  <si>
    <t>Jetta</t>
  </si>
  <si>
    <t>Zak</t>
  </si>
  <si>
    <t>Push Back Recliner</t>
  </si>
  <si>
    <t>PP000737</t>
  </si>
  <si>
    <t>1/29/2018</t>
  </si>
  <si>
    <t>AMAZONDS,AMERSIGNDS,ASHFURNDS,BLK01,CASTLEGATE,CSNSTORES,HDDS,HOUZZ,KIRKLANDDS,KOHLDSN,LAMPDS,MACY02F,OLLIIX,OVERSTOCK01,ROOMECOM,TGTDVS,ZOLA</t>
  </si>
  <si>
    <t>2/6/2019</t>
  </si>
  <si>
    <t>2/12/2019</t>
  </si>
  <si>
    <t>MP103-1106</t>
  </si>
  <si>
    <t>4/26/2021</t>
  </si>
  <si>
    <t>AMAZONDS,AMERSIGNDS,ASHFURNDS,BLK01,CSNSTORES,HDDS,JCPENNEY01,KOHLDSN,LAMPDS,MACY02F,OLLIIX,OVERSTOCK01,TGTDVS</t>
  </si>
  <si>
    <t>MP103-0826</t>
  </si>
  <si>
    <t>5/31/2019</t>
  </si>
  <si>
    <t>AMAZONDS,AMERSIGNDS,ASHFURNDS,BLK01,CASTLEGATE,CSNSTORES,HDDS,JCPENNEY01,KIRKLANDDS,KOHLDSN,LAMPDS,MACY02F,OLLIIX,OVERSTOCK01,Zulily</t>
  </si>
  <si>
    <t>MP103-0247</t>
  </si>
  <si>
    <t>Hoffman</t>
  </si>
  <si>
    <t>Lerna</t>
  </si>
  <si>
    <t>Thayer</t>
  </si>
  <si>
    <t>PF001107</t>
  </si>
  <si>
    <t>AMERSIGNDS,ASHFURNDS,CASTLEGATE,CSNSTORES,HDDS,HOUZZ,JCPENNEY01,KIRKLANDDS,KOHLDSN,MACY02F,OLLIIX,OVERSTOCK01,ROOMECOM,Zulily</t>
  </si>
  <si>
    <t>1/22/2019</t>
  </si>
  <si>
    <t>MP103-1051</t>
  </si>
  <si>
    <t>Kirby</t>
  </si>
  <si>
    <t>Oscar</t>
  </si>
  <si>
    <t>Docker</t>
  </si>
  <si>
    <t>Navy Multi</t>
  </si>
  <si>
    <t>11/25/2020</t>
  </si>
  <si>
    <t>AMAZONDS,AMERSIGNDS,ASHFURNDS,CSNSTORES,HDDS,JCPENNEY01,KIRKLANDDS,KOHLDSN,LAMPDS,OLLIIX,OVERSTOCK01,ROOMECOM,Zulily</t>
  </si>
  <si>
    <t>MP103-0610</t>
  </si>
  <si>
    <t>PP000738</t>
  </si>
  <si>
    <t>AMAZONDS,AMERSIGNDS,ASHFURNDS,BLK01,CASTLEGATE,CSNSTORES,HDDS,KIRKLANDDS,KOHLDSN,LAMPDS,MACY02F,OLLIIX,OVERSTOCK01,Zulily</t>
  </si>
  <si>
    <t>MP103-0246</t>
  </si>
  <si>
    <t>Julian</t>
  </si>
  <si>
    <t>Evanston</t>
  </si>
  <si>
    <t>Lenox</t>
  </si>
  <si>
    <t>PF001106</t>
  </si>
  <si>
    <t>6/11/2017</t>
  </si>
  <si>
    <t>ASHFURNDS,CASTLEGATE,CSNSTORES,JCPENNEY01,KIRKLANDDS,KOHLDSN,LAMPDS,MACY02F,OLLIIX,OVERSTOCK01,ROOMECOM</t>
  </si>
  <si>
    <t>MP103-1005</t>
  </si>
  <si>
    <t>Salina</t>
  </si>
  <si>
    <t>Cecile</t>
  </si>
  <si>
    <t>Cicely</t>
  </si>
  <si>
    <t>9/24/2020</t>
  </si>
  <si>
    <t>AMAZONDS,AMERSIGNDS,ASHFURNDS,BLK01,CSNSTORES,HDDS,HOUZZ,JCPENNEY01,KOHLDSN,LAMPDS,MACY02F,OLLIIX,OVERSTOCK01,ROOMECOM,TGTDVS</t>
  </si>
  <si>
    <t>11/13/2020</t>
  </si>
  <si>
    <t>MP103-0908</t>
  </si>
  <si>
    <t>Athena</t>
  </si>
  <si>
    <t>Jimmy</t>
  </si>
  <si>
    <t>Cranberry</t>
  </si>
  <si>
    <t>AMERSIGNDS,ASHFURNDS,CSNSTORES,JCPENNEY01,KOHLDSN,LAMPDS,MACY02F,OLLIIX,OVERSTOCK01,ROOMECOM,TGTDVS,ZOLA</t>
  </si>
  <si>
    <t>215227136</t>
  </si>
  <si>
    <t>Archdale</t>
  </si>
  <si>
    <t>Brydon</t>
  </si>
  <si>
    <t>Bent Arm Push Back Recliner</t>
  </si>
  <si>
    <t>PF000564;PP000081</t>
  </si>
  <si>
    <t>MP103-1217</t>
  </si>
  <si>
    <t>Coleman</t>
  </si>
  <si>
    <t>Sierra</t>
  </si>
  <si>
    <t>Glenroy</t>
  </si>
  <si>
    <t>Upholstered Manual Push Back Recliner</t>
  </si>
  <si>
    <t>AMERSIGNDS,ASHFURNDS,CSNSTORES,HOUZZ,KIRKLANDDS,KOHLDSN,LAMPDS,OLLIIX,OVERSTOCK01</t>
  </si>
  <si>
    <t>MP103-0255</t>
  </si>
  <si>
    <t>Miles</t>
  </si>
  <si>
    <t>Ferris</t>
  </si>
  <si>
    <t>Kirkland</t>
  </si>
  <si>
    <t>PF001114;PP000212</t>
  </si>
  <si>
    <t>CSNSTORES,KIRKLANDDS,MACY02F,OVERSTOCK01,ROOMECOM</t>
  </si>
  <si>
    <t>MP103-0254</t>
  </si>
  <si>
    <t>Omega</t>
  </si>
  <si>
    <t>Aartwood</t>
  </si>
  <si>
    <t>Kane</t>
  </si>
  <si>
    <t>PF001113;PP000225</t>
  </si>
  <si>
    <t>ASHFURNDS,CSNSTORES,KOHLDSN,LAMPDS,MACY02F,OLLIIX,OVERSTOCK01,ROOMECOM</t>
  </si>
  <si>
    <t>1/3/2020</t>
  </si>
  <si>
    <t>MP103-0731</t>
  </si>
  <si>
    <t>Swivel Glider</t>
  </si>
  <si>
    <t>Alana</t>
  </si>
  <si>
    <t>Minkoff</t>
  </si>
  <si>
    <t>Aaron</t>
  </si>
  <si>
    <t>Curve Back Swivel Glider Chair</t>
  </si>
  <si>
    <t>9/21/2018</t>
  </si>
  <si>
    <t>AMERSIGNDS,ASHFURNDS,BBBDROP,BLK01,CSNSTORES,HOUZZ,KOHLDSN,MACY02F,OLLIIX,OVERSTOCK01,TGTDVS,Zulily</t>
  </si>
  <si>
    <t>MP103-0801</t>
  </si>
  <si>
    <t>Swivel Glider Chair</t>
  </si>
  <si>
    <t>PP000082</t>
  </si>
  <si>
    <t>4/12/2019</t>
  </si>
  <si>
    <t>AMAZONDS,ASHFURNDS,BBBDROP,CSNSTORES,KOHLDSN,OLLIIX,OVERSTOCK01,TGTDVS</t>
  </si>
  <si>
    <t>MP103-0602</t>
  </si>
  <si>
    <t>Augustine</t>
  </si>
  <si>
    <t>Caddy</t>
  </si>
  <si>
    <t>Bewick</t>
  </si>
  <si>
    <t>PP000730</t>
  </si>
  <si>
    <t>AMERSIGNDS,BBBDROP,BLK01,CSNSTORES,HOUZZ,KIRKLANDDS,KOHLDSN,LAMPDS,OLLIIX</t>
  </si>
  <si>
    <t>MP103-0825</t>
  </si>
  <si>
    <t>6/21/2019</t>
  </si>
  <si>
    <t>AMAZONDS,AMERSIGNDS,CSNSTORES,HOUZZ,KOHLDSN,LAMPDS,MACY02F,OLLIIX,OVERSTOCK01</t>
  </si>
  <si>
    <t>MP103-1176</t>
  </si>
  <si>
    <t>Plain Grey</t>
  </si>
  <si>
    <t>AMERSIGNDS,CSNSTORES,KIRKLANDDS,KOHLDSN,MACY02F,OLLIIX,OVERSTOCK01,TGTDVS</t>
  </si>
  <si>
    <t>MP103-0895</t>
  </si>
  <si>
    <t>Rey</t>
  </si>
  <si>
    <t>Alyce</t>
  </si>
  <si>
    <t>5/22/2019</t>
  </si>
  <si>
    <t>ASHFURNDS,CSNSTORES,HDDS,KOHLDSN,LAMPDS,MACY02F,OLLIIX,OVERSTOCK01</t>
  </si>
  <si>
    <t>MP103-0937</t>
  </si>
  <si>
    <t>Justin</t>
  </si>
  <si>
    <t>Benton</t>
  </si>
  <si>
    <t>Felton</t>
  </si>
  <si>
    <t>1/9/2020</t>
  </si>
  <si>
    <t>AMAZONDS,ASHFURNDS,BLK01,CSNSTORES,HDDS,HOUZZ,JCPENNEY01,KIRKLANDDS,KOHLDSN,LAMPDS,MACY02F,OLLIIX,OVERSTOCK01,TGTDVS,Zulily</t>
  </si>
  <si>
    <t>MP103-0935</t>
  </si>
  <si>
    <t>Mathis</t>
  </si>
  <si>
    <t>Rae</t>
  </si>
  <si>
    <t>Dolores</t>
  </si>
  <si>
    <t>AMERSIGNDS,BBBDROP,CSNSTORES,HOUZZ,KOHLDSN,MACY02F,OLLIIX,OVERSTOCK01</t>
  </si>
  <si>
    <t>MP103-1171</t>
  </si>
  <si>
    <t>MP103-1170</t>
  </si>
  <si>
    <t>AMERSIGNDS,CSNSTORES,KIRKLANDDS,KOHLDSN,MACY02F,OLLIIX,OVERSTOCK01</t>
  </si>
  <si>
    <t>MP103-0856</t>
  </si>
  <si>
    <t>Theo</t>
  </si>
  <si>
    <t>Doane</t>
  </si>
  <si>
    <t>Wilmington</t>
  </si>
  <si>
    <t>PP001196</t>
  </si>
  <si>
    <t>AMAZONDS,AMERSIGNDS,ASHFURNDS,BBBDROP,CSNSTORES,HDDS,KIRKLANDDS,LAMPDS,MACY02F,OLLIIX,OVERSTOCK01,TGTDVS,Zulily</t>
  </si>
  <si>
    <t>MP105-1049</t>
  </si>
  <si>
    <t>ACCENT BENCH</t>
  </si>
  <si>
    <t>Other Bench</t>
  </si>
  <si>
    <t>Welburn</t>
  </si>
  <si>
    <t>Antonio</t>
  </si>
  <si>
    <t>Madera</t>
  </si>
  <si>
    <t>Accent Bench</t>
  </si>
  <si>
    <t>AMAZONDS,AMERSIGNDS,BBBDROP,BLK01,CASTLEGATE,CSNSTORES,HDDS,HOUZZ,JCPENNEY01,KIRKLANDDS,KOHLDSN,LAMPDS,MACY02F,NEBFUR01,OLLIIX,OVERSTOCK01,ROOMECOM,TGTDVS,Zulily</t>
  </si>
  <si>
    <t>MP105-0471</t>
  </si>
  <si>
    <t>PP000350</t>
  </si>
  <si>
    <t>AAFESDS,AMAZON,AMAZONDS,AMERSIGNDS,ASHFURNDS,BBBDROP,BLK01,CASTLEGATE,CSNSTORES,HDDS,HOUZZ,KIRKLANDDS,KOHLDSN,LAMPDS,MACY02F,OLLIIX,OVERSTOCK01,ROOMECOM,TGTDVS,Zulily</t>
  </si>
  <si>
    <t>11/3/2020</t>
  </si>
  <si>
    <t>MP105-0827</t>
  </si>
  <si>
    <t>AAFESDS,AMAZONDS,AMERSIGNDS,CASTLEGATE,CSNSTORES,HDDS,HOUZZ,JCPENNEY01,KIRKLANDDS,KOHLDSN,LAMPDS,MACY02F,OLLIIX,OVERSTOCK01,ROOMECOM,TGTDVS</t>
  </si>
  <si>
    <t>8/20/2020</t>
  </si>
  <si>
    <t>MP105-0999</t>
  </si>
  <si>
    <t>AMAZONDS,AMERSIGNDS,ASHFURNDS,BLK01,CASTLEGATE,CSNSTORES,HDDS,HOUZZ,JCPENNEY01,KIRKLANDDS,KOHLDSN,LAMPDS,OLLIIX,OVERSTOCK01,ROOMECOM,TGTDVS</t>
  </si>
  <si>
    <t>12/18/2020</t>
  </si>
  <si>
    <t>MP105-0543</t>
  </si>
  <si>
    <t>PP000673</t>
  </si>
  <si>
    <t>1/30/2018</t>
  </si>
  <si>
    <t>AAFESDS,AMAZON,AMAZONDS,AMERSIGNDS,ASHFURNDS,BBBDROP,BLK01,CASTLEGATE,CSNSTORES,HDDS,HOUZZ,KIRKLANDDS,KOHLDSN,LAMPDS,MACY02F,NEBFUR01,OLLIIX,OVERSTOCK01,ROOMECOM,TGTDVS</t>
  </si>
  <si>
    <t>MP105-1267</t>
  </si>
  <si>
    <t>TBU</t>
  </si>
  <si>
    <t>9/21/2024</t>
  </si>
  <si>
    <t>MP105-0998</t>
  </si>
  <si>
    <t>Ashcroft</t>
  </si>
  <si>
    <t>Jayden</t>
  </si>
  <si>
    <t>Soft Close Storage Bench</t>
  </si>
  <si>
    <t>AMERSIGNDS,CASTLEGATE,CSNSTORES,HDDS,HOUZZ,JCPENNEY01,KIRKLANDDS,KOHLDSN,LAMPDS,MACY02F,NEBFUR01,OLLIIX,OVERSTOCK01,ROOMECOM,TGTDVS</t>
  </si>
  <si>
    <t>8/19/2021</t>
  </si>
  <si>
    <t>MP105-0189</t>
  </si>
  <si>
    <t>PF001127</t>
  </si>
  <si>
    <t>AMERSIGNDS,ASHFURNDS,BBBDROP,BLK01,CASTLEGATE,CSNSTORES,HDDS,HOUZZ,JCPENNEY01,KIRKLANDDS,KOHLDSN,LAMPDS,MACY02F,NEBFUR01,OLLIIX,OVERSTOCK01,ROOMECOM,TGTDVS,Zulily</t>
  </si>
  <si>
    <t>FPF18-0487</t>
  </si>
  <si>
    <t>Shandra</t>
  </si>
  <si>
    <t>Selah</t>
  </si>
  <si>
    <t>Tufted Top Soft Close Storage Bench</t>
  </si>
  <si>
    <t>PF000739;PP000259</t>
  </si>
  <si>
    <t>FUR105-0052</t>
  </si>
  <si>
    <t>PF000819;PP000259</t>
  </si>
  <si>
    <t>5/9/2017</t>
  </si>
  <si>
    <t>AMERSIGNDS,ASHFURNDS,BBBDROP,BLK01,CASTLEGATE,CSNSTORES,HDDS,HOUZZ,KIRKLANDDS,KOHLDSN,LAMPDS,MACY02F,OLLIIX,OVERSTOCK01,ROOMECOM,TGTDVS,Zulily</t>
  </si>
  <si>
    <t>FUR105-0041</t>
  </si>
  <si>
    <t>PF000817;PP000259</t>
  </si>
  <si>
    <t>AMERSIGNDS,ASHFURNDS,BBBDROP,BLK01,CASTLEGATE,CSNSTORES,HDDS,HOUZZ,KIRKLANDDS,KOHLDSN,LAMPDS,MACY02F,NEBFUR01,OLLIIX,OVERSTOCK01,ROOMECOM,TGTDVS,Zulily</t>
  </si>
  <si>
    <t>11/13/2022</t>
  </si>
  <si>
    <t>FUR105-0040</t>
  </si>
  <si>
    <t>Rust Red</t>
  </si>
  <si>
    <t>PF000816</t>
  </si>
  <si>
    <t>AMERSIGNDS,ASHFURNDS,BBBDROP,BLK01,CSNSTORES,HDDS,HOUZZ,JCPENNEY01,KOHLDSN,LAMPDS,MACY02F,OLLIIX,OVERSTOCK01,ROOMECOM,TGTDVS,Zulily</t>
  </si>
  <si>
    <t>FPF18-0142</t>
  </si>
  <si>
    <t>PF000610;PP000259</t>
  </si>
  <si>
    <t>AMAZONDS,AMERSIGNDS,BLK01,CSNSTORES,HDDS,HOUZZ,KIRKLANDDS,KOHLDSN,LAMPDS,MACY02F,OLLIIX,OVERSTOCK01,ROOMECOM,TGTDVS,Zulily</t>
  </si>
  <si>
    <t>FPF18-0143</t>
  </si>
  <si>
    <t>PF000611;PP000259</t>
  </si>
  <si>
    <t>AMAZONDS,AMERSIGNDS,ASHFURNDS,BBBDROP,BLK01,CASTLEGATE,CSNSTORES,HDDS,HOUZZ,KOHLDSN,LAMPDS,MACY02F,NEBFUR01,OLLIIX,OVERSTOCK01,ROOMECOM,TGTDVS,Zulily</t>
  </si>
  <si>
    <t>MP105-1122</t>
  </si>
  <si>
    <t>AMAZONDS,AMERSIGNDS,BBBDROP,BLK01,CSNSTORES,DESINC,HDDS,HOUZZ,JCPENNEY01,KOHLDSN,OLLIIX,OVERSTOCK01,TGTDVS,Zulily</t>
  </si>
  <si>
    <t>MP105-0614</t>
  </si>
  <si>
    <t>Maye</t>
  </si>
  <si>
    <t>Neale</t>
  </si>
  <si>
    <t>PP000742</t>
  </si>
  <si>
    <t>AMERSIGNDS,CASTLEGATE,CSNSTORES,HDDS,HOUZZ,KIRKLANDDS,MACY02F,OLLIIX,OVERSTOCK01,ROOMECOM,TGTDVS,ZOLA</t>
  </si>
  <si>
    <t>9/12/2023</t>
  </si>
  <si>
    <t>FPF18-0524</t>
  </si>
  <si>
    <t>Gillian</t>
  </si>
  <si>
    <t>Payden</t>
  </si>
  <si>
    <t>Averly</t>
  </si>
  <si>
    <t>PF000767;PP000164</t>
  </si>
  <si>
    <t>AMERSIGNDS,BBBDROP,BLK01,CASTLEGATE,CSNSTORES,HDDS,HOUZZ,KIRKLANDDS,KOHLDSN,LAMPDS,MACY02F,NEBFUR01,OLLIIX,OVERSTOCK01,ROOMECOM,TGTDVS,ZOLA,Zulily</t>
  </si>
  <si>
    <t>MP105-0806</t>
  </si>
  <si>
    <t>Heath</t>
  </si>
  <si>
    <t>Denali</t>
  </si>
  <si>
    <t>Sunnycrest</t>
  </si>
  <si>
    <t>Soft Close Storage Accent Bench</t>
  </si>
  <si>
    <t>PP001151</t>
  </si>
  <si>
    <t>4/16/2019</t>
  </si>
  <si>
    <t>AMERSIGNDS,ASHFURNDS,CSNSTORES,HDDS,HOUZZ,KIRKLANDDS,KOHLDSN,LAMPDS,MACY02F,OLLIIX,OVERSTOCK01,ROOMECOM,TGTDVS,ZOLA,Zulily</t>
  </si>
  <si>
    <t>5/9/2022</t>
  </si>
  <si>
    <t>FPF18-0197</t>
  </si>
  <si>
    <t>Shandra II</t>
  </si>
  <si>
    <t>Tahlia</t>
  </si>
  <si>
    <t>PF000636;PP000260</t>
  </si>
  <si>
    <t>AMAZONDS,AMERSIGNDS,ASHFURNDS,BLK01,CASTLEGATE,CSNSTORES,HDDS,HOUZZ,JCPENNEY01,KOHLDSN,LAMPDS,MACY02F,NEBFUR01,OLLIIX,OVERSTOCK01,ROOMECOM</t>
  </si>
  <si>
    <t>FPF18-0502</t>
  </si>
  <si>
    <t>PF000752;PP000260</t>
  </si>
  <si>
    <t>AMAZONDS,AMERSIGNDS,ASHFURNDS,BBBDROP,BLK01,CSNSTORES,HDDS,HOUZZ,KOHLDSN,LAMPDS,MACY02F,NEBFUR01,OLLIIX,OVERSTOCK01,ROOMECOM,TGTDVS,Zulily</t>
  </si>
  <si>
    <t>FUR105-0042</t>
  </si>
  <si>
    <t>PF000818;PP000260</t>
  </si>
  <si>
    <t>10/2/2022</t>
  </si>
  <si>
    <t>FPF18-0195</t>
  </si>
  <si>
    <t>PF000635;PP000260</t>
  </si>
  <si>
    <t>AMAZONDS,AMERSIGNDS,ASHFURNDS,BBBDROP,BLK01,CASTLEGATE,CSNSTORES,DESINC,HDDS,HOUZZ,KOHLDSN,LAMPDS,MACY02F,OLLIIX,OVERSTOCK01,ROOMECOM,TGTDVS,Zulily</t>
  </si>
  <si>
    <t>FPF18-0503</t>
  </si>
  <si>
    <t>PF000753;PP000260</t>
  </si>
  <si>
    <t>AMAZONDS,AMERSIGNDS,ASHFURNDS,BBBDROP,BLK01,CSNSTORES,HDDS,HOUZZ,JCPENNEY01,KOHLDSN,MACY02F,OVERSTOCK01,ROOMECOM,TGTDVS</t>
  </si>
  <si>
    <t>MP105-1087</t>
  </si>
  <si>
    <t>Farrah</t>
  </si>
  <si>
    <t>Lovisa</t>
  </si>
  <si>
    <t>Lianna</t>
  </si>
  <si>
    <t>AMERSIGNDS,ASHFURNDS,CSNSTORES,HDDS,HOUZZ,JCPENNEY01,KIRKLANDDS,KOHLDSN,LAMPDS,MACY02F,NEBFUR01,OLLIIX,OVERSTOCK01,ROOMECOM,TGTDVS,Zulily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</si>
  <si>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</si>
  <si>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</si>
  <si>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</si>
  <si>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</si>
  <si>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</si>
  <si>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</si>
  <si>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AMERSIGNDS,BLK01,CSNSTORES,HDDS,HOUZZ,JCPENNEY01,KIRKLANDDS,KOHLDSN,LAMPDS,MACY02F,OLLIIX,OVERSTOCK01,ROOMECOM,TGTDVS</t>
  </si>
  <si>
    <t>MP105-1222</t>
  </si>
  <si>
    <t>Ivan</t>
  </si>
  <si>
    <t>Leland</t>
  </si>
  <si>
    <t>Accent Bench with Lower Shelf</t>
  </si>
  <si>
    <t>10/13/2024</t>
  </si>
  <si>
    <t>AMERSIGNDS,CSNSTORES,HDDS,HOUZZ,KIRKLANDDS,KOHLDSN,LAMPDS,MACY02F,NEBFUR01,OLLIIX,OVERSTOCK01,TGTDVS,ZOLA</t>
  </si>
  <si>
    <t>FPF18-0138</t>
  </si>
  <si>
    <t>Aura</t>
  </si>
  <si>
    <t>Ignis</t>
  </si>
  <si>
    <t>Tufted Top Storage Bench</t>
  </si>
  <si>
    <t>PF000608;PP000214</t>
  </si>
  <si>
    <t>ASHFURNDS,BBBDROP,BLK01,CSNSTORES,JCPENNEY01,KIRKLANDDS,KOHLDSN,MACY02F,OLLIIX,OVERSTOCK01,ROOMECOM</t>
  </si>
  <si>
    <t>FPF18-0504</t>
  </si>
  <si>
    <t>PF000754;PP000214</t>
  </si>
  <si>
    <t>AMERSIGNDS,ASHFURNDS,BBBDROP,CSNSTORES,KOHLDSN,LAMPDS,MACY02F,OLLIIX,OVERSTOCK01,ROOMECOM</t>
  </si>
  <si>
    <t>MP105-1140</t>
  </si>
  <si>
    <t>Bench</t>
  </si>
  <si>
    <t>Boyden</t>
  </si>
  <si>
    <t>Stellar</t>
  </si>
  <si>
    <t>Charmaine</t>
  </si>
  <si>
    <t>Upholstered Soft Close Storage Bench with Gold Metal Legs</t>
  </si>
  <si>
    <t>3/23/2022</t>
  </si>
  <si>
    <t>CSNSTORES,HOUZZ,JCPENNEY01,KOHLDSN,LAMPDS,OLLIIX,OVERSTOCK01,TGTDVS,ZOLA,Zulily</t>
  </si>
  <si>
    <t>MP105-1185</t>
  </si>
  <si>
    <t>Bradford</t>
  </si>
  <si>
    <t>Julie</t>
  </si>
  <si>
    <t>Upholstered Accent Bench</t>
  </si>
  <si>
    <t>12/12/2022</t>
  </si>
  <si>
    <t>AMERSIGNDS,CSNSTORES,HOUZZ,KIRKLANDDS,KOHLDSN,LAMPDS,MACY02F,NEBFUR01,OLLIIX,OVERSTOCK01,TGTDVS,Zulily</t>
  </si>
  <si>
    <t>MP105-1213</t>
  </si>
  <si>
    <t>Klara</t>
  </si>
  <si>
    <t>Edgar</t>
  </si>
  <si>
    <t>Hugo</t>
  </si>
  <si>
    <t>Wood and Upholstered Soft Close Storage Bench</t>
  </si>
  <si>
    <t>Brown/Tan</t>
  </si>
  <si>
    <t>CSNSTORES,DESINC,HOUZZ,KOHLDSN,OLLIIX,OVERSTOCK01,ZOLA</t>
  </si>
  <si>
    <t>MP105-1192</t>
  </si>
  <si>
    <t>Linea</t>
  </si>
  <si>
    <t>Irvington</t>
  </si>
  <si>
    <t>Lyndale</t>
  </si>
  <si>
    <t>Upholstered Modern Accent Bench</t>
  </si>
  <si>
    <t>CSNSTORES,HOUZZ,KIRKLANDDS,KOHLDSN,LAMPDS,MACY02F,NEBFUR01,OLLIIX,OVERSTOCK01,TGTDVS</t>
  </si>
  <si>
    <t>MP120-0094</t>
  </si>
  <si>
    <t>OCCASIONL TABLE</t>
  </si>
  <si>
    <t>Coffee Table</t>
  </si>
  <si>
    <t>Avenu</t>
  </si>
  <si>
    <t>Off-White/Pecan</t>
  </si>
  <si>
    <t>PF001168;PP000227</t>
  </si>
  <si>
    <t>AMAZONDS,AMERSIGNDS,ASHFURNDS,BBBDROP,BLK01,CASTLEGATE,CSNSTORES,DESINC,HDDS,HOUZZ,KIRKLANDDS,KOHLDSN,LAMPDS,MACY02F,NEBFUR01,OLLIIX,OVERSCONSIGN,OVERSTOCK01,ROOMECOM,TGTDVS,ZOLA,Zulily</t>
  </si>
  <si>
    <t>MP120-1063</t>
  </si>
  <si>
    <t>Off-White/Natural</t>
  </si>
  <si>
    <t>AMERSIGNDS,ASHFURNDS,BBBDROP,BLK01,CASTLEGATE,CSNSTORES,HOUZZ,JCPENNEY01,KOHLDSN,LAMPDS,MACY02F,NEBFUR01,OLLIIX,OVERSTOCK01,ROOMECOM,TGTDVS,Zulily</t>
  </si>
  <si>
    <t>MP120-1129</t>
  </si>
  <si>
    <t>Off-White/Black</t>
  </si>
  <si>
    <t>2/4/2022</t>
  </si>
  <si>
    <t>AMAZONDS,AMERSIGNDS,ASHFURNDS,CSNSTORES,JCPENNEY01,KIRKLANDDS,KOHLDSN,OLLIIX,OVERSTOCK01,TGTDVS,ZOLA</t>
  </si>
  <si>
    <t>MP120-1097</t>
  </si>
  <si>
    <t>Beaumont</t>
  </si>
  <si>
    <t>Beauchamp</t>
  </si>
  <si>
    <t>Blandford</t>
  </si>
  <si>
    <t>White/Natural</t>
  </si>
  <si>
    <t>AMERSIGNDS,BBBDROP,BLK01,CASTLEGATE,CSNSTORES,DESINC,HOUZZ,JCPENNEY01,KIRKLANDDS,KOHLDSN,LAMPDS,MACY02F,OLLIIX,OVERSTOCK01,ROOMECOM,TGTDVS,ZOLA,Zulily</t>
  </si>
  <si>
    <t>MP120-0270</t>
  </si>
  <si>
    <t>Echo</t>
  </si>
  <si>
    <t>Mario</t>
  </si>
  <si>
    <t>Lowell</t>
  </si>
  <si>
    <t>PF000399;PP000150</t>
  </si>
  <si>
    <t>MP120-0090</t>
  </si>
  <si>
    <t>Portman</t>
  </si>
  <si>
    <t>Natural/Graphite</t>
  </si>
  <si>
    <t>PF001165;PP000177</t>
  </si>
  <si>
    <t>ASHFURNDS,CSNSTORES,LAMPDS,MACY02F,OLLIIX,OVERSTOCK01,ROOMECOM,TGTDVS,ZOLA</t>
  </si>
  <si>
    <t>1/8/2020</t>
  </si>
  <si>
    <t>MP120-0174</t>
  </si>
  <si>
    <t>Madison</t>
  </si>
  <si>
    <t>Kayden</t>
  </si>
  <si>
    <t>Mankato</t>
  </si>
  <si>
    <t>Antique Bronze</t>
  </si>
  <si>
    <t>PF000367;PP000200</t>
  </si>
  <si>
    <t>AMERSIGNDS,ASHFURNDS,BBBDROP,CSNSTORES,KOHLDSN,LAMPDS,MACY02F,OLLIIX,OVERSTOCK01,Zulily</t>
  </si>
  <si>
    <t>MP120-0082</t>
  </si>
  <si>
    <t>Marbury</t>
  </si>
  <si>
    <t>Aniston</t>
  </si>
  <si>
    <t>PP000202</t>
  </si>
  <si>
    <t>BBBDROP,CSNSTORES,HOUZZ,KOHLDSN,MACY02F,OLLIIX,OVERSTOCK01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</si>
  <si>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</si>
  <si>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</si>
  <si>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</si>
  <si>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</si>
  <si>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</si>
  <si>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</si>
  <si>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</si>
  <si>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FUR120-0031</t>
  </si>
  <si>
    <t>Rupert</t>
  </si>
  <si>
    <t>Abel</t>
  </si>
  <si>
    <t>Beck</t>
  </si>
  <si>
    <t>Glass Top Coffee Table</t>
  </si>
  <si>
    <t>PF000824;PP000242</t>
  </si>
  <si>
    <t>MP120-0971</t>
  </si>
  <si>
    <t>Larris</t>
  </si>
  <si>
    <t>Lana</t>
  </si>
  <si>
    <t>Cocktail Table</t>
  </si>
  <si>
    <t>6/11/2020</t>
  </si>
  <si>
    <t>KOHLDSN,OLLIIX</t>
  </si>
  <si>
    <t>MP120-0095</t>
  </si>
  <si>
    <t>End Table</t>
  </si>
  <si>
    <t>PF001169;PP000227</t>
  </si>
  <si>
    <t>AAFESDS,AMAZON,AMAZONDS,AMERSIGNDS,ASHFURNDS,BBBDROP,BLK01,CASTLEGATE,CSNSTORES,DESINC,HDDS,HOUZZ,KIRKLANDDS,KOHLDSN,LAMPDS,MACY02F,NEBFUR01,OLLIIX,OVERSTOCK01,ROOMECOM,TGTDVS,Zulily</t>
  </si>
  <si>
    <t>MP120-1064</t>
  </si>
  <si>
    <t>AMAZONDS,AMERSIGNDS,ASHFURNDS,CASTLEGATE,CSNSTORES,DESINC,HOUZZ,KOHLDSN,LAMPDS,MACY02F,NEBFUR01,NRTPORT,OLLIIX,OVERSTOCK01,ROOMECOM,Zulily</t>
  </si>
  <si>
    <t>MP120-0175</t>
  </si>
  <si>
    <t>PF000369;PP000200</t>
  </si>
  <si>
    <t>AMERSIGNDS,ASHFURNDS,BLK01,CSNSTORES,DESINC,HOUZZ,KOHLDSN,LAMPDS,MACY02F,OLLIIX,OVERSTOCK01,ROOMECOM,TGTDVS</t>
  </si>
  <si>
    <t>6/28/2022</t>
  </si>
  <si>
    <t>MP120-1098</t>
  </si>
  <si>
    <t>AMAZONDS,AMERSIGNDS,ASHFURNDS,CSNSTORES,HOUZZ,JCPENNEY01,KOHLDSN,LAMPDS,MACY02F,OLLIIX,OVERSCONSIGN,OVERSTOCK01,TGTDVS,Zulily</t>
  </si>
  <si>
    <t>5/18/2022</t>
  </si>
  <si>
    <t>MP120-0085</t>
  </si>
  <si>
    <t>MP120-0972</t>
  </si>
  <si>
    <t>CSNSTORES,KOHLDSN,MACY02F,OLLIIX</t>
  </si>
  <si>
    <t>MP120-0096</t>
  </si>
  <si>
    <t>Console Table</t>
  </si>
  <si>
    <t>Console</t>
  </si>
  <si>
    <t>PF001170;PP000227</t>
  </si>
  <si>
    <t>AMAZON,AMAZONDS,AMERSIGNDS,ASHFURNDS,BBBDROP,BLK01,CASTLEGATE,CSNSTORES,HOUZZ,KOHLDSN,LAMPDS,MACY02F,NEBFUR01,OLLIIX,OVERSTOCK01,ROOMECOM,TGTDVS,Zulily</t>
  </si>
  <si>
    <t>MP120-1065</t>
  </si>
  <si>
    <t>AMAZONDS,AMERSIGNDS,ASHFURNDS,CSNSTORES,HOUZZ,KOHLDSN,LAMPDS,MACY02F,OLLIIX,OVERSTOCK01,ROOMECOM,TGTDVS,Zulily</t>
  </si>
  <si>
    <t>FUR120-0013</t>
  </si>
  <si>
    <t>Dayton</t>
  </si>
  <si>
    <t>Ellis</t>
  </si>
  <si>
    <t>Chestnut</t>
  </si>
  <si>
    <t>PF000094;PP000142</t>
  </si>
  <si>
    <t>AMERSIGNDS,ASHFURNDS,CSNSTORES,KIRKLANDDS,KOHLDSN,LAMPDS,MACY02F,OLLIIX,OVERSTOCK01,ROOMECOM,TGTDVS,Zulily</t>
  </si>
  <si>
    <t>8/9/2022</t>
  </si>
  <si>
    <t>MP120-0180</t>
  </si>
  <si>
    <t>Accent Table</t>
  </si>
  <si>
    <t>Bent Metal Accent Table</t>
  </si>
  <si>
    <t>PF000373;PP000121</t>
  </si>
  <si>
    <t>AMERSIGNDS,CSNSTORES,DESINC,KIRKLANDDS,KOHLDSN,LAMPDS,MACY02F,NEBFUR01,OLLIIX,OVERSTOCK01,ROOMECOM</t>
  </si>
  <si>
    <t>MP120-0134</t>
  </si>
  <si>
    <t>Pedestal</t>
  </si>
  <si>
    <t>White/Black</t>
  </si>
  <si>
    <t>CSNSTORES,HOUZZ,KOHLDSN,LAMPDS,MACY02F,OLLIIX,OVERSTOCK01</t>
  </si>
  <si>
    <t>MP120-1206</t>
  </si>
  <si>
    <t>Occasional Table</t>
  </si>
  <si>
    <t>Occasional Table with 2 Drawers</t>
  </si>
  <si>
    <t>Reclaimed Natural</t>
  </si>
  <si>
    <t>MP101-0214</t>
  </si>
  <si>
    <t>OTTOMAN</t>
  </si>
  <si>
    <t>Ottoman</t>
  </si>
  <si>
    <t>Kelsey</t>
  </si>
  <si>
    <t>Avery</t>
  </si>
  <si>
    <t>Round Pouf Ottoman</t>
  </si>
  <si>
    <t>PF001090;PP000187</t>
  </si>
  <si>
    <t>AMAZONDS,AMERSIGNDS,ASHFURNDS,BLK01,CASTLEGATE,CSNSTORES,KOHLDSN,MACY02F,OLLIIX,OVERSCONSIGN,OVERSTOCK01,ROOMECOM,TGTDVS,ZOLA,Zulily</t>
  </si>
  <si>
    <t>MP101-0213</t>
  </si>
  <si>
    <t>PF001089;PP000187</t>
  </si>
  <si>
    <t>AMAZONDS,AMERSIGNDS,BBBDROP,BLK01,CASTLEGATE,CSNSTORES,KIRKLANDDS,KOHLDSN,MACY02F,NEBFUR01,OLLIIX,OVERSTOCK01,ROOMECOM,TGTDVS,ZOLA,Zulily</t>
  </si>
  <si>
    <t>8/28/2022</t>
  </si>
  <si>
    <t>FPF18-0090</t>
  </si>
  <si>
    <t>PF000595;PP000187</t>
  </si>
  <si>
    <t>AMAZONDS,AMERSIGNDS,ASHFURNDS,CASTLEGATE,CSNSTORES,HOUZZ,KIRKLANDDS,KOHLDSN,LAMPDS,MACY02F,NEBFUR01,OLLIIX,OVERSTOCK01,ROOMECOM,TGTDVS,ZOLA</t>
  </si>
  <si>
    <t>12/26/2022</t>
  </si>
  <si>
    <t>MP101-0893</t>
  </si>
  <si>
    <t>PP000187</t>
  </si>
  <si>
    <t>AMERSIGNDS,CASTLEGATE,CSNSTORES,DESINC,KIRKLANDDS,KOHLDSN,LAMPDS,MACY02F,NEBFUR01,OLLIIX,OVERSCONSIGN,OVERSTOCK01,ROOMECOM,TGTDVS</t>
  </si>
  <si>
    <t>FPF18-0169</t>
  </si>
  <si>
    <t>PF000628;PP000187</t>
  </si>
  <si>
    <t>AMAZONDS,AMERSIGNDS,ASHFURNDS,BLK01,CSNSTORES,DESINC,HOUZZ,KOHLDSN,MACY02F,OLLIIX,OVERSCONSIGN,OVERSTOCK01</t>
  </si>
  <si>
    <t>MP101-0212</t>
  </si>
  <si>
    <t>PF001088;PP000187</t>
  </si>
  <si>
    <t>ASHFURNDS,CSNSTORES,KOHLDSN,OLLIIX,OVERSTOCK01,ROOMECOM,ZOLA</t>
  </si>
  <si>
    <t>MP101-0892</t>
  </si>
  <si>
    <t>AMAZONDS,AMERSIGNDS,CASTLEGATE,CSNSTORES,HOUZZ,KOHLDSN,MACY02F,NEBFUR01,OLLIIX,OVERSTOCK01,ROOMECOM,Zulily</t>
  </si>
  <si>
    <t>FPF18-0200</t>
  </si>
  <si>
    <t>Lindsey</t>
  </si>
  <si>
    <t>Kylie</t>
  </si>
  <si>
    <t>Tufted Square Cocktail Ottoman</t>
  </si>
  <si>
    <t>PF000637;PP000193</t>
  </si>
  <si>
    <t>AMAZONDS,AMERSIGNDS,BBBDROP,CASTLEGATE,CSNSTORES,DESINC,HOUZZ,KOHLDSN,MACY02F,OLLIIX,OVERSTOCK01,ROOMECOM,TGTDVS,Zulily</t>
  </si>
  <si>
    <t>MP101-1137</t>
  </si>
  <si>
    <t>1/10/2022</t>
  </si>
  <si>
    <t>AMERSIGNDS,CSNSTORES,JCPENNEY01,KIRKLANDDS,KOHLDSN,MACY02F,OLLIIX,OVERSTOCK01</t>
  </si>
  <si>
    <t>MP101-0984</t>
  </si>
  <si>
    <t>5/18/2020</t>
  </si>
  <si>
    <t>AMAZONDS,AMERSIGNDS,BBBDROP,CSNSTORES,HOUZZ,JCPENNEY01,KIRKLANDDS,KOHLDSN,LAMPDS,MACY02F,OLLIIX,OVERSCONSIGN,OVERSTOCK01,TGTDVS</t>
  </si>
  <si>
    <t>MP101-1045</t>
  </si>
  <si>
    <t>Javier</t>
  </si>
  <si>
    <t>Round Storage Ottoman</t>
  </si>
  <si>
    <t>Light Grey/Brown</t>
  </si>
  <si>
    <t>8/21/2020</t>
  </si>
  <si>
    <t>CSNSTORES,HOUZZ,KOHLDSN,MACY02F,OLLIIX,OVERSTOCK01,ROOMECOM</t>
  </si>
  <si>
    <t>8/15/2021</t>
  </si>
  <si>
    <t>MP101-0226</t>
  </si>
  <si>
    <t>Cream/Brown</t>
  </si>
  <si>
    <t>PF000281;PP000213</t>
  </si>
  <si>
    <t>AMERSIGNDS,BBBDROP,CSNSTORES,HOUZZ,KIRKLANDDS,KOHLDSN,LAMPDS,MACY02F,OLLIIX,OVERSTOCK01,TGTDVS,ZOLA,Zulily</t>
  </si>
  <si>
    <t>MP101-0225</t>
  </si>
  <si>
    <t>Denim/Brown</t>
  </si>
  <si>
    <t>PF000280;PP000213</t>
  </si>
  <si>
    <t>CSNSTORES,HOUZZ,KOHLDSN,LAMPDS,MACY02F,OLLIIX,OVERSTOCK01,Zulily</t>
  </si>
  <si>
    <t>MP101-1002</t>
  </si>
  <si>
    <t>Della</t>
  </si>
  <si>
    <t>Isaac</t>
  </si>
  <si>
    <t>Soft Close Storage Ottoman</t>
  </si>
  <si>
    <t>9/1/2020</t>
  </si>
  <si>
    <t>AMAZONDS,AMERSIGNDS,BBBDROP,BLK01,CSNSTORES,HOUZZ,JCPENNEY01,KIRKLANDDS,KOHLDSN,LAMPDS,MACY02F,NEBFUR01,OLLIIX,OVERSTOCK01,ROOMECOM,TGTDVS,Zulily</t>
  </si>
  <si>
    <t>FPF18-0256</t>
  </si>
  <si>
    <t>PF000680;PP000088</t>
  </si>
  <si>
    <t>AMERSIGNDS,BLK01,CASTLEGATE,CSNSTORES,HOUZZ,KIRKLANDDS,KOHLDSN,LAMPDS,MACY02F,NEBFUR01,OLLIIX,OVERSTOCK01,ROOMECOM,TGTDVS,ZOLA</t>
  </si>
  <si>
    <t>FPF18-0255</t>
  </si>
  <si>
    <t>PF000679;PP000088</t>
  </si>
  <si>
    <t>AMERSIGNDS,BBBDROP,BLK01,CASTLEGATE,CSNSTORES,HOUZZ,KIRKLANDDS,KOHLDSN,LAMPDS,MACY02F,NEBFUR01,OLLIIX,OVERSTOCK01,TGTDVS,ZOLA,Zulily</t>
  </si>
  <si>
    <t>FPF18-0264</t>
  </si>
  <si>
    <t>Chase</t>
  </si>
  <si>
    <t>Mathew</t>
  </si>
  <si>
    <t>Surfboard Tufted Ottoman</t>
  </si>
  <si>
    <t>PF000685;PP000207</t>
  </si>
  <si>
    <t>AMAZONDS,CASTLEGATE,CSNSTORES,DESINC,HOUZZ,KIRKLANDDS,KOHLDSN,LAMPDS,MACY02F,NEBFUR01,OLLIIX,OVERSTOCK01,ROOMECOM,TGTDVS,ZOLA,Zulily</t>
  </si>
  <si>
    <t>MP101-0711</t>
  </si>
  <si>
    <t>AMAZON,AMAZONDS,AMERSIGNDS,CASTLEGATE,CSNSTORES,HOUZZ,KIRKLANDDS,KOHLDSN,MACY02F,NEBFUR01,OLLIIX,OVERSTOCK01,ROOMECOM,TGTDVS</t>
  </si>
  <si>
    <t>FUR101-0044</t>
  </si>
  <si>
    <t>PF000815;PP000207</t>
  </si>
  <si>
    <t>AMAZONDS,AMERSIGNDS,BBBDROP,CSNSTORES,HOUZZ,KOHLDSN,LAMPDS,NEBFUR01,OLLIIX,OVERSTOCK01,ROOMECOM,TGTDVS,ZOLA,Zulily</t>
  </si>
  <si>
    <t>FPF18-0263</t>
  </si>
  <si>
    <t>PF000684;PP000207</t>
  </si>
  <si>
    <t>AMAZONDS,AMERSIGNDS,BLK01,CASTLEGATE,CSNSTORES,HOUZZ,KIRKLANDDS,KOHLDSN,MACY02F,OLLIIX,OVERSTOCK01,ROOMECOM,TGTDVS,Zulily</t>
  </si>
  <si>
    <t>FPF18-0228</t>
  </si>
  <si>
    <t>Crosby</t>
  </si>
  <si>
    <t>Adam</t>
  </si>
  <si>
    <t>Bowen</t>
  </si>
  <si>
    <t>Storage Ottoman</t>
  </si>
  <si>
    <t>PF000660;PP000132</t>
  </si>
  <si>
    <t>AMERSIGNDS,BBBDROP,BLK01,CSNSTORES,HOUZZ,KOHLDSN,OLLIIX,OVERSTOCK01,ROOMECOM,TGTDVS,ZOLA,Zulily</t>
  </si>
  <si>
    <t>FPF18-0230</t>
  </si>
  <si>
    <t>PF000662;PP000132</t>
  </si>
  <si>
    <t>AMAZONDS,AMERSIGNDS,BLK01,CSNSTORES,HOUZZ,LAMPDS,OLLIIX,OVERSTOCK01,ROOMECOM,TGTDVS</t>
  </si>
  <si>
    <t>MP101-0199</t>
  </si>
  <si>
    <t>Aberdeen</t>
  </si>
  <si>
    <t>Oval Ottoman</t>
  </si>
  <si>
    <t>PF001087</t>
  </si>
  <si>
    <t>AMERSIGNDS,BBBDROP,CASTLEGATE,CSNSTORES,DESINC,HOUZZ,KIRKLANDDS,KOHLDSN,MACY02F,OLLIIX,OVERSTOCK01,ZOLA</t>
  </si>
  <si>
    <t>MP101-0712</t>
  </si>
  <si>
    <t>BBBDROP,CASTLEGATE,CSNSTORES,DESINC,HDDS,HOUZZ,KIRKLANDDS,KOHLDSN,LAMPDS,MACY02F,OLLIIX,OVERSTOCK01,ZOLA</t>
  </si>
  <si>
    <t>MP101-1214</t>
  </si>
  <si>
    <t>Madrona</t>
  </si>
  <si>
    <t>Loring</t>
  </si>
  <si>
    <t>Upholstered Round Cocktail Ottoman with Metal Base 34" Dia</t>
  </si>
  <si>
    <t>ASHFURNDS,CSNSTORES,HOUZZ,KIRKLANDDS,KOHLDSN,LAMPDS,MACY02F,OLLIIX,OVERSTOCK01,TGTDVS,ZOLA</t>
  </si>
  <si>
    <t>MP101-1132</t>
  </si>
  <si>
    <t>Kipling</t>
  </si>
  <si>
    <t>Alina</t>
  </si>
  <si>
    <t>Oval Cocktail Ottoman</t>
  </si>
  <si>
    <t>1/19/2022</t>
  </si>
  <si>
    <t>BBBDROP,CSNSTORES,KIRKLANDDS,KOHLDSN,OLLIIX,OVERSTOCK01,TGTDVS,Zulily</t>
  </si>
  <si>
    <t>FPF18-0211</t>
  </si>
  <si>
    <t>Hazel</t>
  </si>
  <si>
    <t>Round Ottoman with Shoe Holder Insert</t>
  </si>
  <si>
    <t>PF000643;PP000255</t>
  </si>
  <si>
    <t>AMAZONDS,AMERSIGNDS,CASTLEGATE,CSNSTORES,JCPENNEY01,KOHLDSN,MACY02F,OLLIIX,OVERSTOCK01,ROOMECOM,TGTDVS,Zulily</t>
  </si>
  <si>
    <t>FPF18-0210</t>
  </si>
  <si>
    <t>PF000642;PP000255</t>
  </si>
  <si>
    <t>AMERSIGNDS,CSNSTORES,JCPENNEY01,KOHLDSN,MACY02F,OLLIIX,OVERSTOCK01,ROOMECOM,Zulily</t>
  </si>
  <si>
    <t>FPF18-0046</t>
  </si>
  <si>
    <t>Shelley</t>
  </si>
  <si>
    <t>Allison</t>
  </si>
  <si>
    <t>Keira</t>
  </si>
  <si>
    <t>Square Storage Ottoman with Pillows</t>
  </si>
  <si>
    <t>PF000589;PP000261</t>
  </si>
  <si>
    <t>OVERSTOCK01</t>
  </si>
  <si>
    <t>5/16/2023</t>
  </si>
  <si>
    <t>FPF18-0179</t>
  </si>
  <si>
    <t>PF000632;PP000261</t>
  </si>
  <si>
    <t>CASTLEGATE,CSNSTORES,HOUZZ,KOHLDSN,MACY02F,OVERSTOCK01</t>
  </si>
  <si>
    <t>MP101-1135</t>
  </si>
  <si>
    <t>Tracey</t>
  </si>
  <si>
    <t>Sally</t>
  </si>
  <si>
    <t>Faux Leather Cocktail Ottoman</t>
  </si>
  <si>
    <t>3/21/2022</t>
  </si>
  <si>
    <t>ASHFURNDS,CSNSTORES,JCPENNEY01,KOHLDSN,OLLIIX,OVERSTOCK01,TGTDVS,ZOLA</t>
  </si>
  <si>
    <t>MP101-1164</t>
  </si>
  <si>
    <t>Square Shape Button-tufted Upholstered Metal Base Ottoman/Coffee Table</t>
  </si>
  <si>
    <t>4/19/2022</t>
  </si>
  <si>
    <t>AMERSIGNDS,CSNSTORES,JCPENNEY01,KOHLDSN,LAMPDS,MACY02F,OLLIIX,OVERSTOCK01,TGTDVS,ZOLA</t>
  </si>
  <si>
    <t>FPF20-0384</t>
  </si>
  <si>
    <t>DINING CHAIR</t>
  </si>
  <si>
    <t>Dining Chair</t>
  </si>
  <si>
    <t>Wing Dining Chair (Set of 2)</t>
  </si>
  <si>
    <t>PF000040;PP000104</t>
  </si>
  <si>
    <t>BLK01,CSNSTORES,HOUZZ,JCPENNEY01,KOHLDSN,LAMPDS,MACY02F,OLLIIX,OVERSTOCK01,ROOMECOM</t>
  </si>
  <si>
    <t>MP100-0038</t>
  </si>
  <si>
    <t>PF000259;PP000104</t>
  </si>
  <si>
    <t>BBBDROP,CSNSTORES,HOUZZ,JCPENNEY01,KIRKLANDDS,KOHLDSN,LAMPDS,MACY02F,OLLIIX,OVERSTOCK01,ROOMECOM</t>
  </si>
  <si>
    <t>FPF20-0387</t>
  </si>
  <si>
    <t>Arm Dining Chair</t>
  </si>
  <si>
    <t>PF000043;PP000141</t>
  </si>
  <si>
    <t>BBBDROP,BLK01,CSNSTORES,HOUZZ,JCPENNEY01,KOHLDSN,LAMPDS,MACY02F,NEBFUR01,OLLIIX,OVERSTOCK01,ROOMECOM,Zulily</t>
  </si>
  <si>
    <t>MP100-0042</t>
  </si>
  <si>
    <t>PF000261;PP000141</t>
  </si>
  <si>
    <t>BBBDROP,BLK01,CASTLEGATE,CSNSTORES,HOUZZ,JCPENNEY01,KIRKLANDDS,KOHLDSN,LAMPDS,MACY02F,OLLIIX,OVERSTOCK01,ROOMECOM,TGTDVS</t>
  </si>
  <si>
    <t>4/11/2022</t>
  </si>
  <si>
    <t>MP100-0043</t>
  </si>
  <si>
    <t>PF000262;PP000141</t>
  </si>
  <si>
    <t>CSNSTORES,HOUZZ,JCPENNEY01,KIRKLANDDS,KOHLDSN,LAMPDS,MACY02F,NEBFUR01,OLLIIX,OVERSTOCK01,TGTDVS</t>
  </si>
  <si>
    <t>MP108-0911</t>
  </si>
  <si>
    <t>Elmwood</t>
  </si>
  <si>
    <t>Bernardo</t>
  </si>
  <si>
    <t>Steven</t>
  </si>
  <si>
    <t>Dining Chair Set of 2</t>
  </si>
  <si>
    <t>2/7/2020</t>
  </si>
  <si>
    <t>AMERSIGNDS,CSNSTORES,HOUZZ,JCPENNEY01,KIRKLANDDS,KOHLDSN,LAMPDS,MACY02F,OLLIIX,OVERSCONSIGN,OVERSTOCK01,ROOMECOM,TGTDVS</t>
  </si>
  <si>
    <t>MP108-0513</t>
  </si>
  <si>
    <t>Braiden</t>
  </si>
  <si>
    <t>Quimby</t>
  </si>
  <si>
    <t>Garnet</t>
  </si>
  <si>
    <t>Dining Chair (set of 2)</t>
  </si>
  <si>
    <t>PP000621</t>
  </si>
  <si>
    <t>1/9/2018</t>
  </si>
  <si>
    <t>10/4/2024</t>
  </si>
  <si>
    <t>AMAZONDS,AMERSIGNDS,CSNSTORES,HOUZZ,JCPENNEY01,KOHLDSN,MACY02F,OLLIIX,OVERSTOCK01,ROOMECOM</t>
  </si>
  <si>
    <t>1/8/2024</t>
  </si>
  <si>
    <t>FPF20-0547</t>
  </si>
  <si>
    <t>Dining Chair (Set of 2)</t>
  </si>
  <si>
    <t>PF000075;PP000127</t>
  </si>
  <si>
    <t>AMERSIGNDS,CSNSTORES,HOUZZ,JCPENNEY01,KIRKLANDDS,KOHLDSN,LAMPDS,MACY02F,OLLIIX,OVERSTOCK01,ROOMECOM</t>
  </si>
  <si>
    <t>MP108-0767</t>
  </si>
  <si>
    <t>Angelica</t>
  </si>
  <si>
    <t>Jenn</t>
  </si>
  <si>
    <t>Shin</t>
  </si>
  <si>
    <t>Arm Dining Chair (set of 2)</t>
  </si>
  <si>
    <t>AMERSIGNDS,BBBDROP,CSNSTORES,HOUZZ,KOHLDSN,LAMPDS,MACY02F,OLLIIX,OVERSTOCK01,TGTDVS</t>
  </si>
  <si>
    <t>MP108-1139</t>
  </si>
  <si>
    <t>Channel Tufting Dining Chair (Set of 2)</t>
  </si>
  <si>
    <t>CSNSTORES,HOUZZ,JCPENNEY01,OLLIIX,OVERSTOCK01</t>
  </si>
  <si>
    <t>MP100-0153</t>
  </si>
  <si>
    <t>Bexley</t>
  </si>
  <si>
    <t>Larkin</t>
  </si>
  <si>
    <t>Oda</t>
  </si>
  <si>
    <t>Rounded Back Dining Chair</t>
  </si>
  <si>
    <t>PF001054;PP000096</t>
  </si>
  <si>
    <t>CASTLEGATE,CSNSTORES,DESINC,HOUZZ,JCPENNEY01,KOHLDSN,MACY02F,NEBFUR01,OLLIIX,OVERSTOCK01,ZOLA</t>
  </si>
  <si>
    <t>FPF18-0404</t>
  </si>
  <si>
    <t>PF000695;PP000096</t>
  </si>
  <si>
    <t>CASTLEGATE,CSNSTORES,HOUZZ,JCPENNEY01,KOHLDSN,LAMPDS,MACY02F,OLLIIX,OVERSTOCK01,ROOMECOM,TGTDVS</t>
  </si>
  <si>
    <t>MP100-0152</t>
  </si>
  <si>
    <t>PF001053;PP000096</t>
  </si>
  <si>
    <t>CASTLEGATE,CSNSTORES,DESINC,HOUZZ,JCPENNEY01,KIRKLANDDS,KOHLDSN,LAMPDS,MACY02F,NEBFUR01,OLLIIX,OVERSTOCK01,ROOMECOM,TGTDVS</t>
  </si>
  <si>
    <t>8/8/2022</t>
  </si>
  <si>
    <t>MP108-0788</t>
  </si>
  <si>
    <t>4/4/2019</t>
  </si>
  <si>
    <t>AMAZONDS,AMERSIGNDS,ASHFURNDS,BBBDROP,CSNSTORES,HDDS,HOUZZ,KIRKLANDDS,KOHLDSN,MACY02F,NEBFUR01,OLLIIX,OVERSTOCK01,TGTDVS,ZOLA</t>
  </si>
  <si>
    <t>MP108-0956</t>
  </si>
  <si>
    <t>2/14/2020</t>
  </si>
  <si>
    <t>AMAZONDS,AMERSIGNDS,ASHFURNDS,BBBDROP,CSNSTORES,DESINC,HOUZZ,KOHLDSN,LAMPDS,MACY02F,NEBFUR01,OLLIIX,OVERSTOCK01,TGTDVS</t>
  </si>
  <si>
    <t>MP108-1060</t>
  </si>
  <si>
    <t>Canteberry</t>
  </si>
  <si>
    <t>Ashe</t>
  </si>
  <si>
    <t>Ensley</t>
  </si>
  <si>
    <t>CSNSTORES,HDDS,KIRKLANDDS,MACY02F,NEBFUR01,OLLIIX,OVERSTOCK01,ROOMECOM,ZOLA</t>
  </si>
  <si>
    <t>MP108-0642</t>
  </si>
  <si>
    <t>Captiva</t>
  </si>
  <si>
    <t>Hastings</t>
  </si>
  <si>
    <t>Dining Side Chair (Set of 2)</t>
  </si>
  <si>
    <t>12/15/2017</t>
  </si>
  <si>
    <t>AMERSIGNDS,BBBDROP,CSNSTORES,HOUZZ,JCPENNEY01,KIRKLANDDS,KOHLDSN,LAMPDS,MACY02F,OLLIIX,OVERSTOCK01,ROOMECOM,TGTDVS</t>
  </si>
  <si>
    <t>MP108-0511</t>
  </si>
  <si>
    <t>Upholstered Wingback Dining Chair</t>
  </si>
  <si>
    <t>AMERSIGNDS,BBBDROP,CASTLEGATE,CSNSTORES,HDDS,HOUZZ,KOHLDSN,LAMPDS,MACY02F,OLLIIX,OVERSTOCK01,TGTDVS</t>
  </si>
  <si>
    <t>MP108-0987</t>
  </si>
  <si>
    <t>AMERSIGNDS,CASTLEGATE,CSNSTORES,JCPENNEY01,KIRKLANDDS,KOHLDSN,MACY02F,OLLIIX,OVERSTOCK01</t>
  </si>
  <si>
    <t>MP108-1209</t>
  </si>
  <si>
    <t>Light Sage Green</t>
  </si>
  <si>
    <t>7/7/2024</t>
  </si>
  <si>
    <t>CSNSTORES,HOUZZ,KOHLDSN,LAMPDS,OLLIIX,OVERSTOCK01</t>
  </si>
  <si>
    <t>MP108-1244</t>
  </si>
  <si>
    <t>Skirted Dining Arm Chair with Casters</t>
  </si>
  <si>
    <t>3/1/2024</t>
  </si>
  <si>
    <t>CSNSTORES,LAMPDS,OLLIIX,OVERSTOCK01,TGTDVS</t>
  </si>
  <si>
    <t>MP108-1243</t>
  </si>
  <si>
    <t>MP108-1205</t>
  </si>
  <si>
    <t>AMAZONDS,CSNSTORES,KIRKLANDDS,KOHLDSN,LAMPDS,OLLIIX,OVERSTOCK01,TGTDVS</t>
  </si>
  <si>
    <t>FPF18-0184</t>
  </si>
  <si>
    <t>PF000003;PP000121</t>
  </si>
  <si>
    <t>5/16/2017</t>
  </si>
  <si>
    <t>MP108-0849</t>
  </si>
  <si>
    <t>Foster</t>
  </si>
  <si>
    <t>Capa</t>
  </si>
  <si>
    <t>Cadman</t>
  </si>
  <si>
    <t>Set of 2 High Back Dining Chairs with Skirts</t>
  </si>
  <si>
    <t>PP001189</t>
  </si>
  <si>
    <t>AMAZONDS,AMERSIGNDS,CSNSTORES,HOUZZ,KIRKLANDDS,KOHLDSN,MACY02F,OLLIIX,OVERSTOCK01,TGTDVS,ZOLA</t>
  </si>
  <si>
    <t>FPF20-0278</t>
  </si>
  <si>
    <t>Garbo</t>
  </si>
  <si>
    <t>Sydney</t>
  </si>
  <si>
    <t>London</t>
  </si>
  <si>
    <t>Captains Dining Chair</t>
  </si>
  <si>
    <t>PF000776;PP000163</t>
  </si>
  <si>
    <t>CASTLEGATE,CSNSTORES,JCPENNEY01,KIRKLANDDS,KOHLDSN,MACY02F,OLLIIX,OVERSTOCK01,Zulily</t>
  </si>
  <si>
    <t>FPF20-0281</t>
  </si>
  <si>
    <t>PF000779;PP000163</t>
  </si>
  <si>
    <t>CASTLEGATE,CSNSTORES,JCPENNEY01,KOHLDSN,MACY02F,OLLIIX,OVERSTOCK01,TGTDVS</t>
  </si>
  <si>
    <t>FPF20-0280</t>
  </si>
  <si>
    <t>PF000778;PP000163</t>
  </si>
  <si>
    <t>AMAZONDS,BBBDROP,CASTLEGATE,CSNSTORES,HOUZZ,KIRKLANDDS,KOHLDSN,MACY02F,OLLIIX,OVERSTOCK01,Zulily</t>
  </si>
  <si>
    <t>FPF20-0279</t>
  </si>
  <si>
    <t>PF000777;PP000163</t>
  </si>
  <si>
    <t>CASTLEGATE,CSNSTORES,HOUZZ,JCPENNEY01,KOHLDSN,MACY02F,OLLIIX,OVERSTOCK01,Zulily</t>
  </si>
  <si>
    <t>MP108-1050</t>
  </si>
  <si>
    <t>CSNSTORES,JCPENNEY01,KIRKLANDDS,KOHLDSN,LAMPDS,MACY02F,OLLIIX,OVERSTOCK01</t>
  </si>
  <si>
    <t>MP108-0765</t>
  </si>
  <si>
    <t>Junn</t>
  </si>
  <si>
    <t>Miyu</t>
  </si>
  <si>
    <t>Mai</t>
  </si>
  <si>
    <t>AMERSIGNDS,CSNSTORES,KOHLDSN,LAMPDS,MACY02F,OLLIIX,OVERSTOCK01</t>
  </si>
  <si>
    <t>MP108-0766</t>
  </si>
  <si>
    <t>Rika</t>
  </si>
  <si>
    <t>Rain</t>
  </si>
  <si>
    <t>High Back Dining Armchair (Set of 2)</t>
  </si>
  <si>
    <t>ASHFURNDS,CSNSTORES,KOHLDSN,LAMPDS,MACY02F,OLLIIX,OVERSTOCK01,TGTDVS,Zulily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</si>
  <si>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</si>
  <si>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</si>
  <si>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</si>
  <si>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</si>
  <si>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</si>
  <si>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</si>
  <si>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</si>
  <si>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CSNSTORES,JCPENNEY01,KOHLDSN,LAMPDS,MACY02F,OLLIIX,OVERSTOCK01,Zulily</t>
  </si>
  <si>
    <t>MP108-0665</t>
  </si>
  <si>
    <t>Keeble</t>
  </si>
  <si>
    <t>Luther</t>
  </si>
  <si>
    <t>6/1/2018</t>
  </si>
  <si>
    <t>AMERSIGNDS,CSNSTORES,HOUZZ,KIRKLANDDS,KOHLDSN,LAMPDS,MACY02F,OLLIIX,OVERSTOCK01,TGTDVS,Zulily</t>
  </si>
  <si>
    <t>MP130-0451</t>
  </si>
  <si>
    <t>ACCENT CHEST</t>
  </si>
  <si>
    <t>Chest</t>
  </si>
  <si>
    <t>Rubrix</t>
  </si>
  <si>
    <t>Savannah</t>
  </si>
  <si>
    <t>Kat</t>
  </si>
  <si>
    <t>3 Drawer Chest</t>
  </si>
  <si>
    <t>PP000241</t>
  </si>
  <si>
    <t>AMERSIGNDS,BBBDROP,CSNSTORES,HOUZZ,KOHLDSN,LAMPDS,OLLIIX,OVERSTOCK01,ROOMECOM,ZOLA,Zulily</t>
  </si>
  <si>
    <t>8/23/2019</t>
  </si>
  <si>
    <t>MP130-0528</t>
  </si>
  <si>
    <t>Sonata</t>
  </si>
  <si>
    <t>Malta</t>
  </si>
  <si>
    <t>Accent Chest with 2 Drawers</t>
  </si>
  <si>
    <t>PP000629</t>
  </si>
  <si>
    <t>10/31/2017</t>
  </si>
  <si>
    <t>MP130-1177</t>
  </si>
  <si>
    <t>Allen</t>
  </si>
  <si>
    <t>Mallard</t>
  </si>
  <si>
    <t>3-Drawer Accent Chest</t>
  </si>
  <si>
    <t>CSNSTORES,HOUZZ,JCPENNEY01,KOHLDSN,MACY02F,OLLIIX,OVERSTOCK01,TGTDVS</t>
  </si>
  <si>
    <t>FUR130-0019</t>
  </si>
  <si>
    <t>Maria</t>
  </si>
  <si>
    <t>Gabrielle</t>
  </si>
  <si>
    <t>Gold Lattice Accent Chest</t>
  </si>
  <si>
    <t>PF000100;PP000204</t>
  </si>
  <si>
    <t>CASTLEGATE,CSNSTORES,LAMPDS,OLLIIX,OVERSTOCK01</t>
  </si>
  <si>
    <t>8/24/2019</t>
  </si>
  <si>
    <t>MP130-1036</t>
  </si>
  <si>
    <t>Nora</t>
  </si>
  <si>
    <t>2/16/2022</t>
  </si>
  <si>
    <t>AMERSIGNDS,CSNSTORES,HOUZZ,JCPENNEY01,KIRKLANDDS,KOHLDSN,OLLIIX,OVERSTOCK01,TGTDVS</t>
  </si>
  <si>
    <t>CHT015</t>
  </si>
  <si>
    <t>Scroll</t>
  </si>
  <si>
    <t>Scripta</t>
  </si>
  <si>
    <t>Rithe</t>
  </si>
  <si>
    <t>Bun Foot Chest</t>
  </si>
  <si>
    <t>PF000528;PP000258</t>
  </si>
  <si>
    <t>BBBDROP,CSNSTORES,DESINC,HOUZZ,KOHLDSN,OLLIIX,OVERSTOCK01,Zulily</t>
  </si>
  <si>
    <t>MP130-0373</t>
  </si>
  <si>
    <t>Cabinet</t>
  </si>
  <si>
    <t>West Ridge</t>
  </si>
  <si>
    <t>Cain</t>
  </si>
  <si>
    <t>Henly</t>
  </si>
  <si>
    <t>PF000458;PP000278</t>
  </si>
  <si>
    <t>7/1/2017</t>
  </si>
  <si>
    <t>AMERSIGNDS,BBBDROP,CSNSTORES,HOUZZ,KOHLDSN,LAMPDS,MACY02F,OLLIIX,OVERSTOCK01,ROOMECOM,TGTDVS</t>
  </si>
  <si>
    <t>5/2/2024</t>
  </si>
  <si>
    <t>FPF17-0390</t>
  </si>
  <si>
    <t>PF000559;PP000278</t>
  </si>
  <si>
    <t>BBBDROP,CSNSTORES,DESINC,HOUZZ,KIRKLANDDS,KOHLDSN,LAMPDS,MACY02F,OLLIIX,ROOMECOM,TGTDVS,Zulily</t>
  </si>
  <si>
    <t>9/13/2023</t>
  </si>
  <si>
    <t>MP130-0156</t>
  </si>
  <si>
    <t>Driscoll</t>
  </si>
  <si>
    <t>Wyatt</t>
  </si>
  <si>
    <t>Grayson</t>
  </si>
  <si>
    <t>2-Door Cabinet</t>
  </si>
  <si>
    <t>PF000438</t>
  </si>
  <si>
    <t>ASHFURNDS,CASTLEGATE,CSNSTORES,HDDS,HOUZZ,KIRKLANDDS,KOHLDSN,LAMPDS,MACY02F,OLLIIX,OVERSTOCK01,ROOMECOM,TGTDVS</t>
  </si>
  <si>
    <t>MP130-0945</t>
  </si>
  <si>
    <t>Hanley</t>
  </si>
  <si>
    <t>Eddy</t>
  </si>
  <si>
    <t>Folsom</t>
  </si>
  <si>
    <t>2 Doors Accent Cabinet</t>
  </si>
  <si>
    <t>1/31/2020</t>
  </si>
  <si>
    <t>AMERSIGNDS,ASHFURNDS,BBBDROP,CASTLEGATE,CSNSTORES,HOUZZ,JCPENNEY01,KIRKLANDDS,KOHLDSN,OLLIIX,OVERSTOCK01,ROOMECOM,ZOLA,Zulily</t>
  </si>
  <si>
    <t>1/18/2024</t>
  </si>
  <si>
    <t>MP130-0824</t>
  </si>
  <si>
    <t>Cowley</t>
  </si>
  <si>
    <t>Niles</t>
  </si>
  <si>
    <t>Turpin</t>
  </si>
  <si>
    <t>Reclaimed Walnut/Antique Cream</t>
  </si>
  <si>
    <t>PP001141</t>
  </si>
  <si>
    <t>3/15/2019</t>
  </si>
  <si>
    <t>CSNSTORES,KOHLDSN,LAMPDS,MACY02F,OLLIIX,TGTDVS</t>
  </si>
  <si>
    <t>MP130-0929</t>
  </si>
  <si>
    <t>Curry</t>
  </si>
  <si>
    <t>Casa</t>
  </si>
  <si>
    <t>Francis</t>
  </si>
  <si>
    <t>2 Door Accent Cabinet</t>
  </si>
  <si>
    <t>Mint</t>
  </si>
  <si>
    <t>CSNSTORES,LAMPDS,OLLIIX,OVERSTOCK01,ZOLA</t>
  </si>
  <si>
    <t>MP130-0137</t>
  </si>
  <si>
    <t>Lexnnox</t>
  </si>
  <si>
    <t>Kenzie</t>
  </si>
  <si>
    <t>Morocco/Gold</t>
  </si>
  <si>
    <t>PF000437</t>
  </si>
  <si>
    <t>BBBDROP,CSNSTORES,HOUZZ,LAMPDS,MACY02F,OLLIIX,OVERSTOCK01,ROOMECOM</t>
  </si>
  <si>
    <t>1/29/2019</t>
  </si>
  <si>
    <t>MP130-1207</t>
  </si>
  <si>
    <t>Paige</t>
  </si>
  <si>
    <t>Phinney</t>
  </si>
  <si>
    <t>Devin</t>
  </si>
  <si>
    <t>2-Door Accent Cabinet with Adjustable Shelves</t>
  </si>
  <si>
    <t>AMERSIGNDS,CSNSTORES,HOUZZ,KIRKLANDDS,KOHLDSN,LAMPDS,OLLIIX,OVERSTOCK01,TGTDVS,ZOLA</t>
  </si>
  <si>
    <t>MP130-0157</t>
  </si>
  <si>
    <t>Somerset</t>
  </si>
  <si>
    <t>Greyson</t>
  </si>
  <si>
    <t>Ezra</t>
  </si>
  <si>
    <t>3-Drawer Chest</t>
  </si>
  <si>
    <t>PF000439</t>
  </si>
  <si>
    <t>BBBDROP,CSNSTORES,KIRKLANDDS,KOHLDSN,OLLIIX,OVERSTOCK01,ROOMECOM</t>
  </si>
  <si>
    <t>3/28/2019</t>
  </si>
  <si>
    <t>MP130-0089</t>
  </si>
  <si>
    <t>PF001178;PP000177</t>
  </si>
  <si>
    <t>CSNSTORES,KOHLDSN,LAMPDS,OLLIIX,OVERSTOCK01,ROOMECOM,Zulily</t>
  </si>
  <si>
    <t>6/12/2018</t>
  </si>
  <si>
    <t>4/26/2019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</si>
  <si>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</si>
  <si>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</si>
  <si>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</si>
  <si>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</si>
  <si>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</si>
  <si>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</si>
  <si>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</si>
  <si>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CSNSTORES,LAMPDS,OLLIIX,ROOMECOM</t>
  </si>
  <si>
    <t>MP130-0283</t>
  </si>
  <si>
    <t>PF000455;PP000204</t>
  </si>
  <si>
    <t>5/20/2017</t>
  </si>
  <si>
    <t>CSNSTORES,MACY02F,OLLIIX,ROOMECOM</t>
  </si>
  <si>
    <t>1/29/2020</t>
  </si>
  <si>
    <t>MP130-0452</t>
  </si>
  <si>
    <t>BBBDROP,CSNSTORES,HOUZZ,KOHLDSN,LAMPDS,NEBFUR01,OLLIIX,OVERSTOCK01,ROOMECOM</t>
  </si>
  <si>
    <t>MP130-1211</t>
  </si>
  <si>
    <t>Sadler</t>
  </si>
  <si>
    <t>Clausen</t>
  </si>
  <si>
    <t>Ivins</t>
  </si>
  <si>
    <t>34"H 3-Door Cabinet</t>
  </si>
  <si>
    <t>Dark Coffee</t>
  </si>
  <si>
    <t>CSNSTORES,KOHLDSN,LAMPDS,OLLIIX,OVERSTOCK01,ZOLA</t>
  </si>
  <si>
    <t>FPF17-0295</t>
  </si>
  <si>
    <t>ACCENT TABLE</t>
  </si>
  <si>
    <t>Coen</t>
  </si>
  <si>
    <t>Gaige</t>
  </si>
  <si>
    <t>Metal Eyelet Accent Table</t>
  </si>
  <si>
    <t>PF000546;PP000084</t>
  </si>
  <si>
    <t>AMAZONDS,AMERSIGNDS,ASHFURNDS,BLK01,CSNSTORES,HOUZZ,KIRKLANDDS,KOHLDSN,LAMPDS,MACY02F,OLLIIX,OVERSTOCK01,ROOMECOM,TGTDVS</t>
  </si>
  <si>
    <t>MP120-0221</t>
  </si>
  <si>
    <t>Gold/Glass</t>
  </si>
  <si>
    <t>PF000386;PP000084</t>
  </si>
  <si>
    <t>AMERSIGNDS,ASHFURNDS,BLK01,CSNSTORES,DESINC,HOUZZ,KOHLDSN,LAMPDS,MACY02F,OLLIIX,OVERSTOCK01,ROOMECOM,TGTDVS,Zulily</t>
  </si>
  <si>
    <t>MP125-0989</t>
  </si>
  <si>
    <t>6/4/2020</t>
  </si>
  <si>
    <t>AMERSIGNDS,CSNSTORES,KIRKLANDDS,KOHLDSN,MACY02F,OLLIIX,OVERSTOCK01,ROOMECOM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</si>
  <si>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</si>
  <si>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</si>
  <si>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</si>
  <si>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</si>
  <si>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</si>
  <si>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</si>
  <si>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AMAZON,AMAZONDS,AMERSIGNDS,ASHFURNDS,BEALLSDS,CSNSTORES,HOUZZ,KOHLDSN,LAMPDS,MACY02F,OLLIIX,OVERSTOCK01,ROOMECOM,Zulily</t>
  </si>
  <si>
    <t>MP120-0427</t>
  </si>
  <si>
    <t>Lexi</t>
  </si>
  <si>
    <t>Hemlock</t>
  </si>
  <si>
    <t>Wesley</t>
  </si>
  <si>
    <t>PF000422</t>
  </si>
  <si>
    <t>7/18/2024</t>
  </si>
  <si>
    <t>AMERSIGNDS,BBBDROP,BLK01,CASTLEGATE,CSNSTORES,HDDS,HOUZZ,KIRKLANDDS,KOHLDSN,LAMPDS,MACY02F,NEBFUR01,OLLIIX,OVERSTOCK01,ROOMECOM,TGTDVS,Zulily</t>
  </si>
  <si>
    <t>MP120-0428</t>
  </si>
  <si>
    <t>Valentina</t>
  </si>
  <si>
    <t>Ortega</t>
  </si>
  <si>
    <t>Dorado</t>
  </si>
  <si>
    <t>PF000424</t>
  </si>
  <si>
    <t>7/31/2017</t>
  </si>
  <si>
    <t>AMERSIGNDS,ASHFURNDS,BBBDROP,BLK01,CSNSTORES,HOUZZ,KOHLDSN,LAMPDS,MACY02F,NEBFUR01,OLLIIX,OVERSTOCK01,ROOMECOM,TGTDVS</t>
  </si>
  <si>
    <t>8/10/2023</t>
  </si>
  <si>
    <t>MP120-0597</t>
  </si>
  <si>
    <t>Venice</t>
  </si>
  <si>
    <t>Wilton</t>
  </si>
  <si>
    <t>PP000728</t>
  </si>
  <si>
    <t>AMERSIGNDS,ASHFURNDS,BBBDROP,CSNSTORES,DESINC,HOUZZ,KOHLDSN,LAMPDS,MACY02F,OLLIIX,OVERSTOCK01,ROOMECOM,TGTDVS</t>
  </si>
  <si>
    <t>9/2/2020</t>
  </si>
  <si>
    <t>MP120-0006</t>
  </si>
  <si>
    <t>Arian</t>
  </si>
  <si>
    <t>Deon</t>
  </si>
  <si>
    <t>Jerel</t>
  </si>
  <si>
    <t>Quatrefoil Mirror Accent Table</t>
  </si>
  <si>
    <t>PF000326</t>
  </si>
  <si>
    <t>AMERSIGNDS,ASHFURNDS,CSNSTORES,KOHLDSN,LAMPDS,MACY02F,OLLIIX,OVERSTOCK01,ROOMECOM,Zulily</t>
  </si>
  <si>
    <t>FPF17-0063</t>
  </si>
  <si>
    <t>Metal Accent Drum Table</t>
  </si>
  <si>
    <t>PF000533;PP000121</t>
  </si>
  <si>
    <t>AMAZONDS,AMERSIGNDS,ASHFURNDS,CSNSTORES,HOUZZ,KIRKLANDDS,KOHLDSN,LAMPDS,MACY02F,OLLIIX,OVERSTOCK01,ROOMECOM</t>
  </si>
  <si>
    <t>FPF17-0129</t>
  </si>
  <si>
    <t>Reclaimed Quatrefoil Metal Drum</t>
  </si>
  <si>
    <t>PF000537;PP000121</t>
  </si>
  <si>
    <t>AMAZONDS,AMERSIGNDS,CSNSTORES,JCPENNEY01,KOHLDSN,LAMPDS,OLLIIX,OVERSTOCK01,ROOMECOM,Zulily</t>
  </si>
  <si>
    <t>12/15/2023</t>
  </si>
  <si>
    <t>MP125-0819</t>
  </si>
  <si>
    <t>Gaberial</t>
  </si>
  <si>
    <t>Bunker</t>
  </si>
  <si>
    <t>Glory</t>
  </si>
  <si>
    <t>PP001138</t>
  </si>
  <si>
    <t>4/3/2019</t>
  </si>
  <si>
    <t>AMERSIGNDS,BLK01,CSNSTORES,HOUZZ,KIRKLANDDS,KOHLDSN,LAMPDS,MACY02F,OLLIIX,OVERSTOCK01,TGTDVS,Zulily</t>
  </si>
  <si>
    <t>MP120-0583</t>
  </si>
  <si>
    <t>Garcia</t>
  </si>
  <si>
    <t>Soto</t>
  </si>
  <si>
    <t>Norwood</t>
  </si>
  <si>
    <t>PP000718</t>
  </si>
  <si>
    <t>AMERSIGNDS,ASHFURNDS,BBBDROP,CSNSTORES,HOUZZ,KOHLDSN,MACY02F,NEBFUR01,OLLIIX,OVERSTOCK01,ROOMECOM,TGTDVS,Zulily</t>
  </si>
  <si>
    <t>MP120-0184</t>
  </si>
  <si>
    <t>Grammercy</t>
  </si>
  <si>
    <t>Zoey</t>
  </si>
  <si>
    <t>Antique Gold</t>
  </si>
  <si>
    <t>PF000377</t>
  </si>
  <si>
    <t>BBBDROP,BLK01,CSNSTORES,DESINC,HOUZZ,KIRKLANDDS,OLLIIX,OVERSCONSIGN,OVERSTOCK01,ROOMECOM,Zulily</t>
  </si>
  <si>
    <t>MP120-0231</t>
  </si>
  <si>
    <t>Griffin</t>
  </si>
  <si>
    <t>Harold</t>
  </si>
  <si>
    <t>Effie</t>
  </si>
  <si>
    <t>Silver/Metal</t>
  </si>
  <si>
    <t>PF000389</t>
  </si>
  <si>
    <t>KIRKLANDDS,OVERSTOCK01,ROOMECOM</t>
  </si>
  <si>
    <t>MP125-1190</t>
  </si>
  <si>
    <t>Del Mar</t>
  </si>
  <si>
    <t>Ashley</t>
  </si>
  <si>
    <t>Pedestal Accent Table</t>
  </si>
  <si>
    <t>ASHFURNDS,CSNSTORES,HOUZZ,KIRKLANDDS,KOHLDSN,LAMPDS,OLLIIX,OVERSTOCK01,TGTDVS</t>
  </si>
  <si>
    <t>MP138-0128</t>
  </si>
  <si>
    <t>BOOKCASE/SHELF</t>
  </si>
  <si>
    <t>Bookcase</t>
  </si>
  <si>
    <t>Shelf / Bookcase</t>
  </si>
  <si>
    <t>PF001180;PP000227</t>
  </si>
  <si>
    <t>ASHFURNDS,CASTLEGATE,CSNSTORES,DESINC,HOUZZ,KIRKLANDDS,KOHLDSN,LAMPDS,MACY02F,OLLIIX,OVERSCONSIGN,OVERSTOCK01,ROOMECOM,TGTDVS</t>
  </si>
  <si>
    <t>3/24/2021</t>
  </si>
  <si>
    <t>MP131-1061</t>
  </si>
  <si>
    <t>ASHFURNDS,BBBDROP,CSNSTORES,DESINC,HOUZZ,JCPENNEY01,KIRKLANDDS,KOHLDSN,LAMPDS,MACY02F,OLLIIX,OVERSTOCK01</t>
  </si>
  <si>
    <t>MP131-1179</t>
  </si>
  <si>
    <t>Darley</t>
  </si>
  <si>
    <t>Pagosa</t>
  </si>
  <si>
    <t>Callan</t>
  </si>
  <si>
    <t>3-Shelf Bookcase with Storage Cabinet</t>
  </si>
  <si>
    <t>7/21/2022</t>
  </si>
  <si>
    <t>CSNSTORES,LAMPDS,OLLIIX,OVERSTOCK01</t>
  </si>
  <si>
    <t>MP131-0977</t>
  </si>
  <si>
    <t>Seymore</t>
  </si>
  <si>
    <t>Fort</t>
  </si>
  <si>
    <t>Winley</t>
  </si>
  <si>
    <t>Brown/Bronze</t>
  </si>
  <si>
    <t>FPF17-0188</t>
  </si>
  <si>
    <t>DESK</t>
  </si>
  <si>
    <t>Desk</t>
  </si>
  <si>
    <t>PF000539;PP000121</t>
  </si>
  <si>
    <t>ASHFURNDS,CASTLEGATE,CSNSTORES,DESINC,KOHLDSN,LAMPDS,OLLIIX,OVERSTOCK01,ROOMECOM,TGTDVS</t>
  </si>
  <si>
    <t>MP122-0923</t>
  </si>
  <si>
    <t>Writing Desk</t>
  </si>
  <si>
    <t>MP122-0981</t>
  </si>
  <si>
    <t>Albion</t>
  </si>
  <si>
    <t>Williams</t>
  </si>
  <si>
    <t>Toris</t>
  </si>
  <si>
    <t>AMERSIGNDS,ASHFURNDS,CSNSTORES,LAMPDS,OLLIIX,ROOMECOM,Zulily</t>
  </si>
  <si>
    <t>12/7/2020</t>
  </si>
  <si>
    <t>MP122-0193</t>
  </si>
  <si>
    <t>Packer</t>
  </si>
  <si>
    <t>Natural Multi/Black</t>
  </si>
  <si>
    <t>PF000429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</si>
  <si>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</si>
  <si>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</si>
  <si>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</si>
  <si>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</si>
  <si>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</si>
  <si>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</si>
  <si>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</si>
  <si>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ASHFURNDS,BBBDROP,CASTLEGATE,CSNSTORES,HDDS,HOUZZ,JCPENNEY01,KOHLDSN,LAMPDS,MACY02F,OLLIIX,OVERSTOCK01,ROOMECOM,TGTDVS</t>
  </si>
  <si>
    <t>MP122-0203</t>
  </si>
  <si>
    <t>Rigby</t>
  </si>
  <si>
    <t>Marion</t>
  </si>
  <si>
    <t>3 Drawer Writing Desk</t>
  </si>
  <si>
    <t>Pecan/Blue</t>
  </si>
  <si>
    <t>PF001175</t>
  </si>
  <si>
    <t>CSNSTORES,DESINC,HOUZZ,KOHLDSN,LAMPDS,MACY02F,OLLIIX,OVERSTOCK01,TGTDVS</t>
  </si>
  <si>
    <t>MP122-0900</t>
  </si>
  <si>
    <t>White/Pecan</t>
  </si>
  <si>
    <t>PP001311</t>
  </si>
  <si>
    <t>8/16/2019</t>
  </si>
  <si>
    <t>MP122-0204</t>
  </si>
  <si>
    <t>Scandi</t>
  </si>
  <si>
    <t>Montrose</t>
  </si>
  <si>
    <t>Tabor</t>
  </si>
  <si>
    <t>2 Drawer Desk</t>
  </si>
  <si>
    <t>PF001176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</si>
  <si>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</si>
  <si>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</si>
  <si>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</si>
  <si>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</si>
  <si>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</si>
  <si>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</si>
  <si>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</si>
  <si>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</si>
  <si>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AMAZONDS,AMERSIGNDS,ASHFURNDS,BBBDROP,BLK01,CSNSTORES,HDDS,HOUZZ,KOHLDSN,MACY02F,OLLIIX,OVERSTOCK01,ROOMECOM,Zulily</t>
  </si>
  <si>
    <t>MP106-0383</t>
  </si>
  <si>
    <t>Swoop Arm Settee</t>
  </si>
  <si>
    <t>PF001132;PP000091</t>
  </si>
  <si>
    <t>AMERSIGNDS,CSNSTORES,MACY02F,OLLIIX,OVERSTOCK01,TGTDVS</t>
  </si>
  <si>
    <t>MP106-0211</t>
  </si>
  <si>
    <t>Stinson</t>
  </si>
  <si>
    <t>Muirre</t>
  </si>
  <si>
    <t>Rolled Arm Settee</t>
  </si>
  <si>
    <t>Cream/Morrocco</t>
  </si>
  <si>
    <t>PF001131;PP000140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</si>
  <si>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</si>
  <si>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</si>
  <si>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</si>
  <si>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</si>
  <si>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</si>
  <si>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</si>
  <si>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</si>
  <si>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</si>
  <si>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MP133-0532</t>
  </si>
  <si>
    <t>BUFFET</t>
  </si>
  <si>
    <t>Buffet</t>
  </si>
  <si>
    <t>Folio</t>
  </si>
  <si>
    <t>Doughrty</t>
  </si>
  <si>
    <t>Tilden</t>
  </si>
  <si>
    <t>PP000633</t>
  </si>
  <si>
    <t>12/6/2017</t>
  </si>
  <si>
    <t>MP133-0533</t>
  </si>
  <si>
    <t>Bliss</t>
  </si>
  <si>
    <t>PP000634</t>
  </si>
  <si>
    <t>CSNSTORES,KOHLDSN,MACY02F,OLLIIX,OVERSTOCK01</t>
  </si>
  <si>
    <t>MP133-0713</t>
  </si>
  <si>
    <t>Verona</t>
  </si>
  <si>
    <t>Nevaeh</t>
  </si>
  <si>
    <t>Dining Buffet Server Quaterfoil Design Kitchen Storage Cabinet with Mirrored Doors</t>
  </si>
  <si>
    <t>BBBDROP,CSNSTORES,KOHLDSN,NRTPORT,OLLIIX</t>
  </si>
  <si>
    <t>MP102-0854</t>
  </si>
  <si>
    <t>CHAISE</t>
  </si>
  <si>
    <t>Chaise</t>
  </si>
  <si>
    <t>Brett</t>
  </si>
  <si>
    <t>Accent Chaise</t>
  </si>
  <si>
    <t>PP001194</t>
  </si>
  <si>
    <t>6/4/2019</t>
  </si>
  <si>
    <t>AMERSIGNDS,CSNSTORES,HOUZZ,JCPENNEY01,KIRKLANDDS,KOHLDSN,LAMPDS,OLLIIX,OVERSTOCK01,TGTDVS</t>
  </si>
  <si>
    <t>FPF17-0183</t>
  </si>
  <si>
    <t>DINING TABLE</t>
  </si>
  <si>
    <t>Dining Table</t>
  </si>
  <si>
    <t>Dining Table with Metal Legs</t>
  </si>
  <si>
    <t>PF000538;PP000121</t>
  </si>
  <si>
    <t>CSNSTORES,KIRKLANDDS,MACY02F,OLLIIX,OVERSTOCK01</t>
  </si>
  <si>
    <t>MP121-1223</t>
  </si>
  <si>
    <t>46" Round Pedestal Dining Table</t>
  </si>
  <si>
    <t>46" Dia.</t>
  </si>
  <si>
    <t>Reclaimed Walnut</t>
  </si>
  <si>
    <t>9/12/2024</t>
  </si>
  <si>
    <t>MP121-0772</t>
  </si>
  <si>
    <t>2/25/2019</t>
  </si>
  <si>
    <t>6/24/2024</t>
  </si>
  <si>
    <t>AMERSIGNDS,BBBDROP,CSNSTORES,KOHLDSN,LAMPDS,MACY02F,NEBFUR01,OLLIIX,OVERSTOCK01,ZOLA</t>
  </si>
  <si>
    <t>MP121-1221</t>
  </si>
  <si>
    <t>Garett</t>
  </si>
  <si>
    <t>Phelps</t>
  </si>
  <si>
    <t>Rectangle Extension Dining Table</t>
  </si>
  <si>
    <t>MP116-0355</t>
  </si>
  <si>
    <t>HEADBOARD</t>
  </si>
  <si>
    <t>Headboard</t>
  </si>
  <si>
    <t>Baldwin</t>
  </si>
  <si>
    <t>Janice</t>
  </si>
  <si>
    <t>Upholstery Headboard</t>
  </si>
  <si>
    <t>PF001138;PP000077</t>
  </si>
  <si>
    <t>AMAZONDS,ASHFURNDS,CASTLEGATE,CSNSTORES,HDDS,KOHLDSN,LAMPDS,MACY02F,OLLIIX,OVERSTOCK01,ZOLA</t>
  </si>
  <si>
    <t>MP116-0357</t>
  </si>
  <si>
    <t>PF001140;PP000077</t>
  </si>
  <si>
    <t>AMAZONDS,ASHFURNDS,BBBDROP,CASTLEGATE,CSNSTORES,DESINC,KIRKLANDDS,KOHLDSN,LAMPDS,MACY02F,OLLIIX,OVERSTOCK01,ZOLA</t>
  </si>
  <si>
    <t>MP116-1142</t>
  </si>
  <si>
    <t>1/12/2022</t>
  </si>
  <si>
    <t>AMAZONDS,AMERSIGNDS,BBBDROP,CSNSTORES,JCPENNEY01,KIRKLANDDS,KOHLDSN,MACY02F,OLLIIX,OVERSTOCK01,Zulily</t>
  </si>
  <si>
    <t>MP116-0363</t>
  </si>
  <si>
    <t>Kaden</t>
  </si>
  <si>
    <t>Catalina</t>
  </si>
  <si>
    <t>Layton</t>
  </si>
  <si>
    <t>PF001146;PP000184</t>
  </si>
  <si>
    <t>MP116-1117</t>
  </si>
  <si>
    <t>Nadine</t>
  </si>
  <si>
    <t>Augusta</t>
  </si>
  <si>
    <t>Iverson</t>
  </si>
  <si>
    <t>Upholstery Headborad</t>
  </si>
  <si>
    <t>8/3/2021</t>
  </si>
  <si>
    <t>CSNSTORES,KOHLDSN,OLLIIX,OVERSTOCK01,ROOMECOM,ZOLA</t>
  </si>
  <si>
    <t>MP116-0996</t>
  </si>
  <si>
    <t xml:space="preserve">Upholstery  Headboard</t>
  </si>
  <si>
    <t>AMERSIGNDS,ASHFURNDS,CSNSTORES,JCPENNEY01,KIRKLANDDS,MACY02F,OLLIIX,OVERSTOCK01,ROOMECOM,TGTDVS,ZOLA</t>
  </si>
  <si>
    <t>MP116-0353</t>
  </si>
  <si>
    <t>PF001136;PP000221</t>
  </si>
  <si>
    <t>ASHFURNDS,CASTLEGATE,CSNSTORES,HOUZZ,JCPENNEY01,KOHLDSN,LAMPDS,MACY02F,OLLIIX,OVERSTOCK01,TGTDVS,ZOLA</t>
  </si>
  <si>
    <t>4/26/2022</t>
  </si>
  <si>
    <t>MP116-0354</t>
  </si>
  <si>
    <t>PF001137;PP000221</t>
  </si>
  <si>
    <t>ASHFURNDS,BBBDROP,CASTLEGATE,CSNSTORES,KOHLDSN,LAMPDS,OLLIIX,OVERSTOCK01,TGTDVS,ZOLA,Zulily</t>
  </si>
  <si>
    <t>IIF18-0049</t>
  </si>
  <si>
    <t>Novak</t>
  </si>
  <si>
    <t>PF000206</t>
  </si>
  <si>
    <t>AAFESDS,ASHFURNDS,BBBDROP,BLK01,CASTLEGATE,CSNSTORES,HDDS,HOUZZ,KIRKLANDDS,KOHLDSN,LAMPDS,MACY02F,OLLIIX,OVERSTOCK01,ROOMECOM,TGTDVS,Zulily</t>
  </si>
  <si>
    <t>8/17/2020</t>
  </si>
  <si>
    <t>8/19/2020</t>
  </si>
  <si>
    <t>II110-0522</t>
  </si>
  <si>
    <t>AMERSIGNDS,CSNSTORES,DESINC,HOUZZ,KIRKLANDDS,KOHLDSN,OLLIIX,OVERSTOCK01,TGTDVS</t>
  </si>
  <si>
    <t>II100-0435</t>
  </si>
  <si>
    <t>12/1/2020</t>
  </si>
  <si>
    <t>10/5/2024</t>
  </si>
  <si>
    <t>AMERSIGNDS,BBBDROP,BLK01,CASTLEGATE,CSNSTORES,HDDS,HOUZZ,JCPENNEY01,LAMPDS,MACY02F,NEBFUR01,OLLIIX,OVERSTOCK01,TGTDVS,Zulily</t>
  </si>
  <si>
    <t>II110-0397</t>
  </si>
  <si>
    <t>2/28/2020</t>
  </si>
  <si>
    <t>7/9/2024</t>
  </si>
  <si>
    <t>AAFESDS,BBBDROP,BLK01,CASTLEGATE,CSNSTORES,DESINC,HDDS,HOUZZ,JCPENNEY01,KIRKLANDDS,KOHLDSN,LAMPDS,MACY02F,NEBFUR01,OLLIIX,OVERSTOCK01,TGTDVS,ZOLA,Zulily</t>
  </si>
  <si>
    <t>II100-0487</t>
  </si>
  <si>
    <t>AMERSIGNDS,CSNSTORES,HDDS,HOUZZ,KOHLDSN,LAMPDS,OLLIIX,TGTDVS,ZOLA</t>
  </si>
  <si>
    <t>II100-0434</t>
  </si>
  <si>
    <t>AMERSIGNDS,BBBDROP,CASTLEGATE,CSNSTORES,HDDS,HOUZZ,JCPENNEY01,KOHLDSN,LAMPDS,MACY02F,NEBFUR01,OLLIIX,OVERSTOCK01,TGTDVS</t>
  </si>
  <si>
    <t>II110-0455</t>
  </si>
  <si>
    <t>Newport</t>
  </si>
  <si>
    <t>AMAZONDS,AMERSIGNDS,ASHFURNDS,CASTLEGATE,CSNSTORES,HDDS,JCPENNEY01,KIRKLANDDS,KOHLDSN,LAMPDS,MACY02F,OLLIIX,OVERSTOCK01,ROOMECOM,TGTDVS,ZOLA</t>
  </si>
  <si>
    <t>1/30/2024</t>
  </si>
  <si>
    <t>II100-0063</t>
  </si>
  <si>
    <t>PF000835;PP000045</t>
  </si>
  <si>
    <t>9/22/2024</t>
  </si>
  <si>
    <t>AMERSIGNDS,ASHFURNDS,CASTLEGATE,CSNSTORES,HDDS,HOUZZ,KIRKLANDDS,KOHLDSN,MACY02F,OLLIIX,OVERSTOCK01,ROOMECOM,TGTDVS,Zulily</t>
  </si>
  <si>
    <t>II110-0391</t>
  </si>
  <si>
    <t>10/7/2019</t>
  </si>
  <si>
    <t>AMERSIGNDS,ASHFURNDS,BBBDROP,CASTLEGATE,CSNSTORES,HDDS,KOHLDSN,LAMPDS,MACY02F,OLLIIX,OVERSTOCK01,ROOMECOM,TGTDVS,ZOLA</t>
  </si>
  <si>
    <t>10/30/2023</t>
  </si>
  <si>
    <t>II100-0382</t>
  </si>
  <si>
    <t>7/31/2018</t>
  </si>
  <si>
    <t>AMERSIGNDS,ASHFURNDS,CASTLEGATE,CSNSTORES,HDDS,HOUZZ,KOHLDSN,MACY02F,OLLIIX,OVERSTOCK01,ROOMECOM</t>
  </si>
  <si>
    <t>II110-0388</t>
  </si>
  <si>
    <t>10/8/2019</t>
  </si>
  <si>
    <t>AMERSIGNDS,ASHFURNDS,BBBDROP,CASTLEGATE,CSNSTORES,HDDS,HOUZZ,KOHLDSN,MACY02F,OLLIIX,OVERSTOCK01,TGTDVS,ZOLA</t>
  </si>
  <si>
    <t>IIF18-0015</t>
  </si>
  <si>
    <t>Pale Green</t>
  </si>
  <si>
    <t>PF000954;PP000045</t>
  </si>
  <si>
    <t>AMERSIGNDS,ASHFURNDS,CASTLEGATE,CSNSTORES,HDDS,HOUZZ,KOHLDSN,MACY02F,OLLIIX,OVERSTOCK01</t>
  </si>
  <si>
    <t>II100-0468</t>
  </si>
  <si>
    <t>1/3/2022</t>
  </si>
  <si>
    <t>AMAZONDS,AMERSIGNDS,ASHFURNDS,BBBDROP,CASTLEGATE,CSNSTORES,DESINC,HDDS,HOUZZ,JCPENNEY01,KIRKLANDDS,KOHLDSN,LAMPDS,MACY02F,OLLIIX,OVERSTOCK01,ROOMECOM,TGTDVS,ZOLA</t>
  </si>
  <si>
    <t>12/11/2023</t>
  </si>
  <si>
    <t>II100-0193</t>
  </si>
  <si>
    <t>Waldorf</t>
  </si>
  <si>
    <t>AMERSIGNDS,ASHFURNDS,CSNSTORES,HDDS,HOUZZ,KOHLDSN,LAMPDS,MACY02F,NEBFUR01,OLLIIX,OVERSTOCK01,ROOMECOM</t>
  </si>
  <si>
    <t>9/4/2020</t>
  </si>
  <si>
    <t>FPF18-0383</t>
  </si>
  <si>
    <t>PF000016;PP000062</t>
  </si>
  <si>
    <t>ASHFURNDS,CSNSTORES,HOUZZ,KIRKLANDDS,KOHLDSN,LAMPDS,MACY02F,NEBFUR01,OLLIIX,OVERSTOCK01,ROOMECOM,Zulily</t>
  </si>
  <si>
    <t>II100-0048</t>
  </si>
  <si>
    <t>Easton</t>
  </si>
  <si>
    <t>Low Profile Accent Chair</t>
  </si>
  <si>
    <t>Taupe/Natural</t>
  </si>
  <si>
    <t>PF000111;PP000027</t>
  </si>
  <si>
    <t>AMERSIGNDS,ASHFURNDS,CASTLEGATE,CSNSTORES,HDDS,HOUZZ,LAMPDS,MACY02F,OLLIIX,OVERSTOCK01,ROOMECOM,TGTDVS,ZOLA,Zulily</t>
  </si>
  <si>
    <t>II100-0452</t>
  </si>
  <si>
    <t>2/15/2021</t>
  </si>
  <si>
    <t>AMAZONDS,AMERSIGNDS,ASHFURNDS,CSNSTORES,HDDS,HOUZZ,KOHLDSN,LAMPDS,MACY02F,OLLIIX,OVERSTOCK01,ROOMECOM,TGTDVS</t>
  </si>
  <si>
    <t>IIF18-0058</t>
  </si>
  <si>
    <t>Rocket</t>
  </si>
  <si>
    <t>PF000209;PP000049</t>
  </si>
  <si>
    <t>AMAZONDS,AMERSIGNDS,ASHFURNDS,BBBDROP,CASTLEGATE,CSNSTORES,HDDS,HOUZZ,KIRKLANDDS,KOHLDSN,MACY02F,OLLIIX,OVERSTOCK01,ROOMECOM,TGTDVS,ZOLA</t>
  </si>
  <si>
    <t>7/13/2018</t>
  </si>
  <si>
    <t>FPF18-0350</t>
  </si>
  <si>
    <t>PF000010;PP000049</t>
  </si>
  <si>
    <t>CASTLEGATE,CSNSTORES,HDDS,KIRKLANDDS,KOHLDSN,MACY02F,OLLIIX,OVERSTOCK01,ROOMECOM,ZOLA,Zulily</t>
  </si>
  <si>
    <t>II100-0088</t>
  </si>
  <si>
    <t>Blue/Pecan</t>
  </si>
  <si>
    <t>PF000121;PP000049</t>
  </si>
  <si>
    <t>AMAZON,AMAZONDS,AMERSIGNDS,BBBDROP,CASTLEGATE,CSNSTORES,HDDS,JCPENNEY01,KOHLDSN,MACY02F,OLLIIX,OVERSTOCK01,ROOMECOM,Zulily</t>
  </si>
  <si>
    <t>12/8/2020</t>
  </si>
  <si>
    <t>II110-0396</t>
  </si>
  <si>
    <t>AMAZONDS,BBBDROP,CASTLEGATE,CSNSTORES,HDDS,JCPENNEY01,KIRKLANDDS,KOHLDSN,MACY02F,OLLIIX,OVERSTOCK01,TGTDVS</t>
  </si>
  <si>
    <t>II100-0166</t>
  </si>
  <si>
    <t>PF000128;PP000049</t>
  </si>
  <si>
    <t>AMERSIGNDS,BBBDROP,CASTLEGATE,CSNSTORES,HDDS,KOHLDSN,MACY02F,OLLIIX,OVERSTOCK01,TGTDVS,ZOLA</t>
  </si>
  <si>
    <t>IIF18-0054</t>
  </si>
  <si>
    <t>Crackle</t>
  </si>
  <si>
    <t>PF000207;PP000022</t>
  </si>
  <si>
    <t>AMERSIGNDS,CASTLEGATE,CSNSTORES,HDDS,HOUZZ,KOHLDSN,LAMPDS,MACY02F,OLLIIX,OVERSTOCK01,ROOMECOM,TGTDVS,Zulily</t>
  </si>
  <si>
    <t>FPF18-0414</t>
  </si>
  <si>
    <t>PF000018;PP000022</t>
  </si>
  <si>
    <t>CASTLEGATE,CSNSTORES,HDDS,KOHLDSN,LAMPDS,MACY02F,OLLIIX,OVERSTOCK01,TGTDVS</t>
  </si>
  <si>
    <t>II100-0168</t>
  </si>
  <si>
    <t>PF000129;PP000022</t>
  </si>
  <si>
    <t>CASTLEGATE,CSNSTORES,HDDS,HOUZZ,KOHLDSN,LAMPDS,MACY02F,OLLIIX,OVERSTOCK01,TGTDVS</t>
  </si>
  <si>
    <t>II100-0324</t>
  </si>
  <si>
    <t>Sonia</t>
  </si>
  <si>
    <t>1/12/2018</t>
  </si>
  <si>
    <t>ASHFURNDS,BBBDROP,CASTLEGATE,CSNSTORES,HDDS,HOUZZ,KOHLDSN,LAMPDS,MACY02F,OLLIIX,OVERSTOCK01,ROOMECOM,TGTDVS</t>
  </si>
  <si>
    <t>II100-0360</t>
  </si>
  <si>
    <t>Kelly</t>
  </si>
  <si>
    <t>Light Brown</t>
  </si>
  <si>
    <t>AMERSIGNDS,ASHFURNDS,BBBDROP,BLK01,CASTLEGATE,CSNSTORES,HDDS,HOUZZ,KOHLDSN,LAMPDS,MACY02F,NEBFUR01,OLLIIX,OVERSTOCK01,ROOMECOM,TGTDVS,ZOLA,Zulily</t>
  </si>
  <si>
    <t>II100-0044</t>
  </si>
  <si>
    <t>Boomerang</t>
  </si>
  <si>
    <t>Mustard Yellow/Pecan</t>
  </si>
  <si>
    <t>PF000109;PP000013</t>
  </si>
  <si>
    <t>ASHFURNDS,CSNSTORES,HOUZZ,JCPENNEY01,KOHLDSN,LAMPDS,MACY02F,OLLIIX,OVERSTOCK01,ROOMECOM,Zulily</t>
  </si>
  <si>
    <t>II100-0219</t>
  </si>
  <si>
    <t>PF000109</t>
  </si>
  <si>
    <t>ASHFURNDS,CASTLEGATE,CSNSTORES,HDDS,KOHLDSN,LAMPDS,MACY02F,OLLIIX,OVERSTOCK01,TGTDVS,ZOLA</t>
  </si>
  <si>
    <t>II100-0332</t>
  </si>
  <si>
    <t>Ventura</t>
  </si>
  <si>
    <t>AMERSIGNDS,ASHFURNDS,CSNSTORES,HDDS,HOUZZ,KOHLDSN,MACY02F,OLLIIX,OVERSTOCK01,ROOMECOM,TGTDVS,Zulily</t>
  </si>
  <si>
    <t>1/22/2021</t>
  </si>
  <si>
    <t>IIF18-0046</t>
  </si>
  <si>
    <t>Malibu</t>
  </si>
  <si>
    <t>PF000204;PP000035</t>
  </si>
  <si>
    <t>AMAZONDS,CASTLEGATE,CSNSTORES,HOUZZ,KIRKLANDDS,MACY02F,OLLIIX,OVERSTOCK01,ROOMECOM,TGTDVS</t>
  </si>
  <si>
    <t>11/18/2020</t>
  </si>
  <si>
    <t>II100-0488</t>
  </si>
  <si>
    <t>AMERSIGNDS,CSNSTORES,KIRKLANDDS,KOHLDSN,LAMPDS,MACY02F,OLLIIX,OVERSTOCK01</t>
  </si>
  <si>
    <t>IIF18-0142</t>
  </si>
  <si>
    <t>Melbourne</t>
  </si>
  <si>
    <t>PF000219</t>
  </si>
  <si>
    <t>AMERSIGNDS,CSNSTORES,HDDS,HOUZZ,KOHLDSN,LAMPDS,MACY02F,OLLIIX,OVERSTOCK01,ROOMECOM,TGTDVS</t>
  </si>
  <si>
    <t>4/30/2021</t>
  </si>
  <si>
    <t>II100-0489</t>
  </si>
  <si>
    <t>Light Blue/Natural</t>
  </si>
  <si>
    <t>6/22/2022</t>
  </si>
  <si>
    <t>ASHFURNDS,CSNSTORES,HOUZZ,JCPENNEY01,KIRKLANDDS,LAMPDS,OLLIIX,OVERSTOCK01,TGTDVS</t>
  </si>
  <si>
    <t>II100-0291</t>
  </si>
  <si>
    <t>Madden</t>
  </si>
  <si>
    <t>1/27/2018</t>
  </si>
  <si>
    <t>ASHFURNDS,CASTLEGATE,CSNSTORES,HDDS,HOUZZ,KOHLDSN,LAMPDS,MACY02F,OLLIIX,OVERSTOCK01,TGTDVS,ZOLA</t>
  </si>
  <si>
    <t>II100-0486</t>
  </si>
  <si>
    <t>6/23/2022</t>
  </si>
  <si>
    <t>AMERSIGNDS,CSNSTORES,JCPENNEY01,KIRKLANDDS,KOHLDSN,LAMPDS,MACY02F,OLLIIX,OVERSTOCK01,TGTDVS,ZOLA</t>
  </si>
  <si>
    <t>II100-0357</t>
  </si>
  <si>
    <t>Noe</t>
  </si>
  <si>
    <t>ASHFURNDS,BBBDROP,CASTLEGATE,CSNSTORES,HDDS,KOHLDSN,LAMPDS,MACY02F,OLLIIX,OVERSTOCK01,ZOLA,Zulily</t>
  </si>
  <si>
    <t>II100-0078</t>
  </si>
  <si>
    <t>Scott</t>
  </si>
  <si>
    <t>PF000836</t>
  </si>
  <si>
    <t>ASHFURNDS,CSNSTORES,HDDS,KOHLDSN,MACY02F,OLLIIX,OVERSTOCK01,TGTDVS,ZOLA</t>
  </si>
  <si>
    <t>II100-0267</t>
  </si>
  <si>
    <t>Shasta</t>
  </si>
  <si>
    <t>PP000646</t>
  </si>
  <si>
    <t>1/11/2018</t>
  </si>
  <si>
    <t>ASHFURNDS,CSNSTORES,DESINC,HDDS,HOUZZ,KOHLDSN,MACY02F,OLLIIX,OVERSTOCK01,ZOLA,Zulily</t>
  </si>
  <si>
    <t>IIF18-0055</t>
  </si>
  <si>
    <t>Wynn</t>
  </si>
  <si>
    <t>Tufted Back Armless Accent Chair</t>
  </si>
  <si>
    <t>PF000208;PP000066</t>
  </si>
  <si>
    <t>ASHFURNDS,CSNSTORES,MACY02F,OLLIIX,OVERSTOCK01,ROOMECOM,TGTDVS,Zulily</t>
  </si>
  <si>
    <t>7/26/2018</t>
  </si>
  <si>
    <t>II100-0512</t>
  </si>
  <si>
    <t>Oslo</t>
  </si>
  <si>
    <t>Faux Leather Woven Accent Chair</t>
  </si>
  <si>
    <t>II100-0470</t>
  </si>
  <si>
    <t>Ryan</t>
  </si>
  <si>
    <t>Metal Frame Accent Chair</t>
  </si>
  <si>
    <t>CSNSTORES,LAMPDS,MACY02F,OLLIIX,OVERSTOCK01,TGTDVS</t>
  </si>
  <si>
    <t>II100-0495</t>
  </si>
  <si>
    <t>Handcrafted Rattan Upholstered Accent Arm Chair</t>
  </si>
  <si>
    <t>OLLIIX,OVERSTOCK01,ZOLA</t>
  </si>
  <si>
    <t>II100-0494</t>
  </si>
  <si>
    <t>Ferguson</t>
  </si>
  <si>
    <t>Faux Leather Accent Chair</t>
  </si>
  <si>
    <t>CSNSTORES,HDDS,KIRKLANDDS,LAMPDS,OLLIIX,OVERSTOCK01,TGTDVS</t>
  </si>
  <si>
    <t>II100-0476</t>
  </si>
  <si>
    <t>Upholstered Button Tufted Accent Chair</t>
  </si>
  <si>
    <t>CSNSTORES,JCPENNEY01,KIRKLANDDS,KOHLDSN,OLLIIX,OVERSTOCK01,TGTDVS,ZOLA</t>
  </si>
  <si>
    <t>II100-0462</t>
  </si>
  <si>
    <t>Roxie</t>
  </si>
  <si>
    <t>CSNSTORES,DESINC,HOUZZ,KOHLDSN,OLLIIX,TGTDVS</t>
  </si>
  <si>
    <t>II110-0400</t>
  </si>
  <si>
    <t>AMERSIGNDS,ASHFURNDS,BBBDROP,CSNSTORES,JCPENNEY01,KIRKLANDDS,KOHLDSN,MACY02F,OLLIIX,OVERSTOCK01,ROOMECOM,TGTDVS,Zulily</t>
  </si>
  <si>
    <t>IIF17-0010</t>
  </si>
  <si>
    <t>Blaze</t>
  </si>
  <si>
    <t>Triangle Wood Coffee table</t>
  </si>
  <si>
    <t>PF000934;PP000012</t>
  </si>
  <si>
    <t>AAFESDS,AMAZONDS,AMERSIGNDS,BBBDROP,BLK01,CASTLEGATE,CSNSTORES,DESINC,HDDS,HOUZZ,KOHLDSN,LAMPDS,MACY02F,NEBFUR01,OLLIIX,OVERSTOCK01,ROOMECOM,TGTDVS,ZOLA,Zulily</t>
  </si>
  <si>
    <t>II120-0427</t>
  </si>
  <si>
    <t>AAFESDS,AMAZONDS,AMERSIGNDS,BLK01,CSNSTORES,HOUZZ,JCPENNEY01,KIRKLANDDS,KOHLDSN,LAMPDS,MACY02F,NEBFUR01,OLLIIX,OVERSTOCK01,ROOMECOM,TGTDVS,Zulily</t>
  </si>
  <si>
    <t>IIF17-0045</t>
  </si>
  <si>
    <t>Coffee Table with Tempered Glass</t>
  </si>
  <si>
    <t>PF000178;PP000049</t>
  </si>
  <si>
    <t>AMERSIGNDS,BBBDROP,CASTLEGATE,CSNSTORES,HDDS,HOUZZ,KOHLDSN,LAMPDS,MACY02F,OLLIIX,OVERSTOCK01,ROOMECOM,TGTDVS</t>
  </si>
  <si>
    <t>II120-0241</t>
  </si>
  <si>
    <t>Walker</t>
  </si>
  <si>
    <t>PF004043</t>
  </si>
  <si>
    <t>1/31/2018</t>
  </si>
  <si>
    <t>AMAZONDS,AMERSIGNDS,ASHFURNDS,BLK01,CSNSTORES,DESINC,HDDS,HOUZZ,KOHLDSN,LAMPDS,MACY02F,NEBFUR01,OLLIIX,OVERSTOCK01,ROOMECOM,TGTDVS,ZOLA</t>
  </si>
  <si>
    <t>8/27/2022</t>
  </si>
  <si>
    <t>II120-0553</t>
  </si>
  <si>
    <t>Honey</t>
  </si>
  <si>
    <t>Fluted Hexagon Coffee Table</t>
  </si>
  <si>
    <t>II120-0568</t>
  </si>
  <si>
    <t>Keegan</t>
  </si>
  <si>
    <t>Round Mixed Material Coffee Table with Shelf</t>
  </si>
  <si>
    <t>Oak/Marble</t>
  </si>
  <si>
    <t>3/15/2024</t>
  </si>
  <si>
    <t>II120-0425</t>
  </si>
  <si>
    <t>10/22/2020</t>
  </si>
  <si>
    <t>BBBDROP,CSNSTORES,HOUZZ,KOHLDSN,MACY02F,NEBFUR01,OLLIIX,OVERSTOCK01</t>
  </si>
  <si>
    <t>FPF17-0356</t>
  </si>
  <si>
    <t>PP000039</t>
  </si>
  <si>
    <t>5/7/2024</t>
  </si>
  <si>
    <t>IIF17-0148</t>
  </si>
  <si>
    <t>Milo</t>
  </si>
  <si>
    <t>PP000041</t>
  </si>
  <si>
    <t>FPF17-0346</t>
  </si>
  <si>
    <t>Sheridan</t>
  </si>
  <si>
    <t>Oval coffee Table</t>
  </si>
  <si>
    <t>PF000547;PP000050</t>
  </si>
  <si>
    <t>ASHFURNDS,CSNSTORES,KIRKLANDDS,MACY02F,OLLIIX,OVERSTOCK01,ROOMECOM,Zulily</t>
  </si>
  <si>
    <t>FPF17-0379</t>
  </si>
  <si>
    <t>Tavarua</t>
  </si>
  <si>
    <t>PF000582;PP000056</t>
  </si>
  <si>
    <t>ASHFURNDS,CSNSTORES,KOHLDSN,MACY02F,OLLIIX,ROOMECOM,TGTDVS</t>
  </si>
  <si>
    <t>10/10/2019</t>
  </si>
  <si>
    <t>II120-0404</t>
  </si>
  <si>
    <t>Wilson</t>
  </si>
  <si>
    <t>ASHFURNDS,CSNSTORES,KIRKLANDDS,KOHLDSN,MACY02F,NEBFUR01,OLLIIX,OVERSTOCK01,ROOMECOM</t>
  </si>
  <si>
    <t>FPF20-0322</t>
  </si>
  <si>
    <t>Monterey</t>
  </si>
  <si>
    <t>64" Console Table</t>
  </si>
  <si>
    <t>64"W</t>
  </si>
  <si>
    <t>PF000791;PP000043</t>
  </si>
  <si>
    <t>AMERSIGNDS,CASTLEGATE,CSNSTORES,DESINC,HDDS,KOHLDSN,LAMPDS,OLLIIX,OVERSTOCK01,ROOMECOM,TGTDVS</t>
  </si>
  <si>
    <t>4/25/2019</t>
  </si>
  <si>
    <t>II120-0509</t>
  </si>
  <si>
    <t>54" Console table</t>
  </si>
  <si>
    <t>54"W</t>
  </si>
  <si>
    <t>AMERSIGNDS,CASTLEGATE,CSNSTORES,HOUZZ,KIRKLANDDS,KOHLDSN,MACY02F,OLLIIX,OVERSTOCK01,TGTDVS</t>
  </si>
  <si>
    <t>II120-0459</t>
  </si>
  <si>
    <t>AMAZONDS,AMERSIGNDS,BBBDROP,CASTLEGATE,CSNSTORES,JCPENNEY01,KIRKLANDDS,KOHLDSN,LAMPDS,OLLIIX,OVERSTOCK01,TGTDVS,Zulily</t>
  </si>
  <si>
    <t>II120-0575</t>
  </si>
  <si>
    <t>II120-0265</t>
  </si>
  <si>
    <t>Frazier</t>
  </si>
  <si>
    <t>Counter Table</t>
  </si>
  <si>
    <t>11/7/2017</t>
  </si>
  <si>
    <t>BBBDROP,CSNSTORES,KIRKLANDDS,KOHLDSN,LAMPDS,MACY02F,OLLIIX,OVERSTOCK01,ROOMECOM,ZOLA</t>
  </si>
  <si>
    <t>8/26/2019</t>
  </si>
  <si>
    <t>II120-0574</t>
  </si>
  <si>
    <t>Layana</t>
  </si>
  <si>
    <t>Faux White Marble Console Table with Reeded Wooden Pillar Legs</t>
  </si>
  <si>
    <t>Natural/Faux White Marble</t>
  </si>
  <si>
    <t>FPF17-0296</t>
  </si>
  <si>
    <t>Triangle Wood Side Table</t>
  </si>
  <si>
    <t>PF000578;PP000012</t>
  </si>
  <si>
    <t>AAFESDS,AMAZONDS,AMERSIGNDS,ASHFURNDS,BLK01,CASTLEGATE,CSNSTORES,DESINC,HDDS,HOUZZ,JCPENNEY01,KOHLDSN,MACY02F,NEBFUR01,OLLIIX,OVERSTOCK01,ROOMECOM,TGTDVS,ZOLA,Zulily</t>
  </si>
  <si>
    <t>II120-0428</t>
  </si>
  <si>
    <t>AAFESDS,AMAZONDS,AMERSIGNDS,CASTLEGATE,CSNSTORES,DESINC,HOUZZ,JCPENNEY01,KIRKLANDDS,KOHLDSN,LAMPDS,MACY02F,NEBFUR01,OLLIIX,OVERSTOCK01,ROOMECOM,TGTDVS,Zulily</t>
  </si>
  <si>
    <t>IIF17-0149</t>
  </si>
  <si>
    <t>II120-0421</t>
  </si>
  <si>
    <t>Console Table|Counter Stool</t>
  </si>
  <si>
    <t>Caden</t>
  </si>
  <si>
    <t>Console Table and Counter Stool 3 Piece Set</t>
  </si>
  <si>
    <t>Brown/Charcoal</t>
  </si>
  <si>
    <t>CSNSTORES,OLLIIX,OVERSTOCK01,ROOMECOM,ZOLA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</si>
  <si>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</si>
  <si>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</si>
  <si>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</si>
  <si>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</si>
  <si>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</si>
  <si>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</si>
  <si>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OLLIIX,OVERSTOCK01</t>
  </si>
  <si>
    <t>FPF20-0337</t>
  </si>
  <si>
    <t>Tacoma</t>
  </si>
  <si>
    <t>PF000793;PP000055</t>
  </si>
  <si>
    <t>CSNSTORES,KOHLDSN,OLLIIX,OVERSTOCK01,ROOMECOM,TGTDVS</t>
  </si>
  <si>
    <t>II108-0223</t>
  </si>
  <si>
    <t>PP000013</t>
  </si>
  <si>
    <t>11/14/2017</t>
  </si>
  <si>
    <t>AMERSIGNDS,ASHFURNDS,BLK01,CASTLEGATE,CSNSTORES,HOUZZ,JCPENNEY01,KOHLDSN,LAMPDS,MACY02F,NEBFUR01,OLLIIX,OVERSTOCK01,ROOMECOM,TGTDVS,ZOLA,Zulily</t>
  </si>
  <si>
    <t>4/27/2022</t>
  </si>
  <si>
    <t>8/21/2023</t>
  </si>
  <si>
    <t>IIF20-0040</t>
  </si>
  <si>
    <t>PF000220;PP000013</t>
  </si>
  <si>
    <t>ASHFURNDS,BBBDROP,BLK01,CASTLEGATE,CSNSTORES,HOUZZ,JCPENNEY01,KOHLDSN,LAMPDS,MACY02F,NEBFUR01,OLLIIX,OVERSTOCK01,TGTDVS,ZOLA</t>
  </si>
  <si>
    <t>II108-0364</t>
  </si>
  <si>
    <t>Armless Dining Chair Set of 2</t>
  </si>
  <si>
    <t>AAFESDS,AMERSIGNDS,BBBDROP,BLK01,CASTLEGATE,CSNSTORES,DESINC,HDDS,HOUZZ,JCPENNEY01,KOHLDSN,MACY02F,NEBFUR01,OLLIIX,OVERSTOCK01,ROOMECOM,TGTDVS,Zulily</t>
  </si>
  <si>
    <t>II108-0508</t>
  </si>
  <si>
    <t>10/18/2024</t>
  </si>
  <si>
    <t>CSNSTORES,HOUZZ,KIRKLANDDS,KOHLDSN,MACY02F,OLLIIX,OVERSTOCK01,TGTDVS</t>
  </si>
  <si>
    <t>II108-0450</t>
  </si>
  <si>
    <t>Sonoma</t>
  </si>
  <si>
    <t xml:space="preserve">Dining  Side Chair(Set of 2pcs)</t>
  </si>
  <si>
    <t>CSNSTORES,KIRKLANDDS,KOHLDSN,MACY02F,OLLIIX,OVERSTOCK01,ROOMECOM</t>
  </si>
  <si>
    <t>II108-0314</t>
  </si>
  <si>
    <t>AMERSIGNDS,BLK01,CSNSTORES,HOUZZ,KIRKLANDDS,KOHLDSN,MACY02F,OLLIIX,OVERSTOCK01,ROOMECOM,TGTDVS</t>
  </si>
  <si>
    <t>II108-0449</t>
  </si>
  <si>
    <t>Reclaimed White</t>
  </si>
  <si>
    <t>5/3/2021</t>
  </si>
  <si>
    <t>CSNSTORES,KIRKLANDDS,KOHLDSN,LAMPDS,OLLIIX,OVERSTOCK01,ROOMECOM</t>
  </si>
  <si>
    <t>IIF20-0057</t>
  </si>
  <si>
    <t>Brooklyn</t>
  </si>
  <si>
    <t>Dining Arm Chair (Set of 2)</t>
  </si>
  <si>
    <t>PF000231;PP000014</t>
  </si>
  <si>
    <t>CASTLEGATE,CSNSTORES,KIRKLANDDS,KOHLDSN,LAMPDS,MACY02F,OLLIIX,OVERSTOCK01,ROOMECOM,TGTDVS,Zulily</t>
  </si>
  <si>
    <t>1/16/2023</t>
  </si>
  <si>
    <t>II108-0523</t>
  </si>
  <si>
    <t>Benson</t>
  </si>
  <si>
    <t>Upholstered Dining Chairs with Arms (Set of 2)</t>
  </si>
  <si>
    <t>8/27/2024</t>
  </si>
  <si>
    <t>CSNSTORES,KIRKLANDDS,KOHLDSN,MACY02F,OLLIIX,OVERSTOCK01,TGTDVS</t>
  </si>
  <si>
    <t>II108-0521</t>
  </si>
  <si>
    <t>Frank</t>
  </si>
  <si>
    <t>Upholstered Dining Chair (Set of 2)</t>
  </si>
  <si>
    <t>6/28/2023</t>
  </si>
  <si>
    <t>CSNSTORES,DESINC,KIRKLANDDS,KOHLDSN,LAMPDS,MACY02F,OLLIIX,OVERSTOCK01,TGTDVS</t>
  </si>
  <si>
    <t>II100-0031</t>
  </si>
  <si>
    <t>Dining Chair(Set of 2)</t>
  </si>
  <si>
    <t>PF000832;PP000029</t>
  </si>
  <si>
    <t>BLK01,CSNSTORES,HOUZZ,KOHLDSN,LAMPDS,MACY02F,OLLIIX,OVERSTOCK01,TGTDVS,ZOLA</t>
  </si>
  <si>
    <t>FPF20-0377</t>
  </si>
  <si>
    <t>Lancaster</t>
  </si>
  <si>
    <t>PF000795;PP000034</t>
  </si>
  <si>
    <t>BBBDROP,BLK01,CSNSTORES,JCPENNEY01,KOHLDSN,LAMPDS,OLLIIX,OVERSTOCK01,ROOMECOM,TGTDVS,Zulily</t>
  </si>
  <si>
    <t>11/20/2023</t>
  </si>
  <si>
    <t>II108-0500</t>
  </si>
  <si>
    <t>Lemmy</t>
  </si>
  <si>
    <t>Armless Upholstered Dining Chair Set of 2</t>
  </si>
  <si>
    <t>CSNSTORES,KOHLDSN,MACY02F,OLLIIX,OVERSTOCK01,TGTDVS,ZOLA</t>
  </si>
  <si>
    <t>II108-0371</t>
  </si>
  <si>
    <t>Nola</t>
  </si>
  <si>
    <t>AAFESDS,AMERSIGNDS,BBBDROP,CSNSTORES,DESINC,HDDS,HOUZZ,JCPENNEY01,KOHLDSN,LAMPDS,MACY02F,OLLIIX,OVERSCONSIGN,OVERSTOCK01,ROOMECOM,TGTDVS</t>
  </si>
  <si>
    <t>II108-0479</t>
  </si>
  <si>
    <t>5/19/2022</t>
  </si>
  <si>
    <t>AMERSIGNDS,BBBDROP,CSNSTORES,DESINC,HOUZZ,JCPENNEY01,KOHLDSN,LAMPDS,OLLIIX,OVERSTOCK01,TGTDVS,ZOLA</t>
  </si>
  <si>
    <t>II100-0117</t>
  </si>
  <si>
    <t>Orange/Dark Brown</t>
  </si>
  <si>
    <t>PF000127</t>
  </si>
  <si>
    <t>7/18/2017</t>
  </si>
  <si>
    <t>AMERSIGNDS,BBBDROP,CSNSTORES,HOUZZ,JCPENNEY01,KOHLDSN,LAMPDS,MACY02F,OLLIIX,OVERSTOCK01,ROOMECOM,TGTDVS,Zulily</t>
  </si>
  <si>
    <t>II108-0457</t>
  </si>
  <si>
    <t>Oliver</t>
  </si>
  <si>
    <t>Dining Side Chair Set of 2</t>
  </si>
  <si>
    <t>Cream/Grey</t>
  </si>
  <si>
    <t>3/15/2022</t>
  </si>
  <si>
    <t>CSNSTORES,DESINC,HOUZZ,KOHLDSN,OLLIIX,OVERSTOCK01,TGTDVS</t>
  </si>
  <si>
    <t>II108-0317</t>
  </si>
  <si>
    <t>Dining Side Chair(Set of 2pcs)</t>
  </si>
  <si>
    <t>AMERSIGNDS,BBBDROP,BLK01,CSNSTORES,HOUZZ,JCPENNEY01,KOHLDSN,LAMPDS,MACY02F,NEBFUR01,OLLIIX,OVERSTOCK01,ROOMECOM,TGTDVS</t>
  </si>
  <si>
    <t>8/10/2022</t>
  </si>
  <si>
    <t>II108-0510</t>
  </si>
  <si>
    <t>Faux Leather Woven Dining Chairs Set of 2</t>
  </si>
  <si>
    <t>CSNSTORES,HOUZZ,KIRKLANDDS,OLLIIX,OVERSTOCK01</t>
  </si>
  <si>
    <t>FPF20-0338</t>
  </si>
  <si>
    <t>24" Counter stool</t>
  </si>
  <si>
    <t>PF000794;PP000055</t>
  </si>
  <si>
    <t>AMERSIGNDS,CASTLEGATE,CSNSTORES,HOUZZ,KIRKLANDDS,KOHLDSN,MACY02F,NEBFUR01,OLLIIX,OVERSTOCK01,ROOMECOM,TGTDVS</t>
  </si>
  <si>
    <t>II104-0251</t>
  </si>
  <si>
    <t>PP000055</t>
  </si>
  <si>
    <t>AMERSIGNDS,CSNSTORES,KOHLDSN,NEBFUR01,OLLIIX,OVERSTOCK01,ROOMECOM,TGTDVS</t>
  </si>
  <si>
    <t>II101-0120</t>
  </si>
  <si>
    <t>TRESTLE</t>
  </si>
  <si>
    <t>Reclaimed Brown/ Gun Metal</t>
  </si>
  <si>
    <t>PF000846;PP000060</t>
  </si>
  <si>
    <t>7/7/2017</t>
  </si>
  <si>
    <t>AMAZON,AMAZONDS,CSNSTORES,HOUZZ,KOHLDSN,LAMPDS,OLLIIX,OVERSTOCK01,ROOMECOM,TGTDVS,ZOLA,Zulily</t>
  </si>
  <si>
    <t>8/28/2020</t>
  </si>
  <si>
    <t>II104-0224</t>
  </si>
  <si>
    <t>12/28/2017</t>
  </si>
  <si>
    <t>AMERSIGNDS,ASHFURNDS,BBBDROP,CASTLEGATE,CSNSTORES,KIRKLANDDS,KOHLDSN,LAMPDS,MACY02F,NEBFUR01,OLLIIX,OVERSTOCK01,ROOMECOM,TGTDVS</t>
  </si>
  <si>
    <t>II104-0480</t>
  </si>
  <si>
    <t>1/13/2023</t>
  </si>
  <si>
    <t>ASHFURNDS,CSNSTORES,HOUZZ,JCPENNEY01,KIRKLANDDS,KOHLDSN,LAMPDS,OLLIIX,OVERSTOCK01,TGTDVS</t>
  </si>
  <si>
    <t>II104-0429</t>
  </si>
  <si>
    <t>Counter Stool with Back</t>
  </si>
  <si>
    <t>Oak/Silver</t>
  </si>
  <si>
    <t>11/10/2020</t>
  </si>
  <si>
    <t>AMAZONDS,AMERSIGNDS,CSNSTORES,HOUZZ,JCPENNEY01,KIRKLANDDS,KOHLDSN,MACY02F,OLLIIX,OVERSTOCK01,ROOMECOM</t>
  </si>
  <si>
    <t>FPF20-0312</t>
  </si>
  <si>
    <t>PF000784;PP000034</t>
  </si>
  <si>
    <t>AMERSIGNDS,BBBDROP,BLK01,CASTLEGATE,CSNSTORES,HOUZZ,KOHLDSN,LAMPDS,MACY02F,NEBFUR01,OLLIIX,OVERSTOCK01,ROOMECOM</t>
  </si>
  <si>
    <t>8/26/2020</t>
  </si>
  <si>
    <t>II104-0481</t>
  </si>
  <si>
    <t>Adams</t>
  </si>
  <si>
    <t>Faux Leather Swivel Counter Stool</t>
  </si>
  <si>
    <t>4/20/2022</t>
  </si>
  <si>
    <t>AMERSIGNDS,BLK01,CSNSTORES,HOUZZ,JCPENNEY01,KOHLDSN,NEBFUR01,OLLIIX,OVERSTOCK01,TGTDVS,ZOLA</t>
  </si>
  <si>
    <t>IIF20-0050</t>
  </si>
  <si>
    <t>PF000225;PP000022</t>
  </si>
  <si>
    <t>AMERSIGNDS,ASHFURNDS,BBBDROP,BLK01,CASTLEGATE,CSNSTORES,HDDS,HOUZZ,KOHLDSN,MACY02F,OLLIIX,OVERSTOCK01,ROOMECOM,TGTDVS</t>
  </si>
  <si>
    <t>II104-0490</t>
  </si>
  <si>
    <t>Backless Upholstered Counter Stool 26"H</t>
  </si>
  <si>
    <t>AMERSIGNDS,CSNSTORES,DESINC,HOUZZ,KIRKLANDDS,KOHLDSN,LAMPDS,OLLIIX,OVERSTOCK01</t>
  </si>
  <si>
    <t>II104-0370</t>
  </si>
  <si>
    <t>Oaktown</t>
  </si>
  <si>
    <t>Cream/Reclaimed Grey</t>
  </si>
  <si>
    <t>8/13/2018</t>
  </si>
  <si>
    <t>AMERSIGNDS,BBBDROP,CASTLEGATE,CSNSTORES,DESINC,HOUZZ,KOHLDSN,OLLIIX,OVERSTOCK01,ROOMECOM,TGTDVS,ZOLA</t>
  </si>
  <si>
    <t>II104-0511</t>
  </si>
  <si>
    <t>Faux Leather Woven Counter Stool 24"H</t>
  </si>
  <si>
    <t>CSNSTORES,KIRKLANDDS,KOHLDSN,NRTPORT,OLLIIX,OVERSTOCK01</t>
  </si>
  <si>
    <t>II104-0504</t>
  </si>
  <si>
    <t>Rogue</t>
  </si>
  <si>
    <t>Armless 360 Degree Swivel Counter Stool 25"H</t>
  </si>
  <si>
    <t>CSNSTORES,KIRKLANDDS,KOHLDSN,OLLIIX,TGTDVS</t>
  </si>
  <si>
    <t>II104-0210</t>
  </si>
  <si>
    <t>Backless Bar Stool with Swivel Seat</t>
  </si>
  <si>
    <t>PP000580</t>
  </si>
  <si>
    <t>AMERSIGNDS,BLK01,CSNSTORES,HOUZZ,KOHLDSN,MACY02F,NEBFUR01,OLLIIX,OVERSTOCK01,ROOMECOM,TGTDVS</t>
  </si>
  <si>
    <t>II104-0030</t>
  </si>
  <si>
    <t>Counter stool/Barstool (adjustable height)</t>
  </si>
  <si>
    <t>PF000847;PP000029</t>
  </si>
  <si>
    <t>AMERSIGNDS,CSNSTORES,HOUZZ,KOHLDSN,MACY02F,OLLIIX,OVERSTOCK01,ROOMECOM,TGTDVS,ZOLA,Zulily</t>
  </si>
  <si>
    <t>10/4/2019</t>
  </si>
  <si>
    <t>II104-0378</t>
  </si>
  <si>
    <t>Counter Stool 24" With Back</t>
  </si>
  <si>
    <t>8/6/2018</t>
  </si>
  <si>
    <t>CSNSTORES,HOUZZ,KOHLDSN,MACY02F,OLLIIX,OVERSTOCK01,ROOMECOM,ZOLA</t>
  </si>
  <si>
    <t>II104-0444</t>
  </si>
  <si>
    <t>Counter Stool/Barstool (Adjustable Height)</t>
  </si>
  <si>
    <t>OLLIIX,OVERSCONSIGN,ROOMECOM</t>
  </si>
  <si>
    <t>IIF17-0038</t>
  </si>
  <si>
    <t>Arcadia</t>
  </si>
  <si>
    <t>Dining Stool (Set of 2)</t>
  </si>
  <si>
    <t>PF000935;PP000003</t>
  </si>
  <si>
    <t>AMERSIGNDS,CSNSTORES,KOHLDSN,LAMPDS,OLLIIX,ROOMECOM,TGTDVS,ZOLA</t>
  </si>
  <si>
    <t>IIF20-0051</t>
  </si>
  <si>
    <t>Barstool</t>
  </si>
  <si>
    <t>PF000226;PP000022</t>
  </si>
  <si>
    <t>AMERSIGNDS,ASHFURNDS,CASTLEGATE,CSNSTORES,HOUZZ,LAMPDS,MACY02F,OLLIIX,OVERSTOCK01,TGTDVS</t>
  </si>
  <si>
    <t>8/17/2022</t>
  </si>
  <si>
    <t>II104-0463</t>
  </si>
  <si>
    <t>Henrick</t>
  </si>
  <si>
    <t>CSNSTORES,NEBFUR01,OLLIIX,TGTDVS,ZOLA</t>
  </si>
  <si>
    <t>II100-0040</t>
  </si>
  <si>
    <t>Renu</t>
  </si>
  <si>
    <t>Counter Stool with Backrest</t>
  </si>
  <si>
    <t>PF000833;PP000048</t>
  </si>
  <si>
    <t>AMERSIGNDS,BBBDROP,CSNSTORES,KOHLDSN,OLLIIX,OVERSTOCK01,ROOMECOM</t>
  </si>
  <si>
    <t>II100-0041</t>
  </si>
  <si>
    <t>Bar Stool with Backrest</t>
  </si>
  <si>
    <t>PF000834;PP000048</t>
  </si>
  <si>
    <t>7/6/2017</t>
  </si>
  <si>
    <t>CSNSTORES,HOUZZ,KOHLDSN,OLLIIX,OVERSTOCK01</t>
  </si>
  <si>
    <t>IIF20-0106</t>
  </si>
  <si>
    <t>PF000981;PP000055</t>
  </si>
  <si>
    <t>CSNSTORES,HOUZZ,MACY02F,NEBFUR01,OLLIIX,OVERSTOCK01,ROOMECOM,TGTDVS,Zulily</t>
  </si>
  <si>
    <t>IIF20-0104</t>
  </si>
  <si>
    <t>Barstool with Back</t>
  </si>
  <si>
    <t>Amber/Graphite</t>
  </si>
  <si>
    <t>PF000980;PP000034</t>
  </si>
  <si>
    <t>AMERSIGNDS,BBBDROP,CASTLEGATE,CSNSTORES,HOUZZ,KOHLDSN,LAMPDS,NEBFUR01,OLLIIX,OVERSTOCK01,ROOMECOM</t>
  </si>
  <si>
    <t>II104-0576</t>
  </si>
  <si>
    <t>Micah</t>
  </si>
  <si>
    <t>Woven Rattan Back Swivel Counter Stool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</si>
  <si>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</si>
  <si>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</si>
  <si>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</si>
  <si>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</si>
  <si>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</si>
  <si>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</si>
  <si>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CSNSTORES,KOHLDSN,LAMPDS,MACY02F,OLLIIX,OVERSTOCK01,ROOMECOM,TGTDVS,ZOLA,Zulily</t>
  </si>
  <si>
    <t>II136-0398</t>
  </si>
  <si>
    <t>AMAZONDS,CSNSTORES,KOHLDSN,LAMPDS,MACY02F,OLLIIX,OVERSTOCK01,ROOMECOM,TGTDVS,Zulily</t>
  </si>
  <si>
    <t>II136-0308</t>
  </si>
  <si>
    <t>Jeremy</t>
  </si>
  <si>
    <t>Storage Nightstand</t>
  </si>
  <si>
    <t>CSNSTORES,HDDS,HOUZZ,KOHLDSN,LAMPDS,MACY02F,NEBFUR01,OLLIIX,OVERSTOCK01,ROOMECOM,TGTDVS,Zulily</t>
  </si>
  <si>
    <t>II136-0554</t>
  </si>
  <si>
    <t>Jameson</t>
  </si>
  <si>
    <t>Modern One Drawer Waterfall Nightstand</t>
  </si>
  <si>
    <t>12/29/2023</t>
  </si>
  <si>
    <t>AMERSIGNDS,CSNSTORES,DESINC,OLLIIX,OVERSTOCK01,TGTDVS</t>
  </si>
  <si>
    <t>II136-0418</t>
  </si>
  <si>
    <t>Mallory</t>
  </si>
  <si>
    <t xml:space="preserve">Mallory </t>
  </si>
  <si>
    <t>AMAZONDS,AMERSIGNDS,CSNSTORES,KOHLDSN,MACY02F,OLLIIX,OVERSTOCK01,TGTDVS</t>
  </si>
  <si>
    <t>II136-0307</t>
  </si>
  <si>
    <t>CSNSTORES,HOUZZ,KOHLDSN,LAMPDS,MACY02F,OLLIIX,OVERSTOCK01,ROOMECOM</t>
  </si>
  <si>
    <t>II136-0503</t>
  </si>
  <si>
    <t>Sunset Cliff</t>
  </si>
  <si>
    <t>1-Drawer Nightstand with Shelf</t>
  </si>
  <si>
    <t>CSNSTORES,KIRKLANDDS,KOHLDSN,LAMPDS,MACY02F,OLLIIX,OVERSTOCK01</t>
  </si>
  <si>
    <t>II105-0401</t>
  </si>
  <si>
    <t>9/28/2020</t>
  </si>
  <si>
    <t>AMERSIGNDS,ASHFURNDS,CSNSTORES,HDDS,HOUZZ,JCPENNEY01,KIRKLANDDS,KOHLDSN,LAMPDS,MACY02F,OLLIIX,OVERSCONSIGN,OVERSTOCK01,ROOMECOM,TGTDVS</t>
  </si>
  <si>
    <t>II105-0592</t>
  </si>
  <si>
    <t>Bailey</t>
  </si>
  <si>
    <t>Boucle Flip Top Storage Bench</t>
  </si>
  <si>
    <t>II105-0593</t>
  </si>
  <si>
    <t>II105-0525</t>
  </si>
  <si>
    <t>AMERSIGNDS,CSNSTORES,HDDS,HOUZZ,KIRKLANDDS,KOHLDSN,LAMPDS,MACY02F,OLLIIX,OVERSTOCK01,TGTDVS,ZOLA</t>
  </si>
  <si>
    <t>II105-0090</t>
  </si>
  <si>
    <t>PF000140;PP000013</t>
  </si>
  <si>
    <t>ASHFURNDS,BBBDROP,CSNSTORES,HOUZZ,KOHLDSN,NEBFUR01,OLLIIX,OVERSTOCK01,ROOMECOM,TGTDVS,ZOLA,Zulily</t>
  </si>
  <si>
    <t>II105-0256</t>
  </si>
  <si>
    <t>Seadrift</t>
  </si>
  <si>
    <t>PF004044</t>
  </si>
  <si>
    <t>AMAZONDS,AMERSIGNDS,BBBDROP,BLK01,CSNSTORES,HDDS,HOUZZ,KIRKLANDDS,KOHLDSN,MACY02F,OLLIIX,OVERSTOCK01,ROOMECOM,ZOLA</t>
  </si>
  <si>
    <t>12/9/2020</t>
  </si>
  <si>
    <t>4/22/2021</t>
  </si>
  <si>
    <t>II105-0562</t>
  </si>
  <si>
    <t>Steve</t>
  </si>
  <si>
    <t>Boucle Waterfall Bench</t>
  </si>
  <si>
    <t>42"W</t>
  </si>
  <si>
    <t>II105-0567</t>
  </si>
  <si>
    <t>52"W</t>
  </si>
  <si>
    <t>II105-0524</t>
  </si>
  <si>
    <t>PP001874</t>
  </si>
  <si>
    <t>6/13/2023</t>
  </si>
  <si>
    <t>AMAZONDS,AMERSIGNDS,CSNSTORES,DESINC,HOUZZ,KIRKLANDDS,KOHLDSN,MACY02F,NRTPORT,OLLIIX,OVERSTOCK01,ZOLA</t>
  </si>
  <si>
    <t>II105-0569</t>
  </si>
  <si>
    <t>II105-0466</t>
  </si>
  <si>
    <t>April</t>
  </si>
  <si>
    <t>AMAZONDS,CASTLEGATE,CSNSTORES,HDDS,HOUZZ,JCPENNEY01,KIRKLANDDS,KOHLDSN,MACY02F,OLLIIX,OVERSTOCK01,TGTDVS,ZOLA</t>
  </si>
  <si>
    <t>II105-0546</t>
  </si>
  <si>
    <t>Accent Bench with Storage and Upholstered Cushion</t>
  </si>
  <si>
    <t>Walnut Brown</t>
  </si>
  <si>
    <t>CSNSTORES,DESINC,KOHLDSN,OLLIIX,OVERSTOCK01,TGTDVS,ZOLA</t>
  </si>
  <si>
    <t>II105-0460</t>
  </si>
  <si>
    <t>Marcie</t>
  </si>
  <si>
    <t>9/19/2024</t>
  </si>
  <si>
    <t>AMERSIGNDS,BLK01,CSNSTORES,DESINC,HDDS,HOUZZ,JCPENNEY01,KOHLDSN,LAMPDS,MACY02F,NEBFUR01,OLLIIX,OVERSTOCK01,TGTDVS,ZOLA</t>
  </si>
  <si>
    <t>II130-0406</t>
  </si>
  <si>
    <t>Krista</t>
  </si>
  <si>
    <t>Accent Cabinet</t>
  </si>
  <si>
    <t>AMERSIGNDS,BBBDROP,CSNSTORES,HOUZZ,KIRKLANDDS,KOHLDSN,LAMPDS,NRTPORT,OLLIIX,OVERSTOCK01,ROOMECOM</t>
  </si>
  <si>
    <t>II130-0497</t>
  </si>
  <si>
    <t>Seagate</t>
  </si>
  <si>
    <t>Handcrafted Seagrass 2-Door Accent chest</t>
  </si>
  <si>
    <t>AMERSIGNDS,CSNSTORES,HOUZZ,KOHLDSN,LAMPDS,MACY02F,OLLIIX,OVERSTOCK01,ZOLA</t>
  </si>
  <si>
    <t>IIF17-0009</t>
  </si>
  <si>
    <t>Jayce</t>
  </si>
  <si>
    <t>Mid Century Wood End table</t>
  </si>
  <si>
    <t>PF000933</t>
  </si>
  <si>
    <t>AMERSIGNDS,BBBDROP,CSNSTORES,HOUZZ,KOHLDSN,MACY02F,OLLIIX,OVERSTOCK01,ROOMECOM,TGTDVS,Zulily</t>
  </si>
  <si>
    <t>FPF17-0324</t>
  </si>
  <si>
    <t>Pull Up Table</t>
  </si>
  <si>
    <t>PF000580;PP000066</t>
  </si>
  <si>
    <t>AMAZONDS,AMERSIGNDS,ASHFURNDS,BBBDROP,BLK01,CSNSTORES,DESINC,HOUZZ,KOHLDSN,LAMPDS,MACY02F,NEBFUR01,OLLIIX,OVERSTOCK01,ROOMECOM,ZOLA,Zulily</t>
  </si>
  <si>
    <t>II125-0458</t>
  </si>
  <si>
    <t>3/10/2022</t>
  </si>
  <si>
    <t>ASHFURNDS,CSNSTORES,DESINC,HOUZZ,KIRKLANDDS,KOHLDSN,LAMPDS,OLLIIX,OVERSTOCK01,ZOLA</t>
  </si>
  <si>
    <t>IIF17-0082</t>
  </si>
  <si>
    <t>Occasional Table|Pedestal</t>
  </si>
  <si>
    <t>30" Pedestal</t>
  </si>
  <si>
    <t>BBBDROP,CSNSTORES,HOUZZ,KOHLDSN,LAMPDS,MACY02F,OLLIIX,OVERSTOCK01</t>
  </si>
  <si>
    <t>IIF19-0021</t>
  </si>
  <si>
    <t>DRESSER/CHEST</t>
  </si>
  <si>
    <t>Dresser</t>
  </si>
  <si>
    <t>3 Drawer Dresser</t>
  </si>
  <si>
    <t>PF000965;PP000034</t>
  </si>
  <si>
    <t>CSNSTORES,HOUZZ,KOHLDSN,LAMPDS,OLLIIX,ROOMECOM,TGTDVS</t>
  </si>
  <si>
    <t>II112-0447</t>
  </si>
  <si>
    <t>DINING BENCH</t>
  </si>
  <si>
    <t>Dining Bench</t>
  </si>
  <si>
    <t>AMAZONDS,BBBDROP,CSNSTORES,KIRKLANDDS,KOHLDSN,OLLIIX,OVERSTOCK01,ROOMECOM,TGTDVS,Zulily</t>
  </si>
  <si>
    <t>5/17/2022</t>
  </si>
  <si>
    <t>II105-0313</t>
  </si>
  <si>
    <t>AMERSIGNDS,BBBDROP,BLK01,CSNSTORES,HOUZZ,KIRKLANDDS,KOHLDSN,LAMPDS,MACY02F,NEBFUR01,OLLIIX,OVERSTOCK01,TGTDVS</t>
  </si>
  <si>
    <t>II112-0520</t>
  </si>
  <si>
    <t>II105-0318</t>
  </si>
  <si>
    <t>BBBDROP,BLK01,CASTLEGATE,CSNSTORES,HOUZZ,KOHLDSN,NEBFUR01,OLLIIX,OVERSTOCK01,ROOMECOM</t>
  </si>
  <si>
    <t>II105-0209</t>
  </si>
  <si>
    <t>II116-0070</t>
  </si>
  <si>
    <t>Queen Headboard</t>
  </si>
  <si>
    <t>Light Brown Multi/Gun Metal</t>
  </si>
  <si>
    <t>PF000864;PP000048</t>
  </si>
  <si>
    <t>ASHFURNDS,CSNSTORES,KOHLDSN,MACY02F,OLLIIX,OVERSTOCK01,ROOMECOM,Zulily</t>
  </si>
  <si>
    <t>11/12/2019</t>
  </si>
  <si>
    <t>II116-0496</t>
  </si>
  <si>
    <t>Handcrafted Seagrass Headboard Queen</t>
  </si>
  <si>
    <t>CSNSTORES,HOUZZ,KOHLDSN,MACY02F,NEBFUR01,OLLIIX,OVERSTOCK01,ZOLA</t>
  </si>
  <si>
    <t>II121-0039</t>
  </si>
  <si>
    <t>Round Bar Table</t>
  </si>
  <si>
    <t>PF000887;PP000048</t>
  </si>
  <si>
    <t>AMERSIGNDS,BLK01,CASTLEGATE,CSNSTORES,HOUZZ,JCPENNEY01,KOHLDSN,MACY02F,OLLIIX,OVERSTOCK01,ROOMECOM,TGTDVS</t>
  </si>
  <si>
    <t>IIF20-0028</t>
  </si>
  <si>
    <t>Round Dining/Pub Table</t>
  </si>
  <si>
    <t>PF000975;PP000018</t>
  </si>
  <si>
    <t>CSNSTORES,KOHLDSN,LAMPDS,MACY02F,OLLIIX,OVERSTOCK01,TGTDVS,Zulily</t>
  </si>
  <si>
    <t>II121-0501</t>
  </si>
  <si>
    <t>CSNSTORES,HOUZZ,KOHLDSN,OLLIIX,OVERSTOCK01,TGTDVS,Zulily</t>
  </si>
  <si>
    <t>II121-0519</t>
  </si>
  <si>
    <t>Dining Table 76"</t>
  </si>
  <si>
    <t>Yes</t>
  </si>
  <si>
    <t>II121-0499</t>
  </si>
  <si>
    <t>Kennedy</t>
  </si>
  <si>
    <t>44" Round Dining Table</t>
  </si>
  <si>
    <t>CSNSTORES,OLLIIX,OVERSTOCK01,TGTDVS,Zulily</t>
  </si>
  <si>
    <t>FPF20-0311</t>
  </si>
  <si>
    <t>Dining/Gathering Table</t>
  </si>
  <si>
    <t>PP000034</t>
  </si>
  <si>
    <t>CSNSTORES,KOHLDSN,LAMPDS,OLLIIX,OVERSTOCK01</t>
  </si>
  <si>
    <t>IIF20-0023</t>
  </si>
  <si>
    <t>Rectangle Dining Table</t>
  </si>
  <si>
    <t>II121-0036</t>
  </si>
  <si>
    <t>Round Dining/Gathering Table</t>
  </si>
  <si>
    <t>PF000886;PP000034</t>
  </si>
  <si>
    <t>CSNSTORES,HOUZZ,KOHLDSN,LAMPDS,NEBFUR01,OLLIIX,OVERSTOCK01,Zulily</t>
  </si>
  <si>
    <t>II121-0433</t>
  </si>
  <si>
    <t>Grey/Silver</t>
  </si>
  <si>
    <t>II121-0417</t>
  </si>
  <si>
    <t>Oval Dining Table</t>
  </si>
  <si>
    <t>BBBDROP,CSNSTORES,KOHLDSN,OLLIIX</t>
  </si>
  <si>
    <t>IIF20-0062</t>
  </si>
  <si>
    <t>BBBDROP,CSNSTORES,HOUZZ,KOHLDSN,LAMPDS,OLLIIX</t>
  </si>
  <si>
    <t>II121-0315</t>
  </si>
  <si>
    <t>Extension Dining Table</t>
  </si>
  <si>
    <t>BBBDROP,CASTLEGATE,CSNSTORES,HOUZZ,KIRKLANDDS,KOHLDSN,OLLIIX,OVERSTOCK01,TGTDVS</t>
  </si>
  <si>
    <t>II121-0311</t>
  </si>
  <si>
    <t>AMERSIGNDS,BBBDROP,CASTLEGATE,CSNSTORES,HOUZZ,KIRKLANDDS,KOHLDSN,LAMPDS,OLLIIX,OVERSTOCK01,TGTDVS</t>
  </si>
  <si>
    <t>II121-0446</t>
  </si>
  <si>
    <t>AMAZONDS,AMERSIGNDS,BBBDROP,CSNSTORES,HOUZZ,KIRKLANDDS,KOHLDSN,LAMPDS,OLLIIX,OVERSTOCK01,TGTDVS</t>
  </si>
  <si>
    <t>II121-0445</t>
  </si>
  <si>
    <t>AMAZONDS,BBBDROP,CSNSTORES,DESINC,HOUZZ,KIRKLANDDS,KOHLDSN,OLLIIX,OVERSTOCK01,TGTDVS,Zulily</t>
  </si>
  <si>
    <t>II121-0118</t>
  </si>
  <si>
    <t>Dining/ Gathering Table</t>
  </si>
  <si>
    <t>PF000889;PP000060</t>
  </si>
  <si>
    <t>AMERSIGNDS,CSNSTORES,HOUZZ,KOHLDSN,OLLIIX,Zulily</t>
  </si>
  <si>
    <t>II115-0577</t>
  </si>
  <si>
    <t>Platform Bed frame with Live-Edge Headboard and Built-in Nightstands/Drawers</t>
  </si>
  <si>
    <t>IIF19-0030</t>
  </si>
  <si>
    <t>Bed with 2 Nightstands</t>
  </si>
  <si>
    <t>PP000018</t>
  </si>
  <si>
    <t>5/14/2024</t>
  </si>
  <si>
    <t>BBBDROP,CSNSTORES,KOHLDSN,OLLIIX,OVERSTOCK01</t>
  </si>
  <si>
    <t>IIF19-0031</t>
  </si>
  <si>
    <t>BBBDROP,CSNSTORES,HOUZZ,OLLIIX,OVERSTOCK01</t>
  </si>
  <si>
    <t>II115-0555</t>
  </si>
  <si>
    <t>Woven Faux Leather Bed Queen</t>
  </si>
  <si>
    <t>12/21/2023</t>
  </si>
  <si>
    <t>AMERSIGNDS,CSNSTORES,OLLIIX</t>
  </si>
  <si>
    <t>II115-0419</t>
  </si>
  <si>
    <t>Queen Bed</t>
  </si>
  <si>
    <t>II115-0502</t>
  </si>
  <si>
    <t>Wood Queen Bed</t>
  </si>
  <si>
    <t>II122-0033</t>
  </si>
  <si>
    <t>PF000894;PP000034</t>
  </si>
  <si>
    <t>AMERSIGNDS,ASHFURNDS,CSNSTORES,HOUZZ,JCPENNEY01,KOHLDSN,OLLIIX,OVERSTOCK01,TGTDVS</t>
  </si>
  <si>
    <t>II122-0431</t>
  </si>
  <si>
    <t>11/30/2020</t>
  </si>
  <si>
    <t>AMERSIGNDS,ASHFURNDS,CSNSTORES,HOUZZ,KIRKLANDDS,NEBFUR01,OLLIIX,ROOMECOM</t>
  </si>
  <si>
    <t>II122-0451</t>
  </si>
  <si>
    <t>ASHFURNDS,CSNSTORES,NEBFUR01,OLLIIX</t>
  </si>
  <si>
    <t>II106-0226</t>
  </si>
  <si>
    <t>Loveseat</t>
  </si>
  <si>
    <t>PF000143</t>
  </si>
  <si>
    <t>12/30/2017</t>
  </si>
  <si>
    <t>AMERSIGNDS,ASHFURNDS,BBBDROP,CSNSTORES,DESINC,KOHLDSN,MACY02F,OLLIIX,OVERSTOCK01,ROOMECOM,TGTDVS</t>
  </si>
  <si>
    <t>4/10/2019</t>
  </si>
  <si>
    <t>FPF18-0351</t>
  </si>
  <si>
    <t>PF000011;PP000049</t>
  </si>
  <si>
    <t>II103-0498</t>
  </si>
  <si>
    <t>Bonn</t>
  </si>
  <si>
    <t>CSNSTORES,KIRKLANDDS,KOHLDSN,MACY02F,OLLIIX,OVERSTOCK01,ZOLA,Zulily</t>
  </si>
  <si>
    <t>II103-0564</t>
  </si>
  <si>
    <t>II103-0563</t>
  </si>
  <si>
    <t>OLLIIX,OVERSTOCK01,TGTDVS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</si>
  <si>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</si>
  <si>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</si>
  <si>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</si>
  <si>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</si>
  <si>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</si>
  <si>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</si>
  <si>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</si>
  <si>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ASHFURNDS,CSNSTORES,KOHLDSN,LAMPDS,MACY02F,OLLIIX,OVERSTOCK01,TGTDVS</t>
  </si>
  <si>
    <t>II101-0288</t>
  </si>
  <si>
    <t>Round stool</t>
  </si>
  <si>
    <t>Tan/Gold</t>
  </si>
  <si>
    <t>AMERSIGNDS,CSNSTORES,HOUZZ,KOHLDSN,MACY02F,NEBFUR01,OLLIIX,OVERSTOCK01,TGTDVS,ZOLA,Zulily</t>
  </si>
  <si>
    <t>II100-0544</t>
  </si>
  <si>
    <t>SECTIONAL SOFA</t>
  </si>
  <si>
    <t>Molly</t>
  </si>
  <si>
    <t>Modular Armless Chair</t>
  </si>
  <si>
    <t>Armless Chair</t>
  </si>
  <si>
    <t>II100-0543</t>
  </si>
  <si>
    <t>Modular Corner Chair</t>
  </si>
  <si>
    <t>Corner Chair</t>
  </si>
  <si>
    <t>II100-0506</t>
  </si>
  <si>
    <t>Silver Grey</t>
  </si>
  <si>
    <t>1/31/2023</t>
  </si>
  <si>
    <t>CSNSTORES,KIRKLANDDS,KOHLDSN,LAMPDS,OLLIIX,OVERSTOCK01</t>
  </si>
  <si>
    <t>II100-0505</t>
  </si>
  <si>
    <t>CASTLEGATE,CSNSTORES,KIRKLANDDS,KOHLDSN,OLLIIX,OVERSTOCK01,TGTDVS</t>
  </si>
  <si>
    <t>II101-0545</t>
  </si>
  <si>
    <t>Modular Ottoman</t>
  </si>
  <si>
    <t>II101-0507</t>
  </si>
  <si>
    <t>CSNSTORES,KIRKLANDDS,KOHLDSN,MACY02F,NRTPORT,OLLIIX,OVERSTOCK01,TGTDVS</t>
  </si>
  <si>
    <t>MPS120-0050</t>
  </si>
  <si>
    <t>Porter</t>
  </si>
  <si>
    <t>Rectangle Coffee Table</t>
  </si>
  <si>
    <t>PF000486;PP000307</t>
  </si>
  <si>
    <t>ASHFURNDS,BLK01,CSNSTORES,DESINC,HOUZZ,KIRKLANDDS,KOHLDSN,LAMPDS,MACY02F,OLLIIX,OVERSTOCK01,ROOMECOM,TGTDVS</t>
  </si>
  <si>
    <t>MPS120-0123</t>
  </si>
  <si>
    <t>Bordeaux</t>
  </si>
  <si>
    <t>White/Gold</t>
  </si>
  <si>
    <t>PF000504;PP000290</t>
  </si>
  <si>
    <t>10/10/2017</t>
  </si>
  <si>
    <t>AMERSIGNDS,ASHFURNDS,BBBDROP,BLK01,CSNSTORES,HOUZZ,KOHLDSN,LAMPDS,MACY02F,OLLIIX,ROOMECOM,TGTDVS</t>
  </si>
  <si>
    <t>MPS120-0125</t>
  </si>
  <si>
    <t>PF000506;PP000290</t>
  </si>
  <si>
    <t>AMERSIGNDS,ASHFURNDS,BBBDROP,BLK01,CSNSTORES,DESINC,HOUZZ,KOHLDSN,LAMPDS,MACY02F,OLLIIX,OVERSTOCK01,ROOMECOM,TGTDVS,Zulily</t>
  </si>
  <si>
    <t>5/8/2020</t>
  </si>
  <si>
    <t>MPS120-0020</t>
  </si>
  <si>
    <t>Ebony</t>
  </si>
  <si>
    <t>PF001265;PP000304</t>
  </si>
  <si>
    <t>ASHFURNDS,CSNSTORES,KOHLDSN,MACY02F,OLLIIX,OVERSTOCK01</t>
  </si>
  <si>
    <t>MPS120-0124</t>
  </si>
  <si>
    <t>PF000505;PP000290</t>
  </si>
  <si>
    <t>AMERSIGNDS,BLK01,CSNSTORES,DESINC,HOUZZ,KOHLDSN,MACY02F,OLLIIX,OVERSTOCK01,ROOMECOM,TGTDVS,Zulily</t>
  </si>
  <si>
    <t>5/10/2019</t>
  </si>
  <si>
    <t>MPS137-0004</t>
  </si>
  <si>
    <t>Small Dresser</t>
  </si>
  <si>
    <t>Light Natural</t>
  </si>
  <si>
    <t>PF001290;PP000311</t>
  </si>
  <si>
    <t>AMERSIGNDS,CASTLEGATE,CSNSTORES,DESINC,HOUZZ,KIRKLANDDS,KOHLDSN,LAMPDS,OLLIIX,OVERSTOCK01,ROOMECOM,TGTDVS</t>
  </si>
  <si>
    <t>MPS130-0293</t>
  </si>
  <si>
    <t>Beckett</t>
  </si>
  <si>
    <t>2 Drawer Accent Chest</t>
  </si>
  <si>
    <t>Morocco Brown</t>
  </si>
  <si>
    <t>9/15/2020</t>
  </si>
  <si>
    <t>AMERSIGNDS,BLK01,CSNSTORES,HOUZZ,JCPENNEY01,KOHLDSN,LAMPDS,MACY02F,NRTPORT,OLLIIX,OVERSTOCK01,ROOMECOM</t>
  </si>
  <si>
    <t>MPS130-0299</t>
  </si>
  <si>
    <t>Antique Cream</t>
  </si>
  <si>
    <t>8/20/2021</t>
  </si>
  <si>
    <t>AMERSIGNDS,BLK01,CSNSTORES,DESINC,JCPENNEY01,KIRKLANDDS,KOHLDSN,LAMPDS,MACY02F,OLLIIX,OVERSTOCK01</t>
  </si>
  <si>
    <t>MPS130-0306</t>
  </si>
  <si>
    <t>MPS100-0108</t>
  </si>
  <si>
    <t>Collin</t>
  </si>
  <si>
    <t>Arm Chair</t>
  </si>
  <si>
    <t>PF001228</t>
  </si>
  <si>
    <t>ASHFURNDS,CSNSTORES,HDDS,HOUZZ,JCPENNEY01,KIRKLANDDS,KOHLDSN,MACY02F,OLLIIX,OVERSTOCK01,ROOMECOM,TGTDVS</t>
  </si>
  <si>
    <t>MPS100-0303</t>
  </si>
  <si>
    <t>Arm chair</t>
  </si>
  <si>
    <t>Cream/Dark Brown</t>
  </si>
  <si>
    <t>AMERSIGNDS,CSNSTORES,HDDS,JCPENNEY01,KIRKLANDDS,KOHLDSN,LAMPDS,OLLIIX,OVERSTOCK01,TGTDVS,ZOLA</t>
  </si>
  <si>
    <t>MPS100-0155</t>
  </si>
  <si>
    <t>AMERSIGNDS,ASHFURNDS,BLK01,CASTLEGATE,CSNSTORES,HDDS,KIRKLANDDS,KOHLDSN,MACY02F,OLLIIX,TGTDVS,Zulily</t>
  </si>
  <si>
    <t>MPS100-0163</t>
  </si>
  <si>
    <t>Erin</t>
  </si>
  <si>
    <t>PP000577</t>
  </si>
  <si>
    <t>MPS108-0294</t>
  </si>
  <si>
    <t>Helena</t>
  </si>
  <si>
    <t>Dining Side Chair</t>
  </si>
  <si>
    <t>BLK01,CSNSTORES,HOUZZ,LAMPDS,OLLIIX,OVERSTOCK01,ROOMECOM,TGTDVS</t>
  </si>
  <si>
    <t>MPS100-0115</t>
  </si>
  <si>
    <t>PF001230;PP000300</t>
  </si>
  <si>
    <t>AMERSIGNDS,BLK01,CSNSTORES,HOUZZ,KIRKLANDDS,KOHLDSN,OLLIIX,OVERSTOCK01,ROOMECOM,TGTDVS</t>
  </si>
  <si>
    <t>MPS108-0152</t>
  </si>
  <si>
    <t>Hutton</t>
  </si>
  <si>
    <t>Dining Side Chair (set of 2)</t>
  </si>
  <si>
    <t>AMERSIGNDS,CSNSTORES,HOUZZ,KOHLDSN,MACY02F,OLLIIX,OVERSTOCK01,TGTDVS</t>
  </si>
  <si>
    <t>MPS100-0042</t>
  </si>
  <si>
    <t>Marie</t>
  </si>
  <si>
    <t>Beige/Light Natural</t>
  </si>
  <si>
    <t>PF001222;PP000305</t>
  </si>
  <si>
    <t>AMERSIGNDS,CASTLEGATE,CSNSTORES,HOUZZ,JCPENNEY01,KIRKLANDDS,KOHLDSN,LAMPDS,MACY02F,NEBFUR01,OLLIIX,OVERSTOCK01,TGTDVS,Zulily</t>
  </si>
  <si>
    <t>MPS108-0302</t>
  </si>
  <si>
    <t>Ultra</t>
  </si>
  <si>
    <t>Set of 2</t>
  </si>
  <si>
    <t>4/7/2022</t>
  </si>
  <si>
    <t>AMERSIGNDS,BBBDROP,CSNSTORES,HOUZZ,JCPENNEY01,KOHLDSN,LAMPDS,MACY02F,NEBFUR01,OLLIIX,OVERSTOCK01,TGTDVS,Zulily</t>
  </si>
  <si>
    <t>MPS108-0286</t>
  </si>
  <si>
    <t>AMERSIGNDS,CASTLEGATE,CSNSTORES,HOUZZ,KIRKLANDDS,KOHLDSN,LAMPDS,MACY02F,OLLIIX,OVERSTOCK01,TGTDVS,Zulily</t>
  </si>
  <si>
    <t>MPS108-0156</t>
  </si>
  <si>
    <t>10/23/2017</t>
  </si>
  <si>
    <t>AMAZONDS,AMERSIGNDS,CASTLEGATE,CSNSTORES,HOUZZ,JCPENNEY01,KIRKLANDDS,KOHLDSN,LAMPDS,MACY02F,OLLIIX,OVERSCONSIGN,OVERSTOCK01,TGTDVS</t>
  </si>
  <si>
    <t>MPS108-0296</t>
  </si>
  <si>
    <t>Light Green Multi</t>
  </si>
  <si>
    <t>AMERSIGNDS,CASTLEGATE,CSNSTORES,KIRKLANDDS,KOHLDSN,LAMPDS,MACY02F,NEBFUR01,OLLIIX,OVERSTOCK01</t>
  </si>
  <si>
    <t>MPS105-0307</t>
  </si>
  <si>
    <t>Tufted Storage Bench</t>
  </si>
  <si>
    <t>Antique Cream/Light Grey</t>
  </si>
  <si>
    <t>MPS135-0049</t>
  </si>
  <si>
    <t>BAR CART</t>
  </si>
  <si>
    <t>Bar Cart</t>
  </si>
  <si>
    <t>PF000513;PP000303</t>
  </si>
  <si>
    <t>AMERSIGNDS,BBBDROP,BLK01,CSNSTORES,HOUZZ,KOHLDSN,LAMPDS,MACY02F,NEBFUR01,OLLIIX,OVERSTOCK01,ROOMECOM,TGTDVS,ZOLA</t>
  </si>
  <si>
    <t>10/30/2019</t>
  </si>
  <si>
    <t>MPS104-0301</t>
  </si>
  <si>
    <t>25.5" Upholstered Counter Stool</t>
  </si>
  <si>
    <t>2/1/2022</t>
  </si>
  <si>
    <t>MPS104-0300</t>
  </si>
  <si>
    <t>CSNSTORES,HOUZZ,JCPENNEY01,KOHLDSN,NEBFUR01,OLLIIX,OVERSTOCK01,TGTDVS</t>
  </si>
  <si>
    <t>MPS115-0287</t>
  </si>
  <si>
    <t>9/25/2020</t>
  </si>
  <si>
    <t>MPS115-0058</t>
  </si>
  <si>
    <t>PP000288</t>
  </si>
  <si>
    <t>AMERSIGNDS,BBBDROP,CSNSTORES,KOHLDSN,OLLIIX,OVERSTOCK01</t>
  </si>
  <si>
    <t>MPS115-0304</t>
  </si>
  <si>
    <t>6/18/2024</t>
  </si>
  <si>
    <t>MPS115-0308</t>
  </si>
  <si>
    <t>MPS115-0261B</t>
  </si>
  <si>
    <t>Alston</t>
  </si>
  <si>
    <t>Rails:81"L X 3"W X 2"T; Support Legs:2"W X 2"D" X 8"H</t>
  </si>
  <si>
    <t>MPS115-0261A</t>
  </si>
  <si>
    <t>HB:64.5"W X 52"H X 2.5"T; FB:64.5" X 38"H X 2.5"T</t>
  </si>
  <si>
    <t>MPS121-0295</t>
  </si>
  <si>
    <t>Round Dining Table</t>
  </si>
  <si>
    <t>AMERSIGNDS,CASTLEGATE,CSNSTORES,HOUZZ,KIRKLANDDS,KOHLDSN,LAMPDS,OLLIIX,TGTDVS</t>
  </si>
  <si>
    <t>MPS121-0113</t>
  </si>
  <si>
    <t>PF001280;PP000300</t>
  </si>
  <si>
    <t>AMERSIGNDS,CSNSTORES,HOUZZ,KOHLDSN,LAMPDS,OLLIIX,TGTDVS,Zulily</t>
  </si>
  <si>
    <t>MPS136-0288</t>
  </si>
  <si>
    <t>AAFESDS,AMERSIGNDS,BLK01,CSNSTORES,DESINC,HOUZZ,JCPENNEY01,KOHLDSN,LAMPDS,MACY02F,OLLIIX,OVERSTOCK01,ROOMECOM,TGTDVS</t>
  </si>
  <si>
    <t>MPS136-0060</t>
  </si>
  <si>
    <t>PF001288;PP000288</t>
  </si>
  <si>
    <t>AAFESDS,AMERSIGNDS,BBBDROP,BLK01,CASTLEGATE,CSNSTORES,DESINC,HOUZZ,KOHLDSN,LAMPDS,MACY02F,OLLIIX,OVERSTOCK01,TGTDVS</t>
  </si>
  <si>
    <t>MPS136-0305</t>
  </si>
  <si>
    <t>MPS136-0003</t>
  </si>
  <si>
    <t>PF001286;PP000311</t>
  </si>
  <si>
    <t>AMERSIGNDS,ASHFURNDS,BLK01,CSNSTORES,HOUZZ,KIRKLANDDS,KOHLDSN,LAMPDS,MACY02F,OLLIIX,OVERSTOCK01,TGTDVS</t>
  </si>
  <si>
    <t>MPS136-0181</t>
  </si>
  <si>
    <t>Bedside Table</t>
  </si>
  <si>
    <t>1/10/2018</t>
  </si>
  <si>
    <t>BBBDROP,BLK01,CSNSTORES,DESINC,HOUZZ,KOHLDSN,MACY02F,OLLIIX,OVERSTOCK01,TGTDVS,Zulily</t>
  </si>
  <si>
    <t>MPS107-0033</t>
  </si>
  <si>
    <t>Sectional Sofa</t>
  </si>
  <si>
    <t>Gordon</t>
  </si>
  <si>
    <t>Modular Sofa Left Arm</t>
  </si>
  <si>
    <t>PF001251;PP000296</t>
  </si>
  <si>
    <t>MACY02F,OLLIIX</t>
  </si>
  <si>
    <t>MT100-0001</t>
  </si>
  <si>
    <t>Decker</t>
  </si>
  <si>
    <t>Accent Armchair</t>
  </si>
  <si>
    <t>PP001268</t>
  </si>
  <si>
    <t>ASHFURNDS,CASTLEGATE,CSNSTORES,DESINC,JCPENNEY01,KIRKLANDDS,KOHLDSN,LAMPDS,MACY02F,OLLIIX,OVERSTOCK01,ROOMECOM,ZOLA,Zulily</t>
  </si>
  <si>
    <t>MT100-0106</t>
  </si>
  <si>
    <t>8/29/2020</t>
  </si>
  <si>
    <t>AMAZONDS,ASHFURNDS,CSNSTORES,JCPENNEY01,KIRKLANDDS,KOHLDSN,LAMPDS,MACY02F,OLLIIX,OVERSTOCK01,Zulily</t>
  </si>
  <si>
    <t>MT100-0126</t>
  </si>
  <si>
    <t>Braxton</t>
  </si>
  <si>
    <t>AMAZONDS,CSNSTORES,KIRKLANDDS,KOHLDSN,MACY02F,OLLIIX,OVERSTOCK01,ROOMECOM,TGTDVS</t>
  </si>
  <si>
    <t>2/14/2024</t>
  </si>
  <si>
    <t>MT100-0018</t>
  </si>
  <si>
    <t>PP001282</t>
  </si>
  <si>
    <t>7/31/2019</t>
  </si>
  <si>
    <t>AMAZON,AMAZONDS,ASHFURNDS,BBBDROP,CSNSTORES,HOUZZ,KIRKLANDDS,KOHLDSN,LAMPDS,MACY02F,OLLIIX,OVERSTOCK01,ROOMECOM,TGTDVS,ZOLA,Zulily</t>
  </si>
  <si>
    <t>4/21/2020</t>
  </si>
  <si>
    <t>MT100-0157</t>
  </si>
  <si>
    <t>AMAZONDS,CSNSTORES,KOHLDSN,LAMPDS,MACY02F,OLLIIX,OVERSTOCK01,TGTDVS</t>
  </si>
  <si>
    <t>MT100-0136</t>
  </si>
  <si>
    <t>AMAZONDS,ASHFURNDS,CSNSTORES,KIRKLANDDS,KOHLDSN,LAMPDS,MACY02F,OLLIIX,OVERSTOCK01,TGTDVS,Zulily</t>
  </si>
  <si>
    <t>MT100-0155</t>
  </si>
  <si>
    <t>Anna</t>
  </si>
  <si>
    <t>Arm Accent Chair</t>
  </si>
  <si>
    <t>7/14/2022</t>
  </si>
  <si>
    <t>AMAZONDS,ASHFURNDS,CSNSTORES,HOUZZ,JCPENNEY01,KOHLDSN,LAMPDS,MACY02F,OLLIIX,OVERSTOCK01,TGTDVS</t>
  </si>
  <si>
    <t>MT100-0053</t>
  </si>
  <si>
    <t>PP001261</t>
  </si>
  <si>
    <t>AMAZONDS,ASHFURNDS,CASTLEGATE,CSNSTORES,HOUZZ,JCPENNEY01,KOHLDSN,LAMPDS,MACY02F,OLLIIX,OVERSTOCK01,ROOMECOM,ZOLA,Zulily</t>
  </si>
  <si>
    <t>MT100-0108</t>
  </si>
  <si>
    <t>Auden</t>
  </si>
  <si>
    <t>AMAZONDS,CSNSTORES,HOUZZ,KOHLDSN,OLLIIX,OVERSTOCK01,ROOMECOM,TGTDVS</t>
  </si>
  <si>
    <t>11/17/2020</t>
  </si>
  <si>
    <t>MT100-1190</t>
  </si>
  <si>
    <t>Fayette</t>
  </si>
  <si>
    <t>Tufted Accent Arm Chair</t>
  </si>
  <si>
    <t>Traditional|Farm House</t>
  </si>
  <si>
    <t>AMAZONDS,CSNSTORES,KIRKLANDDS,MACY02F,OLLIIX,OVERSTOCK01</t>
  </si>
  <si>
    <t>MT100-0069</t>
  </si>
  <si>
    <t>Halleck</t>
  </si>
  <si>
    <t>AMAZON,AMAZONDS,AMERSIGNDS,ASHFURNDS,CSNSTORES,KOHLDSN,LAMPDS,MACY02F,OLLIIX,OVERSTOCK01,TGTDVS,Zulily</t>
  </si>
  <si>
    <t>9/16/2020</t>
  </si>
  <si>
    <t>MT100-0123</t>
  </si>
  <si>
    <t>Jayco</t>
  </si>
  <si>
    <t>AMAZONDS,ASHFURNDS,BLK01,CSNSTORES,HOUZZ,JCPENNEY01,KOHLDSN,LAMPDS,MACY02F,OLLIIX,OVERSTOCK01,ROOMECOM,TGTDVS,ZOLA</t>
  </si>
  <si>
    <t>5/20/2022</t>
  </si>
  <si>
    <t>MT100-0177</t>
  </si>
  <si>
    <t>CSNSTORES,MACY02F,OLLIIX,OVERSTOCK01,ZOLA</t>
  </si>
  <si>
    <t>MT100-0137</t>
  </si>
  <si>
    <t>Manhattan</t>
  </si>
  <si>
    <t>8/27/2021</t>
  </si>
  <si>
    <t>MT100-0148</t>
  </si>
  <si>
    <t>Maribelle</t>
  </si>
  <si>
    <t>Beige/Blue</t>
  </si>
  <si>
    <t>6/7/2022</t>
  </si>
  <si>
    <t>AMAZONDS,CSNSTORES,KIRKLANDDS,KOHLDSN,OLLIIX,OVERSTOCK01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</si>
  <si>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</si>
  <si>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</si>
  <si>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</si>
  <si>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</si>
  <si>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</si>
  <si>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</si>
  <si>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</si>
  <si>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AMAZONDS,OLLIIX</t>
  </si>
  <si>
    <t>MT100-0166</t>
  </si>
  <si>
    <t>Remo</t>
  </si>
  <si>
    <t>AMAZONDS,ASHFURNDS,CSNSTORES,HOUZZ,KIRKLANDDS,OLLIIX,OVERSTOCK01</t>
  </si>
  <si>
    <t>MT100-0176</t>
  </si>
  <si>
    <t>MT Bedford|Farm House</t>
  </si>
  <si>
    <t>MT100-1183</t>
  </si>
  <si>
    <t>Jada</t>
  </si>
  <si>
    <t>AMAZONDS,ASHFURNDS,CSNSTORES,KOHLDSN,MACY02F,OLLIIX,OVERSTOCK01,TGTDVS</t>
  </si>
  <si>
    <t>MT120-0023</t>
  </si>
  <si>
    <t>Accent Table|End Table</t>
  </si>
  <si>
    <t>Fatima</t>
  </si>
  <si>
    <t>Round Accent Table</t>
  </si>
  <si>
    <t>Reclaimed Wheat</t>
  </si>
  <si>
    <t>PP001286</t>
  </si>
  <si>
    <t>AMAZON,AMAZONDS,BBBDROP,CSNSTORES,JCPENNEY01,KIRKLANDDS,KOHLDSN,LAMPDS,MACY02F,OLLIIX,OVERSTOCK01,ROOMECOM,TGTDVS,ZOLA</t>
  </si>
  <si>
    <t>MT120-0024</t>
  </si>
  <si>
    <t>PP001287</t>
  </si>
  <si>
    <t>AMAZONDS,BBBDROP,CSNSTORES,HOUZZ,JCPENNEY01,KIRKLANDDS,KOHLDSN,LAMPDS,MACY02F,OLLIIX,OVERSTOCK01,ROOMECOM,TGTDVS,ZOLA,Zulily</t>
  </si>
  <si>
    <t>MT120-0026</t>
  </si>
  <si>
    <t>Irisa</t>
  </si>
  <si>
    <t>Reclaimed Oak/Iron</t>
  </si>
  <si>
    <t>PP001289</t>
  </si>
  <si>
    <t>AMAZON,AMAZONDS,CSNSTORES,DESINC,HOUZZ,KIRKLANDDS,KOHLDSN,LAMPDS,MACY02F,OLLIIX,OVERSTOCK01,ROOMECOM,TGTDVS,ZOLA,Zulily</t>
  </si>
  <si>
    <t>MT120-0025</t>
  </si>
  <si>
    <t>Lia</t>
  </si>
  <si>
    <t>Oval Accent Table</t>
  </si>
  <si>
    <t>PP001288</t>
  </si>
  <si>
    <t>6/19/2019</t>
  </si>
  <si>
    <t>AMAZONDS,BLK01,CSNSTORES,DESINC,HOUZZ,JCPENNEY01,LAMPDS,MACY02F,OLLIIX,OVERSTOCK01,ROOMECOM,TGTDVS,Zulily</t>
  </si>
  <si>
    <t>4/15/2020</t>
  </si>
  <si>
    <t>MT120-1200</t>
  </si>
  <si>
    <t>Ayanna</t>
  </si>
  <si>
    <t>Oval Coffee Table with Shelf</t>
  </si>
  <si>
    <t>Reclaimed Greige</t>
  </si>
  <si>
    <t>Farm House|Cottage/Country|MT Bedford</t>
  </si>
  <si>
    <t>CSNSTORES,DESINC,OLLIIX,OVERSTOCK01</t>
  </si>
  <si>
    <t>MT120-0129</t>
  </si>
  <si>
    <t>Belden</t>
  </si>
  <si>
    <t>Castered Coffee Table</t>
  </si>
  <si>
    <t>3/22/2021</t>
  </si>
  <si>
    <t>AMAZONDS,BBBDROP,CSNSTORES,HOUZZ,JCPENNEY01,KIRKLANDDS,KOHLDSN,LAMPDS,MACY02F,OLLIIX,OVERSTOCK01,TGTDVS,Zulily</t>
  </si>
  <si>
    <t>MT120-1202</t>
  </si>
  <si>
    <t>Traditional|MT Lily Pond|Coastal</t>
  </si>
  <si>
    <t>AMAZONDS,CSNSTORES,OLLIIX,OVERSTOCK01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</si>
  <si>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</si>
  <si>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</si>
  <si>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</si>
  <si>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</si>
  <si>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</si>
  <si>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</si>
  <si>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</si>
  <si>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AMAZONDS,BBBDROP,CSNSTORES,DESINC,HOUZZ,JCPENNEY01,KIRKLANDDS,LAMPDS,MACY02F,OLLIIX,OVERSTOCK01,TGTDVS,ZOLA,Zulily</t>
  </si>
  <si>
    <t>MT120-1191</t>
  </si>
  <si>
    <t>Kenna</t>
  </si>
  <si>
    <t>Fluted 2-drawer Storage Console Table</t>
  </si>
  <si>
    <t>10/28/2023</t>
  </si>
  <si>
    <t>CSNSTORES,DESINC,HOUZZ,MACY02F,OLLIIX,OVERSTOCK01,ZOLA</t>
  </si>
  <si>
    <t>MT120-1201</t>
  </si>
  <si>
    <t>2 Door Storage Console Table</t>
  </si>
  <si>
    <t>Coastal|Transitional|MT Lily Pond</t>
  </si>
  <si>
    <t>2/23/2024</t>
  </si>
  <si>
    <t>MT120-0089</t>
  </si>
  <si>
    <t>Elmcrest</t>
  </si>
  <si>
    <t>AMAZONDS,CSNSTORES,HOUZZ,KIRKLANDDS,MACY02F,OLLIIX,OVERSTOCK01,ROOMECOM</t>
  </si>
  <si>
    <t>MT120-1189</t>
  </si>
  <si>
    <t>Round Coffee Table with Interchangeable Wood and Glass Top</t>
  </si>
  <si>
    <t>HOUZZ,KOHLDSN,LAMPDS,MACY02F,OLLIIX,OVERSTOCK01,TGTDVS,ZOLA</t>
  </si>
  <si>
    <t>MT120-1192</t>
  </si>
  <si>
    <t>Fluted 2-drawer Coffee Table</t>
  </si>
  <si>
    <t>CSNSTORES,HOUZZ,OLLIIX,OVERSTOCK01</t>
  </si>
  <si>
    <t>MT120-0150</t>
  </si>
  <si>
    <t>Sadie</t>
  </si>
  <si>
    <t>Round Coffee table</t>
  </si>
  <si>
    <t>AMAZONDS,CSNSTORES,DESINC,HOUZZ,JCPENNEY01,KIRKLANDDS,KOHLDSN,MACY02F,OLLIIX,OVERSTOCK01,TGTDVS,ZOLA,Zulily</t>
  </si>
  <si>
    <t>MT105-0156</t>
  </si>
  <si>
    <t>Caymus</t>
  </si>
  <si>
    <t>Caymu</t>
  </si>
  <si>
    <t>Rectangular Soft Close Storage Bench</t>
  </si>
  <si>
    <t>AMAZONDS,CSNSTORES,HOUZZ,JCPENNEY01,KOHLDSN,LAMPDS,MACY02F,OLLIIX,OVERSTOCK01,TGTDVS,Zulily</t>
  </si>
  <si>
    <t>MT105-0139</t>
  </si>
  <si>
    <t>Highland</t>
  </si>
  <si>
    <t>Tufted Accent Bench with Shelf</t>
  </si>
  <si>
    <t>3/7/2022</t>
  </si>
  <si>
    <t>AMAZONDS,AMERSIGNDS,ASHFURNDS,BBBDROP,CSNSTORES,HOUZZ,JCPENNEY01,KOHLDSN,NEBFUR01,OLLIIX,OVERSTOCK01,TGTDVS,ZOLA</t>
  </si>
  <si>
    <t>MT105-0072</t>
  </si>
  <si>
    <t>Secor</t>
  </si>
  <si>
    <t>Upholstered Accent Bench with Metal Base</t>
  </si>
  <si>
    <t>AMAZON,AMAZONDS,ASHFURNDS,CSNSTORES,HOUZZ,JCPENNEY01,KIRKLANDDS,KOHLDSN,MACY02F,OLLIIX,OVERSTOCK01,ROOMECOM,TGTDVS,ZOLA</t>
  </si>
  <si>
    <t>4/8/2020</t>
  </si>
  <si>
    <t>MT105-0168</t>
  </si>
  <si>
    <t>Sloane</t>
  </si>
  <si>
    <t>AMAZONDS,CSNSTORES,HOUZZ,JCPENNEY01,KIRKLANDDS,KOHLDSN,LAMPDS,MACY02F,OLLIIX,OVERSTOCK01,Zulily</t>
  </si>
  <si>
    <t>MT105-0147</t>
  </si>
  <si>
    <t>Eve</t>
  </si>
  <si>
    <t>CSNSTORES,KOHLDSN,OLLIIX,OVERSTOCK01,ZOLA</t>
  </si>
  <si>
    <t>MT105-1215</t>
  </si>
  <si>
    <t>Harstrom</t>
  </si>
  <si>
    <t>MT105-0128</t>
  </si>
  <si>
    <t>AMAZONDS,CSNSTORES,FINGERHUTDS,HOUZZ,JCPENNEY01,KOHLDSN,MACY02F,OLLIIX,OVERSTOCK01,TGTDVS,Zulily</t>
  </si>
  <si>
    <t>MT105-0159</t>
  </si>
  <si>
    <t>6/9/2023</t>
  </si>
  <si>
    <t>CSNSTORES,KOHLDSN,LAMPDS,MACY02F,OLLIIX,OVERSTOCK01,TGTDVS</t>
  </si>
  <si>
    <t>MT105-0117</t>
  </si>
  <si>
    <t xml:space="preserve">Tinsley </t>
  </si>
  <si>
    <t>Light Tan</t>
  </si>
  <si>
    <t>AMAZONDS,CSNSTORES,HOUZZ,KIRKLANDDS,KOHLDSN,MACY02F,OLLIIX,OVERSTOCK01,ROOMECOM,TGTDVS</t>
  </si>
  <si>
    <t>MT130-1211</t>
  </si>
  <si>
    <t>Woven Cane Accent Cabinet</t>
  </si>
  <si>
    <t>Toasted Almond</t>
  </si>
  <si>
    <t>4/10/2024</t>
  </si>
  <si>
    <t>MT130-0111</t>
  </si>
  <si>
    <t>Allister</t>
  </si>
  <si>
    <t>9/18/2020</t>
  </si>
  <si>
    <t>AMAZONDS,ASHFURNDS,CSNSTORES,HOUZZ,JCPENNEY01,KOHLDSN,LAMPDS,OLLIIX,OVERSTOCK01,ROOMECOM</t>
  </si>
  <si>
    <t>MT130-1212</t>
  </si>
  <si>
    <t>Accent Cabinet with Lower Shelf</t>
  </si>
  <si>
    <t>MT135-0036</t>
  </si>
  <si>
    <t>Lionel</t>
  </si>
  <si>
    <t>Two Tier Bar Cart on Wheels</t>
  </si>
  <si>
    <t>PP001245</t>
  </si>
  <si>
    <t>6/20/2019</t>
  </si>
  <si>
    <t>AMAZONDS,BBBDROP,CSNSTORES,HOUZZ,KOHLDSN,LAMPDS,MACY02F,OLLIIX,OVERSTOCK01,ROOMECOM,TGTDVS,ZOLA,Zulily</t>
  </si>
  <si>
    <t>4/22/2020</t>
  </si>
  <si>
    <t>MT104-1184</t>
  </si>
  <si>
    <t>Connor</t>
  </si>
  <si>
    <t>Upholstered Counter stool 25"H</t>
  </si>
  <si>
    <t>CSNSTORES,HOUZZ,JCPENNEY01,KIRKLANDDS,KOHLDSN,MACY02F,OLLIIX,OVERSTOCK01,TGTDVS,ZOLA</t>
  </si>
  <si>
    <t>MT104-0141</t>
  </si>
  <si>
    <t>25" Upholstered Counter Stool</t>
  </si>
  <si>
    <t>AMAZONDS,CSNSTORES,HOUZZ,JCPENNEY01,KOHLDSN,MACY02F,OLLIIX,OVERSTOCK01,TGTDVS,Zulily</t>
  </si>
  <si>
    <t>MT104-1185</t>
  </si>
  <si>
    <t>AMAZONDS,CSNSTORES,KOHLDSN,OLLIIX,OVERSTOCK01,ZOLA</t>
  </si>
  <si>
    <t>MT104-0085</t>
  </si>
  <si>
    <t>2/11/2020</t>
  </si>
  <si>
    <t>AMAZONDS,CASTLEGATE,CSNSTORES,HOUZZ,OLLIIX,OVERSTOCK01,ROOMECOM,TGTDVS,ZOLA,Zulily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</si>
  <si>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</si>
  <si>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</si>
  <si>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</si>
  <si>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</si>
  <si>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</si>
  <si>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</si>
  <si>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11/16/2023</t>
  </si>
  <si>
    <t>MT104-0142</t>
  </si>
  <si>
    <t>Wheaton</t>
  </si>
  <si>
    <t>AMAZONDS,CSNSTORES,JCPENNEY01,KOHLDSN,MACY02F,OVERSTOCK01</t>
  </si>
  <si>
    <t>MT115-1206</t>
  </si>
  <si>
    <t>MT115-1210</t>
  </si>
  <si>
    <t>Woven Cane Queen Platform Bed</t>
  </si>
  <si>
    <t>MT122-0092</t>
  </si>
  <si>
    <t>Sharkey</t>
  </si>
  <si>
    <t>3/11/2020</t>
  </si>
  <si>
    <t>AMAZONDS,CSNSTORES,HOUZZ,KOHLDSN,OLLIIX,OVERSTOCK01,Zulily</t>
  </si>
  <si>
    <t>MT122-0145</t>
  </si>
  <si>
    <t>Tabitha</t>
  </si>
  <si>
    <t>Solid Wood Desk with 1 Drawer and turned legs</t>
  </si>
  <si>
    <t>AMAZONDS,CSNSTORES,HOUZZ,JCPENNEY01,KIRKLANDDS,KOHLDSN,LAMPDS,OLLIIX,OVERSTOCK01,TGTDVS,Zulily</t>
  </si>
  <si>
    <t>MT108-1197</t>
  </si>
  <si>
    <t>Upholstered Dining Chair with Nailhead Trim</t>
  </si>
  <si>
    <t>Beige Stripe</t>
  </si>
  <si>
    <t>AMAZONDS,CSNSTORES,OVERSTOCK01</t>
  </si>
  <si>
    <t>MT108-0063</t>
  </si>
  <si>
    <t>AMAZONDS,BBBDROP,CSNSTORES,KIRKLANDDS,KOHLDSN,MACY02F,OLLIIX,OVERSTOCK01,Zulily</t>
  </si>
  <si>
    <t>MT108-0158</t>
  </si>
  <si>
    <t>Soft Green</t>
  </si>
  <si>
    <t>3/27/2023</t>
  </si>
  <si>
    <t>AMAZONDS,CSNSTORES,KOHLDSN,LAMPDS,OLLIIX,OVERSTOCK01</t>
  </si>
  <si>
    <t>MT108-1186</t>
  </si>
  <si>
    <t>Upholstered Dining Chair with Turned Wood Legs Set of 2</t>
  </si>
  <si>
    <t>CSNSTORES,KIRKLANDDS,KOHLDSN,OLLIIX,OVERSTOCK01,TGTDVS,ZOLA</t>
  </si>
  <si>
    <t>MT108-0093</t>
  </si>
  <si>
    <t>Holls</t>
  </si>
  <si>
    <t>3/24/2020</t>
  </si>
  <si>
    <t>AMAZONDS,BLK01,CSNSTORES,HOUZZ,KOHLDSN,MACY02F,OLLIIX,OVERSTOCK01,ROOMECOM,Zulily</t>
  </si>
  <si>
    <t>MT108-0154</t>
  </si>
  <si>
    <t>Winfield</t>
  </si>
  <si>
    <t>Upholstered Dining chair Set of 2</t>
  </si>
  <si>
    <t>AMAZONDS,CASTLEGATE,CSNSTORES,DESINC,HOUZZ,KIRKLANDDS,KOHLDSN,LAMPDS,OLLIIX,OVERSTOCK01,TGTDVS,Zulily</t>
  </si>
  <si>
    <t>MT108-0079</t>
  </si>
  <si>
    <t>AMAZONDS,BBBDROP,CSNSTORES,DESINC,KOHLDSN,LAMPDS,MACY02F,OLLIIX,OVERSCONSIGN,OVERSTOCK01,Zulily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</si>
  <si>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</si>
  <si>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</si>
  <si>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</si>
  <si>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</si>
  <si>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</si>
  <si>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</si>
  <si>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AMAZONDS,CSNSTORES,KIRKLANDDS,KOHLDSN,OLLIIX,OVERSTOCK01,ZOLA</t>
  </si>
  <si>
    <t>MT121-0112</t>
  </si>
  <si>
    <t>Tristan</t>
  </si>
  <si>
    <t>Rectangular Dining Table (2 pedestal leg)</t>
  </si>
  <si>
    <t>AMAZONDS,CSNSTORES,HOUZZ,KIRKLANDDS,KOHLDSN,LAMPDS,OLLIIX,OVERSTOCK01,ROOMECOM,TGTDVS</t>
  </si>
  <si>
    <t>5/17/2023</t>
  </si>
  <si>
    <t>MT106-1205</t>
  </si>
  <si>
    <t>MT103-0132</t>
  </si>
  <si>
    <t>AMAZONDS,CSNSTORES,HOUZZ,JCPENNEY01,KIRKLANDDS,KOHLDSN,MACY02F,OLLIIX,OVERSTOCK01,TGTDVS</t>
  </si>
  <si>
    <t>MT103-0049</t>
  </si>
  <si>
    <t>PP001258</t>
  </si>
  <si>
    <t>6/14/2019</t>
  </si>
  <si>
    <t>BBBDROP,CSNSTORES,HOUZZ,KOHLDSN,MACY02F,OLLIIX,OVERSCONSIGN,OVERSTOCK01,ZOLA,Zulily</t>
  </si>
  <si>
    <t>MT103-1208</t>
  </si>
  <si>
    <t>Swivel Armchair</t>
  </si>
  <si>
    <t>3/27/2024</t>
  </si>
  <si>
    <t>MT103-0008</t>
  </si>
  <si>
    <t>Skirted Swivel Chair</t>
  </si>
  <si>
    <t>PP001274</t>
  </si>
  <si>
    <t>6/11/2019</t>
  </si>
  <si>
    <t>CASTLEGATE,CSNSTORES,HOUZZ,JCPENNEY01,KIRKLANDDS,KOHLDSN,LAMPDS,MACY02F,OLLIIX,OVERSTOCK01,ROOMECOM,TGTDVS,ZOLA,Zulily</t>
  </si>
  <si>
    <t>MT103-1199</t>
  </si>
  <si>
    <t>AMAZONDS,CSNSTORES,OLLIIX,OVERSTOCK01,TGTDVS</t>
  </si>
  <si>
    <t>MT103-1196</t>
  </si>
  <si>
    <t>AMAZONDS,CSNSTORES,KOHLDSN,OLLIIX,OVERSTOCK01</t>
  </si>
  <si>
    <t>MT103-0170</t>
  </si>
  <si>
    <t>AMAZONDS,CASTLEGATE,CSNSTORES,HOUZZ,JCPENNEY01,KOHLDSN,OLLIIX,OVERSTOCK01,TGTDVS</t>
  </si>
  <si>
    <t>MT103-1198</t>
  </si>
  <si>
    <t>Tan Multi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</si>
  <si>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</si>
  <si>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</si>
  <si>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</si>
  <si>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</si>
  <si>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</si>
  <si>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</si>
  <si>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AMAZONDS,CSNSTORES,KOHLDSN,OLLIIX,OVERSTOCK01,TGTDVS,ZOLA</t>
  </si>
  <si>
    <t>MT136-1207</t>
  </si>
  <si>
    <t>MT136-1209</t>
  </si>
  <si>
    <t>Woven Cane Nightstand</t>
  </si>
  <si>
    <t>MT101-0135</t>
  </si>
  <si>
    <t>Cedric</t>
  </si>
  <si>
    <t>Accent Ottoman</t>
  </si>
  <si>
    <t>AMAZONDS,BBBDROP,CASTLEGATE,CSNSTORES,HOUZZ,JCPENNEY01,KIRKLANDDS,KOHLDSN,MACY02F,OLLIIX,OVERSTOCK01</t>
  </si>
  <si>
    <t>MT101-0134</t>
  </si>
  <si>
    <t>CSNSTORES,KIRKLANDDS,KOHLDSN,MACY02F,OLLIIX,OVERSTOCK01,ROOMECOM,TGTDVS,Zulily</t>
  </si>
  <si>
    <t>MT101-0011</t>
  </si>
  <si>
    <t>PP001277</t>
  </si>
  <si>
    <t>AMAZON,AMAZONDS,CSNSTORES,HOUZZ,KOHLDSN,OLLIIX,OVERSTOCK01,ROOMECOM,ZOLA,Zulily</t>
  </si>
  <si>
    <t>MT101-0013</t>
  </si>
  <si>
    <t>Ellen</t>
  </si>
  <si>
    <t>PP001279</t>
  </si>
  <si>
    <t>6/22/2019</t>
  </si>
  <si>
    <t>AMAZONDS,CASTLEGATE,CSNSTORES,DESINC,HOUZZ,JCPENNEY01,KIRKLANDDS,KOHLDSN,LAMPDS,MACY02F,OLLIIX,OVERSCONSIGN,OVERSTOCK01,ROOMECOM,TGTDVS,ZOLA,Zulily</t>
  </si>
  <si>
    <t>MT101-0014</t>
  </si>
  <si>
    <t>Cocktail Ottoman</t>
  </si>
  <si>
    <t>BBBDROP,BLK01,CASTLEGATE,CSNSTORES,KIRKLANDDS,KOHLDSN,MACY02F,OLLIIX,OVERSTOCK01,ROOMECOM,ZOLA,Zulily</t>
  </si>
  <si>
    <t>MT101-0146</t>
  </si>
  <si>
    <t>Terri</t>
  </si>
  <si>
    <t>Skirted Tufted 32" Round Ottoman</t>
  </si>
  <si>
    <t>AMAZONDS,ASHFURNDS,BLK01,CSNSTORES,HOUZZ,JCPENNEY01,KOHLDSN,OLLIIX,OVERSTOCK01,TGTDVS,Zulily</t>
  </si>
  <si>
    <t>5DS105-0036</t>
  </si>
  <si>
    <t>Flip-top Upholstered Storage Bench</t>
  </si>
  <si>
    <t>AMAZONDS,TGTDVS</t>
  </si>
  <si>
    <t>5DS105-0053</t>
  </si>
  <si>
    <t>Light Grey 2</t>
  </si>
  <si>
    <t>5DS105-0043</t>
  </si>
  <si>
    <t>Light Taupe</t>
  </si>
  <si>
    <t>5DS105-0029</t>
  </si>
  <si>
    <t>AMAZONDS,AMERSIGNDS,CSNSTORES,KIRKLANDDS,KOHLDSN,MACY02F,OVERSTOCK01,TGTDVS,ZOLA</t>
  </si>
  <si>
    <t>5DS105-0013</t>
  </si>
  <si>
    <t>Cheshire Accent Bench</t>
  </si>
  <si>
    <t>ASHFURNDS,CSNSTORES,JCPENNEY01,KOHLDSN,OLLIIX,OVERSTOCK01,TGTDVS,Zulily</t>
  </si>
  <si>
    <t>5DS105-0012</t>
  </si>
  <si>
    <t>Zeus</t>
  </si>
  <si>
    <t>Zeus Accent Bench</t>
  </si>
  <si>
    <t>1/7/2022</t>
  </si>
  <si>
    <t>AMAZONDS,BBBDROP,CSNSTORES,DESINC,JCPENNEY01,KIRKLANDDS,KOHLDSN,LAMPDS,OLLIIX,OVERSTOCK01,TGTDVS</t>
  </si>
  <si>
    <t>5DS105-0051</t>
  </si>
  <si>
    <t>Upholstered Storage Bench</t>
  </si>
  <si>
    <t>5DS105-0052</t>
  </si>
  <si>
    <t>5DS105-0050</t>
  </si>
  <si>
    <t>5DS100-0026</t>
  </si>
  <si>
    <t>Dani</t>
  </si>
  <si>
    <t>Tufted back Accent Chair</t>
  </si>
  <si>
    <t>6/26/2023</t>
  </si>
  <si>
    <t>KIRKLANDDS,KOHLDSN,ZOLA</t>
  </si>
  <si>
    <t>5DS100-0040</t>
  </si>
  <si>
    <t>3/29/2024</t>
  </si>
  <si>
    <t>5DS100-0039</t>
  </si>
  <si>
    <t>Denim Blue</t>
  </si>
  <si>
    <t>3/6/2024</t>
  </si>
  <si>
    <t>CSNSTORES</t>
  </si>
  <si>
    <t>5DS100-0028</t>
  </si>
  <si>
    <t>CSNSTORES,KIRKLANDDS,KOHLDSN,MACY02F,OVERSTOCK01,ZOLA</t>
  </si>
  <si>
    <t>5DS100-0038</t>
  </si>
  <si>
    <t>Grey 2</t>
  </si>
  <si>
    <t>2/24/2024</t>
  </si>
  <si>
    <t>5DS100-0027</t>
  </si>
  <si>
    <t>Navy Blue</t>
  </si>
  <si>
    <t>CSNSTORES,KIRKLANDDS,KOHLDSN,MACY02F,OVERSTOCK01,TGTDVS,ZOLA</t>
  </si>
  <si>
    <t>5DS100-0031</t>
  </si>
  <si>
    <t>Rolled Arm Accent Chair</t>
  </si>
  <si>
    <t>AMERSIGNDS,DESINC,KIRKLANDDS,KOHLDSN,MACY02F,TGTDVS</t>
  </si>
  <si>
    <t>5DS100-0030</t>
  </si>
  <si>
    <t>AMERSIGNDS,CSNSTORES,DESINC,KIRKLANDDS,KOHLDSN,OVERSTOCK01,TGTDVS</t>
  </si>
  <si>
    <t>5DS100-0037</t>
  </si>
  <si>
    <t>Juno</t>
  </si>
  <si>
    <t>5DS100-0023</t>
  </si>
  <si>
    <t>AMERSIGNDS,CSNSTORES,DESINC,KIRKLANDDS,KOHLDSN,MACY02F,OVERSTOCK01,TGTDVS,ZOLA</t>
  </si>
  <si>
    <t>5DS100-0054</t>
  </si>
  <si>
    <t>5DS100-0032</t>
  </si>
  <si>
    <t>AMAZONDS,AMERSIGNDS,KIRKLANDDS,KOHLDSN,MACY02F,TGTDVS,ZOLA</t>
  </si>
  <si>
    <t>5DS100-0033</t>
  </si>
  <si>
    <t>Paula</t>
  </si>
  <si>
    <t>Slipcover Accent Armchair</t>
  </si>
  <si>
    <t>AMERSIGNDS,CSNSTORES,OVERSTOCK01,TGTDVS</t>
  </si>
  <si>
    <t>5DS100-0035</t>
  </si>
  <si>
    <t>CSNSTORES,DESINC,TGTDVS</t>
  </si>
  <si>
    <t>5DS100-0019</t>
  </si>
  <si>
    <t>AMAZONDS,AMERSIGNDS,KIRKLANDDS,KOHLDSN,MACY02F,TGTDVS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</si>
  <si>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</si>
  <si>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</si>
  <si>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</si>
  <si>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</si>
  <si>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</si>
  <si>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</si>
  <si>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 Queen Platform Bed</t>
  </si>
  <si>
    <t>10/6/2021</t>
  </si>
  <si>
    <t>AMAZONDS,CSNSTORES,DESINC,HOUZZ,OLLIIX,OVERSTOCK01</t>
  </si>
  <si>
    <t>5DS115-0003</t>
  </si>
  <si>
    <t>Rowen</t>
  </si>
  <si>
    <t>Rowen Queen Platform Bed</t>
  </si>
  <si>
    <t>9/11/2021</t>
  </si>
  <si>
    <t>CSNSTORES,DESINC,JCPENNEY01,KIRKLANDDS,KOHLDSN,OLLIIX,OVERSTOCK01</t>
  </si>
  <si>
    <t>5DS122-0009</t>
  </si>
  <si>
    <t>Carlyle</t>
  </si>
  <si>
    <t xml:space="preserve">Carlyle  Desk</t>
  </si>
  <si>
    <t>AMAZONDS,CSNSTORES,DESINC,KIRKLANDDS,OLLIIX,OVERSTOCK01,TGTDVS,Zulily</t>
  </si>
  <si>
    <t>5DS122-0010</t>
  </si>
  <si>
    <t>Laurel Desk</t>
  </si>
  <si>
    <t>CSNSTORES,DESINC,KIRKLANDDS,OLLIIX,OVERSTOCK01,TGTDVS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</si>
  <si>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</si>
  <si>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</si>
  <si>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</si>
  <si>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</si>
  <si>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</si>
  <si>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</si>
  <si>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AMERSIGNDS,CSNSTORES,DESINC,KIRKLANDDS,KOHLDSN,MACY02F,OVERSTOCK01,TGTDVS</t>
  </si>
  <si>
    <t>5DS108-0053</t>
  </si>
  <si>
    <t>5DS108-0042</t>
  </si>
  <si>
    <t>5DS108-0034</t>
  </si>
  <si>
    <t>CSNSTORES,OVERSTOCK01</t>
  </si>
  <si>
    <t>5DS120-0011</t>
  </si>
  <si>
    <t>Monarch Coffee Table</t>
  </si>
  <si>
    <t>Dark Coffee/Black</t>
  </si>
  <si>
    <t>ASHFURNDS,CSNSTORES,DESINC,OLLIIX,OVERSTOCK01,TGTDVS</t>
  </si>
  <si>
    <t>HH120-0255</t>
  </si>
  <si>
    <t>Side Table</t>
  </si>
  <si>
    <t>9/6/2018</t>
  </si>
  <si>
    <t>5DS153-0001</t>
  </si>
  <si>
    <t>LGT</t>
  </si>
  <si>
    <t>LGT-TABLE LAMPS</t>
  </si>
  <si>
    <t>Table Task Lamps</t>
  </si>
  <si>
    <t>Clarity</t>
  </si>
  <si>
    <t>Glass Cylinder Table Lamp Set of 2</t>
  </si>
  <si>
    <t>AMERSIGNDS,CSNSTORES,JCPENNEY01,KOHLDSN,MACY02,OLLIIX,OVERSTOCK01,ROOMECOM,TGTDVS</t>
  </si>
  <si>
    <t>5DS153-1157</t>
  </si>
  <si>
    <t>2/6/2021</t>
  </si>
  <si>
    <t>AMAZON,AMERSIGNDS,ASHFURNDS,CSNSTORES,HOUZZ,JCPENNEY01,KIRKLANDDS,KOHLDSN,MACY02,NEBFUR01,OLLIIX,OVERSCONSIGN,OVERSTOCK01,ROOMECOM,TGTDVS</t>
  </si>
  <si>
    <t>5DS153-0031</t>
  </si>
  <si>
    <t>Cortina</t>
  </si>
  <si>
    <t>Ombre Glass Table Lamp, Set of 2</t>
  </si>
  <si>
    <t>11/12/2018</t>
  </si>
  <si>
    <t>AMAZON,AMAZONDS,AMERSIGNDS,CSNSTORES,DESINC,HOUZZ,JCPENNEY01,KIRKLANDDS,KOHLDSN,MACY02,OLLIIX,OVERSTOCK01,ROOMECOM,TGTDVS,Zulily</t>
  </si>
  <si>
    <t>5DS153-1158</t>
  </si>
  <si>
    <t>5DS153-0018</t>
  </si>
  <si>
    <t>Curved Glass Table Lamp, Set of 2</t>
  </si>
  <si>
    <t>9/12/2018</t>
  </si>
  <si>
    <t>AMERSIGNDS,BBBDROP,CSNSTORES,JCPENNEY01,KIRKLANDDS,KOHLDSN,MACY02,OLLIIX,OVERSTOCK01,ROOMECOM,TGTDVS,Zulily</t>
  </si>
  <si>
    <t>7/4/2022</t>
  </si>
  <si>
    <t>5DS153-0019</t>
  </si>
  <si>
    <t>AMERSIGNDS,CSNSTORES,HOUZZ,JCPENNEY01,KIRKLANDDS,KOHLDSN,OLLIIX,OVERSTOCK01,ROOMECOM,TGTDVS</t>
  </si>
  <si>
    <t>5DS153-0020</t>
  </si>
  <si>
    <t>AMERSIGNDS,CASTLEGATE,CSNSTORES,HOUZZ,JCPENNEY01,KOHLDSN,OLLIIX,OVERSTOCK01,ROOMECOM,TGTDVS,Zulily</t>
  </si>
  <si>
    <t>5DS153-0014</t>
  </si>
  <si>
    <t>AMERSIGNDS,BBBDROP,CSNSTORES,DESINC,HOUZZ,JCPENNEY01,KIRKLANDDS,KOHLDSN,MACY02,NRTPORT,OLLIIX,OVERSCONSIGN,OVERSTOCK01,ROOMECOM,TGTDVS,Zulily</t>
  </si>
  <si>
    <t>11/7/2019</t>
  </si>
  <si>
    <t>12/11/2019</t>
  </si>
  <si>
    <t>5DS153-0030</t>
  </si>
  <si>
    <t>Gypsy</t>
  </si>
  <si>
    <t>Embossed Boho Table Lamp</t>
  </si>
  <si>
    <t>12/7/2018</t>
  </si>
  <si>
    <t>AMAZONDS,AMERSIGNDS,CSNSTORES,JCPENNEY01,KIRKLANDDS,KOHLDSN,MACY02,NRTPORT,OLLIIX,OVERSTOCK01,ROOMECOM,TGTDVS,Zulily</t>
  </si>
  <si>
    <t>5DS153-0021</t>
  </si>
  <si>
    <t>Angular Glass Table Lamp, Set of 2</t>
  </si>
  <si>
    <t>10/17/2018</t>
  </si>
  <si>
    <t>AMERSIGNDS,BBBDROP,CSNSTORES,DESINC,JCPENNEY01,KIRKLANDDS,KOHLDSN,MACY02,OLLIIX,OVERSTOCK01,ROOMECOM,TGTDVS,Zulily</t>
  </si>
  <si>
    <t>4/9/2022</t>
  </si>
  <si>
    <t>5DS153-0008</t>
  </si>
  <si>
    <t>Covey</t>
  </si>
  <si>
    <t>AMERSIGNDS,CSNSTORES,HOUZZ,JCPENNEY01,KOHLDSN,MACY02,NRTPORT,OLLIIX,OVERSTOCK01,ROOMECOM,TGTDVS,Zulily</t>
  </si>
  <si>
    <t>MP153-0204</t>
  </si>
  <si>
    <t>Geometric Glass Table Lamp</t>
  </si>
  <si>
    <t>10/3/2019</t>
  </si>
  <si>
    <t>AMAZONDS,AMERSIGNDS,BBBDROP,CSNSTORES,DESINC,HOUZZ,JCPENNEY01,KIRKLANDDS,KOHLDSN,MACY02,NEBFUR01,OLLIIX,OVERSCONSIGN,OVERSTOCK01,ROOMECOM,TGTDVS,Zulily</t>
  </si>
  <si>
    <t>4/5/2022</t>
  </si>
  <si>
    <t>5DS153-0029</t>
  </si>
  <si>
    <t>Driggs</t>
  </si>
  <si>
    <t>Ceramic Textured Table Lamp</t>
  </si>
  <si>
    <t>Ivory/Grey</t>
  </si>
  <si>
    <t>5DS153-0036</t>
  </si>
  <si>
    <t>Nicolo</t>
  </si>
  <si>
    <t>Textured Ceramic Table Lamp</t>
  </si>
  <si>
    <t>12/23/2021</t>
  </si>
  <si>
    <t>AMERSIGNDS,CSNSTORES,DESINC,JCPENNEY01,KOHLDSN,NEBFUR01,OLLIIX,ROOMECOM,TGTDVS</t>
  </si>
  <si>
    <t>9/14/2023</t>
  </si>
  <si>
    <t>5DS153-0037</t>
  </si>
  <si>
    <t>AMERSIGNDS,CSNSTORES,DESINC,HOUZZ,JCPENNEY01,KOHLDSN,MACY02,OLLIIX,ROOMECOM,TGTDVS,Zulily</t>
  </si>
  <si>
    <t>5DS153-0041</t>
  </si>
  <si>
    <t>Bayard</t>
  </si>
  <si>
    <t>Embossed Ceramic Table Lamp</t>
  </si>
  <si>
    <t>AMERSIGNDS,CSNSTORES,JCPENNEY01,KOHLDSN,MACY02,NEBFUR01,NRTPORT,OLLIIX,OVERSTOCK01,ROOMECOM,TGTDVS,Zulily</t>
  </si>
  <si>
    <t>5/6/2024</t>
  </si>
  <si>
    <t>5DS153-0023</t>
  </si>
  <si>
    <t>Ranier</t>
  </si>
  <si>
    <t>Iridescent Glass Table Lamp</t>
  </si>
  <si>
    <t>Iridescent</t>
  </si>
  <si>
    <t>11/8/2018</t>
  </si>
  <si>
    <t>AMAZONDS,AMERSIGNDS,BBBDROP,CSNSTORES,DESINC,HOUZZ,JCPENNEY01,KOHLDSN,MACY02,OLLIIX,OVERSCONSIGN,OVERSTOCK01,ROOMECOM,TGTDVS,Zulily</t>
  </si>
  <si>
    <t>5/6/2022</t>
  </si>
  <si>
    <t>5DS153-0017</t>
  </si>
  <si>
    <t>Saxony</t>
  </si>
  <si>
    <t>Metallic Glass Table Lamp</t>
  </si>
  <si>
    <t>9/26/2018</t>
  </si>
  <si>
    <t>AMERSIGNDS,BBBDROP,CASTLEGATE,CSNSTORES,DESINC,HOUZZ,KIRKLANDDS,KOHLDSN,MACY02,OLLIIX,OVERSTOCK01,ROOMECOM,TGTDVS,Zulily</t>
  </si>
  <si>
    <t>5DS153-0053</t>
  </si>
  <si>
    <t>Chique</t>
  </si>
  <si>
    <t>Accent Table Lamp</t>
  </si>
  <si>
    <t>5DS153-0045</t>
  </si>
  <si>
    <t>Crewe</t>
  </si>
  <si>
    <t>Textured Resin Table Lamp</t>
  </si>
  <si>
    <t>AMAZON,AMAZONDS,CSNSTORES,KOHLDSN,NRTPORT,OLLIIX,OVERSTOCK01,TGTDVS</t>
  </si>
  <si>
    <t>5DS153-0049</t>
  </si>
  <si>
    <t>Liora</t>
  </si>
  <si>
    <t>2-Tone Ceramic Table Lamp Set of 2</t>
  </si>
  <si>
    <t>1/21/2024</t>
  </si>
  <si>
    <t>AMERSIGNDS,CSNSTORES,OLLIIX,OVERSTOCK01</t>
  </si>
  <si>
    <t>5DS153-0047</t>
  </si>
  <si>
    <t>Sage Green/Gold</t>
  </si>
  <si>
    <t>5DS153-0048</t>
  </si>
  <si>
    <t>White/Silver</t>
  </si>
  <si>
    <t>AMERSIGNDS,CSNSTORES,KOHLDSN,OLLIIX</t>
  </si>
  <si>
    <t>5DS153-0039</t>
  </si>
  <si>
    <t>Macey</t>
  </si>
  <si>
    <t>Geometric Ceramic Table Lamp</t>
  </si>
  <si>
    <t>AMERSIGNDS,BBBDROP,CSNSTORES,DESINC,HOUZZ,JCPENNEY01,KOHLDSN,MACY02,OLLIIX,OVERSTOCK01,TGTDVS,Zulily</t>
  </si>
  <si>
    <t>10/24/2023</t>
  </si>
  <si>
    <t>5DS153-0052</t>
  </si>
  <si>
    <t>Neonova</t>
  </si>
  <si>
    <t>Glass Table Lamp</t>
  </si>
  <si>
    <t>5/30/2024</t>
  </si>
  <si>
    <t>5DS153-0051</t>
  </si>
  <si>
    <t>5DS153-0046</t>
  </si>
  <si>
    <t>Zusa</t>
  </si>
  <si>
    <t>Metal 2-Light Globe Table Lamp</t>
  </si>
  <si>
    <t>Gold/White</t>
  </si>
  <si>
    <t>AMAZON,AMAZONDS,CSNSTORES,DESINC,HOUZZ,JCPENNEY01,KOHLDSN,MACY02,OLLIIX,OVERSTOCK01,TGTDVS</t>
  </si>
  <si>
    <t>5DS150-0044</t>
  </si>
  <si>
    <t>LGT-CHANDELIERS</t>
  </si>
  <si>
    <t>Chandeliers</t>
  </si>
  <si>
    <t>Devon</t>
  </si>
  <si>
    <t>6-Light Chandelier with Bowl Shaped Glass Shades</t>
  </si>
  <si>
    <t>CSNSTORES,KIRKLANDDS,KOHLDSN,OLLIIX,Zulily</t>
  </si>
  <si>
    <t>5DS150-0042</t>
  </si>
  <si>
    <t>Ellie</t>
  </si>
  <si>
    <t>6-Light Metal Chandelier</t>
  </si>
  <si>
    <t>3/4/2022</t>
  </si>
  <si>
    <t>CSNSTORES,KIRKLANDDS,KOHLDSN,NEBFUR01,OLLIIX,OVERSTOCK01,TGTDVS</t>
  </si>
  <si>
    <t>MPS153-0079</t>
  </si>
  <si>
    <t>Fulton</t>
  </si>
  <si>
    <t>Concrete Table Lamp</t>
  </si>
  <si>
    <t>Gold/Grey/Black</t>
  </si>
  <si>
    <t>PF003223</t>
  </si>
  <si>
    <t>10/20/2017</t>
  </si>
  <si>
    <t>AMAZONDS,AMERSIGNDS,CSNSTORES,DESINC,HOUZZ,JCPENNEY01,KIRKLANDDS,MACY02,OLLIIX,OVERSTOCK01,ROOMECOM,TGTDVS,Zulily</t>
  </si>
  <si>
    <t>7/26/2022</t>
  </si>
  <si>
    <t>FB153-1155</t>
  </si>
  <si>
    <t>Black/Grey</t>
  </si>
  <si>
    <t>1/27/2021</t>
  </si>
  <si>
    <t>AMERSIGNDS,ASHFURNDS,CSNSTORES,HOUZZ,KOHLDSN,MACY02,OLLIIX,OVERSTOCK01,ROOMECOM,TGTDVS,ZOLA</t>
  </si>
  <si>
    <t>FB153-1158</t>
  </si>
  <si>
    <t>Celine</t>
  </si>
  <si>
    <t>10/18/2021</t>
  </si>
  <si>
    <t>CSNSTORES,JCPENNEY01,KIRKLANDDS,KOHLDSN,MACY02,OLLIIX,OVERSTOCK01,ROOMECOM,TGTDVS,Zulily</t>
  </si>
  <si>
    <t>MP153-0179</t>
  </si>
  <si>
    <t>Macon</t>
  </si>
  <si>
    <t>Glass Cylinder Table Lamp</t>
  </si>
  <si>
    <t>Clear</t>
  </si>
  <si>
    <t>3/13/2018</t>
  </si>
  <si>
    <t>AMERSIGNDS,CSNSTORES,HOUZZ,JCPENNEY01,KOHLDSN,MACY02,OLLIIX,OVERSTOCK01,ROOMECOM,TGTDVS,Zulily</t>
  </si>
  <si>
    <t>MP153-0001</t>
  </si>
  <si>
    <t>Tate</t>
  </si>
  <si>
    <t>Boho Textured Ceramic Table Lamp</t>
  </si>
  <si>
    <t>PF002834</t>
  </si>
  <si>
    <t>AMAZON,AMAZONDS,AMERSIGNDS,CSNSTORES,JCPENNEY01,KOHLDSN,MACY02,OLLIIX,OVERSTOCK01,ROOMECOM,TGTDVS</t>
  </si>
  <si>
    <t>FB153-1175</t>
  </si>
  <si>
    <t>24" H Table Lamp with Marble Base</t>
  </si>
  <si>
    <t>CSNSTORES,HOUZZ,JCPENNEY01,KOHLDSN,MACY02,OLLIIX,OVERSTOCK01,ROOMECOM,TGTDVS,ZOLA</t>
  </si>
  <si>
    <t>FB153-1174</t>
  </si>
  <si>
    <t>Ashbourne</t>
  </si>
  <si>
    <t>Embossed Floral Resin Table Lamp</t>
  </si>
  <si>
    <t>AMAZON,CSNSTORES,HOUZZ,JCPENNEY01,KIRKLANDDS,KOHLDSN,MACY02,OLLIIX,OVERSTOCK01,TGTDVS,Zulily</t>
  </si>
  <si>
    <t>FB153-1167</t>
  </si>
  <si>
    <t>Blythe</t>
  </si>
  <si>
    <t>Resin Table Lamp</t>
  </si>
  <si>
    <t>CSNSTORES,JCPENNEY01,KOHLDSN,MACY02,OLLIIX,OVERSTOCK01,ZOLA</t>
  </si>
  <si>
    <t>MPS153-0025</t>
  </si>
  <si>
    <t>Rectangular Ceramic Table Lamp</t>
  </si>
  <si>
    <t>PF002829</t>
  </si>
  <si>
    <t>AMERSIGNDS,ASHFURNDS,BBBDROP,CSNSTORES,HOUZZ,JCPENNEY01,KOHLDSN,MACY02,OLLIIX,OVERSTOCK01,ROOMECOM,TGTDVS,Zulily</t>
  </si>
  <si>
    <t>FB153-1168</t>
  </si>
  <si>
    <t>Livy</t>
  </si>
  <si>
    <t>Oval Textured Ceramic Table Lamp</t>
  </si>
  <si>
    <t>Silver Base/White Shade</t>
  </si>
  <si>
    <t>FB153-1180</t>
  </si>
  <si>
    <t>Luxuria</t>
  </si>
  <si>
    <t>Textured Glass and Acrylic Base Table Lamp</t>
  </si>
  <si>
    <t>FB153-1178</t>
  </si>
  <si>
    <t>12/28/2023</t>
  </si>
  <si>
    <t>CSNSTORES,DESINC,KOHLDSN,MACY02,OLLIIX,OVERSTOCK01</t>
  </si>
  <si>
    <t>FB153-1189</t>
  </si>
  <si>
    <t>Lysandria</t>
  </si>
  <si>
    <t>FB153-1181</t>
  </si>
  <si>
    <t>Maelle</t>
  </si>
  <si>
    <t>Blue Aqua Swirl Blown Glass Table Lamp</t>
  </si>
  <si>
    <t>CSNSTORES,KOHLDSN,OLLIIX</t>
  </si>
  <si>
    <t>MP153-0144</t>
  </si>
  <si>
    <t>Prague</t>
  </si>
  <si>
    <t>Alabaster Table Lamp</t>
  </si>
  <si>
    <t>PF003238</t>
  </si>
  <si>
    <t>10/26/2017</t>
  </si>
  <si>
    <t>AMERSIGNDS,CASTLEGATE,CSNSTORES,DESINC,HOUZZ,JCPENNEY01,KOHLDSN,OLLIIX,OVERSTOCK01,ROOMECOM,TGTDVS</t>
  </si>
  <si>
    <t>7/18/2022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</si>
  <si>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</si>
  <si>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</si>
  <si>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</si>
  <si>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</si>
  <si>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</si>
  <si>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</si>
  <si>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</si>
  <si>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</si>
  <si>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NRTPORT,OLLIIX</t>
  </si>
  <si>
    <t>FB153-1184</t>
  </si>
  <si>
    <t>Faceted Brown Glass Table Lamp</t>
  </si>
  <si>
    <t>FB153-1183</t>
  </si>
  <si>
    <t>Faceted Green Glass Table Lamp</t>
  </si>
  <si>
    <t>FB151-1171</t>
  </si>
  <si>
    <t>LGT-PENDANTS</t>
  </si>
  <si>
    <t>Pendants</t>
  </si>
  <si>
    <t>Bell Shaped Glass Pendant</t>
  </si>
  <si>
    <t>Dia.9"</t>
  </si>
  <si>
    <t>Gold/Blue</t>
  </si>
  <si>
    <t>AMAZONDS,CSNSTORES,HOUZZ,KOHLDSN,OLLIIX,OVERSTOCK01,ROOMECOM,TGTDVS,Zulily</t>
  </si>
  <si>
    <t>FB151-1179</t>
  </si>
  <si>
    <t>Dia.13"</t>
  </si>
  <si>
    <t>Gold/Clear</t>
  </si>
  <si>
    <t>AMAZON,CSNSTORES,OLLIIX,OVERSTOCK01</t>
  </si>
  <si>
    <t>MP151-0123</t>
  </si>
  <si>
    <t>PF002875</t>
  </si>
  <si>
    <t>AMAZON,AMAZONDS,AMERSIGNDS,BBBDROP,CASTLEGATE,CSNSTORES,DESINC,HOUZZ,KIRKLANDDS,KOHLDSN,LAMPDS,MACY02,NEBFUR01,OLLIIX,OVERSCONSIGN,OVERSTOCK01,ROOMECOM,TGTDVS,ZOLA,Zulily</t>
  </si>
  <si>
    <t>11/10/2019</t>
  </si>
  <si>
    <t>MP151-0199</t>
  </si>
  <si>
    <t>Silver/Clear</t>
  </si>
  <si>
    <t>10/14/2019</t>
  </si>
  <si>
    <t>AMAZONDS,AMERSIGNDS,BBBDROP,CSNSTORES,HOUZZ,KIRKLANDDS,KOHLDSN,LAMPDS,OLLIIX,OVERSCONSIGN,OVERSTOCK01,ROOMECOM,TGTDVS</t>
  </si>
  <si>
    <t>6/14/2022</t>
  </si>
  <si>
    <t>MP151-0198</t>
  </si>
  <si>
    <t>Bronze/Clear</t>
  </si>
  <si>
    <t>AMAZONDS,AMERSIGNDS,CASTLEGATE,CSNSTORES,HOUZZ,KIRKLANDDS,KOHLDSN,LAMPDS,NEBFUR01,OLLIIX,OVERSCONSIGN,OVERSTOCK01,TGTDVS</t>
  </si>
  <si>
    <t>FB151-1188</t>
  </si>
  <si>
    <t>Gold/Amber</t>
  </si>
  <si>
    <t>AMAZON,CSNSTORES</t>
  </si>
  <si>
    <t>FB151-1161</t>
  </si>
  <si>
    <t>Bell-Shaped Glass Pendant</t>
  </si>
  <si>
    <t>Smoke Grey</t>
  </si>
  <si>
    <t>AMAZONDS,CSNSTORES,JCPENNEY01,KOHLDSN,MACY02,NEBFUR01,OLLIIX,OVERSTOCK01,ZOLA</t>
  </si>
  <si>
    <t>FB154-1164</t>
  </si>
  <si>
    <t>LGT-FLOOR LAMPS</t>
  </si>
  <si>
    <t>Floor Lamps</t>
  </si>
  <si>
    <t>Aster</t>
  </si>
  <si>
    <t>Angular Arched Metal Floor Lamp</t>
  </si>
  <si>
    <t>AMERSIGNDS,CSNSTORES,JCPENNEY01,KIRKLANDDS,KOHLDSN,MACY02,OLLIIX,OVERSTOCK01,ROOMECOM,TGTDVS,ZOLA,Zulily</t>
  </si>
  <si>
    <t>FB154-1177</t>
  </si>
  <si>
    <t>AMAZON,AMERSIGNDS,CSNSTORES,KOHLDSN,OLLIIX,OVERSTOCK01,TGTDVS,ZOLA</t>
  </si>
  <si>
    <t>MP154-0200</t>
  </si>
  <si>
    <t>Arched Floor Lamp with Marble Base</t>
  </si>
  <si>
    <t>AMAZONDS,AMERSIGNDS,ASHFURNDS,CSNSTORES,DESINC,HOUZZ,JCPENNEY01,KOHLDSN,MACY02,OLLIIX,OVERSTOCK01,ROOMECOM,TGTDVS,ZOLA,Zulily</t>
  </si>
  <si>
    <t>FB154-1165</t>
  </si>
  <si>
    <t>Bellow</t>
  </si>
  <si>
    <t>Uplight Floor Lamp with Mercury Glass Shade</t>
  </si>
  <si>
    <t>Antique Brass</t>
  </si>
  <si>
    <t>AMERSIGNDS,CSNSTORES,JCPENNEY01,KIRKLANDDS,KOHLDSN,MACY02,OLLIIX,OVERSTOCK01,TGTDVS,ZOLA</t>
  </si>
  <si>
    <t>MPS154-0009</t>
  </si>
  <si>
    <t>Bringham</t>
  </si>
  <si>
    <t>Metal Floor Lamp</t>
  </si>
  <si>
    <t>PF002813</t>
  </si>
  <si>
    <t>AMERSIGNDS,CSNSTORES,KOHLDSN,MACY02,OLLIIX,OVERSTOCK01,ROOMECOM,TGTDVS</t>
  </si>
  <si>
    <t>FB154-1166</t>
  </si>
  <si>
    <t>Ellsworth</t>
  </si>
  <si>
    <t>Asymmetrical Adjustable Height Metal Floor Lamp</t>
  </si>
  <si>
    <t>CSNSTORES,JCPENNEY01,KIRKLANDDS,OLLIIX,OVERSTOCK01,TGTDVS,ZOLA</t>
  </si>
  <si>
    <t>MPS150-0067</t>
  </si>
  <si>
    <t>Presidio</t>
  </si>
  <si>
    <t>5-Light White Drum Shade Chandelier</t>
  </si>
  <si>
    <t>PF003212</t>
  </si>
  <si>
    <t>AMAZON,AMAZONDS,AMERSIGNDS,CASTLEGATE,CSNSTORES,HOUZZ,JCPENNEY01,KOHLDSN,LAMPDS,MACY02,OLLIIX,OVERSCONSIGN,OVERSTOCK01,ROOMECOM,TGTDVS</t>
  </si>
  <si>
    <t>FB150-1153</t>
  </si>
  <si>
    <t>5-Light Black Drum Shade Chandelier</t>
  </si>
  <si>
    <t>Gold/Black</t>
  </si>
  <si>
    <t>AMAZONDS,AMERSIGNDS,ASHFURNDS,CSNSTORES,HOUZZ,JCPENNEY01,KIRKLANDDS,KOHLDSN,LAMPDS,OLLIIX,OVERSCONSIGN,OVERSTOCK01,ROOMECOM,TGTDVS,ZOLA,Zulily</t>
  </si>
  <si>
    <t>MPS150-0107</t>
  </si>
  <si>
    <t>Silver/White</t>
  </si>
  <si>
    <t>10/15/2019</t>
  </si>
  <si>
    <t>AMAZONDS,BBBDROP,CASTLEGATE,CSNSTORES,HOUZZ,JCPENNEY01,KOHLDSN,LAMPDS,OLLIIX,OVERSCONSIGN,OVERSTOCK01,ROOMECOM,TGTDVS,Zulily</t>
  </si>
  <si>
    <t>7/20/2022</t>
  </si>
  <si>
    <t>FB150-1160</t>
  </si>
  <si>
    <t>4-Light Glass Drum Shade Chandelier</t>
  </si>
  <si>
    <t>5/16/2022</t>
  </si>
  <si>
    <t>FB150-1162</t>
  </si>
  <si>
    <t>Antique Brass/Black</t>
  </si>
  <si>
    <t>MP150-0194</t>
  </si>
  <si>
    <t>6-Light Farmhouse Metal Chandelier</t>
  </si>
  <si>
    <t>Matte Black</t>
  </si>
  <si>
    <t>3/26/2019</t>
  </si>
  <si>
    <t>AMAZON,AMAZONDS,BBBDROP,CSNSTORES,HOUZZ,KOHLDSN,LAMPDS,MACY02,NEBFUR01,OLLIIX,OVERSTOCK01,ROOMECOM,TGTDVS</t>
  </si>
  <si>
    <t>4/28/2022</t>
  </si>
  <si>
    <t>FB150-1191</t>
  </si>
  <si>
    <t>Curiana</t>
  </si>
  <si>
    <t>5-light Linear Chandelier with Textured Glass Shades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</si>
  <si>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</si>
  <si>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</si>
  <si>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</si>
  <si>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</si>
  <si>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</si>
  <si>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</si>
  <si>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</si>
  <si>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AMAZONDS,CSNSTORES,KIRKLANDDS,OLLIIX,OVERSTOCK01,TGTDVS,ZOLA</t>
  </si>
  <si>
    <t>FB150-1170</t>
  </si>
  <si>
    <t>Nava</t>
  </si>
  <si>
    <t>3-Light Metal Chandelier with Adjustable Chain</t>
  </si>
  <si>
    <t>CSNSTORES,HOUZZ,KIRKLANDDS,KOHLDSN,MACY02,OLLIIX,OVERSTOCK01,TGTDVS</t>
  </si>
  <si>
    <t>FB150-1190</t>
  </si>
  <si>
    <t>Opulentia</t>
  </si>
  <si>
    <t>9-light Round Tiered Chandelier with Textured Glass Shades</t>
  </si>
  <si>
    <t>FB150-1163</t>
  </si>
  <si>
    <t>Savor</t>
  </si>
  <si>
    <t>6-Light Traditional Candelabra Styled Chandelier</t>
  </si>
  <si>
    <t>AMAZONDS,CSNSTORES,KOHLDSN,MACY02,OLLIIX,OVERSTOCK01,TGTDVS,ZOLA</t>
  </si>
  <si>
    <t>FB155-1173</t>
  </si>
  <si>
    <t>LGT-SCONCES</t>
  </si>
  <si>
    <t>Sconces</t>
  </si>
  <si>
    <t>Metal Wall Sconce with Cylinder Shade, Set of 2</t>
  </si>
  <si>
    <t>11/18/2022</t>
  </si>
  <si>
    <t>AMERSIGNDS,CSNSTORES,HOUZZ,JCPENNEY01,KIRKLANDDS,KOHLDSN,MACY02,OLLIIX,OVERSTOCK01,ROOMECOM,TGTDVS</t>
  </si>
  <si>
    <t>FB155-1176</t>
  </si>
  <si>
    <t>Dove</t>
  </si>
  <si>
    <t>Double Tube 2-Light Wall Sconce</t>
  </si>
  <si>
    <t>Frosted glass/gold</t>
  </si>
  <si>
    <t>8/9/2023</t>
  </si>
  <si>
    <t>AMAZON,AMAZONDS,CSNSTORES,HOUZZ,MACY02,OLLIIX,OVERSTOCK01,ZOLA</t>
  </si>
  <si>
    <t>FB155-1182</t>
  </si>
  <si>
    <t>Luminex</t>
  </si>
  <si>
    <t>White Ceramic Wall Sconce with Adjustable Swing Arm</t>
  </si>
  <si>
    <t>5/11/2024</t>
  </si>
  <si>
    <t>II153-0106</t>
  </si>
  <si>
    <t>Jayda</t>
  </si>
  <si>
    <t>AMERSIGNDS,BBBDROP,CSNSTORES,JCPENNEY01,KOHLDSN,MACY02,OLLIIX,OVERSTOCK01,ROOMECOM,TGTDVS</t>
  </si>
  <si>
    <t>MPS153-0086</t>
  </si>
  <si>
    <t>Holloway</t>
  </si>
  <si>
    <t>Marble Base Table Lamp</t>
  </si>
  <si>
    <t>BBBDROP,CSNSTORES,HOUZZ,JCPENNEY01,KOHLDSN,OLLIIX,OVERSCONSIGN,OVERSTOCK01,ROOMECOM,TGTDVS</t>
  </si>
  <si>
    <t>II153-0023</t>
  </si>
  <si>
    <t>Contour</t>
  </si>
  <si>
    <t>Ceramic Table Lamp</t>
  </si>
  <si>
    <t>PF002798</t>
  </si>
  <si>
    <t>AMAZONDS,AMERSIGNDS,BBBDROP,CSNSTORES,DESINC,HOUZZ,KOHLDSN,NEBFUR01,OLLIIX,OVERSTOCK01,ROOMECOM,TGTDVS,ZOLA</t>
  </si>
  <si>
    <t>5/2/2022</t>
  </si>
  <si>
    <t>II153-0148</t>
  </si>
  <si>
    <t>Dome-Shaped 2-Light Metal Table Lamp</t>
  </si>
  <si>
    <t>AMAZON,AMAZONDS,CSNSTORES,HOUZZ,JCPENNEY01,KOHLDSN,MACY02,OLLIIX,OVERSTOCK01,ROOMECOM,TGTDVS,ZOLA</t>
  </si>
  <si>
    <t>II153-0146</t>
  </si>
  <si>
    <t>Grace Ivy</t>
  </si>
  <si>
    <t>Textured Dot Table Lamp</t>
  </si>
  <si>
    <t>AMAZON,AMAZONDS,CSNSTORES,JCPENNEY01,KOHLDSN,MACY02,OLLIIX,OVERSTOCK01,ROOMECOM,TGTDVS</t>
  </si>
  <si>
    <t>II153-0113</t>
  </si>
  <si>
    <t>Agape</t>
  </si>
  <si>
    <t>Boho Ceramic Table Lamp</t>
  </si>
  <si>
    <t>12/22/2021</t>
  </si>
  <si>
    <t>II153-0144</t>
  </si>
  <si>
    <t>Nelia</t>
  </si>
  <si>
    <t>Frosted Glass Globe Resin Table Lamp</t>
  </si>
  <si>
    <t>AMERSIGNDS,CSNSTORES,DESINC,JCPENNEY01,KIRKLANDDS,KOHLDSN,OLLIIX,OVERSTOCK01,ROOMECOM,TGTDVS,ZOLA</t>
  </si>
  <si>
    <t>II153-0156</t>
  </si>
  <si>
    <t>Alarid</t>
  </si>
  <si>
    <t>16" Ceramic Table Lamp</t>
  </si>
  <si>
    <t>II153-0108</t>
  </si>
  <si>
    <t>Anzio</t>
  </si>
  <si>
    <t>AMERSIGNDS,BBBDROP,CSNSTORES,JCPENNEY01,KOHLDSN,MACY02,OLLIIX,OVERSTOCK01,TGTDVS</t>
  </si>
  <si>
    <t>II153-0159</t>
  </si>
  <si>
    <t>Aquaviva</t>
  </si>
  <si>
    <t xml:space="preserve">Aquaviva </t>
  </si>
  <si>
    <t>Confetti Glass Table Lamp</t>
  </si>
  <si>
    <t>II153-0127</t>
  </si>
  <si>
    <t>Bower</t>
  </si>
  <si>
    <t>2-Light Metal Table Lamp with Chimney Shades</t>
  </si>
  <si>
    <t>AMERSIGNDS,BBBDROP,CSNSTORES,DESINC,HOUZZ,JCPENNEY01,KIRKLANDDS,KOHLDSN,OLLIIX,OVERSTOCK01,TGTDVS,Zulily</t>
  </si>
  <si>
    <t>II153-0147</t>
  </si>
  <si>
    <t>Bromley</t>
  </si>
  <si>
    <t>Two Tone Pull-chain Table Lamp</t>
  </si>
  <si>
    <t>Gold/Brown</t>
  </si>
  <si>
    <t>AMAZON,AMAZONDS,CSNSTORES,DESINC,JCPENNEY01,KOHLDSN,MACY02,OLLIIX,OVERSTOCK01,TGTDVS,ZOLA</t>
  </si>
  <si>
    <t>II153-0006</t>
  </si>
  <si>
    <t>Chrislie</t>
  </si>
  <si>
    <t>Triangular Table Lamp</t>
  </si>
  <si>
    <t>PF002782</t>
  </si>
  <si>
    <t>AMAZONDS,AMERSIGNDS,ASHFURNDS,BBBDROP,CSNSTORES,HOUZZ,JCPENNEY01,KOHLDSN,OLLIIX,OVERSTOCK01,ROOMECOM,TGTDVS,ZOLA,Zulily</t>
  </si>
  <si>
    <t>II153-0154</t>
  </si>
  <si>
    <t>Elixir</t>
  </si>
  <si>
    <t>Gold Hourglass Metal Table Lamp</t>
  </si>
  <si>
    <t>3/30/2024</t>
  </si>
  <si>
    <t>II153-0161</t>
  </si>
  <si>
    <t>Ethra</t>
  </si>
  <si>
    <t>II153-0107</t>
  </si>
  <si>
    <t>Ceramic Table Lamp with Handles</t>
  </si>
  <si>
    <t>AMERSIGNDS,CSNSTORES,JCPENNEY01,KOHLDSN,MACY02,OLLIIX,OVERSTOCK01,TGTDVS</t>
  </si>
  <si>
    <t>II153-0150</t>
  </si>
  <si>
    <t>Flinn</t>
  </si>
  <si>
    <t>23" Resin Table Lamp with Faux Wood Texture</t>
  </si>
  <si>
    <t>II153-0112</t>
  </si>
  <si>
    <t>Kenlyn</t>
  </si>
  <si>
    <t>CSNSTORES,KOHLDSN,OLLIIX,OVERSTOCK01,TGTDVS,Zulily</t>
  </si>
  <si>
    <t>II153-0126</t>
  </si>
  <si>
    <t>Kittery</t>
  </si>
  <si>
    <t>Metal Table Lamp with Glass Drum Shade</t>
  </si>
  <si>
    <t>Black Base/Frosted Shade</t>
  </si>
  <si>
    <t>AMERSIGNDS,CSNSTORES,HOUZZ,JCPENNEY01,KIRKLANDDS,KOHLDSN,MACY02,OLLIIX,OVERSTOCK01,TGTDVS,ZOLA,Zulily</t>
  </si>
  <si>
    <t>II153-0152</t>
  </si>
  <si>
    <t>Laguna</t>
  </si>
  <si>
    <t>Rattan Weave Shade Table Lamp</t>
  </si>
  <si>
    <t>Gold/Natural</t>
  </si>
  <si>
    <t>AMAZON,AMERSIGNDS,KOHLDSN,OLLIIX,OVERSTOCK01,ZOLA</t>
  </si>
  <si>
    <t>5DS153-0050</t>
  </si>
  <si>
    <t>Lumivive</t>
  </si>
  <si>
    <t>17" Mercury Glass Table Lamp</t>
  </si>
  <si>
    <t>AMERSIGNDS,CSNSTORES,OLLIIX,OVERSTOCK01,TGTDVS,ZOLA</t>
  </si>
  <si>
    <t>II153-0160</t>
  </si>
  <si>
    <t>Trilluxe</t>
  </si>
  <si>
    <t>II153-0129</t>
  </si>
  <si>
    <t>Triangular Ceramic and Wood Table Lamp</t>
  </si>
  <si>
    <t>White Base/Cream Shade</t>
  </si>
  <si>
    <t>AMERSIGNDS,BBBDROP,CSNSTORES,DESINC,HOUZZ,JCPENNEY01,KIRKLANDDS,KOHLDSN,MACY02,OLLIIX,OVERSTOCK01,TGTDVS,ZOLA,Zulily</t>
  </si>
  <si>
    <t>II153-0162</t>
  </si>
  <si>
    <t>Veluna</t>
  </si>
  <si>
    <t>Textured Ceramic Table Lamp with Fluted Fabric Shade</t>
  </si>
  <si>
    <t>II153-0007</t>
  </si>
  <si>
    <t>Arched Metal Table Lamp with Glass Globe Bulb</t>
  </si>
  <si>
    <t>PF002783</t>
  </si>
  <si>
    <t>CSNSTORES,JCPENNEY01,KOHLDSN,OLLIIX,OVERSTOCK01,Zulily</t>
  </si>
  <si>
    <t>II153-0155</t>
  </si>
  <si>
    <t>ZenGlossy</t>
  </si>
  <si>
    <t>Asymmetrical Ceramic Table Lamp</t>
  </si>
  <si>
    <t>II150-0008</t>
  </si>
  <si>
    <t>12-Light Chandelier with Oversized Globe Bulbs</t>
  </si>
  <si>
    <t>PF002784</t>
  </si>
  <si>
    <t>II150-0009</t>
  </si>
  <si>
    <t>PF002785</t>
  </si>
  <si>
    <t>CSNSTORES,HOUZZ,KOHLDSN,LAMPDS,MACY02,OLLIIX,OVERSTOCK01,ROOMECOM,TGTDVS,ZOLA</t>
  </si>
  <si>
    <t>3/8/2022</t>
  </si>
  <si>
    <t>10/11/2022</t>
  </si>
  <si>
    <t>II150-0077</t>
  </si>
  <si>
    <t>AMERSIGNDS,CASTLEGATE,CSNSTORES,HOUZZ,KOHLDSN,LAMPDS,MACY02,NEBFUR01,OLLIIX,OVERSTOCK01</t>
  </si>
  <si>
    <t>II150-0130</t>
  </si>
  <si>
    <t>Abbott</t>
  </si>
  <si>
    <t>4-Light Metal Shade Chandelier</t>
  </si>
  <si>
    <t>AMAZONDS,CSNSTORES,DESINC,OLLIIX,OVERSTOCK01</t>
  </si>
  <si>
    <t>II151-0134</t>
  </si>
  <si>
    <t>3-Light Chandelier with Frosted Glass Globe Bulbs</t>
  </si>
  <si>
    <t>3-Light</t>
  </si>
  <si>
    <t>AMAZON,CSNSTORES,KOHLDSN,MACY02,OLLIIX,OVERSTOCK01,TGTDVS</t>
  </si>
  <si>
    <t>II150-0121</t>
  </si>
  <si>
    <t>6-light Ombre Glass Globe Chandelier</t>
  </si>
  <si>
    <t>Antique Brass/Amber</t>
  </si>
  <si>
    <t>AMAZONDS,CSNSTORES,JCPENNEY01,KIRKLANDDS,KOHLDSN,MACY02,NEBFUR01,OLLIIX,OVERSTOCK01,TGTDVS,ZOLA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</si>
  <si>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</si>
  <si>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</si>
  <si>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</si>
  <si>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</si>
  <si>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</si>
  <si>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</si>
  <si>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</si>
  <si>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AMERSIGNDS,CSNSTORES,HOUZZ,KOHLDSN,LAMPDS,OLLIIX,OVERSTOCK01,TGTDVS,ZOLA</t>
  </si>
  <si>
    <t>II150-0011</t>
  </si>
  <si>
    <t>PF002787</t>
  </si>
  <si>
    <t>AMERSIGNDS,CASTLEGATE,CSNSTORES,HOUZZ,KOHLDSN,LAMPDS,OLLIIX,OVERSTOCK01,TGTDVS,ZOLA</t>
  </si>
  <si>
    <t>II150-0140</t>
  </si>
  <si>
    <t>Ely</t>
  </si>
  <si>
    <t>3-Light Spiked Chandelier</t>
  </si>
  <si>
    <t>Matte Black /Gold</t>
  </si>
  <si>
    <t>Glam/Luxury|Industrial</t>
  </si>
  <si>
    <t>AMAZON,CSNSTORES,KOHLDSN,OLLIIX,OVERSTOCK01</t>
  </si>
  <si>
    <t>II150-0118</t>
  </si>
  <si>
    <t>5-Light Metal Chandelier</t>
  </si>
  <si>
    <t>AMAZONDS,CSNSTORES,DESINC,JCPENNEY01,KIRKLANDDS,KOHLDSN,NEBFUR01,OLLIIX,OVERSTOCK01,TGTDVS,ZOLA,Zulily</t>
  </si>
  <si>
    <t>II150-0131</t>
  </si>
  <si>
    <t>Gardham</t>
  </si>
  <si>
    <t>8-Light Sputnik Sphere Chandelier</t>
  </si>
  <si>
    <t>II150-0122</t>
  </si>
  <si>
    <t>6-Light Frosted Glass Globe Linear Chandelier</t>
  </si>
  <si>
    <t>AMAZONDS,AMERSIGNDS,CSNSTORES,JCPENNEY01,KIRKLANDDS,KOHLDSN,OLLIIX,OVERSTOCK01,TGTDVS,ZOLA,Zulily</t>
  </si>
  <si>
    <t>II150-0119</t>
  </si>
  <si>
    <t>AMAZONDS,CSNSTORES,HOUZZ,JCPENNEY01,KIRKLANDDS,KOHLDSN,MACY02,OLLIIX,OVERSTOCK01,TGTDVS,ZOLA</t>
  </si>
  <si>
    <t>II150-0132</t>
  </si>
  <si>
    <t>Renzetti</t>
  </si>
  <si>
    <t>6-Light Contemporary Candelabra Styled Chandelier</t>
  </si>
  <si>
    <t>AMAZON,AMAZONDS,CSNSTORES,KIRKLANDDS,KOHLDSN,OLLIIX,OVERSTOCK01</t>
  </si>
  <si>
    <t>II150-0149</t>
  </si>
  <si>
    <t>Serenitie</t>
  </si>
  <si>
    <t>5-Light Linear Chandelier</t>
  </si>
  <si>
    <t>II154-0091</t>
  </si>
  <si>
    <t>Pacific</t>
  </si>
  <si>
    <t>Metal Tripod Floor Lamp with Glass Shade</t>
  </si>
  <si>
    <t>9/4/2018</t>
  </si>
  <si>
    <t>AMERSIGNDS,BBBDROP,CSNSTORES,HOUZZ,JCPENNEY01,KIRKLANDDS,KOHLDSN,MACY02,OLLIIX,OVERSTOCK01,ROOMECOM,TGTDVS</t>
  </si>
  <si>
    <t>5/25/2022</t>
  </si>
  <si>
    <t>FPF21-0367</t>
  </si>
  <si>
    <t>PF002773</t>
  </si>
  <si>
    <t>AMAZONDS,AMERSIGNDS,BBBDROP,CASTLEGATE,CSNSTORES,JCPENNEY01,KOHLDSN,MACY02,NEBFUR01,OLLIIX,OVERSTOCK01,ROOMECOM,TGTDVS,ZOLA</t>
  </si>
  <si>
    <t>MPS154-0087</t>
  </si>
  <si>
    <t>3-Globe Light Floor Lamp with Marble Base</t>
  </si>
  <si>
    <t>AMAZONDS,AMERSIGNDS,CASTLEGATE,CSNSTORES,HOUZZ,JCPENNEY01,KOHLDSN,NRTPORT,OLLIIX,OVERSTOCK01,ROOMECOM,TGTDVS</t>
  </si>
  <si>
    <t>II154-0123</t>
  </si>
  <si>
    <t>Arched Metal Floor Lamp with Chimney Shade</t>
  </si>
  <si>
    <t>BBBDROP,CSNSTORES,HOUZZ,JCPENNEY01,KIRKLANDDS,KOHLDSN,MACY02,OLLIIX,OVERSTOCK01,TGTDVS,ZOLA,Zulily</t>
  </si>
  <si>
    <t>II154-0157</t>
  </si>
  <si>
    <t>Brillora</t>
  </si>
  <si>
    <t>Floor lamp</t>
  </si>
  <si>
    <t>Gold/Marble</t>
  </si>
  <si>
    <t>II154-0124</t>
  </si>
  <si>
    <t>Bristol</t>
  </si>
  <si>
    <t>Arched Metal Floor Lamp with Frosted Glass Shade</t>
  </si>
  <si>
    <t>Matte Black Base/Frosted Shade</t>
  </si>
  <si>
    <t>II154-0117</t>
  </si>
  <si>
    <t>Keller</t>
  </si>
  <si>
    <t>Adjustable Arched Floor Lamp with Drum Shade</t>
  </si>
  <si>
    <t>Oil Rubbed Bronze/Cream</t>
  </si>
  <si>
    <t>AMERSIGNDS,CSNSTORES,JCPENNEY01,KIRKLANDDS,KOHLDSN,NEBFUR01,OLLIIX,OVERSTOCK01,TGTDVS,ZOLA,Zulily</t>
  </si>
  <si>
    <t>II154-0158</t>
  </si>
  <si>
    <t>Rattan Weave Shade Floor Lamp</t>
  </si>
  <si>
    <t>II151-0136</t>
  </si>
  <si>
    <t>Geometric Bamboo Pendant</t>
  </si>
  <si>
    <t>AMAZON,AMAZONDS,HOUZZ,MACY02,OLLIIX,OVERSTOCK01,ROOMECOM,Zulily</t>
  </si>
  <si>
    <t>II151-0114</t>
  </si>
  <si>
    <t>Farmhouse Metal Pendant</t>
  </si>
  <si>
    <t>II151-0137</t>
  </si>
  <si>
    <t>Bell Shaped Rope Pendant</t>
  </si>
  <si>
    <t>AMAZON,AMAZONDS,CSNSTORES,KOHLDSN,OLLIIX,OVERSTOCK01,TGTDVS,ZOLA</t>
  </si>
  <si>
    <t>II151-0135</t>
  </si>
  <si>
    <t>Bowl Shaped Bamboo Pendant</t>
  </si>
  <si>
    <t>AMAZON,AMAZONDS,CSNSTORES,HOUZZ,JCPENNEY01,KOHLDSN,OLLIIX,OVERSTOCK01,TGTDVS,ZOLA</t>
  </si>
  <si>
    <t>II151-0115</t>
  </si>
  <si>
    <t>Metal Mesh Pendant</t>
  </si>
  <si>
    <t>II151-0066</t>
  </si>
  <si>
    <t>Landon</t>
  </si>
  <si>
    <t>Pendant</t>
  </si>
  <si>
    <t>PF003251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</si>
  <si>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</si>
  <si>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</si>
  <si>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</si>
  <si>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</si>
  <si>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</si>
  <si>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</si>
  <si>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</si>
  <si>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</si>
  <si>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</si>
  <si>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</si>
  <si>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</si>
  <si>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</si>
  <si>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AMAZON,AMAZONDS,CSNSTORES,KOHLDSN,MACY02,OLLIIX,TGTDVS</t>
  </si>
  <si>
    <t>II152-0142</t>
  </si>
  <si>
    <t>LGT-FLUSHMOUNTS</t>
  </si>
  <si>
    <t>Flushmounts</t>
  </si>
  <si>
    <t>Mililani</t>
  </si>
  <si>
    <t>Boho Bamboo Flush Mount Ceiling Light</t>
  </si>
  <si>
    <t>CSNSTORES,HOUZZ,JCPENNEY01,KOHLDSN,MACY02,OLLIIX,OVERSTOCK01,ROOMECOM,TGTDVS,Zulily</t>
  </si>
  <si>
    <t>II155-0145</t>
  </si>
  <si>
    <t>Rattan Weave Shade Wall Sconce</t>
  </si>
  <si>
    <t>AMAZON,CSNSTORES,DESINC,JCPENNEY01,KOHLDSN,OLLIIX,OVERSTOCK01,TGTDVS,ZOLA</t>
  </si>
  <si>
    <t>MPS150-0093</t>
  </si>
  <si>
    <t>Layered Capiz Chandelier</t>
  </si>
  <si>
    <t>12/9/2017</t>
  </si>
  <si>
    <t>AMAZON,AMAZONDS,AMERSIGNDS,BBBDROP,CSNSTORES,HOUZZ,JCPENNEY01,KIRKLANDDS,KOHLDSN,LAMPDS,MACY02,NRTPORT,OLLIIX,OVERSTOCK01,ROOMECOM,TGTDVS,Zulily</t>
  </si>
  <si>
    <t>UH153-0057</t>
  </si>
  <si>
    <t>Borel</t>
  </si>
  <si>
    <t>Ombre Glass Table Lamp</t>
  </si>
  <si>
    <t>UH153-0099</t>
  </si>
  <si>
    <t>AMERSIGNDS,ASHFURNDS,BBBDROP,CSNSTORES,DESINC,HOUZZ,JCPENNEY01,KIRKLANDDS,KOHLDSN,MACY02,OLLIIX,OVERSTOCK01,ROOMECOM,TGTDVS,Zulily</t>
  </si>
  <si>
    <t>UH154-0051</t>
  </si>
  <si>
    <t>Alta</t>
  </si>
  <si>
    <t>3-Light Metal Floor Lamp</t>
  </si>
  <si>
    <t>AMERSIGNDS,CASTLEGATE,CSNSTORES,HOUZZ,JCPENNEY01,KOHLDSN,MACY02,NEBFUR01,OLLIIX,OVERSTOCK01,ROOMECOM,TGTDVS</t>
  </si>
  <si>
    <t>UH154-0041</t>
  </si>
  <si>
    <t>Largo</t>
  </si>
  <si>
    <t>Floor Lamp</t>
  </si>
  <si>
    <t>PF002905</t>
  </si>
  <si>
    <t>MT154-0036</t>
  </si>
  <si>
    <t>Hunts</t>
  </si>
  <si>
    <t>AMAZONDS,BBBDROP,CSNSTORES,DESINC,HOUZZ,JCPENNEY01,KOHLDSN,MACY02,OLLIIX,OVERSTOCK01,ROOMECOM,TGTDVS,ZOLA,Zulily</t>
  </si>
  <si>
    <t>MT154-0050</t>
  </si>
  <si>
    <t>Clyde</t>
  </si>
  <si>
    <t>Metal Tripod Floor Lamp 60"H</t>
  </si>
  <si>
    <t>CSNSTORES,JCPENNEY01,KOHLDSN,MACY02,OLLIIX,OVERSTOCK01,ROOMECOM,TGTDVS</t>
  </si>
  <si>
    <t>MT154-0070</t>
  </si>
  <si>
    <t>Aelorian</t>
  </si>
  <si>
    <t>Floor Lamp 59"H</t>
  </si>
  <si>
    <t>AMAZON,AMAZONDS,CSNSTORES,HOUZZ,JCPENNEY01,KOHLDSN,MACY02,OLLIIX,OVERSTOCK01,TGTDVS,ZOLA</t>
  </si>
  <si>
    <t>MT154-0065</t>
  </si>
  <si>
    <t>Charlton</t>
  </si>
  <si>
    <t>Metal Floor Lamp with Glass Cylinder Shade</t>
  </si>
  <si>
    <t>CSNSTORES,JCPENNEY01,KOHLDSN,OLLIIX,OVERSTOCK01</t>
  </si>
  <si>
    <t>MT154-0071</t>
  </si>
  <si>
    <t>Nassau</t>
  </si>
  <si>
    <t>Metal Bamboo Floor Lamp 60"H</t>
  </si>
  <si>
    <t>Black/Natural</t>
  </si>
  <si>
    <t>MT151-0067</t>
  </si>
  <si>
    <t>Camden</t>
  </si>
  <si>
    <t>4-Light Glass Bowl Shaped Chandelier</t>
  </si>
  <si>
    <t>AMAZONDS,CSNSTORES,JCPENNEY01,KOHLDSN,OLLIIX,OVERSTOCK01,ROOMECOM</t>
  </si>
  <si>
    <t>MT150-0066</t>
  </si>
  <si>
    <t>8-Light Traditional Metal Chandelier</t>
  </si>
  <si>
    <t>Glossy White</t>
  </si>
  <si>
    <t>AMAZONDS,MACY02,OLLIIX,OVERSTOCK01</t>
  </si>
  <si>
    <t>MT150-0080</t>
  </si>
  <si>
    <t>Elegenza</t>
  </si>
  <si>
    <t>6-light Chandelier with Fabric Drum Shades</t>
  </si>
  <si>
    <t>MT150-0079</t>
  </si>
  <si>
    <t>Chrome</t>
  </si>
  <si>
    <t>MT153-0051</t>
  </si>
  <si>
    <t>Ribbed Ceramic Table Lamp</t>
  </si>
  <si>
    <t>10/25/2021</t>
  </si>
  <si>
    <t>AMAZON,AMAZONDS,CSNSTORES,JCPENNEY01,KIRKLANDDS,KOHLDSN,MACY02,OLLIIX,OVERSTOCK01,ROOMECOM,TGTDVS</t>
  </si>
  <si>
    <t>MT153-0069</t>
  </si>
  <si>
    <t>Landsdown</t>
  </si>
  <si>
    <t>Black Faceted Table Lamp 24.25"H</t>
  </si>
  <si>
    <t>AMAZON,AMAZONDS,CSNSTORES,JCPENNEY01,KOHLDSN,MACY02,OLLIIX,OVERSTOCK01,ROOMECOM</t>
  </si>
  <si>
    <t>MT153-0078</t>
  </si>
  <si>
    <t>Table Lamp 28"H</t>
  </si>
  <si>
    <t>MT153-0053</t>
  </si>
  <si>
    <t>Astoria</t>
  </si>
  <si>
    <t>Resin Buffet Table Lamp</t>
  </si>
  <si>
    <t>CSNSTORES,HOUZZ,JCPENNEY01,KIRKLANDDS,KOHLDSN,OLLIIX,OVERSTOCK01,TGTDVS</t>
  </si>
  <si>
    <t>MT153-0049</t>
  </si>
  <si>
    <t>AMAZON,AMAZONDS,CSNSTORES,HOUZZ,JCPENNEY01,KIRKLANDDS,KOHLDSN,MACY02,OLLIIX,OVERSTOCK01,TGTDVS</t>
  </si>
  <si>
    <t>MT153-0068</t>
  </si>
  <si>
    <t>Doyer</t>
  </si>
  <si>
    <t>Metal Table Lamp</t>
  </si>
  <si>
    <t>CSNSTORES,JCPENNEY01,OLLIIX,OVERSTOCK01</t>
  </si>
  <si>
    <t>MT153-0072</t>
  </si>
  <si>
    <t>Hawley</t>
  </si>
  <si>
    <t>Faux Leather Table Lamp</t>
  </si>
  <si>
    <t>11/15/2023</t>
  </si>
  <si>
    <t>AMAZON,AMAZONDS,CSNSTORES,JCPENNEY01,OLLIIX,OVERSTOCK01</t>
  </si>
  <si>
    <t>MT153-0015</t>
  </si>
  <si>
    <t>Jemma</t>
  </si>
  <si>
    <t>MT153-0077</t>
  </si>
  <si>
    <t>Mystique</t>
  </si>
  <si>
    <t>Blue Ceramic Ginger Jar Table Lamp</t>
  </si>
  <si>
    <t>AMAZON,MACY02,OLLIIX,OVERSTOCK01</t>
  </si>
  <si>
    <t>MT153-0073</t>
  </si>
  <si>
    <t>Provencal</t>
  </si>
  <si>
    <t>29"H Resin Table Lamp Set of 2</t>
  </si>
  <si>
    <t>12/9/2023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</si>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</sst>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304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62.6</v>
      </c>
      <c r="M6" s="3">
        <v>65.73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323</v>
      </c>
      <c r="AA6" s="4">
        <f>=ROUNDDOWN(10.7666666666667,0)</f>
      </c>
      <c r="AB6" s="5">
        <v>30</v>
      </c>
      <c r="AC6" s="2" t="s">
        <v>107</v>
      </c>
      <c r="AD6" s="4">
        <v>320</v>
      </c>
      <c r="AE6" s="4">
        <v>720</v>
      </c>
      <c r="AF6" s="6">
        <v>65</v>
      </c>
      <c r="AG6" s="6">
        <v>48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>
        <v>0</v>
      </c>
      <c r="AP6" s="4">
        <v>7</v>
      </c>
      <c r="AQ6" s="8">
        <v>460.11</v>
      </c>
      <c r="AR6" s="4">
        <v>5</v>
      </c>
      <c r="AS6" s="8">
        <v>357.85</v>
      </c>
      <c r="AT6" s="7">
        <v>0.4</v>
      </c>
      <c r="AU6" s="7">
        <v>0.2858</v>
      </c>
      <c r="AV6" s="4">
        <v>15</v>
      </c>
      <c r="AW6" s="8">
        <v>1060.99</v>
      </c>
      <c r="AX6" s="4">
        <v>15</v>
      </c>
      <c r="AY6" s="8">
        <v>1167.33</v>
      </c>
      <c r="AZ6" s="7" t="s">
        <v>100</v>
      </c>
      <c r="BA6" s="7">
        <v>-0.0911</v>
      </c>
      <c r="BB6" s="7">
        <v>0.4337</v>
      </c>
      <c r="BC6" s="4">
        <v>49</v>
      </c>
      <c r="BD6" s="8">
        <v>3433.87</v>
      </c>
      <c r="BE6" s="4">
        <v>100</v>
      </c>
      <c r="BF6" s="8">
        <v>7661.28</v>
      </c>
      <c r="BG6" s="7">
        <v>-0.51</v>
      </c>
      <c r="BH6" s="7">
        <v>-0.5518</v>
      </c>
      <c r="BI6" s="7">
        <v>0.309</v>
      </c>
      <c r="BJ6" s="4">
        <v>653</v>
      </c>
      <c r="BK6" s="8">
        <v>45513.39</v>
      </c>
      <c r="BL6" s="2" t="s">
        <v>108</v>
      </c>
      <c r="BM6" s="7">
        <v>0.0107</v>
      </c>
      <c r="BN6" s="7">
        <v>0.0101</v>
      </c>
      <c r="BO6" s="4">
        <v>7</v>
      </c>
      <c r="BP6" s="8">
        <v>460.11</v>
      </c>
      <c r="BQ6" s="4">
        <v>5</v>
      </c>
      <c r="BR6" s="8">
        <v>357.85</v>
      </c>
      <c r="BS6" s="7">
        <v>0.4</v>
      </c>
      <c r="BT6" s="7">
        <v>0.2858</v>
      </c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71.53</v>
      </c>
      <c r="M7" s="3">
        <v>75.11</v>
      </c>
      <c r="N7" s="3">
        <v>149.99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336</v>
      </c>
      <c r="AA7" s="4">
        <f>=ROUNDDOWN(17.6842105263158,0)</f>
      </c>
      <c r="AB7" s="5">
        <v>19</v>
      </c>
      <c r="AC7" s="2" t="s">
        <v>107</v>
      </c>
      <c r="AD7" s="4">
        <v>280</v>
      </c>
      <c r="AE7" s="4">
        <v>490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>
        <v>0</v>
      </c>
      <c r="AP7" s="4">
        <v>7</v>
      </c>
      <c r="AQ7" s="8">
        <v>525.77</v>
      </c>
      <c r="AR7" s="4">
        <v>7</v>
      </c>
      <c r="AS7" s="8">
        <v>567.47</v>
      </c>
      <c r="AT7" s="7"/>
      <c r="AU7" s="7">
        <v>-0.0735</v>
      </c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0.4955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436</v>
      </c>
      <c r="BK7" s="8">
        <v>35192.23</v>
      </c>
      <c r="BL7" s="2" t="s">
        <v>115</v>
      </c>
      <c r="BM7" s="7">
        <v>0.0161</v>
      </c>
      <c r="BN7" s="7">
        <v>0.0149</v>
      </c>
      <c r="BO7" s="4">
        <v>7</v>
      </c>
      <c r="BP7" s="8">
        <v>525.77</v>
      </c>
      <c r="BQ7" s="4">
        <v>7</v>
      </c>
      <c r="BR7" s="8">
        <v>567.47</v>
      </c>
      <c r="BS7" s="7"/>
      <c r="BT7" s="7">
        <v>-0.0735</v>
      </c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91</v>
      </c>
      <c r="G8" s="2" t="s">
        <v>92</v>
      </c>
      <c r="H8" s="2" t="s">
        <v>93</v>
      </c>
      <c r="I8" s="2" t="s">
        <v>94</v>
      </c>
      <c r="J8" s="2" t="s">
        <v>118</v>
      </c>
      <c r="K8" s="2" t="s">
        <v>96</v>
      </c>
      <c r="L8" s="3">
        <v>71.53</v>
      </c>
      <c r="M8" s="3">
        <v>75.11</v>
      </c>
      <c r="N8" s="3">
        <v>149.99</v>
      </c>
      <c r="O8" s="2" t="s">
        <v>97</v>
      </c>
      <c r="P8" s="2" t="s">
        <v>98</v>
      </c>
      <c r="Q8" s="2" t="s">
        <v>99</v>
      </c>
      <c r="R8" s="2" t="s">
        <v>100</v>
      </c>
      <c r="S8" s="2" t="s">
        <v>101</v>
      </c>
      <c r="T8" s="2" t="s">
        <v>100</v>
      </c>
      <c r="U8" s="2" t="s">
        <v>102</v>
      </c>
      <c r="V8" s="2" t="s">
        <v>103</v>
      </c>
      <c r="W8" s="2" t="s">
        <v>104</v>
      </c>
      <c r="X8" s="2" t="s">
        <v>105</v>
      </c>
      <c r="Y8" s="2" t="s">
        <v>106</v>
      </c>
      <c r="Z8" s="4">
        <v>251</v>
      </c>
      <c r="AA8" s="4">
        <f>=ROUNDDOWN(17.9285714285714,0)</f>
      </c>
      <c r="AB8" s="5">
        <v>14</v>
      </c>
      <c r="AC8" s="2" t="s">
        <v>107</v>
      </c>
      <c r="AD8" s="4">
        <v>120</v>
      </c>
      <c r="AE8" s="4">
        <v>280</v>
      </c>
      <c r="AF8" s="6">
        <v>65</v>
      </c>
      <c r="AG8" s="6">
        <v>48</v>
      </c>
      <c r="AH8" s="7">
        <v>0.9515</v>
      </c>
      <c r="AI8" s="4"/>
      <c r="AJ8" s="4">
        <f>=ROUNDDOWN({0},0)</f>
      </c>
      <c r="AK8" s="5"/>
      <c r="AL8" s="2" t="s">
        <v>100</v>
      </c>
      <c r="AM8" s="4"/>
      <c r="AN8" s="4"/>
      <c r="AO8" s="7">
        <v>0</v>
      </c>
      <c r="AP8" s="4">
        <v>1</v>
      </c>
      <c r="AQ8" s="8">
        <v>75.11</v>
      </c>
      <c r="AR8" s="4">
        <v>3</v>
      </c>
      <c r="AS8" s="8">
        <v>242.01</v>
      </c>
      <c r="AT8" s="7">
        <v>-0.6667</v>
      </c>
      <c r="AU8" s="7">
        <v>-0.6896</v>
      </c>
      <c r="AV8" s="4" t="s">
        <v>100</v>
      </c>
      <c r="AW8" s="8" t="s">
        <v>100</v>
      </c>
      <c r="AX8" s="4" t="s">
        <v>100</v>
      </c>
      <c r="AY8" s="8" t="s">
        <v>100</v>
      </c>
      <c r="AZ8" s="7" t="s">
        <v>100</v>
      </c>
      <c r="BA8" s="7" t="s">
        <v>100</v>
      </c>
      <c r="BB8" s="7">
        <v>0.0708</v>
      </c>
      <c r="BC8" s="4" t="s">
        <v>100</v>
      </c>
      <c r="BD8" s="8" t="s">
        <v>100</v>
      </c>
      <c r="BE8" s="4" t="s">
        <v>100</v>
      </c>
      <c r="BF8" s="8" t="s">
        <v>100</v>
      </c>
      <c r="BG8" s="7" t="s">
        <v>100</v>
      </c>
      <c r="BH8" s="7" t="s">
        <v>100</v>
      </c>
      <c r="BI8" s="7" t="s">
        <v>100</v>
      </c>
      <c r="BJ8" s="4">
        <v>246</v>
      </c>
      <c r="BK8" s="8">
        <v>20211.07</v>
      </c>
      <c r="BL8" s="2" t="s">
        <v>119</v>
      </c>
      <c r="BM8" s="7">
        <v>0.0041</v>
      </c>
      <c r="BN8" s="7">
        <v>0.0037</v>
      </c>
      <c r="BO8" s="4">
        <v>1</v>
      </c>
      <c r="BP8" s="8">
        <v>75.11</v>
      </c>
      <c r="BQ8" s="4">
        <v>3</v>
      </c>
      <c r="BR8" s="8">
        <v>242.01</v>
      </c>
      <c r="BS8" s="7">
        <v>-0.6667</v>
      </c>
      <c r="BT8" s="7">
        <v>-0.6896</v>
      </c>
      <c r="BU8" s="2" t="s">
        <v>109</v>
      </c>
      <c r="BV8" s="2" t="s">
        <v>97</v>
      </c>
      <c r="BW8" s="2" t="s">
        <v>110</v>
      </c>
      <c r="BX8" s="2" t="s">
        <v>120</v>
      </c>
      <c r="BY8" s="2" t="s">
        <v>112</v>
      </c>
      <c r="BZ8" s="2" t="s">
        <v>100</v>
      </c>
    </row>
    <row r="9">
      <c r="A9" s="2" t="s">
        <v>121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91</v>
      </c>
      <c r="G9" s="2" t="s">
        <v>92</v>
      </c>
      <c r="H9" s="2" t="s">
        <v>93</v>
      </c>
      <c r="I9" s="2" t="s">
        <v>94</v>
      </c>
      <c r="J9" s="2" t="s">
        <v>122</v>
      </c>
      <c r="K9" s="2" t="s">
        <v>123</v>
      </c>
      <c r="L9" s="3">
        <v>56.87</v>
      </c>
      <c r="M9" s="3">
        <v>59.71</v>
      </c>
      <c r="N9" s="3">
        <v>119.99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106</v>
      </c>
      <c r="Z9" s="4">
        <v>261</v>
      </c>
      <c r="AA9" s="4">
        <f>=ROUNDDOWN(16.3125,0)</f>
      </c>
      <c r="AB9" s="5">
        <v>16</v>
      </c>
      <c r="AC9" s="2" t="s">
        <v>126</v>
      </c>
      <c r="AD9" s="4">
        <v>150</v>
      </c>
      <c r="AE9" s="4">
        <v>380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>
        <v>0</v>
      </c>
      <c r="AP9" s="4">
        <v>2</v>
      </c>
      <c r="AQ9" s="8">
        <v>119.44</v>
      </c>
      <c r="AR9" s="4">
        <v>4</v>
      </c>
      <c r="AS9" s="8">
        <v>258.74</v>
      </c>
      <c r="AT9" s="7">
        <v>-0.5</v>
      </c>
      <c r="AU9" s="7">
        <v>-0.5384</v>
      </c>
      <c r="AV9" s="4">
        <v>13</v>
      </c>
      <c r="AW9" s="8">
        <v>908.13</v>
      </c>
      <c r="AX9" s="4">
        <v>29</v>
      </c>
      <c r="AY9" s="8">
        <v>2198.03</v>
      </c>
      <c r="AZ9" s="7">
        <v>-0.5517</v>
      </c>
      <c r="BA9" s="7">
        <v>-0.5868</v>
      </c>
      <c r="BB9" s="7">
        <v>0.1315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>
        <v>0.2645</v>
      </c>
      <c r="BJ9" s="4">
        <v>237</v>
      </c>
      <c r="BK9" s="8">
        <v>15341.91</v>
      </c>
      <c r="BL9" s="2" t="s">
        <v>127</v>
      </c>
      <c r="BM9" s="7">
        <v>0.0084</v>
      </c>
      <c r="BN9" s="7">
        <v>0.0078</v>
      </c>
      <c r="BO9" s="4">
        <v>2</v>
      </c>
      <c r="BP9" s="8">
        <v>119.44</v>
      </c>
      <c r="BQ9" s="4">
        <v>4</v>
      </c>
      <c r="BR9" s="8">
        <v>258.74</v>
      </c>
      <c r="BS9" s="7">
        <v>-0.5</v>
      </c>
      <c r="BT9" s="7">
        <v>-0.5384</v>
      </c>
      <c r="BU9" s="2" t="s">
        <v>109</v>
      </c>
      <c r="BV9" s="2" t="s">
        <v>97</v>
      </c>
      <c r="BW9" s="2" t="s">
        <v>110</v>
      </c>
      <c r="BX9" s="2" t="s">
        <v>128</v>
      </c>
      <c r="BY9" s="2" t="s">
        <v>112</v>
      </c>
      <c r="BZ9" s="2" t="s">
        <v>100</v>
      </c>
    </row>
    <row r="10">
      <c r="A10" s="2" t="s">
        <v>129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91</v>
      </c>
      <c r="G10" s="2" t="s">
        <v>92</v>
      </c>
      <c r="H10" s="2" t="s">
        <v>93</v>
      </c>
      <c r="I10" s="2" t="s">
        <v>94</v>
      </c>
      <c r="J10" s="2" t="s">
        <v>95</v>
      </c>
      <c r="K10" s="2" t="s">
        <v>123</v>
      </c>
      <c r="L10" s="3">
        <v>62.6</v>
      </c>
      <c r="M10" s="3">
        <v>65.73</v>
      </c>
      <c r="N10" s="3">
        <v>129.99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102</v>
      </c>
      <c r="V10" s="2" t="s">
        <v>103</v>
      </c>
      <c r="W10" s="2" t="s">
        <v>104</v>
      </c>
      <c r="X10" s="2" t="s">
        <v>105</v>
      </c>
      <c r="Y10" s="2" t="s">
        <v>106</v>
      </c>
      <c r="Z10" s="4">
        <v>1118</v>
      </c>
      <c r="AA10" s="4">
        <f>=ROUNDDOWN(16.6865671641791,0)</f>
      </c>
      <c r="AB10" s="5">
        <v>67</v>
      </c>
      <c r="AC10" s="2" t="s">
        <v>130</v>
      </c>
      <c r="AD10" s="4">
        <v>150</v>
      </c>
      <c r="AE10" s="4">
        <v>1030</v>
      </c>
      <c r="AF10" s="6">
        <v>65</v>
      </c>
      <c r="AG10" s="6">
        <v>48</v>
      </c>
      <c r="AH10" s="7">
        <v>0.9939</v>
      </c>
      <c r="AI10" s="4"/>
      <c r="AJ10" s="4">
        <f>=ROUNDDOWN({0},0)</f>
      </c>
      <c r="AK10" s="5"/>
      <c r="AL10" s="2" t="s">
        <v>100</v>
      </c>
      <c r="AM10" s="4"/>
      <c r="AN10" s="4"/>
      <c r="AO10" s="7">
        <v>0</v>
      </c>
      <c r="AP10" s="4">
        <v>4</v>
      </c>
      <c r="AQ10" s="8">
        <v>262.92</v>
      </c>
      <c r="AR10" s="4">
        <v>8</v>
      </c>
      <c r="AS10" s="8">
        <v>562.34</v>
      </c>
      <c r="AT10" s="7">
        <v>-0.5</v>
      </c>
      <c r="AU10" s="7">
        <v>-0.5325</v>
      </c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>
        <v>0.2895</v>
      </c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1322</v>
      </c>
      <c r="BK10" s="8">
        <v>89841.96</v>
      </c>
      <c r="BL10" s="2" t="s">
        <v>131</v>
      </c>
      <c r="BM10" s="7">
        <v>0.003</v>
      </c>
      <c r="BN10" s="7">
        <v>0.0029</v>
      </c>
      <c r="BO10" s="4">
        <v>4</v>
      </c>
      <c r="BP10" s="8">
        <v>262.92</v>
      </c>
      <c r="BQ10" s="4">
        <v>8</v>
      </c>
      <c r="BR10" s="8">
        <v>562.34</v>
      </c>
      <c r="BS10" s="7">
        <v>-0.5</v>
      </c>
      <c r="BT10" s="7">
        <v>-0.5325</v>
      </c>
      <c r="BU10" s="2" t="s">
        <v>109</v>
      </c>
      <c r="BV10" s="2" t="s">
        <v>97</v>
      </c>
      <c r="BW10" s="2" t="s">
        <v>132</v>
      </c>
      <c r="BX10" s="2" t="s">
        <v>133</v>
      </c>
      <c r="BY10" s="2" t="s">
        <v>112</v>
      </c>
      <c r="BZ10" s="2" t="s">
        <v>100</v>
      </c>
    </row>
    <row r="11">
      <c r="A11" s="2" t="s">
        <v>134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91</v>
      </c>
      <c r="G11" s="2" t="s">
        <v>92</v>
      </c>
      <c r="H11" s="2" t="s">
        <v>93</v>
      </c>
      <c r="I11" s="2" t="s">
        <v>94</v>
      </c>
      <c r="J11" s="2" t="s">
        <v>114</v>
      </c>
      <c r="K11" s="2" t="s">
        <v>123</v>
      </c>
      <c r="L11" s="3">
        <v>71.53</v>
      </c>
      <c r="M11" s="3">
        <v>75.11</v>
      </c>
      <c r="N11" s="3">
        <v>149.99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125</v>
      </c>
      <c r="T11" s="2" t="s">
        <v>100</v>
      </c>
      <c r="U11" s="2" t="s">
        <v>102</v>
      </c>
      <c r="V11" s="2" t="s">
        <v>103</v>
      </c>
      <c r="W11" s="2" t="s">
        <v>104</v>
      </c>
      <c r="X11" s="2" t="s">
        <v>105</v>
      </c>
      <c r="Y11" s="2" t="s">
        <v>106</v>
      </c>
      <c r="Z11" s="4">
        <v>685</v>
      </c>
      <c r="AA11" s="4">
        <f>=ROUNDDOWN(15.2222222222222,0)</f>
      </c>
      <c r="AB11" s="5">
        <v>45</v>
      </c>
      <c r="AC11" s="2" t="s">
        <v>126</v>
      </c>
      <c r="AD11" s="4">
        <v>150</v>
      </c>
      <c r="AE11" s="4">
        <v>650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>
        <v>0</v>
      </c>
      <c r="AP11" s="4">
        <v>4</v>
      </c>
      <c r="AQ11" s="8">
        <v>300.44</v>
      </c>
      <c r="AR11" s="4">
        <v>11</v>
      </c>
      <c r="AS11" s="8">
        <v>892.93</v>
      </c>
      <c r="AT11" s="7">
        <v>-0.6364</v>
      </c>
      <c r="AU11" s="7">
        <v>-0.6635</v>
      </c>
      <c r="AV11" s="4" t="s">
        <v>100</v>
      </c>
      <c r="AW11" s="8" t="s">
        <v>100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>
        <v>0.3308</v>
      </c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 t="s">
        <v>100</v>
      </c>
      <c r="BJ11" s="4">
        <v>1027</v>
      </c>
      <c r="BK11" s="8">
        <v>81826.84</v>
      </c>
      <c r="BL11" s="2" t="s">
        <v>135</v>
      </c>
      <c r="BM11" s="7">
        <v>0.0039</v>
      </c>
      <c r="BN11" s="7">
        <v>0.0037</v>
      </c>
      <c r="BO11" s="4">
        <v>4</v>
      </c>
      <c r="BP11" s="8">
        <v>300.44</v>
      </c>
      <c r="BQ11" s="4">
        <v>11</v>
      </c>
      <c r="BR11" s="8">
        <v>892.93</v>
      </c>
      <c r="BS11" s="7">
        <v>-0.6364</v>
      </c>
      <c r="BT11" s="7">
        <v>-0.6635</v>
      </c>
      <c r="BU11" s="2" t="s">
        <v>109</v>
      </c>
      <c r="BV11" s="2" t="s">
        <v>97</v>
      </c>
      <c r="BW11" s="2" t="s">
        <v>132</v>
      </c>
      <c r="BX11" s="2" t="s">
        <v>136</v>
      </c>
      <c r="BY11" s="2" t="s">
        <v>112</v>
      </c>
      <c r="BZ11" s="2" t="s">
        <v>100</v>
      </c>
    </row>
    <row r="12">
      <c r="A12" s="2" t="s">
        <v>137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91</v>
      </c>
      <c r="G12" s="2" t="s">
        <v>92</v>
      </c>
      <c r="H12" s="2" t="s">
        <v>93</v>
      </c>
      <c r="I12" s="2" t="s">
        <v>94</v>
      </c>
      <c r="J12" s="2" t="s">
        <v>118</v>
      </c>
      <c r="K12" s="2" t="s">
        <v>123</v>
      </c>
      <c r="L12" s="3">
        <v>71.53</v>
      </c>
      <c r="M12" s="3">
        <v>75.11</v>
      </c>
      <c r="N12" s="3">
        <v>149.99</v>
      </c>
      <c r="O12" s="2" t="s">
        <v>97</v>
      </c>
      <c r="P12" s="2" t="s">
        <v>124</v>
      </c>
      <c r="Q12" s="2" t="s">
        <v>99</v>
      </c>
      <c r="R12" s="2" t="s">
        <v>100</v>
      </c>
      <c r="S12" s="2" t="s">
        <v>125</v>
      </c>
      <c r="T12" s="2" t="s">
        <v>100</v>
      </c>
      <c r="U12" s="2" t="s">
        <v>102</v>
      </c>
      <c r="V12" s="2" t="s">
        <v>103</v>
      </c>
      <c r="W12" s="2" t="s">
        <v>104</v>
      </c>
      <c r="X12" s="2" t="s">
        <v>105</v>
      </c>
      <c r="Y12" s="2" t="s">
        <v>106</v>
      </c>
      <c r="Z12" s="4">
        <v>645</v>
      </c>
      <c r="AA12" s="4">
        <f>=ROUNDDOWN(18.9705882352941,0)</f>
      </c>
      <c r="AB12" s="5">
        <v>34</v>
      </c>
      <c r="AC12" s="2" t="s">
        <v>138</v>
      </c>
      <c r="AD12" s="4">
        <v>200</v>
      </c>
      <c r="AE12" s="4">
        <v>570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>
        <v>0</v>
      </c>
      <c r="AP12" s="4">
        <v>3</v>
      </c>
      <c r="AQ12" s="8">
        <v>225.33</v>
      </c>
      <c r="AR12" s="4">
        <v>6</v>
      </c>
      <c r="AS12" s="8">
        <v>484.02</v>
      </c>
      <c r="AT12" s="7">
        <v>-0.5</v>
      </c>
      <c r="AU12" s="7">
        <v>-0.5345</v>
      </c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0.2481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526</v>
      </c>
      <c r="BK12" s="8">
        <v>41850.65</v>
      </c>
      <c r="BL12" s="2" t="s">
        <v>139</v>
      </c>
      <c r="BM12" s="7">
        <v>0.0057</v>
      </c>
      <c r="BN12" s="7">
        <v>0.0054</v>
      </c>
      <c r="BO12" s="4">
        <v>3</v>
      </c>
      <c r="BP12" s="8">
        <v>225.33</v>
      </c>
      <c r="BQ12" s="4">
        <v>6</v>
      </c>
      <c r="BR12" s="8">
        <v>484.02</v>
      </c>
      <c r="BS12" s="7">
        <v>-0.5</v>
      </c>
      <c r="BT12" s="7">
        <v>-0.5345</v>
      </c>
      <c r="BU12" s="2" t="s">
        <v>109</v>
      </c>
      <c r="BV12" s="2" t="s">
        <v>97</v>
      </c>
      <c r="BW12" s="2" t="s">
        <v>132</v>
      </c>
      <c r="BX12" s="2" t="s">
        <v>140</v>
      </c>
      <c r="BY12" s="2" t="s">
        <v>112</v>
      </c>
      <c r="BZ12" s="2" t="s">
        <v>100</v>
      </c>
    </row>
    <row r="13">
      <c r="A13" s="2" t="s">
        <v>141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91</v>
      </c>
      <c r="G13" s="2" t="s">
        <v>92</v>
      </c>
      <c r="H13" s="2" t="s">
        <v>93</v>
      </c>
      <c r="I13" s="2" t="s">
        <v>94</v>
      </c>
      <c r="J13" s="2" t="s">
        <v>122</v>
      </c>
      <c r="K13" s="2" t="s">
        <v>142</v>
      </c>
      <c r="L13" s="3">
        <v>56.87</v>
      </c>
      <c r="M13" s="3">
        <v>59.71</v>
      </c>
      <c r="N13" s="3">
        <v>119.99</v>
      </c>
      <c r="O13" s="2" t="s">
        <v>97</v>
      </c>
      <c r="P13" s="2" t="s">
        <v>143</v>
      </c>
      <c r="Q13" s="2" t="s">
        <v>99</v>
      </c>
      <c r="R13" s="2" t="s">
        <v>100</v>
      </c>
      <c r="S13" s="2" t="s">
        <v>144</v>
      </c>
      <c r="T13" s="2" t="s">
        <v>100</v>
      </c>
      <c r="U13" s="2" t="s">
        <v>102</v>
      </c>
      <c r="V13" s="2" t="s">
        <v>103</v>
      </c>
      <c r="W13" s="2" t="s">
        <v>104</v>
      </c>
      <c r="X13" s="2" t="s">
        <v>105</v>
      </c>
      <c r="Y13" s="2" t="s">
        <v>106</v>
      </c>
      <c r="Z13" s="4">
        <v>313</v>
      </c>
      <c r="AA13" s="4">
        <f>=ROUNDDOWN(24.0769230769231,0)</f>
      </c>
      <c r="AB13" s="5">
        <v>13</v>
      </c>
      <c r="AC13" s="2" t="s">
        <v>145</v>
      </c>
      <c r="AD13" s="4">
        <v>50</v>
      </c>
      <c r="AE13" s="4">
        <v>110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>
        <v>10</v>
      </c>
      <c r="AW13" s="8">
        <v>713.58</v>
      </c>
      <c r="AX13" s="4">
        <v>32</v>
      </c>
      <c r="AY13" s="8">
        <v>2420.28</v>
      </c>
      <c r="AZ13" s="7">
        <v>-0.6875</v>
      </c>
      <c r="BA13" s="7">
        <v>-0.7052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>
        <v>0.2078</v>
      </c>
      <c r="BJ13" s="4">
        <v>216</v>
      </c>
      <c r="BK13" s="8">
        <v>13370.61</v>
      </c>
      <c r="BL13" s="2" t="s">
        <v>146</v>
      </c>
      <c r="BM13" s="7"/>
      <c r="BN13" s="7"/>
      <c r="BO13" s="4"/>
      <c r="BP13" s="8"/>
      <c r="BQ13" s="4"/>
      <c r="BR13" s="8"/>
      <c r="BS13" s="7"/>
      <c r="BT13" s="7"/>
      <c r="BU13" s="2" t="s">
        <v>147</v>
      </c>
      <c r="BV13" s="2" t="s">
        <v>97</v>
      </c>
      <c r="BW13" s="2" t="s">
        <v>100</v>
      </c>
      <c r="BX13" s="2" t="s">
        <v>100</v>
      </c>
      <c r="BY13" s="2" t="s">
        <v>112</v>
      </c>
      <c r="BZ13" s="2" t="s">
        <v>100</v>
      </c>
    </row>
    <row r="14">
      <c r="A14" s="2" t="s">
        <v>148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91</v>
      </c>
      <c r="G14" s="2" t="s">
        <v>92</v>
      </c>
      <c r="H14" s="2" t="s">
        <v>93</v>
      </c>
      <c r="I14" s="2" t="s">
        <v>94</v>
      </c>
      <c r="J14" s="2" t="s">
        <v>95</v>
      </c>
      <c r="K14" s="2" t="s">
        <v>142</v>
      </c>
      <c r="L14" s="3">
        <v>62.6</v>
      </c>
      <c r="M14" s="3">
        <v>65.73</v>
      </c>
      <c r="N14" s="3">
        <v>129.99</v>
      </c>
      <c r="O14" s="2" t="s">
        <v>97</v>
      </c>
      <c r="P14" s="2" t="s">
        <v>143</v>
      </c>
      <c r="Q14" s="2" t="s">
        <v>99</v>
      </c>
      <c r="R14" s="2" t="s">
        <v>100</v>
      </c>
      <c r="S14" s="2" t="s">
        <v>144</v>
      </c>
      <c r="T14" s="2" t="s">
        <v>100</v>
      </c>
      <c r="U14" s="2" t="s">
        <v>102</v>
      </c>
      <c r="V14" s="2" t="s">
        <v>103</v>
      </c>
      <c r="W14" s="2" t="s">
        <v>104</v>
      </c>
      <c r="X14" s="2" t="s">
        <v>105</v>
      </c>
      <c r="Y14" s="2" t="s">
        <v>106</v>
      </c>
      <c r="Z14" s="4">
        <v>839</v>
      </c>
      <c r="AA14" s="4">
        <f>=ROUNDDOWN(21.5128205128205,0)</f>
      </c>
      <c r="AB14" s="5">
        <v>39</v>
      </c>
      <c r="AC14" s="2" t="s">
        <v>145</v>
      </c>
      <c r="AD14" s="4">
        <v>150</v>
      </c>
      <c r="AE14" s="4">
        <v>300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>
        <v>0</v>
      </c>
      <c r="AP14" s="4">
        <v>4</v>
      </c>
      <c r="AQ14" s="8">
        <v>262.92</v>
      </c>
      <c r="AR14" s="4">
        <v>18</v>
      </c>
      <c r="AS14" s="8">
        <v>1285.34</v>
      </c>
      <c r="AT14" s="7">
        <v>-0.7778</v>
      </c>
      <c r="AU14" s="7">
        <v>-0.7954</v>
      </c>
      <c r="AV14" s="4" t="s">
        <v>100</v>
      </c>
      <c r="AW14" s="8" t="s">
        <v>100</v>
      </c>
      <c r="AX14" s="4" t="s">
        <v>100</v>
      </c>
      <c r="AY14" s="8" t="s">
        <v>100</v>
      </c>
      <c r="AZ14" s="7" t="s">
        <v>100</v>
      </c>
      <c r="BA14" s="7" t="s">
        <v>100</v>
      </c>
      <c r="BB14" s="7">
        <v>0.3685</v>
      </c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 t="s">
        <v>100</v>
      </c>
      <c r="BJ14" s="4">
        <v>697</v>
      </c>
      <c r="BK14" s="8">
        <v>47240.49</v>
      </c>
      <c r="BL14" s="2" t="s">
        <v>149</v>
      </c>
      <c r="BM14" s="7">
        <v>0.0057</v>
      </c>
      <c r="BN14" s="7">
        <v>0.0056</v>
      </c>
      <c r="BO14" s="4">
        <v>4</v>
      </c>
      <c r="BP14" s="8">
        <v>262.92</v>
      </c>
      <c r="BQ14" s="4">
        <v>18</v>
      </c>
      <c r="BR14" s="8">
        <v>1285.34</v>
      </c>
      <c r="BS14" s="7">
        <v>-0.7778</v>
      </c>
      <c r="BT14" s="7">
        <v>-0.7954</v>
      </c>
      <c r="BU14" s="2" t="s">
        <v>109</v>
      </c>
      <c r="BV14" s="2" t="s">
        <v>97</v>
      </c>
      <c r="BW14" s="2" t="s">
        <v>132</v>
      </c>
      <c r="BX14" s="2" t="s">
        <v>150</v>
      </c>
      <c r="BY14" s="2" t="s">
        <v>112</v>
      </c>
      <c r="BZ14" s="2" t="s">
        <v>100</v>
      </c>
    </row>
    <row r="15">
      <c r="A15" s="2" t="s">
        <v>151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91</v>
      </c>
      <c r="G15" s="2" t="s">
        <v>92</v>
      </c>
      <c r="H15" s="2" t="s">
        <v>93</v>
      </c>
      <c r="I15" s="2" t="s">
        <v>94</v>
      </c>
      <c r="J15" s="2" t="s">
        <v>114</v>
      </c>
      <c r="K15" s="2" t="s">
        <v>142</v>
      </c>
      <c r="L15" s="3">
        <v>71.53</v>
      </c>
      <c r="M15" s="3">
        <v>75.11</v>
      </c>
      <c r="N15" s="3">
        <v>149.99</v>
      </c>
      <c r="O15" s="2" t="s">
        <v>97</v>
      </c>
      <c r="P15" s="2" t="s">
        <v>143</v>
      </c>
      <c r="Q15" s="2" t="s">
        <v>99</v>
      </c>
      <c r="R15" s="2" t="s">
        <v>100</v>
      </c>
      <c r="S15" s="2" t="s">
        <v>144</v>
      </c>
      <c r="T15" s="2" t="s">
        <v>100</v>
      </c>
      <c r="U15" s="2" t="s">
        <v>102</v>
      </c>
      <c r="V15" s="2" t="s">
        <v>103</v>
      </c>
      <c r="W15" s="2" t="s">
        <v>104</v>
      </c>
      <c r="X15" s="2" t="s">
        <v>105</v>
      </c>
      <c r="Y15" s="2" t="s">
        <v>106</v>
      </c>
      <c r="Z15" s="4">
        <v>561</v>
      </c>
      <c r="AA15" s="4">
        <f>=ROUNDDOWN(20.7777777777778,0)</f>
      </c>
      <c r="AB15" s="5">
        <v>27</v>
      </c>
      <c r="AC15" s="2" t="s">
        <v>145</v>
      </c>
      <c r="AD15" s="4">
        <v>120</v>
      </c>
      <c r="AE15" s="4">
        <v>460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>
        <v>0</v>
      </c>
      <c r="AP15" s="4">
        <v>5</v>
      </c>
      <c r="AQ15" s="8">
        <v>375.55</v>
      </c>
      <c r="AR15" s="4">
        <v>11</v>
      </c>
      <c r="AS15" s="8">
        <v>892.93</v>
      </c>
      <c r="AT15" s="7">
        <v>-0.5455</v>
      </c>
      <c r="AU15" s="7">
        <v>-0.5794</v>
      </c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>
        <v>0.5263</v>
      </c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515</v>
      </c>
      <c r="BK15" s="8">
        <v>41205.67</v>
      </c>
      <c r="BL15" s="2" t="s">
        <v>152</v>
      </c>
      <c r="BM15" s="7">
        <v>0.0097</v>
      </c>
      <c r="BN15" s="7">
        <v>0.0091</v>
      </c>
      <c r="BO15" s="4">
        <v>5</v>
      </c>
      <c r="BP15" s="8">
        <v>375.55</v>
      </c>
      <c r="BQ15" s="4">
        <v>11</v>
      </c>
      <c r="BR15" s="8">
        <v>892.93</v>
      </c>
      <c r="BS15" s="7">
        <v>-0.5455</v>
      </c>
      <c r="BT15" s="7">
        <v>-0.5794</v>
      </c>
      <c r="BU15" s="2" t="s">
        <v>109</v>
      </c>
      <c r="BV15" s="2" t="s">
        <v>97</v>
      </c>
      <c r="BW15" s="2" t="s">
        <v>132</v>
      </c>
      <c r="BX15" s="2" t="s">
        <v>153</v>
      </c>
      <c r="BY15" s="2" t="s">
        <v>112</v>
      </c>
      <c r="BZ15" s="2" t="s">
        <v>100</v>
      </c>
    </row>
    <row r="16">
      <c r="A16" s="2" t="s">
        <v>154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91</v>
      </c>
      <c r="G16" s="2" t="s">
        <v>92</v>
      </c>
      <c r="H16" s="2" t="s">
        <v>93</v>
      </c>
      <c r="I16" s="2" t="s">
        <v>94</v>
      </c>
      <c r="J16" s="2" t="s">
        <v>118</v>
      </c>
      <c r="K16" s="2" t="s">
        <v>142</v>
      </c>
      <c r="L16" s="3">
        <v>71.53</v>
      </c>
      <c r="M16" s="3">
        <v>75.11</v>
      </c>
      <c r="N16" s="3">
        <v>149.99</v>
      </c>
      <c r="O16" s="2" t="s">
        <v>97</v>
      </c>
      <c r="P16" s="2" t="s">
        <v>143</v>
      </c>
      <c r="Q16" s="2" t="s">
        <v>99</v>
      </c>
      <c r="R16" s="2" t="s">
        <v>100</v>
      </c>
      <c r="S16" s="2" t="s">
        <v>144</v>
      </c>
      <c r="T16" s="2" t="s">
        <v>100</v>
      </c>
      <c r="U16" s="2" t="s">
        <v>102</v>
      </c>
      <c r="V16" s="2" t="s">
        <v>103</v>
      </c>
      <c r="W16" s="2" t="s">
        <v>104</v>
      </c>
      <c r="X16" s="2" t="s">
        <v>105</v>
      </c>
      <c r="Y16" s="2" t="s">
        <v>106</v>
      </c>
      <c r="Z16" s="4">
        <v>319</v>
      </c>
      <c r="AA16" s="4">
        <f>=ROUNDDOWN(16.7894736842105,0)</f>
      </c>
      <c r="AB16" s="5">
        <v>19</v>
      </c>
      <c r="AC16" s="2" t="s">
        <v>145</v>
      </c>
      <c r="AD16" s="4">
        <v>40</v>
      </c>
      <c r="AE16" s="4">
        <v>400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>
        <v>0</v>
      </c>
      <c r="AP16" s="4">
        <v>1</v>
      </c>
      <c r="AQ16" s="8">
        <v>75.11</v>
      </c>
      <c r="AR16" s="4">
        <v>3</v>
      </c>
      <c r="AS16" s="8">
        <v>242.01</v>
      </c>
      <c r="AT16" s="7">
        <v>-0.6667</v>
      </c>
      <c r="AU16" s="7">
        <v>-0.6896</v>
      </c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>
        <v>0.1053</v>
      </c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329</v>
      </c>
      <c r="BK16" s="8">
        <v>27377.07</v>
      </c>
      <c r="BL16" s="2" t="s">
        <v>155</v>
      </c>
      <c r="BM16" s="7">
        <v>0.003</v>
      </c>
      <c r="BN16" s="7">
        <v>0.0027</v>
      </c>
      <c r="BO16" s="4">
        <v>1</v>
      </c>
      <c r="BP16" s="8">
        <v>75.11</v>
      </c>
      <c r="BQ16" s="4">
        <v>3</v>
      </c>
      <c r="BR16" s="8">
        <v>242.01</v>
      </c>
      <c r="BS16" s="7">
        <v>-0.6667</v>
      </c>
      <c r="BT16" s="7">
        <v>-0.6896</v>
      </c>
      <c r="BU16" s="2" t="s">
        <v>109</v>
      </c>
      <c r="BV16" s="2" t="s">
        <v>97</v>
      </c>
      <c r="BW16" s="2" t="s">
        <v>132</v>
      </c>
      <c r="BX16" s="2" t="s">
        <v>156</v>
      </c>
      <c r="BY16" s="2" t="s">
        <v>112</v>
      </c>
      <c r="BZ16" s="2" t="s">
        <v>100</v>
      </c>
    </row>
    <row r="17">
      <c r="A17" s="2" t="s">
        <v>157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91</v>
      </c>
      <c r="G17" s="2" t="s">
        <v>92</v>
      </c>
      <c r="H17" s="2" t="s">
        <v>93</v>
      </c>
      <c r="I17" s="2" t="s">
        <v>94</v>
      </c>
      <c r="J17" s="2" t="s">
        <v>95</v>
      </c>
      <c r="K17" s="2" t="s">
        <v>158</v>
      </c>
      <c r="L17" s="3">
        <v>62.6</v>
      </c>
      <c r="M17" s="3">
        <v>65.73</v>
      </c>
      <c r="N17" s="3">
        <v>129.99</v>
      </c>
      <c r="O17" s="2" t="s">
        <v>97</v>
      </c>
      <c r="P17" s="2" t="s">
        <v>98</v>
      </c>
      <c r="Q17" s="2" t="s">
        <v>99</v>
      </c>
      <c r="R17" s="2" t="s">
        <v>100</v>
      </c>
      <c r="S17" s="2" t="s">
        <v>159</v>
      </c>
      <c r="T17" s="2" t="s">
        <v>100</v>
      </c>
      <c r="U17" s="2" t="s">
        <v>102</v>
      </c>
      <c r="V17" s="2" t="s">
        <v>103</v>
      </c>
      <c r="W17" s="2" t="s">
        <v>104</v>
      </c>
      <c r="X17" s="2" t="s">
        <v>105</v>
      </c>
      <c r="Y17" s="2" t="s">
        <v>106</v>
      </c>
      <c r="Z17" s="4">
        <v>716</v>
      </c>
      <c r="AA17" s="4">
        <f>=ROUNDDOWN(21.6969696969697,0)</f>
      </c>
      <c r="AB17" s="5">
        <v>33</v>
      </c>
      <c r="AC17" s="2" t="s">
        <v>145</v>
      </c>
      <c r="AD17" s="4">
        <v>240</v>
      </c>
      <c r="AE17" s="4">
        <v>580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>
        <v>0</v>
      </c>
      <c r="AP17" s="4">
        <v>6</v>
      </c>
      <c r="AQ17" s="8">
        <v>394.38</v>
      </c>
      <c r="AR17" s="4">
        <v>2</v>
      </c>
      <c r="AS17" s="8">
        <v>146.06</v>
      </c>
      <c r="AT17" s="7">
        <v>2</v>
      </c>
      <c r="AU17" s="7">
        <v>1.7001</v>
      </c>
      <c r="AV17" s="4">
        <v>7</v>
      </c>
      <c r="AW17" s="8">
        <v>469.49</v>
      </c>
      <c r="AX17" s="4">
        <v>9</v>
      </c>
      <c r="AY17" s="8">
        <v>713.53</v>
      </c>
      <c r="AZ17" s="7">
        <v>-0.2222</v>
      </c>
      <c r="BA17" s="7">
        <v>-0.342</v>
      </c>
      <c r="BB17" s="7">
        <v>0.84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>
        <v>0.1367</v>
      </c>
      <c r="BJ17" s="4">
        <v>665</v>
      </c>
      <c r="BK17" s="8">
        <v>47199.03</v>
      </c>
      <c r="BL17" s="2" t="s">
        <v>160</v>
      </c>
      <c r="BM17" s="7">
        <v>0.009</v>
      </c>
      <c r="BN17" s="7">
        <v>0.0084</v>
      </c>
      <c r="BO17" s="4">
        <v>6</v>
      </c>
      <c r="BP17" s="8">
        <v>394.38</v>
      </c>
      <c r="BQ17" s="4">
        <v>2</v>
      </c>
      <c r="BR17" s="8">
        <v>146.06</v>
      </c>
      <c r="BS17" s="7">
        <v>2</v>
      </c>
      <c r="BT17" s="7">
        <v>1.7001</v>
      </c>
      <c r="BU17" s="2" t="s">
        <v>109</v>
      </c>
      <c r="BV17" s="2" t="s">
        <v>97</v>
      </c>
      <c r="BW17" s="2" t="s">
        <v>110</v>
      </c>
      <c r="BX17" s="2" t="s">
        <v>128</v>
      </c>
      <c r="BY17" s="2" t="s">
        <v>112</v>
      </c>
      <c r="BZ17" s="2" t="s">
        <v>100</v>
      </c>
    </row>
    <row r="18">
      <c r="A18" s="2" t="s">
        <v>161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91</v>
      </c>
      <c r="G18" s="2" t="s">
        <v>92</v>
      </c>
      <c r="H18" s="2" t="s">
        <v>93</v>
      </c>
      <c r="I18" s="2" t="s">
        <v>94</v>
      </c>
      <c r="J18" s="2" t="s">
        <v>114</v>
      </c>
      <c r="K18" s="2" t="s">
        <v>158</v>
      </c>
      <c r="L18" s="3">
        <v>71.53</v>
      </c>
      <c r="M18" s="3">
        <v>75.11</v>
      </c>
      <c r="N18" s="3">
        <v>149.99</v>
      </c>
      <c r="O18" s="2" t="s">
        <v>97</v>
      </c>
      <c r="P18" s="2" t="s">
        <v>98</v>
      </c>
      <c r="Q18" s="2" t="s">
        <v>99</v>
      </c>
      <c r="R18" s="2" t="s">
        <v>100</v>
      </c>
      <c r="S18" s="2" t="s">
        <v>159</v>
      </c>
      <c r="T18" s="2" t="s">
        <v>100</v>
      </c>
      <c r="U18" s="2" t="s">
        <v>102</v>
      </c>
      <c r="V18" s="2" t="s">
        <v>103</v>
      </c>
      <c r="W18" s="2" t="s">
        <v>104</v>
      </c>
      <c r="X18" s="2" t="s">
        <v>105</v>
      </c>
      <c r="Y18" s="2" t="s">
        <v>162</v>
      </c>
      <c r="Z18" s="4">
        <v>418</v>
      </c>
      <c r="AA18" s="4">
        <f>=ROUNDDOWN(16.0769230769231,0)</f>
      </c>
      <c r="AB18" s="5">
        <v>26</v>
      </c>
      <c r="AC18" s="2" t="s">
        <v>145</v>
      </c>
      <c r="AD18" s="4">
        <v>160</v>
      </c>
      <c r="AE18" s="4">
        <v>440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>
        <v>0</v>
      </c>
      <c r="AP18" s="4">
        <v>1</v>
      </c>
      <c r="AQ18" s="8">
        <v>75.11</v>
      </c>
      <c r="AR18" s="4">
        <v>7</v>
      </c>
      <c r="AS18" s="8">
        <v>567.47</v>
      </c>
      <c r="AT18" s="7">
        <v>-0.8571</v>
      </c>
      <c r="AU18" s="7">
        <v>-0.8676</v>
      </c>
      <c r="AV18" s="4" t="s">
        <v>100</v>
      </c>
      <c r="AW18" s="8" t="s">
        <v>100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>
        <v>0.16</v>
      </c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 t="s">
        <v>100</v>
      </c>
      <c r="BJ18" s="4">
        <v>504</v>
      </c>
      <c r="BK18" s="8">
        <v>41876.17</v>
      </c>
      <c r="BL18" s="2" t="s">
        <v>163</v>
      </c>
      <c r="BM18" s="7">
        <v>0.002</v>
      </c>
      <c r="BN18" s="7">
        <v>0.0018</v>
      </c>
      <c r="BO18" s="4">
        <v>1</v>
      </c>
      <c r="BP18" s="8">
        <v>75.11</v>
      </c>
      <c r="BQ18" s="4">
        <v>7</v>
      </c>
      <c r="BR18" s="8">
        <v>567.47</v>
      </c>
      <c r="BS18" s="7">
        <v>-0.8571</v>
      </c>
      <c r="BT18" s="7">
        <v>-0.8676</v>
      </c>
      <c r="BU18" s="2" t="s">
        <v>109</v>
      </c>
      <c r="BV18" s="2" t="s">
        <v>97</v>
      </c>
      <c r="BW18" s="2" t="s">
        <v>110</v>
      </c>
      <c r="BX18" s="2" t="s">
        <v>164</v>
      </c>
      <c r="BY18" s="2" t="s">
        <v>112</v>
      </c>
      <c r="BZ18" s="2" t="s">
        <v>100</v>
      </c>
    </row>
    <row r="19">
      <c r="A19" s="2" t="s">
        <v>165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91</v>
      </c>
      <c r="G19" s="2" t="s">
        <v>92</v>
      </c>
      <c r="H19" s="2" t="s">
        <v>93</v>
      </c>
      <c r="I19" s="2" t="s">
        <v>94</v>
      </c>
      <c r="J19" s="2" t="s">
        <v>118</v>
      </c>
      <c r="K19" s="2" t="s">
        <v>158</v>
      </c>
      <c r="L19" s="3">
        <v>71.53</v>
      </c>
      <c r="M19" s="3">
        <v>75.11</v>
      </c>
      <c r="N19" s="3">
        <v>149.99</v>
      </c>
      <c r="O19" s="2" t="s">
        <v>97</v>
      </c>
      <c r="P19" s="2" t="s">
        <v>98</v>
      </c>
      <c r="Q19" s="2" t="s">
        <v>99</v>
      </c>
      <c r="R19" s="2" t="s">
        <v>100</v>
      </c>
      <c r="S19" s="2" t="s">
        <v>159</v>
      </c>
      <c r="T19" s="2" t="s">
        <v>100</v>
      </c>
      <c r="U19" s="2" t="s">
        <v>102</v>
      </c>
      <c r="V19" s="2" t="s">
        <v>103</v>
      </c>
      <c r="W19" s="2" t="s">
        <v>104</v>
      </c>
      <c r="X19" s="2" t="s">
        <v>105</v>
      </c>
      <c r="Y19" s="2" t="s">
        <v>106</v>
      </c>
      <c r="Z19" s="4">
        <v>237</v>
      </c>
      <c r="AA19" s="4">
        <f>=ROUNDDOWN(15.8,0)</f>
      </c>
      <c r="AB19" s="5">
        <v>15</v>
      </c>
      <c r="AC19" s="2" t="s">
        <v>145</v>
      </c>
      <c r="AD19" s="4">
        <v>50</v>
      </c>
      <c r="AE19" s="4">
        <v>330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227</v>
      </c>
      <c r="BK19" s="8">
        <v>19223.23</v>
      </c>
      <c r="BL19" s="2" t="s">
        <v>166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100</v>
      </c>
      <c r="BY19" s="2" t="s">
        <v>112</v>
      </c>
      <c r="BZ19" s="2" t="s">
        <v>100</v>
      </c>
    </row>
    <row r="20">
      <c r="A20" s="2" t="s">
        <v>167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91</v>
      </c>
      <c r="G20" s="2" t="s">
        <v>92</v>
      </c>
      <c r="H20" s="2" t="s">
        <v>93</v>
      </c>
      <c r="I20" s="2" t="s">
        <v>94</v>
      </c>
      <c r="J20" s="2" t="s">
        <v>122</v>
      </c>
      <c r="K20" s="2" t="s">
        <v>168</v>
      </c>
      <c r="L20" s="3">
        <v>56.87</v>
      </c>
      <c r="M20" s="3">
        <v>59.71</v>
      </c>
      <c r="N20" s="3">
        <v>119.99</v>
      </c>
      <c r="O20" s="2" t="s">
        <v>97</v>
      </c>
      <c r="P20" s="2" t="s">
        <v>98</v>
      </c>
      <c r="Q20" s="2" t="s">
        <v>99</v>
      </c>
      <c r="R20" s="2" t="s">
        <v>100</v>
      </c>
      <c r="S20" s="2" t="s">
        <v>169</v>
      </c>
      <c r="T20" s="2" t="s">
        <v>100</v>
      </c>
      <c r="U20" s="2" t="s">
        <v>102</v>
      </c>
      <c r="V20" s="2" t="s">
        <v>103</v>
      </c>
      <c r="W20" s="2" t="s">
        <v>104</v>
      </c>
      <c r="X20" s="2" t="s">
        <v>105</v>
      </c>
      <c r="Y20" s="2" t="s">
        <v>106</v>
      </c>
      <c r="Z20" s="4">
        <v>275</v>
      </c>
      <c r="AA20" s="4">
        <f>=ROUNDDOWN(34.375,0)</f>
      </c>
      <c r="AB20" s="5">
        <v>8</v>
      </c>
      <c r="AC20" s="2" t="s">
        <v>145</v>
      </c>
      <c r="AD20" s="4">
        <v>30</v>
      </c>
      <c r="AE20" s="4">
        <v>70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>
        <v>4</v>
      </c>
      <c r="AW20" s="8">
        <v>281.68</v>
      </c>
      <c r="AX20" s="4">
        <v>15</v>
      </c>
      <c r="AY20" s="8">
        <v>1162.11</v>
      </c>
      <c r="AZ20" s="7">
        <v>-0.7333</v>
      </c>
      <c r="BA20" s="7">
        <v>-0.7576</v>
      </c>
      <c r="BB20" s="7"/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>
        <v>0.082</v>
      </c>
      <c r="BJ20" s="4">
        <v>103</v>
      </c>
      <c r="BK20" s="8">
        <v>6252.39</v>
      </c>
      <c r="BL20" s="2" t="s">
        <v>170</v>
      </c>
      <c r="BM20" s="7"/>
      <c r="BN20" s="7"/>
      <c r="BO20" s="4"/>
      <c r="BP20" s="8"/>
      <c r="BQ20" s="4"/>
      <c r="BR20" s="8"/>
      <c r="BS20" s="7"/>
      <c r="BT20" s="7"/>
      <c r="BU20" s="2" t="s">
        <v>147</v>
      </c>
      <c r="BV20" s="2" t="s">
        <v>97</v>
      </c>
      <c r="BW20" s="2" t="s">
        <v>100</v>
      </c>
      <c r="BX20" s="2" t="s">
        <v>100</v>
      </c>
      <c r="BY20" s="2" t="s">
        <v>112</v>
      </c>
      <c r="BZ20" s="2" t="s">
        <v>100</v>
      </c>
    </row>
    <row r="21">
      <c r="A21" s="2" t="s">
        <v>171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91</v>
      </c>
      <c r="G21" s="2" t="s">
        <v>92</v>
      </c>
      <c r="H21" s="2" t="s">
        <v>93</v>
      </c>
      <c r="I21" s="2" t="s">
        <v>94</v>
      </c>
      <c r="J21" s="2" t="s">
        <v>95</v>
      </c>
      <c r="K21" s="2" t="s">
        <v>168</v>
      </c>
      <c r="L21" s="3">
        <v>62.6</v>
      </c>
      <c r="M21" s="3">
        <v>65.73</v>
      </c>
      <c r="N21" s="3">
        <v>129.99</v>
      </c>
      <c r="O21" s="2" t="s">
        <v>97</v>
      </c>
      <c r="P21" s="2" t="s">
        <v>98</v>
      </c>
      <c r="Q21" s="2" t="s">
        <v>99</v>
      </c>
      <c r="R21" s="2" t="s">
        <v>100</v>
      </c>
      <c r="S21" s="2" t="s">
        <v>169</v>
      </c>
      <c r="T21" s="2" t="s">
        <v>100</v>
      </c>
      <c r="U21" s="2" t="s">
        <v>102</v>
      </c>
      <c r="V21" s="2" t="s">
        <v>103</v>
      </c>
      <c r="W21" s="2" t="s">
        <v>104</v>
      </c>
      <c r="X21" s="2" t="s">
        <v>105</v>
      </c>
      <c r="Y21" s="2" t="s">
        <v>106</v>
      </c>
      <c r="Z21" s="4">
        <v>723</v>
      </c>
      <c r="AA21" s="4">
        <f>=ROUNDDOWN(28.92,0)</f>
      </c>
      <c r="AB21" s="5">
        <v>25</v>
      </c>
      <c r="AC21" s="2" t="s">
        <v>145</v>
      </c>
      <c r="AD21" s="4">
        <v>180</v>
      </c>
      <c r="AE21" s="4">
        <v>380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>
        <v>0</v>
      </c>
      <c r="AP21" s="4">
        <v>2</v>
      </c>
      <c r="AQ21" s="8">
        <v>131.46</v>
      </c>
      <c r="AR21" s="4">
        <v>4</v>
      </c>
      <c r="AS21" s="8">
        <v>277.52</v>
      </c>
      <c r="AT21" s="7">
        <v>-0.5</v>
      </c>
      <c r="AU21" s="7">
        <v>-0.5263</v>
      </c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>
        <v>0.4667</v>
      </c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491</v>
      </c>
      <c r="BK21" s="8">
        <v>33631.22</v>
      </c>
      <c r="BL21" s="2" t="s">
        <v>172</v>
      </c>
      <c r="BM21" s="7">
        <v>0.0041</v>
      </c>
      <c r="BN21" s="7">
        <v>0.0039</v>
      </c>
      <c r="BO21" s="4">
        <v>2</v>
      </c>
      <c r="BP21" s="8">
        <v>131.46</v>
      </c>
      <c r="BQ21" s="4">
        <v>4</v>
      </c>
      <c r="BR21" s="8">
        <v>277.52</v>
      </c>
      <c r="BS21" s="7">
        <v>-0.5</v>
      </c>
      <c r="BT21" s="7">
        <v>-0.5263</v>
      </c>
      <c r="BU21" s="2" t="s">
        <v>109</v>
      </c>
      <c r="BV21" s="2" t="s">
        <v>97</v>
      </c>
      <c r="BW21" s="2" t="s">
        <v>132</v>
      </c>
      <c r="BX21" s="2" t="s">
        <v>173</v>
      </c>
      <c r="BY21" s="2" t="s">
        <v>112</v>
      </c>
      <c r="BZ21" s="2" t="s">
        <v>100</v>
      </c>
    </row>
    <row r="22">
      <c r="A22" s="2" t="s">
        <v>174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91</v>
      </c>
      <c r="G22" s="2" t="s">
        <v>92</v>
      </c>
      <c r="H22" s="2" t="s">
        <v>93</v>
      </c>
      <c r="I22" s="2" t="s">
        <v>94</v>
      </c>
      <c r="J22" s="2" t="s">
        <v>114</v>
      </c>
      <c r="K22" s="2" t="s">
        <v>168</v>
      </c>
      <c r="L22" s="3">
        <v>71.53</v>
      </c>
      <c r="M22" s="3">
        <v>75.11</v>
      </c>
      <c r="N22" s="3">
        <v>149.99</v>
      </c>
      <c r="O22" s="2" t="s">
        <v>97</v>
      </c>
      <c r="P22" s="2" t="s">
        <v>98</v>
      </c>
      <c r="Q22" s="2" t="s">
        <v>99</v>
      </c>
      <c r="R22" s="2" t="s">
        <v>100</v>
      </c>
      <c r="S22" s="2" t="s">
        <v>169</v>
      </c>
      <c r="T22" s="2" t="s">
        <v>100</v>
      </c>
      <c r="U22" s="2" t="s">
        <v>102</v>
      </c>
      <c r="V22" s="2" t="s">
        <v>103</v>
      </c>
      <c r="W22" s="2" t="s">
        <v>104</v>
      </c>
      <c r="X22" s="2" t="s">
        <v>105</v>
      </c>
      <c r="Y22" s="2" t="s">
        <v>106</v>
      </c>
      <c r="Z22" s="4">
        <v>420</v>
      </c>
      <c r="AA22" s="4">
        <f>=ROUNDDOWN(19.0909090909091,0)</f>
      </c>
      <c r="AB22" s="5">
        <v>22</v>
      </c>
      <c r="AC22" s="2" t="s">
        <v>145</v>
      </c>
      <c r="AD22" s="4">
        <v>140</v>
      </c>
      <c r="AE22" s="4">
        <v>410</v>
      </c>
      <c r="AF22" s="6">
        <v>65</v>
      </c>
      <c r="AG22" s="6">
        <v>48</v>
      </c>
      <c r="AH22" s="7">
        <v>0.9455</v>
      </c>
      <c r="AI22" s="4"/>
      <c r="AJ22" s="4">
        <f>=ROUNDDOWN({0},0)</f>
      </c>
      <c r="AK22" s="5"/>
      <c r="AL22" s="2" t="s">
        <v>100</v>
      </c>
      <c r="AM22" s="4"/>
      <c r="AN22" s="4"/>
      <c r="AO22" s="7">
        <v>0</v>
      </c>
      <c r="AP22" s="4">
        <v>2</v>
      </c>
      <c r="AQ22" s="8">
        <v>150.22</v>
      </c>
      <c r="AR22" s="4">
        <v>8</v>
      </c>
      <c r="AS22" s="8">
        <v>642.58</v>
      </c>
      <c r="AT22" s="7">
        <v>-0.75</v>
      </c>
      <c r="AU22" s="7">
        <v>-0.7662</v>
      </c>
      <c r="AV22" s="4" t="s">
        <v>100</v>
      </c>
      <c r="AW22" s="8" t="s">
        <v>100</v>
      </c>
      <c r="AX22" s="4" t="s">
        <v>100</v>
      </c>
      <c r="AY22" s="8" t="s">
        <v>100</v>
      </c>
      <c r="AZ22" s="7" t="s">
        <v>100</v>
      </c>
      <c r="BA22" s="7" t="s">
        <v>100</v>
      </c>
      <c r="BB22" s="7">
        <v>0.5333</v>
      </c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395</v>
      </c>
      <c r="BK22" s="8">
        <v>31794.78</v>
      </c>
      <c r="BL22" s="2" t="s">
        <v>175</v>
      </c>
      <c r="BM22" s="7">
        <v>0.0051</v>
      </c>
      <c r="BN22" s="7">
        <v>0.0047</v>
      </c>
      <c r="BO22" s="4">
        <v>2</v>
      </c>
      <c r="BP22" s="8">
        <v>150.22</v>
      </c>
      <c r="BQ22" s="4">
        <v>8</v>
      </c>
      <c r="BR22" s="8">
        <v>642.58</v>
      </c>
      <c r="BS22" s="7">
        <v>-0.75</v>
      </c>
      <c r="BT22" s="7">
        <v>-0.7662</v>
      </c>
      <c r="BU22" s="2" t="s">
        <v>109</v>
      </c>
      <c r="BV22" s="2" t="s">
        <v>97</v>
      </c>
      <c r="BW22" s="2" t="s">
        <v>132</v>
      </c>
      <c r="BX22" s="2" t="s">
        <v>176</v>
      </c>
      <c r="BY22" s="2" t="s">
        <v>112</v>
      </c>
      <c r="BZ22" s="2" t="s">
        <v>100</v>
      </c>
    </row>
    <row r="23">
      <c r="A23" s="2" t="s">
        <v>177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91</v>
      </c>
      <c r="G23" s="2" t="s">
        <v>92</v>
      </c>
      <c r="H23" s="2" t="s">
        <v>93</v>
      </c>
      <c r="I23" s="2" t="s">
        <v>94</v>
      </c>
      <c r="J23" s="2" t="s">
        <v>118</v>
      </c>
      <c r="K23" s="2" t="s">
        <v>168</v>
      </c>
      <c r="L23" s="3">
        <v>71.53</v>
      </c>
      <c r="M23" s="3">
        <v>75.11</v>
      </c>
      <c r="N23" s="3">
        <v>149.99</v>
      </c>
      <c r="O23" s="2" t="s">
        <v>97</v>
      </c>
      <c r="P23" s="2" t="s">
        <v>98</v>
      </c>
      <c r="Q23" s="2" t="s">
        <v>99</v>
      </c>
      <c r="R23" s="2" t="s">
        <v>100</v>
      </c>
      <c r="S23" s="2" t="s">
        <v>169</v>
      </c>
      <c r="T23" s="2" t="s">
        <v>100</v>
      </c>
      <c r="U23" s="2" t="s">
        <v>102</v>
      </c>
      <c r="V23" s="2" t="s">
        <v>103</v>
      </c>
      <c r="W23" s="2" t="s">
        <v>104</v>
      </c>
      <c r="X23" s="2" t="s">
        <v>105</v>
      </c>
      <c r="Y23" s="2" t="s">
        <v>106</v>
      </c>
      <c r="Z23" s="4">
        <v>177</v>
      </c>
      <c r="AA23" s="4">
        <f>=ROUNDDOWN(14.75,0)</f>
      </c>
      <c r="AB23" s="5">
        <v>12</v>
      </c>
      <c r="AC23" s="2" t="s">
        <v>145</v>
      </c>
      <c r="AD23" s="4">
        <v>50</v>
      </c>
      <c r="AE23" s="4">
        <v>340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>
        <v>0</v>
      </c>
      <c r="AP23" s="4"/>
      <c r="AQ23" s="8"/>
      <c r="AR23" s="4">
        <v>3</v>
      </c>
      <c r="AS23" s="8">
        <v>242.01</v>
      </c>
      <c r="AT23" s="7">
        <v>-1</v>
      </c>
      <c r="AU23" s="7">
        <v>-1</v>
      </c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184</v>
      </c>
      <c r="BK23" s="8">
        <v>15014.88</v>
      </c>
      <c r="BL23" s="2" t="s">
        <v>178</v>
      </c>
      <c r="BM23" s="7"/>
      <c r="BN23" s="7"/>
      <c r="BO23" s="4"/>
      <c r="BP23" s="8"/>
      <c r="BQ23" s="4">
        <v>3</v>
      </c>
      <c r="BR23" s="8">
        <v>242.01</v>
      </c>
      <c r="BS23" s="7">
        <v>-1</v>
      </c>
      <c r="BT23" s="7">
        <v>-1</v>
      </c>
      <c r="BU23" s="2" t="s">
        <v>109</v>
      </c>
      <c r="BV23" s="2" t="s">
        <v>97</v>
      </c>
      <c r="BW23" s="2" t="s">
        <v>132</v>
      </c>
      <c r="BX23" s="2" t="s">
        <v>179</v>
      </c>
      <c r="BY23" s="2" t="s">
        <v>112</v>
      </c>
      <c r="BZ23" s="2" t="s">
        <v>100</v>
      </c>
    </row>
    <row r="24">
      <c r="A24" s="2" t="s">
        <v>180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91</v>
      </c>
      <c r="G24" s="2" t="s">
        <v>92</v>
      </c>
      <c r="H24" s="2" t="s">
        <v>93</v>
      </c>
      <c r="I24" s="2" t="s">
        <v>94</v>
      </c>
      <c r="J24" s="2" t="s">
        <v>95</v>
      </c>
      <c r="K24" s="2" t="s">
        <v>181</v>
      </c>
      <c r="L24" s="3">
        <v>62.6</v>
      </c>
      <c r="M24" s="3">
        <v>65.73</v>
      </c>
      <c r="N24" s="3">
        <v>129.99</v>
      </c>
      <c r="O24" s="2" t="s">
        <v>97</v>
      </c>
      <c r="P24" s="2" t="s">
        <v>182</v>
      </c>
      <c r="Q24" s="2" t="s">
        <v>99</v>
      </c>
      <c r="R24" s="2" t="s">
        <v>100</v>
      </c>
      <c r="S24" s="2" t="s">
        <v>183</v>
      </c>
      <c r="T24" s="2" t="s">
        <v>184</v>
      </c>
      <c r="U24" s="2" t="s">
        <v>102</v>
      </c>
      <c r="V24" s="2" t="s">
        <v>103</v>
      </c>
      <c r="W24" s="2" t="s">
        <v>104</v>
      </c>
      <c r="X24" s="2" t="s">
        <v>185</v>
      </c>
      <c r="Y24" s="2" t="s">
        <v>186</v>
      </c>
      <c r="Z24" s="4">
        <v>657</v>
      </c>
      <c r="AA24" s="4">
        <f>=ROUNDDOWN(22.6551724137931,0)</f>
      </c>
      <c r="AB24" s="5">
        <v>29</v>
      </c>
      <c r="AC24" s="2" t="s">
        <v>130</v>
      </c>
      <c r="AD24" s="4">
        <v>60</v>
      </c>
      <c r="AE24" s="4">
        <v>440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562</v>
      </c>
      <c r="BK24" s="8">
        <v>40242.22</v>
      </c>
      <c r="BL24" s="2" t="s">
        <v>187</v>
      </c>
      <c r="BM24" s="7"/>
      <c r="BN24" s="7"/>
      <c r="BO24" s="4"/>
      <c r="BP24" s="8"/>
      <c r="BQ24" s="4"/>
      <c r="BR24" s="8"/>
      <c r="BS24" s="7"/>
      <c r="BT24" s="7"/>
      <c r="BU24" s="2" t="s">
        <v>147</v>
      </c>
      <c r="BV24" s="2" t="s">
        <v>97</v>
      </c>
      <c r="BW24" s="2" t="s">
        <v>100</v>
      </c>
      <c r="BX24" s="2" t="s">
        <v>100</v>
      </c>
      <c r="BY24" s="2" t="s">
        <v>112</v>
      </c>
      <c r="BZ24" s="2" t="s">
        <v>100</v>
      </c>
    </row>
    <row r="25">
      <c r="A25" s="2" t="s">
        <v>188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91</v>
      </c>
      <c r="G25" s="2" t="s">
        <v>92</v>
      </c>
      <c r="H25" s="2" t="s">
        <v>93</v>
      </c>
      <c r="I25" s="2" t="s">
        <v>94</v>
      </c>
      <c r="J25" s="2" t="s">
        <v>114</v>
      </c>
      <c r="K25" s="2" t="s">
        <v>181</v>
      </c>
      <c r="L25" s="3">
        <v>71.53</v>
      </c>
      <c r="M25" s="3">
        <v>75.11</v>
      </c>
      <c r="N25" s="3">
        <v>149.99</v>
      </c>
      <c r="O25" s="2" t="s">
        <v>97</v>
      </c>
      <c r="P25" s="2" t="s">
        <v>182</v>
      </c>
      <c r="Q25" s="2" t="s">
        <v>99</v>
      </c>
      <c r="R25" s="2" t="s">
        <v>100</v>
      </c>
      <c r="S25" s="2" t="s">
        <v>183</v>
      </c>
      <c r="T25" s="2" t="s">
        <v>184</v>
      </c>
      <c r="U25" s="2" t="s">
        <v>102</v>
      </c>
      <c r="V25" s="2" t="s">
        <v>103</v>
      </c>
      <c r="W25" s="2" t="s">
        <v>104</v>
      </c>
      <c r="X25" s="2" t="s">
        <v>185</v>
      </c>
      <c r="Y25" s="2" t="s">
        <v>186</v>
      </c>
      <c r="Z25" s="4">
        <v>598</v>
      </c>
      <c r="AA25" s="4">
        <f>=ROUNDDOWN(33.2222222222222,0)</f>
      </c>
      <c r="AB25" s="5">
        <v>18</v>
      </c>
      <c r="AC25" s="2" t="s">
        <v>126</v>
      </c>
      <c r="AD25" s="4">
        <v>60</v>
      </c>
      <c r="AE25" s="4">
        <v>180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332</v>
      </c>
      <c r="BK25" s="8">
        <v>26160.83</v>
      </c>
      <c r="BL25" s="2" t="s">
        <v>189</v>
      </c>
      <c r="BM25" s="7"/>
      <c r="BN25" s="7"/>
      <c r="BO25" s="4"/>
      <c r="BP25" s="8"/>
      <c r="BQ25" s="4"/>
      <c r="BR25" s="8"/>
      <c r="BS25" s="7"/>
      <c r="BT25" s="7"/>
      <c r="BU25" s="2" t="s">
        <v>147</v>
      </c>
      <c r="BV25" s="2" t="s">
        <v>97</v>
      </c>
      <c r="BW25" s="2" t="s">
        <v>100</v>
      </c>
      <c r="BX25" s="2" t="s">
        <v>100</v>
      </c>
      <c r="BY25" s="2" t="s">
        <v>112</v>
      </c>
      <c r="BZ25" s="2" t="s">
        <v>100</v>
      </c>
    </row>
    <row r="26">
      <c r="A26" s="2" t="s">
        <v>190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91</v>
      </c>
      <c r="G26" s="2" t="s">
        <v>92</v>
      </c>
      <c r="H26" s="2" t="s">
        <v>93</v>
      </c>
      <c r="I26" s="2" t="s">
        <v>94</v>
      </c>
      <c r="J26" s="2" t="s">
        <v>118</v>
      </c>
      <c r="K26" s="2" t="s">
        <v>181</v>
      </c>
      <c r="L26" s="3">
        <v>71.53</v>
      </c>
      <c r="M26" s="3">
        <v>75.11</v>
      </c>
      <c r="N26" s="3">
        <v>149.99</v>
      </c>
      <c r="O26" s="2" t="s">
        <v>97</v>
      </c>
      <c r="P26" s="2" t="s">
        <v>182</v>
      </c>
      <c r="Q26" s="2" t="s">
        <v>99</v>
      </c>
      <c r="R26" s="2" t="s">
        <v>100</v>
      </c>
      <c r="S26" s="2" t="s">
        <v>183</v>
      </c>
      <c r="T26" s="2" t="s">
        <v>184</v>
      </c>
      <c r="U26" s="2" t="s">
        <v>102</v>
      </c>
      <c r="V26" s="2" t="s">
        <v>103</v>
      </c>
      <c r="W26" s="2" t="s">
        <v>104</v>
      </c>
      <c r="X26" s="2" t="s">
        <v>185</v>
      </c>
      <c r="Y26" s="2" t="s">
        <v>186</v>
      </c>
      <c r="Z26" s="4">
        <v>336</v>
      </c>
      <c r="AA26" s="4">
        <f>=ROUNDDOWN(30.5454545454545,0)</f>
      </c>
      <c r="AB26" s="5">
        <v>11</v>
      </c>
      <c r="AC26" s="2" t="s">
        <v>130</v>
      </c>
      <c r="AD26" s="4">
        <v>30</v>
      </c>
      <c r="AE26" s="4">
        <v>130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156</v>
      </c>
      <c r="BK26" s="8">
        <v>12807.57</v>
      </c>
      <c r="BL26" s="2" t="s">
        <v>191</v>
      </c>
      <c r="BM26" s="7"/>
      <c r="BN26" s="7"/>
      <c r="BO26" s="4"/>
      <c r="BP26" s="8"/>
      <c r="BQ26" s="4"/>
      <c r="BR26" s="8"/>
      <c r="BS26" s="7"/>
      <c r="BT26" s="7"/>
      <c r="BU26" s="2" t="s">
        <v>147</v>
      </c>
      <c r="BV26" s="2" t="s">
        <v>97</v>
      </c>
      <c r="BW26" s="2" t="s">
        <v>100</v>
      </c>
      <c r="BX26" s="2" t="s">
        <v>100</v>
      </c>
      <c r="BY26" s="2" t="s">
        <v>112</v>
      </c>
      <c r="BZ26" s="2" t="s">
        <v>100</v>
      </c>
    </row>
    <row r="27">
      <c r="A27" s="2" t="s">
        <v>192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193</v>
      </c>
      <c r="G27" s="2" t="s">
        <v>194</v>
      </c>
      <c r="H27" s="2" t="s">
        <v>195</v>
      </c>
      <c r="I27" s="2" t="s">
        <v>196</v>
      </c>
      <c r="J27" s="2" t="s">
        <v>95</v>
      </c>
      <c r="K27" s="2" t="s">
        <v>197</v>
      </c>
      <c r="L27" s="3">
        <v>61.96</v>
      </c>
      <c r="M27" s="3">
        <v>65.06</v>
      </c>
      <c r="N27" s="3">
        <v>124.99</v>
      </c>
      <c r="O27" s="2" t="s">
        <v>97</v>
      </c>
      <c r="P27" s="2" t="s">
        <v>198</v>
      </c>
      <c r="Q27" s="2" t="s">
        <v>99</v>
      </c>
      <c r="R27" s="2" t="s">
        <v>100</v>
      </c>
      <c r="S27" s="2" t="s">
        <v>199</v>
      </c>
      <c r="T27" s="2" t="s">
        <v>100</v>
      </c>
      <c r="U27" s="2" t="s">
        <v>102</v>
      </c>
      <c r="V27" s="2" t="s">
        <v>200</v>
      </c>
      <c r="W27" s="2" t="s">
        <v>104</v>
      </c>
      <c r="X27" s="2" t="s">
        <v>201</v>
      </c>
      <c r="Y27" s="2" t="s">
        <v>106</v>
      </c>
      <c r="Z27" s="4">
        <v>186</v>
      </c>
      <c r="AA27" s="4">
        <f>=ROUNDDOWN(14.3076923076923,0)</f>
      </c>
      <c r="AB27" s="5">
        <v>13</v>
      </c>
      <c r="AC27" s="2" t="s">
        <v>100</v>
      </c>
      <c r="AD27" s="4"/>
      <c r="AE27" s="4"/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>
        <v>0</v>
      </c>
      <c r="AP27" s="4">
        <v>2</v>
      </c>
      <c r="AQ27" s="8">
        <v>130.12</v>
      </c>
      <c r="AR27" s="4">
        <v>7</v>
      </c>
      <c r="AS27" s="8">
        <v>498.8</v>
      </c>
      <c r="AT27" s="7">
        <v>-0.7143</v>
      </c>
      <c r="AU27" s="7">
        <v>-0.7391</v>
      </c>
      <c r="AV27" s="4">
        <v>10</v>
      </c>
      <c r="AW27" s="8">
        <v>727.72</v>
      </c>
      <c r="AX27" s="4">
        <v>24</v>
      </c>
      <c r="AY27" s="8">
        <v>1893.2</v>
      </c>
      <c r="AZ27" s="7">
        <v>-0.5833</v>
      </c>
      <c r="BA27" s="7">
        <v>-0.6156</v>
      </c>
      <c r="BB27" s="7">
        <v>0.1788</v>
      </c>
      <c r="BC27" s="4">
        <v>37</v>
      </c>
      <c r="BD27" s="8">
        <v>2592.92</v>
      </c>
      <c r="BE27" s="4">
        <v>81</v>
      </c>
      <c r="BF27" s="8">
        <v>6179.55</v>
      </c>
      <c r="BG27" s="7">
        <v>-0.5432</v>
      </c>
      <c r="BH27" s="7">
        <v>-0.5804</v>
      </c>
      <c r="BI27" s="7">
        <v>0.2807</v>
      </c>
      <c r="BJ27" s="4">
        <v>359</v>
      </c>
      <c r="BK27" s="8">
        <v>21123.43</v>
      </c>
      <c r="BL27" s="2" t="s">
        <v>202</v>
      </c>
      <c r="BM27" s="7">
        <v>0.0056</v>
      </c>
      <c r="BN27" s="7">
        <v>0.0062</v>
      </c>
      <c r="BO27" s="4">
        <v>2</v>
      </c>
      <c r="BP27" s="8">
        <v>130.12</v>
      </c>
      <c r="BQ27" s="4">
        <v>7</v>
      </c>
      <c r="BR27" s="8">
        <v>498.8</v>
      </c>
      <c r="BS27" s="7">
        <v>-0.7143</v>
      </c>
      <c r="BT27" s="7">
        <v>-0.7391</v>
      </c>
      <c r="BU27" s="2" t="s">
        <v>109</v>
      </c>
      <c r="BV27" s="2" t="s">
        <v>97</v>
      </c>
      <c r="BW27" s="2" t="s">
        <v>132</v>
      </c>
      <c r="BX27" s="2" t="s">
        <v>203</v>
      </c>
      <c r="BY27" s="2" t="s">
        <v>112</v>
      </c>
      <c r="BZ27" s="2" t="s">
        <v>100</v>
      </c>
    </row>
    <row r="28">
      <c r="A28" s="2" t="s">
        <v>204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193</v>
      </c>
      <c r="G28" s="2" t="s">
        <v>194</v>
      </c>
      <c r="H28" s="2" t="s">
        <v>195</v>
      </c>
      <c r="I28" s="2" t="s">
        <v>196</v>
      </c>
      <c r="J28" s="2" t="s">
        <v>114</v>
      </c>
      <c r="K28" s="2" t="s">
        <v>197</v>
      </c>
      <c r="L28" s="3">
        <v>71.14</v>
      </c>
      <c r="M28" s="3">
        <v>74.7</v>
      </c>
      <c r="N28" s="3">
        <v>144.99</v>
      </c>
      <c r="O28" s="2" t="s">
        <v>97</v>
      </c>
      <c r="P28" s="2" t="s">
        <v>198</v>
      </c>
      <c r="Q28" s="2" t="s">
        <v>99</v>
      </c>
      <c r="R28" s="2" t="s">
        <v>100</v>
      </c>
      <c r="S28" s="2" t="s">
        <v>199</v>
      </c>
      <c r="T28" s="2" t="s">
        <v>100</v>
      </c>
      <c r="U28" s="2" t="s">
        <v>102</v>
      </c>
      <c r="V28" s="2" t="s">
        <v>200</v>
      </c>
      <c r="W28" s="2" t="s">
        <v>104</v>
      </c>
      <c r="X28" s="2" t="s">
        <v>201</v>
      </c>
      <c r="Y28" s="2" t="s">
        <v>106</v>
      </c>
      <c r="Z28" s="4">
        <v>79</v>
      </c>
      <c r="AA28" s="4">
        <f>=ROUNDDOWN(4.9375,0)</f>
      </c>
      <c r="AB28" s="5">
        <v>16</v>
      </c>
      <c r="AC28" s="2" t="s">
        <v>100</v>
      </c>
      <c r="AD28" s="4"/>
      <c r="AE28" s="4"/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>
        <v>0</v>
      </c>
      <c r="AP28" s="4">
        <v>5</v>
      </c>
      <c r="AQ28" s="8">
        <v>373.5</v>
      </c>
      <c r="AR28" s="4">
        <v>13</v>
      </c>
      <c r="AS28" s="8">
        <v>1070.7</v>
      </c>
      <c r="AT28" s="7">
        <v>-0.6154</v>
      </c>
      <c r="AU28" s="7">
        <v>-0.6512</v>
      </c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>
        <v>0.5132</v>
      </c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273</v>
      </c>
      <c r="BK28" s="8">
        <v>20247.97</v>
      </c>
      <c r="BL28" s="2" t="s">
        <v>205</v>
      </c>
      <c r="BM28" s="7">
        <v>0.0183</v>
      </c>
      <c r="BN28" s="7">
        <v>0.0184</v>
      </c>
      <c r="BO28" s="4">
        <v>5</v>
      </c>
      <c r="BP28" s="8">
        <v>373.5</v>
      </c>
      <c r="BQ28" s="4">
        <v>13</v>
      </c>
      <c r="BR28" s="8">
        <v>1070.7</v>
      </c>
      <c r="BS28" s="7">
        <v>-0.6154</v>
      </c>
      <c r="BT28" s="7">
        <v>-0.6512</v>
      </c>
      <c r="BU28" s="2" t="s">
        <v>109</v>
      </c>
      <c r="BV28" s="2" t="s">
        <v>97</v>
      </c>
      <c r="BW28" s="2" t="s">
        <v>132</v>
      </c>
      <c r="BX28" s="2" t="s">
        <v>206</v>
      </c>
      <c r="BY28" s="2" t="s">
        <v>112</v>
      </c>
      <c r="BZ28" s="2" t="s">
        <v>100</v>
      </c>
    </row>
    <row r="29">
      <c r="A29" s="2" t="s">
        <v>207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193</v>
      </c>
      <c r="G29" s="2" t="s">
        <v>194</v>
      </c>
      <c r="H29" s="2" t="s">
        <v>195</v>
      </c>
      <c r="I29" s="2" t="s">
        <v>196</v>
      </c>
      <c r="J29" s="2" t="s">
        <v>118</v>
      </c>
      <c r="K29" s="2" t="s">
        <v>197</v>
      </c>
      <c r="L29" s="3">
        <v>71.14</v>
      </c>
      <c r="M29" s="3">
        <v>74.7</v>
      </c>
      <c r="N29" s="3">
        <v>144.99</v>
      </c>
      <c r="O29" s="2" t="s">
        <v>97</v>
      </c>
      <c r="P29" s="2" t="s">
        <v>198</v>
      </c>
      <c r="Q29" s="2" t="s">
        <v>99</v>
      </c>
      <c r="R29" s="2" t="s">
        <v>100</v>
      </c>
      <c r="S29" s="2" t="s">
        <v>199</v>
      </c>
      <c r="T29" s="2" t="s">
        <v>100</v>
      </c>
      <c r="U29" s="2" t="s">
        <v>102</v>
      </c>
      <c r="V29" s="2" t="s">
        <v>200</v>
      </c>
      <c r="W29" s="2" t="s">
        <v>104</v>
      </c>
      <c r="X29" s="2" t="s">
        <v>201</v>
      </c>
      <c r="Y29" s="2" t="s">
        <v>106</v>
      </c>
      <c r="Z29" s="4">
        <v>208</v>
      </c>
      <c r="AA29" s="4">
        <f>=ROUNDDOWN(34.6666666666667,0)</f>
      </c>
      <c r="AB29" s="5">
        <v>6</v>
      </c>
      <c r="AC29" s="2" t="s">
        <v>100</v>
      </c>
      <c r="AD29" s="4"/>
      <c r="AE29" s="4"/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>
        <v>0</v>
      </c>
      <c r="AP29" s="4">
        <v>3</v>
      </c>
      <c r="AQ29" s="8">
        <v>224.1</v>
      </c>
      <c r="AR29" s="4">
        <v>4</v>
      </c>
      <c r="AS29" s="8">
        <v>323.7</v>
      </c>
      <c r="AT29" s="7">
        <v>-0.25</v>
      </c>
      <c r="AU29" s="7">
        <v>-0.3077</v>
      </c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>
        <v>0.3079</v>
      </c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94</v>
      </c>
      <c r="BK29" s="8">
        <v>6978.18</v>
      </c>
      <c r="BL29" s="2" t="s">
        <v>208</v>
      </c>
      <c r="BM29" s="7">
        <v>0.0319</v>
      </c>
      <c r="BN29" s="7">
        <v>0.0321</v>
      </c>
      <c r="BO29" s="4">
        <v>3</v>
      </c>
      <c r="BP29" s="8">
        <v>224.1</v>
      </c>
      <c r="BQ29" s="4">
        <v>4</v>
      </c>
      <c r="BR29" s="8">
        <v>323.7</v>
      </c>
      <c r="BS29" s="7">
        <v>-0.25</v>
      </c>
      <c r="BT29" s="7">
        <v>-0.3077</v>
      </c>
      <c r="BU29" s="2" t="s">
        <v>109</v>
      </c>
      <c r="BV29" s="2" t="s">
        <v>97</v>
      </c>
      <c r="BW29" s="2" t="s">
        <v>132</v>
      </c>
      <c r="BX29" s="2" t="s">
        <v>209</v>
      </c>
      <c r="BY29" s="2" t="s">
        <v>112</v>
      </c>
      <c r="BZ29" s="2" t="s">
        <v>100</v>
      </c>
    </row>
    <row r="30">
      <c r="A30" s="2" t="s">
        <v>210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193</v>
      </c>
      <c r="G30" s="2" t="s">
        <v>194</v>
      </c>
      <c r="H30" s="2" t="s">
        <v>195</v>
      </c>
      <c r="I30" s="2" t="s">
        <v>196</v>
      </c>
      <c r="J30" s="2" t="s">
        <v>122</v>
      </c>
      <c r="K30" s="2" t="s">
        <v>181</v>
      </c>
      <c r="L30" s="3">
        <v>53.99</v>
      </c>
      <c r="M30" s="3">
        <v>56.69</v>
      </c>
      <c r="N30" s="3">
        <v>109.99</v>
      </c>
      <c r="O30" s="2" t="s">
        <v>97</v>
      </c>
      <c r="P30" s="2" t="s">
        <v>198</v>
      </c>
      <c r="Q30" s="2" t="s">
        <v>99</v>
      </c>
      <c r="R30" s="2" t="s">
        <v>100</v>
      </c>
      <c r="S30" s="2" t="s">
        <v>211</v>
      </c>
      <c r="T30" s="2" t="s">
        <v>100</v>
      </c>
      <c r="U30" s="2" t="s">
        <v>102</v>
      </c>
      <c r="V30" s="2" t="s">
        <v>200</v>
      </c>
      <c r="W30" s="2" t="s">
        <v>104</v>
      </c>
      <c r="X30" s="2" t="s">
        <v>201</v>
      </c>
      <c r="Y30" s="2" t="s">
        <v>106</v>
      </c>
      <c r="Z30" s="4">
        <v>254</v>
      </c>
      <c r="AA30" s="4">
        <f>=ROUNDDOWN(36.2857142857143,0)</f>
      </c>
      <c r="AB30" s="5">
        <v>7</v>
      </c>
      <c r="AC30" s="2" t="s">
        <v>100</v>
      </c>
      <c r="AD30" s="4"/>
      <c r="AE30" s="4"/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>
        <v>0</v>
      </c>
      <c r="AP30" s="4">
        <v>2</v>
      </c>
      <c r="AQ30" s="8">
        <v>113.38</v>
      </c>
      <c r="AR30" s="4">
        <v>4</v>
      </c>
      <c r="AS30" s="8">
        <v>245.69</v>
      </c>
      <c r="AT30" s="7">
        <v>-0.5</v>
      </c>
      <c r="AU30" s="7">
        <v>-0.5385</v>
      </c>
      <c r="AV30" s="4">
        <v>8</v>
      </c>
      <c r="AW30" s="8">
        <v>532.66</v>
      </c>
      <c r="AX30" s="4">
        <v>21</v>
      </c>
      <c r="AY30" s="8">
        <v>1532.97</v>
      </c>
      <c r="AZ30" s="7">
        <v>-0.619</v>
      </c>
      <c r="BA30" s="7">
        <v>-0.6525</v>
      </c>
      <c r="BB30" s="7">
        <v>0.2129</v>
      </c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>
        <v>0.2054</v>
      </c>
      <c r="BJ30" s="4">
        <v>77</v>
      </c>
      <c r="BK30" s="8">
        <v>3131.05</v>
      </c>
      <c r="BL30" s="2" t="s">
        <v>212</v>
      </c>
      <c r="BM30" s="7">
        <v>0.026</v>
      </c>
      <c r="BN30" s="7">
        <v>0.0362</v>
      </c>
      <c r="BO30" s="4">
        <v>2</v>
      </c>
      <c r="BP30" s="8">
        <v>113.38</v>
      </c>
      <c r="BQ30" s="4">
        <v>4</v>
      </c>
      <c r="BR30" s="8">
        <v>245.69</v>
      </c>
      <c r="BS30" s="7">
        <v>-0.5</v>
      </c>
      <c r="BT30" s="7">
        <v>-0.5385</v>
      </c>
      <c r="BU30" s="2" t="s">
        <v>109</v>
      </c>
      <c r="BV30" s="2" t="s">
        <v>97</v>
      </c>
      <c r="BW30" s="2" t="s">
        <v>110</v>
      </c>
      <c r="BX30" s="2" t="s">
        <v>213</v>
      </c>
      <c r="BY30" s="2" t="s">
        <v>112</v>
      </c>
      <c r="BZ30" s="2" t="s">
        <v>100</v>
      </c>
    </row>
    <row r="31">
      <c r="A31" s="2" t="s">
        <v>214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193</v>
      </c>
      <c r="G31" s="2" t="s">
        <v>194</v>
      </c>
      <c r="H31" s="2" t="s">
        <v>195</v>
      </c>
      <c r="I31" s="2" t="s">
        <v>196</v>
      </c>
      <c r="J31" s="2" t="s">
        <v>95</v>
      </c>
      <c r="K31" s="2" t="s">
        <v>181</v>
      </c>
      <c r="L31" s="3">
        <v>61.96</v>
      </c>
      <c r="M31" s="3">
        <v>65.06</v>
      </c>
      <c r="N31" s="3">
        <v>124.99</v>
      </c>
      <c r="O31" s="2" t="s">
        <v>97</v>
      </c>
      <c r="P31" s="2" t="s">
        <v>198</v>
      </c>
      <c r="Q31" s="2" t="s">
        <v>99</v>
      </c>
      <c r="R31" s="2" t="s">
        <v>100</v>
      </c>
      <c r="S31" s="2" t="s">
        <v>215</v>
      </c>
      <c r="T31" s="2" t="s">
        <v>100</v>
      </c>
      <c r="U31" s="2" t="s">
        <v>102</v>
      </c>
      <c r="V31" s="2" t="s">
        <v>200</v>
      </c>
      <c r="W31" s="2" t="s">
        <v>104</v>
      </c>
      <c r="X31" s="2" t="s">
        <v>201</v>
      </c>
      <c r="Y31" s="2" t="s">
        <v>106</v>
      </c>
      <c r="Z31" s="4">
        <v>501</v>
      </c>
      <c r="AA31" s="4">
        <f>=ROUNDDOWN(33.4,0)</f>
      </c>
      <c r="AB31" s="5">
        <v>15</v>
      </c>
      <c r="AC31" s="2" t="s">
        <v>100</v>
      </c>
      <c r="AD31" s="4"/>
      <c r="AE31" s="4"/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>
        <v>0</v>
      </c>
      <c r="AP31" s="4">
        <v>3</v>
      </c>
      <c r="AQ31" s="8">
        <v>195.18</v>
      </c>
      <c r="AR31" s="4">
        <v>10</v>
      </c>
      <c r="AS31" s="8">
        <v>722.9</v>
      </c>
      <c r="AT31" s="7">
        <v>-0.7</v>
      </c>
      <c r="AU31" s="7">
        <v>-0.73</v>
      </c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>
        <v>0.3664</v>
      </c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250</v>
      </c>
      <c r="BK31" s="8">
        <v>13206.63</v>
      </c>
      <c r="BL31" s="2" t="s">
        <v>216</v>
      </c>
      <c r="BM31" s="7">
        <v>0.012</v>
      </c>
      <c r="BN31" s="7">
        <v>0.0148</v>
      </c>
      <c r="BO31" s="4">
        <v>3</v>
      </c>
      <c r="BP31" s="8">
        <v>195.18</v>
      </c>
      <c r="BQ31" s="4">
        <v>10</v>
      </c>
      <c r="BR31" s="8">
        <v>722.9</v>
      </c>
      <c r="BS31" s="7">
        <v>-0.7</v>
      </c>
      <c r="BT31" s="7">
        <v>-0.73</v>
      </c>
      <c r="BU31" s="2" t="s">
        <v>109</v>
      </c>
      <c r="BV31" s="2" t="s">
        <v>97</v>
      </c>
      <c r="BW31" s="2" t="s">
        <v>217</v>
      </c>
      <c r="BX31" s="2" t="s">
        <v>218</v>
      </c>
      <c r="BY31" s="2" t="s">
        <v>112</v>
      </c>
      <c r="BZ31" s="2" t="s">
        <v>100</v>
      </c>
    </row>
    <row r="32">
      <c r="A32" s="2" t="s">
        <v>219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193</v>
      </c>
      <c r="G32" s="2" t="s">
        <v>194</v>
      </c>
      <c r="H32" s="2" t="s">
        <v>195</v>
      </c>
      <c r="I32" s="2" t="s">
        <v>196</v>
      </c>
      <c r="J32" s="2" t="s">
        <v>114</v>
      </c>
      <c r="K32" s="2" t="s">
        <v>181</v>
      </c>
      <c r="L32" s="3">
        <v>71.14</v>
      </c>
      <c r="M32" s="3">
        <v>74.7</v>
      </c>
      <c r="N32" s="3">
        <v>144.99</v>
      </c>
      <c r="O32" s="2" t="s">
        <v>97</v>
      </c>
      <c r="P32" s="2" t="s">
        <v>198</v>
      </c>
      <c r="Q32" s="2" t="s">
        <v>99</v>
      </c>
      <c r="R32" s="2" t="s">
        <v>100</v>
      </c>
      <c r="S32" s="2" t="s">
        <v>211</v>
      </c>
      <c r="T32" s="2" t="s">
        <v>100</v>
      </c>
      <c r="U32" s="2" t="s">
        <v>102</v>
      </c>
      <c r="V32" s="2" t="s">
        <v>200</v>
      </c>
      <c r="W32" s="2" t="s">
        <v>104</v>
      </c>
      <c r="X32" s="2" t="s">
        <v>201</v>
      </c>
      <c r="Y32" s="2" t="s">
        <v>106</v>
      </c>
      <c r="Z32" s="4">
        <v>383</v>
      </c>
      <c r="AA32" s="4">
        <f>=ROUNDDOWN(34.8181818181818,0)</f>
      </c>
      <c r="AB32" s="5">
        <v>11</v>
      </c>
      <c r="AC32" s="2" t="s">
        <v>100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>
        <v>0</v>
      </c>
      <c r="AP32" s="4">
        <v>2</v>
      </c>
      <c r="AQ32" s="8">
        <v>149.4</v>
      </c>
      <c r="AR32" s="4">
        <v>5</v>
      </c>
      <c r="AS32" s="8">
        <v>398.4</v>
      </c>
      <c r="AT32" s="7">
        <v>-0.6</v>
      </c>
      <c r="AU32" s="7">
        <v>-0.625</v>
      </c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>
        <v>0.2805</v>
      </c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181</v>
      </c>
      <c r="BK32" s="8">
        <v>12537.43</v>
      </c>
      <c r="BL32" s="2" t="s">
        <v>220</v>
      </c>
      <c r="BM32" s="7">
        <v>0.011</v>
      </c>
      <c r="BN32" s="7">
        <v>0.0119</v>
      </c>
      <c r="BO32" s="4">
        <v>2</v>
      </c>
      <c r="BP32" s="8">
        <v>149.4</v>
      </c>
      <c r="BQ32" s="4">
        <v>5</v>
      </c>
      <c r="BR32" s="8">
        <v>398.4</v>
      </c>
      <c r="BS32" s="7">
        <v>-0.6</v>
      </c>
      <c r="BT32" s="7">
        <v>-0.625</v>
      </c>
      <c r="BU32" s="2" t="s">
        <v>109</v>
      </c>
      <c r="BV32" s="2" t="s">
        <v>97</v>
      </c>
      <c r="BW32" s="2" t="s">
        <v>217</v>
      </c>
      <c r="BX32" s="2" t="s">
        <v>221</v>
      </c>
      <c r="BY32" s="2" t="s">
        <v>112</v>
      </c>
      <c r="BZ32" s="2" t="s">
        <v>100</v>
      </c>
    </row>
    <row r="33">
      <c r="A33" s="2" t="s">
        <v>222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193</v>
      </c>
      <c r="G33" s="2" t="s">
        <v>194</v>
      </c>
      <c r="H33" s="2" t="s">
        <v>195</v>
      </c>
      <c r="I33" s="2" t="s">
        <v>196</v>
      </c>
      <c r="J33" s="2" t="s">
        <v>118</v>
      </c>
      <c r="K33" s="2" t="s">
        <v>181</v>
      </c>
      <c r="L33" s="3">
        <v>71.14</v>
      </c>
      <c r="M33" s="3">
        <v>74.7</v>
      </c>
      <c r="N33" s="3">
        <v>144.99</v>
      </c>
      <c r="O33" s="2" t="s">
        <v>97</v>
      </c>
      <c r="P33" s="2" t="s">
        <v>198</v>
      </c>
      <c r="Q33" s="2" t="s">
        <v>99</v>
      </c>
      <c r="R33" s="2" t="s">
        <v>100</v>
      </c>
      <c r="S33" s="2" t="s">
        <v>211</v>
      </c>
      <c r="T33" s="2" t="s">
        <v>100</v>
      </c>
      <c r="U33" s="2" t="s">
        <v>102</v>
      </c>
      <c r="V33" s="2" t="s">
        <v>200</v>
      </c>
      <c r="W33" s="2" t="s">
        <v>104</v>
      </c>
      <c r="X33" s="2" t="s">
        <v>201</v>
      </c>
      <c r="Y33" s="2" t="s">
        <v>106</v>
      </c>
      <c r="Z33" s="4">
        <v>281</v>
      </c>
      <c r="AA33" s="4">
        <f>=ROUNDDOWN(46.8333333333333,0)</f>
      </c>
      <c r="AB33" s="5">
        <v>6</v>
      </c>
      <c r="AC33" s="2" t="s">
        <v>100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>
        <v>0</v>
      </c>
      <c r="AP33" s="4">
        <v>1</v>
      </c>
      <c r="AQ33" s="8">
        <v>74.7</v>
      </c>
      <c r="AR33" s="4">
        <v>2</v>
      </c>
      <c r="AS33" s="8">
        <v>165.98</v>
      </c>
      <c r="AT33" s="7">
        <v>-0.5</v>
      </c>
      <c r="AU33" s="7">
        <v>-0.5499</v>
      </c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>
        <v>0.1402</v>
      </c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57</v>
      </c>
      <c r="BK33" s="8">
        <v>3276.39</v>
      </c>
      <c r="BL33" s="2" t="s">
        <v>223</v>
      </c>
      <c r="BM33" s="7">
        <v>0.0175</v>
      </c>
      <c r="BN33" s="7">
        <v>0.0228</v>
      </c>
      <c r="BO33" s="4">
        <v>1</v>
      </c>
      <c r="BP33" s="8">
        <v>74.7</v>
      </c>
      <c r="BQ33" s="4">
        <v>2</v>
      </c>
      <c r="BR33" s="8">
        <v>165.98</v>
      </c>
      <c r="BS33" s="7">
        <v>-0.5</v>
      </c>
      <c r="BT33" s="7">
        <v>-0.5499</v>
      </c>
      <c r="BU33" s="2" t="s">
        <v>109</v>
      </c>
      <c r="BV33" s="2" t="s">
        <v>97</v>
      </c>
      <c r="BW33" s="2" t="s">
        <v>110</v>
      </c>
      <c r="BX33" s="2" t="s">
        <v>224</v>
      </c>
      <c r="BY33" s="2" t="s">
        <v>112</v>
      </c>
      <c r="BZ33" s="2" t="s">
        <v>100</v>
      </c>
    </row>
    <row r="34">
      <c r="A34" s="2" t="s">
        <v>225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193</v>
      </c>
      <c r="G34" s="2" t="s">
        <v>194</v>
      </c>
      <c r="H34" s="2" t="s">
        <v>195</v>
      </c>
      <c r="I34" s="2" t="s">
        <v>196</v>
      </c>
      <c r="J34" s="2" t="s">
        <v>122</v>
      </c>
      <c r="K34" s="2" t="s">
        <v>123</v>
      </c>
      <c r="L34" s="3">
        <v>53.99</v>
      </c>
      <c r="M34" s="3">
        <v>56.69</v>
      </c>
      <c r="N34" s="3">
        <v>109.99</v>
      </c>
      <c r="O34" s="2" t="s">
        <v>97</v>
      </c>
      <c r="P34" s="2" t="s">
        <v>198</v>
      </c>
      <c r="Q34" s="2" t="s">
        <v>99</v>
      </c>
      <c r="R34" s="2" t="s">
        <v>100</v>
      </c>
      <c r="S34" s="2" t="s">
        <v>226</v>
      </c>
      <c r="T34" s="2" t="s">
        <v>100</v>
      </c>
      <c r="U34" s="2" t="s">
        <v>102</v>
      </c>
      <c r="V34" s="2" t="s">
        <v>200</v>
      </c>
      <c r="W34" s="2" t="s">
        <v>104</v>
      </c>
      <c r="X34" s="2" t="s">
        <v>201</v>
      </c>
      <c r="Y34" s="2" t="s">
        <v>106</v>
      </c>
      <c r="Z34" s="4">
        <v>97</v>
      </c>
      <c r="AA34" s="4">
        <f>=ROUNDDOWN(32.3333333333333,0)</f>
      </c>
      <c r="AB34" s="5">
        <v>3</v>
      </c>
      <c r="AC34" s="2" t="s">
        <v>100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>
        <v>6</v>
      </c>
      <c r="AW34" s="8">
        <v>438.56</v>
      </c>
      <c r="AX34" s="4">
        <v>7</v>
      </c>
      <c r="AY34" s="8">
        <v>553.69</v>
      </c>
      <c r="AZ34" s="7">
        <v>-0.1429</v>
      </c>
      <c r="BA34" s="7">
        <v>-0.2079</v>
      </c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>
        <v>0.1691</v>
      </c>
      <c r="BJ34" s="4">
        <v>37</v>
      </c>
      <c r="BK34" s="8">
        <v>1621.49</v>
      </c>
      <c r="BL34" s="2" t="s">
        <v>227</v>
      </c>
      <c r="BM34" s="7"/>
      <c r="BN34" s="7"/>
      <c r="BO34" s="4"/>
      <c r="BP34" s="8"/>
      <c r="BQ34" s="4"/>
      <c r="BR34" s="8"/>
      <c r="BS34" s="7"/>
      <c r="BT34" s="7"/>
      <c r="BU34" s="2" t="s">
        <v>147</v>
      </c>
      <c r="BV34" s="2" t="s">
        <v>97</v>
      </c>
      <c r="BW34" s="2" t="s">
        <v>100</v>
      </c>
      <c r="BX34" s="2" t="s">
        <v>100</v>
      </c>
      <c r="BY34" s="2" t="s">
        <v>112</v>
      </c>
      <c r="BZ34" s="2" t="s">
        <v>100</v>
      </c>
    </row>
    <row r="35">
      <c r="A35" s="2" t="s">
        <v>228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193</v>
      </c>
      <c r="G35" s="2" t="s">
        <v>194</v>
      </c>
      <c r="H35" s="2" t="s">
        <v>195</v>
      </c>
      <c r="I35" s="2" t="s">
        <v>196</v>
      </c>
      <c r="J35" s="2" t="s">
        <v>95</v>
      </c>
      <c r="K35" s="2" t="s">
        <v>123</v>
      </c>
      <c r="L35" s="3">
        <v>61.96</v>
      </c>
      <c r="M35" s="3">
        <v>65.06</v>
      </c>
      <c r="N35" s="3">
        <v>124.99</v>
      </c>
      <c r="O35" s="2" t="s">
        <v>229</v>
      </c>
      <c r="P35" s="2" t="s">
        <v>198</v>
      </c>
      <c r="Q35" s="2" t="s">
        <v>99</v>
      </c>
      <c r="R35" s="2" t="s">
        <v>100</v>
      </c>
      <c r="S35" s="2" t="s">
        <v>226</v>
      </c>
      <c r="T35" s="2" t="s">
        <v>100</v>
      </c>
      <c r="U35" s="2" t="s">
        <v>102</v>
      </c>
      <c r="V35" s="2" t="s">
        <v>200</v>
      </c>
      <c r="W35" s="2" t="s">
        <v>104</v>
      </c>
      <c r="X35" s="2" t="s">
        <v>201</v>
      </c>
      <c r="Y35" s="2" t="s">
        <v>106</v>
      </c>
      <c r="Z35" s="4">
        <v>410</v>
      </c>
      <c r="AA35" s="4">
        <f>=ROUNDDOWN(45.5555555555556,0)</f>
      </c>
      <c r="AB35" s="5">
        <v>9</v>
      </c>
      <c r="AC35" s="2" t="s">
        <v>100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>
        <v>0</v>
      </c>
      <c r="AP35" s="4">
        <v>1</v>
      </c>
      <c r="AQ35" s="8">
        <v>65.06</v>
      </c>
      <c r="AR35" s="4">
        <v>1</v>
      </c>
      <c r="AS35" s="8">
        <v>72.29</v>
      </c>
      <c r="AT35" s="7"/>
      <c r="AU35" s="7">
        <v>-0.1</v>
      </c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>
        <v>0.1483</v>
      </c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111</v>
      </c>
      <c r="BK35" s="8">
        <v>6708.27</v>
      </c>
      <c r="BL35" s="2" t="s">
        <v>230</v>
      </c>
      <c r="BM35" s="7">
        <v>0.009</v>
      </c>
      <c r="BN35" s="7">
        <v>0.0097</v>
      </c>
      <c r="BO35" s="4">
        <v>1</v>
      </c>
      <c r="BP35" s="8">
        <v>65.06</v>
      </c>
      <c r="BQ35" s="4">
        <v>1</v>
      </c>
      <c r="BR35" s="8">
        <v>72.29</v>
      </c>
      <c r="BS35" s="7"/>
      <c r="BT35" s="7">
        <v>-0.1</v>
      </c>
      <c r="BU35" s="2" t="s">
        <v>109</v>
      </c>
      <c r="BV35" s="2" t="s">
        <v>97</v>
      </c>
      <c r="BW35" s="2" t="s">
        <v>217</v>
      </c>
      <c r="BX35" s="2" t="s">
        <v>218</v>
      </c>
      <c r="BY35" s="2" t="s">
        <v>112</v>
      </c>
      <c r="BZ35" s="2" t="s">
        <v>100</v>
      </c>
    </row>
    <row r="36">
      <c r="A36" s="2" t="s">
        <v>231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193</v>
      </c>
      <c r="G36" s="2" t="s">
        <v>194</v>
      </c>
      <c r="H36" s="2" t="s">
        <v>195</v>
      </c>
      <c r="I36" s="2" t="s">
        <v>196</v>
      </c>
      <c r="J36" s="2" t="s">
        <v>114</v>
      </c>
      <c r="K36" s="2" t="s">
        <v>123</v>
      </c>
      <c r="L36" s="3">
        <v>71.14</v>
      </c>
      <c r="M36" s="3">
        <v>74.7</v>
      </c>
      <c r="N36" s="3">
        <v>144.99</v>
      </c>
      <c r="O36" s="2" t="s">
        <v>229</v>
      </c>
      <c r="P36" s="2" t="s">
        <v>198</v>
      </c>
      <c r="Q36" s="2" t="s">
        <v>99</v>
      </c>
      <c r="R36" s="2" t="s">
        <v>100</v>
      </c>
      <c r="S36" s="2" t="s">
        <v>226</v>
      </c>
      <c r="T36" s="2" t="s">
        <v>100</v>
      </c>
      <c r="U36" s="2" t="s">
        <v>102</v>
      </c>
      <c r="V36" s="2" t="s">
        <v>200</v>
      </c>
      <c r="W36" s="2" t="s">
        <v>104</v>
      </c>
      <c r="X36" s="2" t="s">
        <v>201</v>
      </c>
      <c r="Y36" s="2" t="s">
        <v>106</v>
      </c>
      <c r="Z36" s="4">
        <v>395</v>
      </c>
      <c r="AA36" s="4">
        <f>=ROUNDDOWN(56.4285714285714,0)</f>
      </c>
      <c r="AB36" s="5">
        <v>7</v>
      </c>
      <c r="AC36" s="2" t="s">
        <v>100</v>
      </c>
      <c r="AD36" s="4"/>
      <c r="AE36" s="4"/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>
        <v>0</v>
      </c>
      <c r="AP36" s="4">
        <v>5</v>
      </c>
      <c r="AQ36" s="8">
        <v>373.5</v>
      </c>
      <c r="AR36" s="4">
        <v>6</v>
      </c>
      <c r="AS36" s="8">
        <v>481.4</v>
      </c>
      <c r="AT36" s="7">
        <v>-0.1667</v>
      </c>
      <c r="AU36" s="7">
        <v>-0.2241</v>
      </c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>
        <v>0.8517</v>
      </c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101</v>
      </c>
      <c r="BK36" s="8">
        <v>6805.32</v>
      </c>
      <c r="BL36" s="2" t="s">
        <v>232</v>
      </c>
      <c r="BM36" s="7">
        <v>0.0495</v>
      </c>
      <c r="BN36" s="7">
        <v>0.0549</v>
      </c>
      <c r="BO36" s="4">
        <v>5</v>
      </c>
      <c r="BP36" s="8">
        <v>373.5</v>
      </c>
      <c r="BQ36" s="4">
        <v>6</v>
      </c>
      <c r="BR36" s="8">
        <v>481.4</v>
      </c>
      <c r="BS36" s="7">
        <v>-0.1667</v>
      </c>
      <c r="BT36" s="7">
        <v>-0.2241</v>
      </c>
      <c r="BU36" s="2" t="s">
        <v>109</v>
      </c>
      <c r="BV36" s="2" t="s">
        <v>97</v>
      </c>
      <c r="BW36" s="2" t="s">
        <v>217</v>
      </c>
      <c r="BX36" s="2" t="s">
        <v>233</v>
      </c>
      <c r="BY36" s="2" t="s">
        <v>112</v>
      </c>
      <c r="BZ36" s="2" t="s">
        <v>100</v>
      </c>
    </row>
    <row r="37">
      <c r="A37" s="2" t="s">
        <v>234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193</v>
      </c>
      <c r="G37" s="2" t="s">
        <v>194</v>
      </c>
      <c r="H37" s="2" t="s">
        <v>195</v>
      </c>
      <c r="I37" s="2" t="s">
        <v>196</v>
      </c>
      <c r="J37" s="2" t="s">
        <v>118</v>
      </c>
      <c r="K37" s="2" t="s">
        <v>123</v>
      </c>
      <c r="L37" s="3">
        <v>71.14</v>
      </c>
      <c r="M37" s="3">
        <v>74.7</v>
      </c>
      <c r="N37" s="3">
        <v>144.99</v>
      </c>
      <c r="O37" s="2" t="s">
        <v>229</v>
      </c>
      <c r="P37" s="2" t="s">
        <v>198</v>
      </c>
      <c r="Q37" s="2" t="s">
        <v>99</v>
      </c>
      <c r="R37" s="2" t="s">
        <v>100</v>
      </c>
      <c r="S37" s="2" t="s">
        <v>226</v>
      </c>
      <c r="T37" s="2" t="s">
        <v>100</v>
      </c>
      <c r="U37" s="2" t="s">
        <v>102</v>
      </c>
      <c r="V37" s="2" t="s">
        <v>200</v>
      </c>
      <c r="W37" s="2" t="s">
        <v>104</v>
      </c>
      <c r="X37" s="2" t="s">
        <v>201</v>
      </c>
      <c r="Y37" s="2" t="s">
        <v>106</v>
      </c>
      <c r="Z37" s="4">
        <v>271</v>
      </c>
      <c r="AA37" s="4">
        <f>=ROUNDDOWN(54.2,0)</f>
      </c>
      <c r="AB37" s="5">
        <v>5</v>
      </c>
      <c r="AC37" s="2" t="s">
        <v>100</v>
      </c>
      <c r="AD37" s="4"/>
      <c r="AE37" s="4"/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34</v>
      </c>
      <c r="BK37" s="8">
        <v>2390.07</v>
      </c>
      <c r="BL37" s="2" t="s">
        <v>235</v>
      </c>
      <c r="BM37" s="7"/>
      <c r="BN37" s="7"/>
      <c r="BO37" s="4"/>
      <c r="BP37" s="8"/>
      <c r="BQ37" s="4"/>
      <c r="BR37" s="8"/>
      <c r="BS37" s="7"/>
      <c r="BT37" s="7"/>
      <c r="BU37" s="2" t="s">
        <v>147</v>
      </c>
      <c r="BV37" s="2" t="s">
        <v>97</v>
      </c>
      <c r="BW37" s="2" t="s">
        <v>100</v>
      </c>
      <c r="BX37" s="2" t="s">
        <v>100</v>
      </c>
      <c r="BY37" s="2" t="s">
        <v>112</v>
      </c>
      <c r="BZ37" s="2" t="s">
        <v>100</v>
      </c>
    </row>
    <row r="38">
      <c r="A38" s="2" t="s">
        <v>236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193</v>
      </c>
      <c r="G38" s="2" t="s">
        <v>194</v>
      </c>
      <c r="H38" s="2" t="s">
        <v>195</v>
      </c>
      <c r="I38" s="2" t="s">
        <v>196</v>
      </c>
      <c r="J38" s="2" t="s">
        <v>122</v>
      </c>
      <c r="K38" s="2" t="s">
        <v>142</v>
      </c>
      <c r="L38" s="3">
        <v>53.99</v>
      </c>
      <c r="M38" s="3">
        <v>56.69</v>
      </c>
      <c r="N38" s="3">
        <v>109.99</v>
      </c>
      <c r="O38" s="2" t="s">
        <v>97</v>
      </c>
      <c r="P38" s="2" t="s">
        <v>198</v>
      </c>
      <c r="Q38" s="2" t="s">
        <v>99</v>
      </c>
      <c r="R38" s="2" t="s">
        <v>100</v>
      </c>
      <c r="S38" s="2" t="s">
        <v>237</v>
      </c>
      <c r="T38" s="2" t="s">
        <v>100</v>
      </c>
      <c r="U38" s="2" t="s">
        <v>102</v>
      </c>
      <c r="V38" s="2" t="s">
        <v>200</v>
      </c>
      <c r="W38" s="2" t="s">
        <v>104</v>
      </c>
      <c r="X38" s="2" t="s">
        <v>201</v>
      </c>
      <c r="Y38" s="2" t="s">
        <v>106</v>
      </c>
      <c r="Z38" s="4">
        <v>47</v>
      </c>
      <c r="AA38" s="4">
        <f>=ROUNDDOWN(15.6666666666667,0)</f>
      </c>
      <c r="AB38" s="5">
        <v>3</v>
      </c>
      <c r="AC38" s="2" t="s">
        <v>100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5</v>
      </c>
      <c r="AW38" s="8">
        <v>354.22</v>
      </c>
      <c r="AX38" s="4">
        <v>13</v>
      </c>
      <c r="AY38" s="8">
        <v>1008.85</v>
      </c>
      <c r="AZ38" s="7">
        <v>-0.6154</v>
      </c>
      <c r="BA38" s="7">
        <v>-0.6489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>
        <v>0.1366</v>
      </c>
      <c r="BJ38" s="4">
        <v>73</v>
      </c>
      <c r="BK38" s="8">
        <v>3636.2</v>
      </c>
      <c r="BL38" s="2" t="s">
        <v>238</v>
      </c>
      <c r="BM38" s="7"/>
      <c r="BN38" s="7"/>
      <c r="BO38" s="4"/>
      <c r="BP38" s="8"/>
      <c r="BQ38" s="4"/>
      <c r="BR38" s="8"/>
      <c r="BS38" s="7"/>
      <c r="BT38" s="7"/>
      <c r="BU38" s="2" t="s">
        <v>147</v>
      </c>
      <c r="BV38" s="2" t="s">
        <v>97</v>
      </c>
      <c r="BW38" s="2" t="s">
        <v>100</v>
      </c>
      <c r="BX38" s="2" t="s">
        <v>100</v>
      </c>
      <c r="BY38" s="2" t="s">
        <v>112</v>
      </c>
      <c r="BZ38" s="2" t="s">
        <v>100</v>
      </c>
    </row>
    <row r="39">
      <c r="A39" s="2" t="s">
        <v>239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193</v>
      </c>
      <c r="G39" s="2" t="s">
        <v>194</v>
      </c>
      <c r="H39" s="2" t="s">
        <v>195</v>
      </c>
      <c r="I39" s="2" t="s">
        <v>196</v>
      </c>
      <c r="J39" s="2" t="s">
        <v>95</v>
      </c>
      <c r="K39" s="2" t="s">
        <v>142</v>
      </c>
      <c r="L39" s="3">
        <v>61.96</v>
      </c>
      <c r="M39" s="3">
        <v>65.06</v>
      </c>
      <c r="N39" s="3">
        <v>124.99</v>
      </c>
      <c r="O39" s="2" t="s">
        <v>97</v>
      </c>
      <c r="P39" s="2" t="s">
        <v>198</v>
      </c>
      <c r="Q39" s="2" t="s">
        <v>99</v>
      </c>
      <c r="R39" s="2" t="s">
        <v>100</v>
      </c>
      <c r="S39" s="2" t="s">
        <v>237</v>
      </c>
      <c r="T39" s="2" t="s">
        <v>100</v>
      </c>
      <c r="U39" s="2" t="s">
        <v>102</v>
      </c>
      <c r="V39" s="2" t="s">
        <v>200</v>
      </c>
      <c r="W39" s="2" t="s">
        <v>104</v>
      </c>
      <c r="X39" s="2" t="s">
        <v>201</v>
      </c>
      <c r="Y39" s="2" t="s">
        <v>106</v>
      </c>
      <c r="Z39" s="4">
        <v>271</v>
      </c>
      <c r="AA39" s="4">
        <f>=ROUNDDOWN(30.1111111111111,0)</f>
      </c>
      <c r="AB39" s="5">
        <v>9</v>
      </c>
      <c r="AC39" s="2" t="s">
        <v>100</v>
      </c>
      <c r="AD39" s="4"/>
      <c r="AE39" s="4"/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>
        <v>0</v>
      </c>
      <c r="AP39" s="4">
        <v>2</v>
      </c>
      <c r="AQ39" s="8">
        <v>130.12</v>
      </c>
      <c r="AR39" s="4">
        <v>5</v>
      </c>
      <c r="AS39" s="8">
        <v>361.45</v>
      </c>
      <c r="AT39" s="7">
        <v>-0.6</v>
      </c>
      <c r="AU39" s="7">
        <v>-0.64</v>
      </c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>
        <v>0.3673</v>
      </c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162</v>
      </c>
      <c r="BK39" s="8">
        <v>8562.63</v>
      </c>
      <c r="BL39" s="2" t="s">
        <v>240</v>
      </c>
      <c r="BM39" s="7">
        <v>0.0123</v>
      </c>
      <c r="BN39" s="7">
        <v>0.0152</v>
      </c>
      <c r="BO39" s="4">
        <v>2</v>
      </c>
      <c r="BP39" s="8">
        <v>130.12</v>
      </c>
      <c r="BQ39" s="4">
        <v>5</v>
      </c>
      <c r="BR39" s="8">
        <v>361.45</v>
      </c>
      <c r="BS39" s="7">
        <v>-0.6</v>
      </c>
      <c r="BT39" s="7">
        <v>-0.64</v>
      </c>
      <c r="BU39" s="2" t="s">
        <v>109</v>
      </c>
      <c r="BV39" s="2" t="s">
        <v>97</v>
      </c>
      <c r="BW39" s="2" t="s">
        <v>217</v>
      </c>
      <c r="BX39" s="2" t="s">
        <v>241</v>
      </c>
      <c r="BY39" s="2" t="s">
        <v>112</v>
      </c>
      <c r="BZ39" s="2" t="s">
        <v>100</v>
      </c>
    </row>
    <row r="40">
      <c r="A40" s="2" t="s">
        <v>242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193</v>
      </c>
      <c r="G40" s="2" t="s">
        <v>194</v>
      </c>
      <c r="H40" s="2" t="s">
        <v>195</v>
      </c>
      <c r="I40" s="2" t="s">
        <v>196</v>
      </c>
      <c r="J40" s="2" t="s">
        <v>114</v>
      </c>
      <c r="K40" s="2" t="s">
        <v>142</v>
      </c>
      <c r="L40" s="3">
        <v>71.14</v>
      </c>
      <c r="M40" s="3">
        <v>74.7</v>
      </c>
      <c r="N40" s="3">
        <v>144.99</v>
      </c>
      <c r="O40" s="2" t="s">
        <v>97</v>
      </c>
      <c r="P40" s="2" t="s">
        <v>198</v>
      </c>
      <c r="Q40" s="2" t="s">
        <v>99</v>
      </c>
      <c r="R40" s="2" t="s">
        <v>100</v>
      </c>
      <c r="S40" s="2" t="s">
        <v>237</v>
      </c>
      <c r="T40" s="2" t="s">
        <v>100</v>
      </c>
      <c r="U40" s="2" t="s">
        <v>102</v>
      </c>
      <c r="V40" s="2" t="s">
        <v>200</v>
      </c>
      <c r="W40" s="2" t="s">
        <v>104</v>
      </c>
      <c r="X40" s="2" t="s">
        <v>201</v>
      </c>
      <c r="Y40" s="2" t="s">
        <v>106</v>
      </c>
      <c r="Z40" s="4">
        <v>191</v>
      </c>
      <c r="AA40" s="4">
        <f>=ROUNDDOWN(23.875,0)</f>
      </c>
      <c r="AB40" s="5">
        <v>8</v>
      </c>
      <c r="AC40" s="2" t="s">
        <v>100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>
        <v>0</v>
      </c>
      <c r="AP40" s="4">
        <v>3</v>
      </c>
      <c r="AQ40" s="8">
        <v>224.1</v>
      </c>
      <c r="AR40" s="4">
        <v>8</v>
      </c>
      <c r="AS40" s="8">
        <v>647.4</v>
      </c>
      <c r="AT40" s="7">
        <v>-0.625</v>
      </c>
      <c r="AU40" s="7">
        <v>-0.6538</v>
      </c>
      <c r="AV40" s="4" t="s">
        <v>100</v>
      </c>
      <c r="AW40" s="8" t="s">
        <v>100</v>
      </c>
      <c r="AX40" s="4" t="s">
        <v>100</v>
      </c>
      <c r="AY40" s="8" t="s">
        <v>100</v>
      </c>
      <c r="AZ40" s="7" t="s">
        <v>100</v>
      </c>
      <c r="BA40" s="7" t="s">
        <v>100</v>
      </c>
      <c r="BB40" s="7">
        <v>0.6327</v>
      </c>
      <c r="BC40" s="4" t="s">
        <v>100</v>
      </c>
      <c r="BD40" s="8" t="s">
        <v>100</v>
      </c>
      <c r="BE40" s="4" t="s">
        <v>100</v>
      </c>
      <c r="BF40" s="8" t="s">
        <v>100</v>
      </c>
      <c r="BG40" s="7" t="s">
        <v>100</v>
      </c>
      <c r="BH40" s="7" t="s">
        <v>100</v>
      </c>
      <c r="BI40" s="7" t="s">
        <v>100</v>
      </c>
      <c r="BJ40" s="4">
        <v>109</v>
      </c>
      <c r="BK40" s="8">
        <v>7016.32</v>
      </c>
      <c r="BL40" s="2" t="s">
        <v>243</v>
      </c>
      <c r="BM40" s="7">
        <v>0.0275</v>
      </c>
      <c r="BN40" s="7">
        <v>0.0319</v>
      </c>
      <c r="BO40" s="4">
        <v>3</v>
      </c>
      <c r="BP40" s="8">
        <v>224.1</v>
      </c>
      <c r="BQ40" s="4">
        <v>8</v>
      </c>
      <c r="BR40" s="8">
        <v>647.4</v>
      </c>
      <c r="BS40" s="7">
        <v>-0.625</v>
      </c>
      <c r="BT40" s="7">
        <v>-0.6538</v>
      </c>
      <c r="BU40" s="2" t="s">
        <v>109</v>
      </c>
      <c r="BV40" s="2" t="s">
        <v>97</v>
      </c>
      <c r="BW40" s="2" t="s">
        <v>217</v>
      </c>
      <c r="BX40" s="2" t="s">
        <v>241</v>
      </c>
      <c r="BY40" s="2" t="s">
        <v>112</v>
      </c>
      <c r="BZ40" s="2" t="s">
        <v>100</v>
      </c>
    </row>
    <row r="41">
      <c r="A41" s="2" t="s">
        <v>244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193</v>
      </c>
      <c r="G41" s="2" t="s">
        <v>194</v>
      </c>
      <c r="H41" s="2" t="s">
        <v>195</v>
      </c>
      <c r="I41" s="2" t="s">
        <v>196</v>
      </c>
      <c r="J41" s="2" t="s">
        <v>118</v>
      </c>
      <c r="K41" s="2" t="s">
        <v>142</v>
      </c>
      <c r="L41" s="3">
        <v>71.14</v>
      </c>
      <c r="M41" s="3">
        <v>74.7</v>
      </c>
      <c r="N41" s="3">
        <v>144.99</v>
      </c>
      <c r="O41" s="2" t="s">
        <v>97</v>
      </c>
      <c r="P41" s="2" t="s">
        <v>198</v>
      </c>
      <c r="Q41" s="2" t="s">
        <v>99</v>
      </c>
      <c r="R41" s="2" t="s">
        <v>100</v>
      </c>
      <c r="S41" s="2" t="s">
        <v>237</v>
      </c>
      <c r="T41" s="2" t="s">
        <v>100</v>
      </c>
      <c r="U41" s="2" t="s">
        <v>102</v>
      </c>
      <c r="V41" s="2" t="s">
        <v>200</v>
      </c>
      <c r="W41" s="2" t="s">
        <v>104</v>
      </c>
      <c r="X41" s="2" t="s">
        <v>201</v>
      </c>
      <c r="Y41" s="2" t="s">
        <v>106</v>
      </c>
      <c r="Z41" s="4">
        <v>55</v>
      </c>
      <c r="AA41" s="4">
        <f>=ROUNDDOWN(17.741935483871,0)</f>
      </c>
      <c r="AB41" s="5">
        <v>3.1</v>
      </c>
      <c r="AC41" s="2" t="s">
        <v>100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/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51</v>
      </c>
      <c r="BK41" s="8">
        <v>3349.94</v>
      </c>
      <c r="BL41" s="2" t="s">
        <v>245</v>
      </c>
      <c r="BM41" s="7"/>
      <c r="BN41" s="7"/>
      <c r="BO41" s="4"/>
      <c r="BP41" s="8"/>
      <c r="BQ41" s="4"/>
      <c r="BR41" s="8"/>
      <c r="BS41" s="7"/>
      <c r="BT41" s="7"/>
      <c r="BU41" s="2" t="s">
        <v>147</v>
      </c>
      <c r="BV41" s="2" t="s">
        <v>97</v>
      </c>
      <c r="BW41" s="2" t="s">
        <v>100</v>
      </c>
      <c r="BX41" s="2" t="s">
        <v>100</v>
      </c>
      <c r="BY41" s="2" t="s">
        <v>112</v>
      </c>
      <c r="BZ41" s="2" t="s">
        <v>100</v>
      </c>
    </row>
    <row r="42">
      <c r="A42" s="2" t="s">
        <v>246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193</v>
      </c>
      <c r="G42" s="2" t="s">
        <v>194</v>
      </c>
      <c r="H42" s="2" t="s">
        <v>195</v>
      </c>
      <c r="I42" s="2" t="s">
        <v>196</v>
      </c>
      <c r="J42" s="2" t="s">
        <v>95</v>
      </c>
      <c r="K42" s="2" t="s">
        <v>247</v>
      </c>
      <c r="L42" s="3">
        <v>61.96</v>
      </c>
      <c r="M42" s="3">
        <v>65.06</v>
      </c>
      <c r="N42" s="3">
        <v>124.99</v>
      </c>
      <c r="O42" s="2" t="s">
        <v>97</v>
      </c>
      <c r="P42" s="2" t="s">
        <v>198</v>
      </c>
      <c r="Q42" s="2" t="s">
        <v>99</v>
      </c>
      <c r="R42" s="2" t="s">
        <v>100</v>
      </c>
      <c r="S42" s="2" t="s">
        <v>248</v>
      </c>
      <c r="T42" s="2" t="s">
        <v>100</v>
      </c>
      <c r="U42" s="2" t="s">
        <v>102</v>
      </c>
      <c r="V42" s="2" t="s">
        <v>200</v>
      </c>
      <c r="W42" s="2" t="s">
        <v>104</v>
      </c>
      <c r="X42" s="2" t="s">
        <v>201</v>
      </c>
      <c r="Y42" s="2" t="s">
        <v>106</v>
      </c>
      <c r="Z42" s="4">
        <v>197</v>
      </c>
      <c r="AA42" s="4">
        <f>=ROUNDDOWN(12.3125,0)</f>
      </c>
      <c r="AB42" s="5">
        <v>16</v>
      </c>
      <c r="AC42" s="2" t="s">
        <v>100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>
        <v>0</v>
      </c>
      <c r="AP42" s="4">
        <v>3</v>
      </c>
      <c r="AQ42" s="8">
        <v>195.18</v>
      </c>
      <c r="AR42" s="4">
        <v>5</v>
      </c>
      <c r="AS42" s="8">
        <v>346.96</v>
      </c>
      <c r="AT42" s="7">
        <v>-0.4</v>
      </c>
      <c r="AU42" s="7">
        <v>-0.4375</v>
      </c>
      <c r="AV42" s="4">
        <v>4</v>
      </c>
      <c r="AW42" s="8">
        <v>269.88</v>
      </c>
      <c r="AX42" s="4">
        <v>10</v>
      </c>
      <c r="AY42" s="8">
        <v>753.62</v>
      </c>
      <c r="AZ42" s="7">
        <v>-0.6</v>
      </c>
      <c r="BA42" s="7">
        <v>-0.6419</v>
      </c>
      <c r="BB42" s="7">
        <v>0.7232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>
        <v>0.1041</v>
      </c>
      <c r="BJ42" s="4">
        <v>257</v>
      </c>
      <c r="BK42" s="8">
        <v>15355.78</v>
      </c>
      <c r="BL42" s="2" t="s">
        <v>249</v>
      </c>
      <c r="BM42" s="7">
        <v>0.0117</v>
      </c>
      <c r="BN42" s="7">
        <v>0.0127</v>
      </c>
      <c r="BO42" s="4">
        <v>3</v>
      </c>
      <c r="BP42" s="8">
        <v>195.18</v>
      </c>
      <c r="BQ42" s="4">
        <v>5</v>
      </c>
      <c r="BR42" s="8">
        <v>346.96</v>
      </c>
      <c r="BS42" s="7">
        <v>-0.4</v>
      </c>
      <c r="BT42" s="7">
        <v>-0.4375</v>
      </c>
      <c r="BU42" s="2" t="s">
        <v>109</v>
      </c>
      <c r="BV42" s="2" t="s">
        <v>97</v>
      </c>
      <c r="BW42" s="2" t="s">
        <v>110</v>
      </c>
      <c r="BX42" s="2" t="s">
        <v>250</v>
      </c>
      <c r="BY42" s="2" t="s">
        <v>112</v>
      </c>
      <c r="BZ42" s="2" t="s">
        <v>100</v>
      </c>
    </row>
    <row r="43">
      <c r="A43" s="2" t="s">
        <v>251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193</v>
      </c>
      <c r="G43" s="2" t="s">
        <v>194</v>
      </c>
      <c r="H43" s="2" t="s">
        <v>195</v>
      </c>
      <c r="I43" s="2" t="s">
        <v>196</v>
      </c>
      <c r="J43" s="2" t="s">
        <v>114</v>
      </c>
      <c r="K43" s="2" t="s">
        <v>247</v>
      </c>
      <c r="L43" s="3">
        <v>71.14</v>
      </c>
      <c r="M43" s="3">
        <v>74.7</v>
      </c>
      <c r="N43" s="3">
        <v>144.99</v>
      </c>
      <c r="O43" s="2" t="s">
        <v>97</v>
      </c>
      <c r="P43" s="2" t="s">
        <v>198</v>
      </c>
      <c r="Q43" s="2" t="s">
        <v>99</v>
      </c>
      <c r="R43" s="2" t="s">
        <v>100</v>
      </c>
      <c r="S43" s="2" t="s">
        <v>248</v>
      </c>
      <c r="T43" s="2" t="s">
        <v>100</v>
      </c>
      <c r="U43" s="2" t="s">
        <v>102</v>
      </c>
      <c r="V43" s="2" t="s">
        <v>200</v>
      </c>
      <c r="W43" s="2" t="s">
        <v>104</v>
      </c>
      <c r="X43" s="2" t="s">
        <v>201</v>
      </c>
      <c r="Y43" s="2" t="s">
        <v>106</v>
      </c>
      <c r="Z43" s="4">
        <v>347</v>
      </c>
      <c r="AA43" s="4">
        <f>=ROUNDDOWN(31.5454545454545,0)</f>
      </c>
      <c r="AB43" s="5">
        <v>11</v>
      </c>
      <c r="AC43" s="2" t="s">
        <v>100</v>
      </c>
      <c r="AD43" s="4"/>
      <c r="AE43" s="4"/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>
        <v>0</v>
      </c>
      <c r="AP43" s="4">
        <v>1</v>
      </c>
      <c r="AQ43" s="8">
        <v>74.7</v>
      </c>
      <c r="AR43" s="4">
        <v>3</v>
      </c>
      <c r="AS43" s="8">
        <v>240.68</v>
      </c>
      <c r="AT43" s="7">
        <v>-0.6667</v>
      </c>
      <c r="AU43" s="7">
        <v>-0.6896</v>
      </c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>
        <v>0.2768</v>
      </c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151</v>
      </c>
      <c r="BK43" s="8">
        <v>10037.51</v>
      </c>
      <c r="BL43" s="2" t="s">
        <v>252</v>
      </c>
      <c r="BM43" s="7">
        <v>0.0066</v>
      </c>
      <c r="BN43" s="7">
        <v>0.0074</v>
      </c>
      <c r="BO43" s="4">
        <v>1</v>
      </c>
      <c r="BP43" s="8">
        <v>74.7</v>
      </c>
      <c r="BQ43" s="4">
        <v>3</v>
      </c>
      <c r="BR43" s="8">
        <v>240.68</v>
      </c>
      <c r="BS43" s="7">
        <v>-0.6667</v>
      </c>
      <c r="BT43" s="7">
        <v>-0.6896</v>
      </c>
      <c r="BU43" s="2" t="s">
        <v>109</v>
      </c>
      <c r="BV43" s="2" t="s">
        <v>97</v>
      </c>
      <c r="BW43" s="2" t="s">
        <v>253</v>
      </c>
      <c r="BX43" s="2" t="s">
        <v>254</v>
      </c>
      <c r="BY43" s="2" t="s">
        <v>112</v>
      </c>
      <c r="BZ43" s="2" t="s">
        <v>100</v>
      </c>
    </row>
    <row r="44">
      <c r="A44" s="2" t="s">
        <v>255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193</v>
      </c>
      <c r="G44" s="2" t="s">
        <v>194</v>
      </c>
      <c r="H44" s="2" t="s">
        <v>195</v>
      </c>
      <c r="I44" s="2" t="s">
        <v>196</v>
      </c>
      <c r="J44" s="2" t="s">
        <v>118</v>
      </c>
      <c r="K44" s="2" t="s">
        <v>247</v>
      </c>
      <c r="L44" s="3">
        <v>71.14</v>
      </c>
      <c r="M44" s="3">
        <v>74.7</v>
      </c>
      <c r="N44" s="3">
        <v>144.99</v>
      </c>
      <c r="O44" s="2" t="s">
        <v>97</v>
      </c>
      <c r="P44" s="2" t="s">
        <v>198</v>
      </c>
      <c r="Q44" s="2" t="s">
        <v>99</v>
      </c>
      <c r="R44" s="2" t="s">
        <v>100</v>
      </c>
      <c r="S44" s="2" t="s">
        <v>248</v>
      </c>
      <c r="T44" s="2" t="s">
        <v>100</v>
      </c>
      <c r="U44" s="2" t="s">
        <v>102</v>
      </c>
      <c r="V44" s="2" t="s">
        <v>200</v>
      </c>
      <c r="W44" s="2" t="s">
        <v>104</v>
      </c>
      <c r="X44" s="2" t="s">
        <v>201</v>
      </c>
      <c r="Y44" s="2" t="s">
        <v>106</v>
      </c>
      <c r="Z44" s="4">
        <v>113</v>
      </c>
      <c r="AA44" s="4">
        <f>=ROUNDDOWN(18.8333333333333,0)</f>
      </c>
      <c r="AB44" s="5">
        <v>6</v>
      </c>
      <c r="AC44" s="2" t="s">
        <v>100</v>
      </c>
      <c r="AD44" s="4"/>
      <c r="AE44" s="4"/>
      <c r="AF44" s="6">
        <v>65</v>
      </c>
      <c r="AG44" s="6">
        <v>48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0</v>
      </c>
      <c r="AP44" s="4"/>
      <c r="AQ44" s="8"/>
      <c r="AR44" s="4">
        <v>2</v>
      </c>
      <c r="AS44" s="8">
        <v>165.98</v>
      </c>
      <c r="AT44" s="7">
        <v>-1</v>
      </c>
      <c r="AU44" s="7">
        <v>-1</v>
      </c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81</v>
      </c>
      <c r="BK44" s="8">
        <v>5505.12</v>
      </c>
      <c r="BL44" s="2" t="s">
        <v>256</v>
      </c>
      <c r="BM44" s="7"/>
      <c r="BN44" s="7"/>
      <c r="BO44" s="4"/>
      <c r="BP44" s="8"/>
      <c r="BQ44" s="4">
        <v>2</v>
      </c>
      <c r="BR44" s="8">
        <v>165.98</v>
      </c>
      <c r="BS44" s="7">
        <v>-1</v>
      </c>
      <c r="BT44" s="7">
        <v>-1</v>
      </c>
      <c r="BU44" s="2" t="s">
        <v>109</v>
      </c>
      <c r="BV44" s="2" t="s">
        <v>97</v>
      </c>
      <c r="BW44" s="2" t="s">
        <v>110</v>
      </c>
      <c r="BX44" s="2" t="s">
        <v>257</v>
      </c>
      <c r="BY44" s="2" t="s">
        <v>112</v>
      </c>
      <c r="BZ44" s="2" t="s">
        <v>100</v>
      </c>
    </row>
    <row r="45">
      <c r="A45" s="2" t="s">
        <v>258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193</v>
      </c>
      <c r="G45" s="2" t="s">
        <v>194</v>
      </c>
      <c r="H45" s="2" t="s">
        <v>195</v>
      </c>
      <c r="I45" s="2" t="s">
        <v>196</v>
      </c>
      <c r="J45" s="2" t="s">
        <v>95</v>
      </c>
      <c r="K45" s="2" t="s">
        <v>168</v>
      </c>
      <c r="L45" s="3">
        <v>61.96</v>
      </c>
      <c r="M45" s="3">
        <v>65.06</v>
      </c>
      <c r="N45" s="3">
        <v>124.99</v>
      </c>
      <c r="O45" s="2" t="s">
        <v>97</v>
      </c>
      <c r="P45" s="2" t="s">
        <v>198</v>
      </c>
      <c r="Q45" s="2" t="s">
        <v>99</v>
      </c>
      <c r="R45" s="2" t="s">
        <v>100</v>
      </c>
      <c r="S45" s="2" t="s">
        <v>259</v>
      </c>
      <c r="T45" s="2" t="s">
        <v>100</v>
      </c>
      <c r="U45" s="2" t="s">
        <v>102</v>
      </c>
      <c r="V45" s="2" t="s">
        <v>200</v>
      </c>
      <c r="W45" s="2" t="s">
        <v>104</v>
      </c>
      <c r="X45" s="2" t="s">
        <v>201</v>
      </c>
      <c r="Y45" s="2" t="s">
        <v>106</v>
      </c>
      <c r="Z45" s="4">
        <v>223</v>
      </c>
      <c r="AA45" s="4">
        <f>=ROUNDDOWN(27.875,0)</f>
      </c>
      <c r="AB45" s="5">
        <v>8</v>
      </c>
      <c r="AC45" s="2" t="s">
        <v>100</v>
      </c>
      <c r="AD45" s="4"/>
      <c r="AE45" s="4"/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>
        <v>0</v>
      </c>
      <c r="AP45" s="4">
        <v>3</v>
      </c>
      <c r="AQ45" s="8">
        <v>195.18</v>
      </c>
      <c r="AR45" s="4">
        <v>5</v>
      </c>
      <c r="AS45" s="8">
        <v>354.22</v>
      </c>
      <c r="AT45" s="7">
        <v>-0.4</v>
      </c>
      <c r="AU45" s="7">
        <v>-0.449</v>
      </c>
      <c r="AV45" s="4">
        <v>4</v>
      </c>
      <c r="AW45" s="8">
        <v>269.88</v>
      </c>
      <c r="AX45" s="4">
        <v>6</v>
      </c>
      <c r="AY45" s="8">
        <v>437.22</v>
      </c>
      <c r="AZ45" s="7">
        <v>-0.3333</v>
      </c>
      <c r="BA45" s="7">
        <v>-0.3827</v>
      </c>
      <c r="BB45" s="7">
        <v>0.7232</v>
      </c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>
        <v>0.1041</v>
      </c>
      <c r="BJ45" s="4">
        <v>133</v>
      </c>
      <c r="BK45" s="8">
        <v>6941.05</v>
      </c>
      <c r="BL45" s="2" t="s">
        <v>260</v>
      </c>
      <c r="BM45" s="7">
        <v>0.0226</v>
      </c>
      <c r="BN45" s="7">
        <v>0.0281</v>
      </c>
      <c r="BO45" s="4">
        <v>3</v>
      </c>
      <c r="BP45" s="8">
        <v>195.18</v>
      </c>
      <c r="BQ45" s="4">
        <v>5</v>
      </c>
      <c r="BR45" s="8">
        <v>354.22</v>
      </c>
      <c r="BS45" s="7">
        <v>-0.4</v>
      </c>
      <c r="BT45" s="7">
        <v>-0.449</v>
      </c>
      <c r="BU45" s="2" t="s">
        <v>109</v>
      </c>
      <c r="BV45" s="2" t="s">
        <v>97</v>
      </c>
      <c r="BW45" s="2" t="s">
        <v>217</v>
      </c>
      <c r="BX45" s="2" t="s">
        <v>261</v>
      </c>
      <c r="BY45" s="2" t="s">
        <v>112</v>
      </c>
      <c r="BZ45" s="2" t="s">
        <v>100</v>
      </c>
    </row>
    <row r="46">
      <c r="A46" s="2" t="s">
        <v>262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193</v>
      </c>
      <c r="G46" s="2" t="s">
        <v>194</v>
      </c>
      <c r="H46" s="2" t="s">
        <v>195</v>
      </c>
      <c r="I46" s="2" t="s">
        <v>196</v>
      </c>
      <c r="J46" s="2" t="s">
        <v>114</v>
      </c>
      <c r="K46" s="2" t="s">
        <v>168</v>
      </c>
      <c r="L46" s="3">
        <v>71.14</v>
      </c>
      <c r="M46" s="3">
        <v>74.7</v>
      </c>
      <c r="N46" s="3">
        <v>144.99</v>
      </c>
      <c r="O46" s="2" t="s">
        <v>97</v>
      </c>
      <c r="P46" s="2" t="s">
        <v>198</v>
      </c>
      <c r="Q46" s="2" t="s">
        <v>99</v>
      </c>
      <c r="R46" s="2" t="s">
        <v>100</v>
      </c>
      <c r="S46" s="2" t="s">
        <v>259</v>
      </c>
      <c r="T46" s="2" t="s">
        <v>100</v>
      </c>
      <c r="U46" s="2" t="s">
        <v>102</v>
      </c>
      <c r="V46" s="2" t="s">
        <v>200</v>
      </c>
      <c r="W46" s="2" t="s">
        <v>104</v>
      </c>
      <c r="X46" s="2" t="s">
        <v>201</v>
      </c>
      <c r="Y46" s="2" t="s">
        <v>106</v>
      </c>
      <c r="Z46" s="4">
        <v>124</v>
      </c>
      <c r="AA46" s="4">
        <f>=ROUNDDOWN(17.7142857142857,0)</f>
      </c>
      <c r="AB46" s="5">
        <v>7</v>
      </c>
      <c r="AC46" s="2" t="s">
        <v>100</v>
      </c>
      <c r="AD46" s="4"/>
      <c r="AE46" s="4"/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>
        <v>0</v>
      </c>
      <c r="AP46" s="4">
        <v>1</v>
      </c>
      <c r="AQ46" s="8">
        <v>74.7</v>
      </c>
      <c r="AR46" s="4">
        <v>1</v>
      </c>
      <c r="AS46" s="8">
        <v>83</v>
      </c>
      <c r="AT46" s="7"/>
      <c r="AU46" s="7">
        <v>-0.1</v>
      </c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>
        <v>0.2768</v>
      </c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97</v>
      </c>
      <c r="BK46" s="8">
        <v>6585.54</v>
      </c>
      <c r="BL46" s="2" t="s">
        <v>260</v>
      </c>
      <c r="BM46" s="7">
        <v>0.0103</v>
      </c>
      <c r="BN46" s="7">
        <v>0.0113</v>
      </c>
      <c r="BO46" s="4">
        <v>1</v>
      </c>
      <c r="BP46" s="8">
        <v>74.7</v>
      </c>
      <c r="BQ46" s="4">
        <v>1</v>
      </c>
      <c r="BR46" s="8">
        <v>83</v>
      </c>
      <c r="BS46" s="7"/>
      <c r="BT46" s="7">
        <v>-0.1</v>
      </c>
      <c r="BU46" s="2" t="s">
        <v>109</v>
      </c>
      <c r="BV46" s="2" t="s">
        <v>97</v>
      </c>
      <c r="BW46" s="2" t="s">
        <v>217</v>
      </c>
      <c r="BX46" s="2" t="s">
        <v>263</v>
      </c>
      <c r="BY46" s="2" t="s">
        <v>112</v>
      </c>
      <c r="BZ46" s="2" t="s">
        <v>100</v>
      </c>
    </row>
    <row r="47">
      <c r="A47" s="2" t="s">
        <v>264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193</v>
      </c>
      <c r="G47" s="2" t="s">
        <v>194</v>
      </c>
      <c r="H47" s="2" t="s">
        <v>195</v>
      </c>
      <c r="I47" s="2" t="s">
        <v>196</v>
      </c>
      <c r="J47" s="2" t="s">
        <v>118</v>
      </c>
      <c r="K47" s="2" t="s">
        <v>168</v>
      </c>
      <c r="L47" s="3">
        <v>71.14</v>
      </c>
      <c r="M47" s="3">
        <v>74.7</v>
      </c>
      <c r="N47" s="3">
        <v>144.99</v>
      </c>
      <c r="O47" s="2" t="s">
        <v>97</v>
      </c>
      <c r="P47" s="2" t="s">
        <v>198</v>
      </c>
      <c r="Q47" s="2" t="s">
        <v>99</v>
      </c>
      <c r="R47" s="2" t="s">
        <v>100</v>
      </c>
      <c r="S47" s="2" t="s">
        <v>259</v>
      </c>
      <c r="T47" s="2" t="s">
        <v>100</v>
      </c>
      <c r="U47" s="2" t="s">
        <v>102</v>
      </c>
      <c r="V47" s="2" t="s">
        <v>200</v>
      </c>
      <c r="W47" s="2" t="s">
        <v>104</v>
      </c>
      <c r="X47" s="2" t="s">
        <v>201</v>
      </c>
      <c r="Y47" s="2" t="s">
        <v>106</v>
      </c>
      <c r="Z47" s="4">
        <v>122</v>
      </c>
      <c r="AA47" s="4">
        <f>=ROUNDDOWN(30.5,0)</f>
      </c>
      <c r="AB47" s="5">
        <v>4</v>
      </c>
      <c r="AC47" s="2" t="s">
        <v>100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53</v>
      </c>
      <c r="BK47" s="8">
        <v>3386.69</v>
      </c>
      <c r="BL47" s="2" t="s">
        <v>265</v>
      </c>
      <c r="BM47" s="7"/>
      <c r="BN47" s="7"/>
      <c r="BO47" s="4"/>
      <c r="BP47" s="8"/>
      <c r="BQ47" s="4"/>
      <c r="BR47" s="8"/>
      <c r="BS47" s="7"/>
      <c r="BT47" s="7"/>
      <c r="BU47" s="2" t="s">
        <v>147</v>
      </c>
      <c r="BV47" s="2" t="s">
        <v>97</v>
      </c>
      <c r="BW47" s="2" t="s">
        <v>100</v>
      </c>
      <c r="BX47" s="2" t="s">
        <v>100</v>
      </c>
      <c r="BY47" s="2" t="s">
        <v>112</v>
      </c>
      <c r="BZ47" s="2" t="s">
        <v>100</v>
      </c>
    </row>
    <row r="48">
      <c r="A48" s="2" t="s">
        <v>266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193</v>
      </c>
      <c r="G48" s="2" t="s">
        <v>194</v>
      </c>
      <c r="H48" s="2" t="s">
        <v>195</v>
      </c>
      <c r="I48" s="2" t="s">
        <v>196</v>
      </c>
      <c r="J48" s="2" t="s">
        <v>95</v>
      </c>
      <c r="K48" s="2" t="s">
        <v>267</v>
      </c>
      <c r="L48" s="3">
        <v>61.96</v>
      </c>
      <c r="M48" s="3">
        <v>65.06</v>
      </c>
      <c r="N48" s="3">
        <v>124.99</v>
      </c>
      <c r="O48" s="2" t="s">
        <v>97</v>
      </c>
      <c r="P48" s="2" t="s">
        <v>198</v>
      </c>
      <c r="Q48" s="2" t="s">
        <v>99</v>
      </c>
      <c r="R48" s="2" t="s">
        <v>100</v>
      </c>
      <c r="S48" s="2" t="s">
        <v>268</v>
      </c>
      <c r="T48" s="2" t="s">
        <v>100</v>
      </c>
      <c r="U48" s="2" t="s">
        <v>102</v>
      </c>
      <c r="V48" s="2" t="s">
        <v>200</v>
      </c>
      <c r="W48" s="2" t="s">
        <v>104</v>
      </c>
      <c r="X48" s="2" t="s">
        <v>201</v>
      </c>
      <c r="Y48" s="2" t="s">
        <v>106</v>
      </c>
      <c r="Z48" s="4">
        <v>282</v>
      </c>
      <c r="AA48" s="4">
        <f>=ROUNDDOWN(17.625,0)</f>
      </c>
      <c r="AB48" s="5">
        <v>16</v>
      </c>
      <c r="AC48" s="2" t="s">
        <v>269</v>
      </c>
      <c r="AD48" s="4">
        <v>50</v>
      </c>
      <c r="AE48" s="4">
        <v>240</v>
      </c>
      <c r="AF48" s="6">
        <v>65</v>
      </c>
      <c r="AG48" s="6">
        <v>48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236</v>
      </c>
      <c r="BK48" s="8">
        <v>15093.87</v>
      </c>
      <c r="BL48" s="2" t="s">
        <v>270</v>
      </c>
      <c r="BM48" s="7"/>
      <c r="BN48" s="7"/>
      <c r="BO48" s="4"/>
      <c r="BP48" s="8"/>
      <c r="BQ48" s="4"/>
      <c r="BR48" s="8"/>
      <c r="BS48" s="7"/>
      <c r="BT48" s="7"/>
      <c r="BU48" s="2" t="s">
        <v>147</v>
      </c>
      <c r="BV48" s="2" t="s">
        <v>97</v>
      </c>
      <c r="BW48" s="2" t="s">
        <v>100</v>
      </c>
      <c r="BX48" s="2" t="s">
        <v>100</v>
      </c>
      <c r="BY48" s="2" t="s">
        <v>112</v>
      </c>
      <c r="BZ48" s="2" t="s">
        <v>100</v>
      </c>
    </row>
    <row r="49">
      <c r="A49" s="2" t="s">
        <v>271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193</v>
      </c>
      <c r="G49" s="2" t="s">
        <v>194</v>
      </c>
      <c r="H49" s="2" t="s">
        <v>195</v>
      </c>
      <c r="I49" s="2" t="s">
        <v>196</v>
      </c>
      <c r="J49" s="2" t="s">
        <v>114</v>
      </c>
      <c r="K49" s="2" t="s">
        <v>267</v>
      </c>
      <c r="L49" s="3">
        <v>71.14</v>
      </c>
      <c r="M49" s="3">
        <v>74.7</v>
      </c>
      <c r="N49" s="3">
        <v>144.99</v>
      </c>
      <c r="O49" s="2" t="s">
        <v>97</v>
      </c>
      <c r="P49" s="2" t="s">
        <v>198</v>
      </c>
      <c r="Q49" s="2" t="s">
        <v>99</v>
      </c>
      <c r="R49" s="2" t="s">
        <v>100</v>
      </c>
      <c r="S49" s="2" t="s">
        <v>268</v>
      </c>
      <c r="T49" s="2" t="s">
        <v>100</v>
      </c>
      <c r="U49" s="2" t="s">
        <v>102</v>
      </c>
      <c r="V49" s="2" t="s">
        <v>200</v>
      </c>
      <c r="W49" s="2" t="s">
        <v>104</v>
      </c>
      <c r="X49" s="2" t="s">
        <v>201</v>
      </c>
      <c r="Y49" s="2" t="s">
        <v>106</v>
      </c>
      <c r="Z49" s="4">
        <v>244</v>
      </c>
      <c r="AA49" s="4">
        <f>=ROUNDDOWN(18.7692307692308,0)</f>
      </c>
      <c r="AB49" s="5">
        <v>13</v>
      </c>
      <c r="AC49" s="2" t="s">
        <v>269</v>
      </c>
      <c r="AD49" s="4">
        <v>40</v>
      </c>
      <c r="AE49" s="4">
        <v>210</v>
      </c>
      <c r="AF49" s="6">
        <v>65</v>
      </c>
      <c r="AG49" s="6">
        <v>48</v>
      </c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100</v>
      </c>
      <c r="AW49" s="8" t="s">
        <v>100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/>
      <c r="BC49" s="4" t="s">
        <v>100</v>
      </c>
      <c r="BD49" s="8" t="s">
        <v>100</v>
      </c>
      <c r="BE49" s="4" t="s">
        <v>100</v>
      </c>
      <c r="BF49" s="8" t="s">
        <v>100</v>
      </c>
      <c r="BG49" s="7" t="s">
        <v>100</v>
      </c>
      <c r="BH49" s="7" t="s">
        <v>100</v>
      </c>
      <c r="BI49" s="7" t="s">
        <v>100</v>
      </c>
      <c r="BJ49" s="4">
        <v>176</v>
      </c>
      <c r="BK49" s="8">
        <v>13324.11</v>
      </c>
      <c r="BL49" s="2" t="s">
        <v>272</v>
      </c>
      <c r="BM49" s="7"/>
      <c r="BN49" s="7"/>
      <c r="BO49" s="4"/>
      <c r="BP49" s="8"/>
      <c r="BQ49" s="4"/>
      <c r="BR49" s="8"/>
      <c r="BS49" s="7"/>
      <c r="BT49" s="7"/>
      <c r="BU49" s="2" t="s">
        <v>147</v>
      </c>
      <c r="BV49" s="2" t="s">
        <v>97</v>
      </c>
      <c r="BW49" s="2" t="s">
        <v>100</v>
      </c>
      <c r="BX49" s="2" t="s">
        <v>100</v>
      </c>
      <c r="BY49" s="2" t="s">
        <v>112</v>
      </c>
      <c r="BZ49" s="2" t="s">
        <v>100</v>
      </c>
    </row>
    <row r="50">
      <c r="A50" s="2" t="s">
        <v>273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193</v>
      </c>
      <c r="G50" s="2" t="s">
        <v>194</v>
      </c>
      <c r="H50" s="2" t="s">
        <v>195</v>
      </c>
      <c r="I50" s="2" t="s">
        <v>196</v>
      </c>
      <c r="J50" s="2" t="s">
        <v>118</v>
      </c>
      <c r="K50" s="2" t="s">
        <v>267</v>
      </c>
      <c r="L50" s="3">
        <v>71.14</v>
      </c>
      <c r="M50" s="3">
        <v>74.7</v>
      </c>
      <c r="N50" s="3">
        <v>144.99</v>
      </c>
      <c r="O50" s="2" t="s">
        <v>97</v>
      </c>
      <c r="P50" s="2" t="s">
        <v>198</v>
      </c>
      <c r="Q50" s="2" t="s">
        <v>99</v>
      </c>
      <c r="R50" s="2" t="s">
        <v>100</v>
      </c>
      <c r="S50" s="2" t="s">
        <v>268</v>
      </c>
      <c r="T50" s="2" t="s">
        <v>100</v>
      </c>
      <c r="U50" s="2" t="s">
        <v>102</v>
      </c>
      <c r="V50" s="2" t="s">
        <v>200</v>
      </c>
      <c r="W50" s="2" t="s">
        <v>104</v>
      </c>
      <c r="X50" s="2" t="s">
        <v>201</v>
      </c>
      <c r="Y50" s="2" t="s">
        <v>106</v>
      </c>
      <c r="Z50" s="4">
        <v>192</v>
      </c>
      <c r="AA50" s="4">
        <f>=ROUNDDOWN(32,0)</f>
      </c>
      <c r="AB50" s="5">
        <v>6</v>
      </c>
      <c r="AC50" s="2" t="s">
        <v>269</v>
      </c>
      <c r="AD50" s="4">
        <v>40</v>
      </c>
      <c r="AE50" s="4">
        <v>130</v>
      </c>
      <c r="AF50" s="6">
        <v>65</v>
      </c>
      <c r="AG50" s="6">
        <v>48</v>
      </c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65</v>
      </c>
      <c r="BK50" s="8">
        <v>4295.48</v>
      </c>
      <c r="BL50" s="2" t="s">
        <v>274</v>
      </c>
      <c r="BM50" s="7"/>
      <c r="BN50" s="7"/>
      <c r="BO50" s="4"/>
      <c r="BP50" s="8"/>
      <c r="BQ50" s="4"/>
      <c r="BR50" s="8"/>
      <c r="BS50" s="7"/>
      <c r="BT50" s="7"/>
      <c r="BU50" s="2" t="s">
        <v>147</v>
      </c>
      <c r="BV50" s="2" t="s">
        <v>97</v>
      </c>
      <c r="BW50" s="2" t="s">
        <v>100</v>
      </c>
      <c r="BX50" s="2" t="s">
        <v>100</v>
      </c>
      <c r="BY50" s="2" t="s">
        <v>112</v>
      </c>
      <c r="BZ50" s="2" t="s">
        <v>100</v>
      </c>
    </row>
    <row r="51">
      <c r="A51" s="2" t="s">
        <v>275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193</v>
      </c>
      <c r="G51" s="2" t="s">
        <v>194</v>
      </c>
      <c r="H51" s="2" t="s">
        <v>195</v>
      </c>
      <c r="I51" s="2" t="s">
        <v>196</v>
      </c>
      <c r="J51" s="2" t="s">
        <v>95</v>
      </c>
      <c r="K51" s="2" t="s">
        <v>158</v>
      </c>
      <c r="L51" s="3">
        <v>61.96</v>
      </c>
      <c r="M51" s="3">
        <v>65.06</v>
      </c>
      <c r="N51" s="3">
        <v>124.99</v>
      </c>
      <c r="O51" s="2" t="s">
        <v>97</v>
      </c>
      <c r="P51" s="2" t="s">
        <v>198</v>
      </c>
      <c r="Q51" s="2" t="s">
        <v>99</v>
      </c>
      <c r="R51" s="2" t="s">
        <v>100</v>
      </c>
      <c r="S51" s="2" t="s">
        <v>211</v>
      </c>
      <c r="T51" s="2" t="s">
        <v>100</v>
      </c>
      <c r="U51" s="2" t="s">
        <v>102</v>
      </c>
      <c r="V51" s="2" t="s">
        <v>200</v>
      </c>
      <c r="W51" s="2" t="s">
        <v>104</v>
      </c>
      <c r="X51" s="2" t="s">
        <v>201</v>
      </c>
      <c r="Y51" s="2" t="s">
        <v>106</v>
      </c>
      <c r="Z51" s="4">
        <v>249</v>
      </c>
      <c r="AA51" s="4">
        <f>=ROUNDDOWN(16.6,0)</f>
      </c>
      <c r="AB51" s="5">
        <v>15</v>
      </c>
      <c r="AC51" s="2" t="s">
        <v>100</v>
      </c>
      <c r="AD51" s="4"/>
      <c r="AE51" s="4"/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/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195</v>
      </c>
      <c r="BK51" s="8">
        <v>10704.7</v>
      </c>
      <c r="BL51" s="2" t="s">
        <v>276</v>
      </c>
      <c r="BM51" s="7"/>
      <c r="BN51" s="7"/>
      <c r="BO51" s="4"/>
      <c r="BP51" s="8"/>
      <c r="BQ51" s="4"/>
      <c r="BR51" s="8"/>
      <c r="BS51" s="7"/>
      <c r="BT51" s="7"/>
      <c r="BU51" s="2" t="s">
        <v>147</v>
      </c>
      <c r="BV51" s="2" t="s">
        <v>97</v>
      </c>
      <c r="BW51" s="2" t="s">
        <v>100</v>
      </c>
      <c r="BX51" s="2" t="s">
        <v>100</v>
      </c>
      <c r="BY51" s="2" t="s">
        <v>112</v>
      </c>
      <c r="BZ51" s="2" t="s">
        <v>100</v>
      </c>
    </row>
    <row r="52">
      <c r="A52" s="2" t="s">
        <v>277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193</v>
      </c>
      <c r="G52" s="2" t="s">
        <v>194</v>
      </c>
      <c r="H52" s="2" t="s">
        <v>195</v>
      </c>
      <c r="I52" s="2" t="s">
        <v>196</v>
      </c>
      <c r="J52" s="2" t="s">
        <v>114</v>
      </c>
      <c r="K52" s="2" t="s">
        <v>158</v>
      </c>
      <c r="L52" s="3">
        <v>71.14</v>
      </c>
      <c r="M52" s="3">
        <v>74.7</v>
      </c>
      <c r="N52" s="3">
        <v>144.99</v>
      </c>
      <c r="O52" s="2" t="s">
        <v>97</v>
      </c>
      <c r="P52" s="2" t="s">
        <v>198</v>
      </c>
      <c r="Q52" s="2" t="s">
        <v>99</v>
      </c>
      <c r="R52" s="2" t="s">
        <v>100</v>
      </c>
      <c r="S52" s="2" t="s">
        <v>211</v>
      </c>
      <c r="T52" s="2" t="s">
        <v>100</v>
      </c>
      <c r="U52" s="2" t="s">
        <v>102</v>
      </c>
      <c r="V52" s="2" t="s">
        <v>200</v>
      </c>
      <c r="W52" s="2" t="s">
        <v>104</v>
      </c>
      <c r="X52" s="2" t="s">
        <v>201</v>
      </c>
      <c r="Y52" s="2" t="s">
        <v>106</v>
      </c>
      <c r="Z52" s="4">
        <v>251</v>
      </c>
      <c r="AA52" s="4">
        <f>=ROUNDDOWN(27.8888888888889,0)</f>
      </c>
      <c r="AB52" s="5">
        <v>9</v>
      </c>
      <c r="AC52" s="2" t="s">
        <v>100</v>
      </c>
      <c r="AD52" s="4"/>
      <c r="AE52" s="4"/>
      <c r="AF52" s="6">
        <v>65</v>
      </c>
      <c r="AG52" s="6">
        <v>48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100</v>
      </c>
      <c r="AW52" s="8" t="s">
        <v>100</v>
      </c>
      <c r="AX52" s="4" t="s">
        <v>100</v>
      </c>
      <c r="AY52" s="8" t="s">
        <v>100</v>
      </c>
      <c r="AZ52" s="7" t="s">
        <v>100</v>
      </c>
      <c r="BA52" s="7" t="s">
        <v>100</v>
      </c>
      <c r="BB52" s="7"/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 t="s">
        <v>100</v>
      </c>
      <c r="BJ52" s="4">
        <v>105</v>
      </c>
      <c r="BK52" s="8">
        <v>6637.66</v>
      </c>
      <c r="BL52" s="2" t="s">
        <v>278</v>
      </c>
      <c r="BM52" s="7"/>
      <c r="BN52" s="7"/>
      <c r="BO52" s="4"/>
      <c r="BP52" s="8"/>
      <c r="BQ52" s="4"/>
      <c r="BR52" s="8"/>
      <c r="BS52" s="7"/>
      <c r="BT52" s="7"/>
      <c r="BU52" s="2" t="s">
        <v>147</v>
      </c>
      <c r="BV52" s="2" t="s">
        <v>97</v>
      </c>
      <c r="BW52" s="2" t="s">
        <v>100</v>
      </c>
      <c r="BX52" s="2" t="s">
        <v>100</v>
      </c>
      <c r="BY52" s="2" t="s">
        <v>112</v>
      </c>
      <c r="BZ52" s="2" t="s">
        <v>100</v>
      </c>
    </row>
    <row r="53">
      <c r="A53" s="2" t="s">
        <v>279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193</v>
      </c>
      <c r="G53" s="2" t="s">
        <v>194</v>
      </c>
      <c r="H53" s="2" t="s">
        <v>195</v>
      </c>
      <c r="I53" s="2" t="s">
        <v>196</v>
      </c>
      <c r="J53" s="2" t="s">
        <v>118</v>
      </c>
      <c r="K53" s="2" t="s">
        <v>158</v>
      </c>
      <c r="L53" s="3">
        <v>71.14</v>
      </c>
      <c r="M53" s="3">
        <v>74.7</v>
      </c>
      <c r="N53" s="3">
        <v>144.99</v>
      </c>
      <c r="O53" s="2" t="s">
        <v>97</v>
      </c>
      <c r="P53" s="2" t="s">
        <v>198</v>
      </c>
      <c r="Q53" s="2" t="s">
        <v>99</v>
      </c>
      <c r="R53" s="2" t="s">
        <v>100</v>
      </c>
      <c r="S53" s="2" t="s">
        <v>211</v>
      </c>
      <c r="T53" s="2" t="s">
        <v>100</v>
      </c>
      <c r="U53" s="2" t="s">
        <v>102</v>
      </c>
      <c r="V53" s="2" t="s">
        <v>200</v>
      </c>
      <c r="W53" s="2" t="s">
        <v>104</v>
      </c>
      <c r="X53" s="2" t="s">
        <v>201</v>
      </c>
      <c r="Y53" s="2" t="s">
        <v>106</v>
      </c>
      <c r="Z53" s="4">
        <v>92</v>
      </c>
      <c r="AA53" s="4">
        <f>=ROUNDDOWN(23,0)</f>
      </c>
      <c r="AB53" s="5">
        <v>4</v>
      </c>
      <c r="AC53" s="2" t="s">
        <v>100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27</v>
      </c>
      <c r="BK53" s="8">
        <v>1629.14</v>
      </c>
      <c r="BL53" s="2" t="s">
        <v>280</v>
      </c>
      <c r="BM53" s="7"/>
      <c r="BN53" s="7"/>
      <c r="BO53" s="4"/>
      <c r="BP53" s="8"/>
      <c r="BQ53" s="4"/>
      <c r="BR53" s="8"/>
      <c r="BS53" s="7"/>
      <c r="BT53" s="7"/>
      <c r="BU53" s="2" t="s">
        <v>147</v>
      </c>
      <c r="BV53" s="2" t="s">
        <v>97</v>
      </c>
      <c r="BW53" s="2" t="s">
        <v>100</v>
      </c>
      <c r="BX53" s="2" t="s">
        <v>100</v>
      </c>
      <c r="BY53" s="2" t="s">
        <v>112</v>
      </c>
      <c r="BZ53" s="2" t="s">
        <v>100</v>
      </c>
    </row>
    <row r="54">
      <c r="A54" s="2" t="s">
        <v>281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193</v>
      </c>
      <c r="G54" s="2" t="s">
        <v>194</v>
      </c>
      <c r="H54" s="2" t="s">
        <v>195</v>
      </c>
      <c r="I54" s="2" t="s">
        <v>196</v>
      </c>
      <c r="J54" s="2" t="s">
        <v>95</v>
      </c>
      <c r="K54" s="2" t="s">
        <v>282</v>
      </c>
      <c r="L54" s="3">
        <v>61.96</v>
      </c>
      <c r="M54" s="3">
        <v>65.06</v>
      </c>
      <c r="N54" s="3">
        <v>124.99</v>
      </c>
      <c r="O54" s="2" t="s">
        <v>97</v>
      </c>
      <c r="P54" s="2" t="s">
        <v>198</v>
      </c>
      <c r="Q54" s="2" t="s">
        <v>99</v>
      </c>
      <c r="R54" s="2" t="s">
        <v>100</v>
      </c>
      <c r="S54" s="2" t="s">
        <v>283</v>
      </c>
      <c r="T54" s="2" t="s">
        <v>100</v>
      </c>
      <c r="U54" s="2" t="s">
        <v>102</v>
      </c>
      <c r="V54" s="2" t="s">
        <v>200</v>
      </c>
      <c r="W54" s="2" t="s">
        <v>104</v>
      </c>
      <c r="X54" s="2" t="s">
        <v>284</v>
      </c>
      <c r="Y54" s="2" t="s">
        <v>285</v>
      </c>
      <c r="Z54" s="4">
        <v>171</v>
      </c>
      <c r="AA54" s="4">
        <f>=ROUNDDOWN(15.5454545454545,0)</f>
      </c>
      <c r="AB54" s="5">
        <v>11</v>
      </c>
      <c r="AC54" s="2" t="s">
        <v>100</v>
      </c>
      <c r="AD54" s="4"/>
      <c r="AE54" s="4"/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223</v>
      </c>
      <c r="BK54" s="8">
        <v>12801.66</v>
      </c>
      <c r="BL54" s="2" t="s">
        <v>286</v>
      </c>
      <c r="BM54" s="7"/>
      <c r="BN54" s="7"/>
      <c r="BO54" s="4"/>
      <c r="BP54" s="8"/>
      <c r="BQ54" s="4"/>
      <c r="BR54" s="8"/>
      <c r="BS54" s="7"/>
      <c r="BT54" s="7"/>
      <c r="BU54" s="2" t="s">
        <v>147</v>
      </c>
      <c r="BV54" s="2" t="s">
        <v>97</v>
      </c>
      <c r="BW54" s="2" t="s">
        <v>100</v>
      </c>
      <c r="BX54" s="2" t="s">
        <v>100</v>
      </c>
      <c r="BY54" s="2" t="s">
        <v>112</v>
      </c>
      <c r="BZ54" s="2" t="s">
        <v>100</v>
      </c>
    </row>
    <row r="55">
      <c r="A55" s="2" t="s">
        <v>287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193</v>
      </c>
      <c r="G55" s="2" t="s">
        <v>194</v>
      </c>
      <c r="H55" s="2" t="s">
        <v>195</v>
      </c>
      <c r="I55" s="2" t="s">
        <v>196</v>
      </c>
      <c r="J55" s="2" t="s">
        <v>114</v>
      </c>
      <c r="K55" s="2" t="s">
        <v>282</v>
      </c>
      <c r="L55" s="3">
        <v>71.14</v>
      </c>
      <c r="M55" s="3">
        <v>74.7</v>
      </c>
      <c r="N55" s="3">
        <v>144.99</v>
      </c>
      <c r="O55" s="2" t="s">
        <v>97</v>
      </c>
      <c r="P55" s="2" t="s">
        <v>198</v>
      </c>
      <c r="Q55" s="2" t="s">
        <v>99</v>
      </c>
      <c r="R55" s="2" t="s">
        <v>100</v>
      </c>
      <c r="S55" s="2" t="s">
        <v>283</v>
      </c>
      <c r="T55" s="2" t="s">
        <v>100</v>
      </c>
      <c r="U55" s="2" t="s">
        <v>102</v>
      </c>
      <c r="V55" s="2" t="s">
        <v>200</v>
      </c>
      <c r="W55" s="2" t="s">
        <v>104</v>
      </c>
      <c r="X55" s="2" t="s">
        <v>284</v>
      </c>
      <c r="Y55" s="2" t="s">
        <v>285</v>
      </c>
      <c r="Z55" s="4">
        <v>282</v>
      </c>
      <c r="AA55" s="4">
        <f>=ROUNDDOWN(40.2857142857143,0)</f>
      </c>
      <c r="AB55" s="5">
        <v>7</v>
      </c>
      <c r="AC55" s="2" t="s">
        <v>100</v>
      </c>
      <c r="AD55" s="4"/>
      <c r="AE55" s="4"/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71</v>
      </c>
      <c r="BK55" s="8">
        <v>4131</v>
      </c>
      <c r="BL55" s="2" t="s">
        <v>288</v>
      </c>
      <c r="BM55" s="7"/>
      <c r="BN55" s="7"/>
      <c r="BO55" s="4"/>
      <c r="BP55" s="8"/>
      <c r="BQ55" s="4"/>
      <c r="BR55" s="8"/>
      <c r="BS55" s="7"/>
      <c r="BT55" s="7"/>
      <c r="BU55" s="2" t="s">
        <v>147</v>
      </c>
      <c r="BV55" s="2" t="s">
        <v>97</v>
      </c>
      <c r="BW55" s="2" t="s">
        <v>100</v>
      </c>
      <c r="BX55" s="2" t="s">
        <v>100</v>
      </c>
      <c r="BY55" s="2" t="s">
        <v>112</v>
      </c>
      <c r="BZ55" s="2" t="s">
        <v>100</v>
      </c>
    </row>
    <row r="56">
      <c r="A56" s="2" t="s">
        <v>289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193</v>
      </c>
      <c r="G56" s="2" t="s">
        <v>194</v>
      </c>
      <c r="H56" s="2" t="s">
        <v>195</v>
      </c>
      <c r="I56" s="2" t="s">
        <v>196</v>
      </c>
      <c r="J56" s="2" t="s">
        <v>118</v>
      </c>
      <c r="K56" s="2" t="s">
        <v>282</v>
      </c>
      <c r="L56" s="3">
        <v>71.14</v>
      </c>
      <c r="M56" s="3">
        <v>74.7</v>
      </c>
      <c r="N56" s="3">
        <v>144.99</v>
      </c>
      <c r="O56" s="2" t="s">
        <v>97</v>
      </c>
      <c r="P56" s="2" t="s">
        <v>198</v>
      </c>
      <c r="Q56" s="2" t="s">
        <v>99</v>
      </c>
      <c r="R56" s="2" t="s">
        <v>100</v>
      </c>
      <c r="S56" s="2" t="s">
        <v>283</v>
      </c>
      <c r="T56" s="2" t="s">
        <v>100</v>
      </c>
      <c r="U56" s="2" t="s">
        <v>102</v>
      </c>
      <c r="V56" s="2" t="s">
        <v>200</v>
      </c>
      <c r="W56" s="2" t="s">
        <v>104</v>
      </c>
      <c r="X56" s="2" t="s">
        <v>284</v>
      </c>
      <c r="Y56" s="2" t="s">
        <v>285</v>
      </c>
      <c r="Z56" s="4">
        <v>49</v>
      </c>
      <c r="AA56" s="4">
        <f>=ROUNDDOWN(16.3333333333333,0)</f>
      </c>
      <c r="AB56" s="5">
        <v>3</v>
      </c>
      <c r="AC56" s="2" t="s">
        <v>100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32</v>
      </c>
      <c r="BK56" s="8">
        <v>1798.33</v>
      </c>
      <c r="BL56" s="2" t="s">
        <v>290</v>
      </c>
      <c r="BM56" s="7"/>
      <c r="BN56" s="7"/>
      <c r="BO56" s="4"/>
      <c r="BP56" s="8"/>
      <c r="BQ56" s="4"/>
      <c r="BR56" s="8"/>
      <c r="BS56" s="7"/>
      <c r="BT56" s="7"/>
      <c r="BU56" s="2" t="s">
        <v>147</v>
      </c>
      <c r="BV56" s="2" t="s">
        <v>97</v>
      </c>
      <c r="BW56" s="2" t="s">
        <v>100</v>
      </c>
      <c r="BX56" s="2" t="s">
        <v>100</v>
      </c>
      <c r="BY56" s="2" t="s">
        <v>112</v>
      </c>
      <c r="BZ56" s="2" t="s">
        <v>100</v>
      </c>
    </row>
    <row r="57">
      <c r="A57" s="2" t="s">
        <v>291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193</v>
      </c>
      <c r="G57" s="2" t="s">
        <v>194</v>
      </c>
      <c r="H57" s="2" t="s">
        <v>195</v>
      </c>
      <c r="I57" s="2" t="s">
        <v>196</v>
      </c>
      <c r="J57" s="2" t="s">
        <v>95</v>
      </c>
      <c r="K57" s="2" t="s">
        <v>96</v>
      </c>
      <c r="L57" s="3">
        <v>61.96</v>
      </c>
      <c r="M57" s="3">
        <v>65.06</v>
      </c>
      <c r="N57" s="3">
        <v>124.99</v>
      </c>
      <c r="O57" s="2" t="s">
        <v>229</v>
      </c>
      <c r="P57" s="2" t="s">
        <v>198</v>
      </c>
      <c r="Q57" s="2" t="s">
        <v>99</v>
      </c>
      <c r="R57" s="2" t="s">
        <v>100</v>
      </c>
      <c r="S57" s="2" t="s">
        <v>211</v>
      </c>
      <c r="T57" s="2" t="s">
        <v>100</v>
      </c>
      <c r="U57" s="2" t="s">
        <v>102</v>
      </c>
      <c r="V57" s="2" t="s">
        <v>200</v>
      </c>
      <c r="W57" s="2" t="s">
        <v>104</v>
      </c>
      <c r="X57" s="2" t="s">
        <v>201</v>
      </c>
      <c r="Y57" s="2" t="s">
        <v>106</v>
      </c>
      <c r="Z57" s="4">
        <v>227</v>
      </c>
      <c r="AA57" s="4">
        <f>=ROUNDDOWN(25.2222222222222,0)</f>
      </c>
      <c r="AB57" s="5">
        <v>9</v>
      </c>
      <c r="AC57" s="2" t="s">
        <v>100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129</v>
      </c>
      <c r="BK57" s="8">
        <v>7561.06</v>
      </c>
      <c r="BL57" s="2" t="s">
        <v>292</v>
      </c>
      <c r="BM57" s="7"/>
      <c r="BN57" s="7"/>
      <c r="BO57" s="4"/>
      <c r="BP57" s="8"/>
      <c r="BQ57" s="4"/>
      <c r="BR57" s="8"/>
      <c r="BS57" s="7"/>
      <c r="BT57" s="7"/>
      <c r="BU57" s="2" t="s">
        <v>147</v>
      </c>
      <c r="BV57" s="2" t="s">
        <v>97</v>
      </c>
      <c r="BW57" s="2" t="s">
        <v>100</v>
      </c>
      <c r="BX57" s="2" t="s">
        <v>100</v>
      </c>
      <c r="BY57" s="2" t="s">
        <v>112</v>
      </c>
      <c r="BZ57" s="2" t="s">
        <v>100</v>
      </c>
    </row>
    <row r="58">
      <c r="A58" s="2" t="s">
        <v>293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193</v>
      </c>
      <c r="G58" s="2" t="s">
        <v>194</v>
      </c>
      <c r="H58" s="2" t="s">
        <v>195</v>
      </c>
      <c r="I58" s="2" t="s">
        <v>196</v>
      </c>
      <c r="J58" s="2" t="s">
        <v>114</v>
      </c>
      <c r="K58" s="2" t="s">
        <v>96</v>
      </c>
      <c r="L58" s="3">
        <v>71.14</v>
      </c>
      <c r="M58" s="3">
        <v>74.7</v>
      </c>
      <c r="N58" s="3">
        <v>144.99</v>
      </c>
      <c r="O58" s="2" t="s">
        <v>229</v>
      </c>
      <c r="P58" s="2" t="s">
        <v>198</v>
      </c>
      <c r="Q58" s="2" t="s">
        <v>99</v>
      </c>
      <c r="R58" s="2" t="s">
        <v>100</v>
      </c>
      <c r="S58" s="2" t="s">
        <v>211</v>
      </c>
      <c r="T58" s="2" t="s">
        <v>100</v>
      </c>
      <c r="U58" s="2" t="s">
        <v>102</v>
      </c>
      <c r="V58" s="2" t="s">
        <v>200</v>
      </c>
      <c r="W58" s="2" t="s">
        <v>104</v>
      </c>
      <c r="X58" s="2" t="s">
        <v>201</v>
      </c>
      <c r="Y58" s="2" t="s">
        <v>106</v>
      </c>
      <c r="Z58" s="4">
        <v>134</v>
      </c>
      <c r="AA58" s="4">
        <f>=ROUNDDOWN(19.1428571428571,0)</f>
      </c>
      <c r="AB58" s="5">
        <v>7</v>
      </c>
      <c r="AC58" s="2" t="s">
        <v>100</v>
      </c>
      <c r="AD58" s="4"/>
      <c r="AE58" s="4"/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100</v>
      </c>
      <c r="AW58" s="8" t="s">
        <v>100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 t="s">
        <v>100</v>
      </c>
      <c r="BD58" s="8" t="s">
        <v>100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 t="s">
        <v>100</v>
      </c>
      <c r="BJ58" s="4">
        <v>71</v>
      </c>
      <c r="BK58" s="8">
        <v>4612.5</v>
      </c>
      <c r="BL58" s="2" t="s">
        <v>294</v>
      </c>
      <c r="BM58" s="7"/>
      <c r="BN58" s="7"/>
      <c r="BO58" s="4"/>
      <c r="BP58" s="8"/>
      <c r="BQ58" s="4"/>
      <c r="BR58" s="8"/>
      <c r="BS58" s="7"/>
      <c r="BT58" s="7"/>
      <c r="BU58" s="2" t="s">
        <v>147</v>
      </c>
      <c r="BV58" s="2" t="s">
        <v>97</v>
      </c>
      <c r="BW58" s="2" t="s">
        <v>100</v>
      </c>
      <c r="BX58" s="2" t="s">
        <v>100</v>
      </c>
      <c r="BY58" s="2" t="s">
        <v>112</v>
      </c>
      <c r="BZ58" s="2" t="s">
        <v>100</v>
      </c>
    </row>
    <row r="59">
      <c r="A59" s="2" t="s">
        <v>295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193</v>
      </c>
      <c r="G59" s="2" t="s">
        <v>194</v>
      </c>
      <c r="H59" s="2" t="s">
        <v>195</v>
      </c>
      <c r="I59" s="2" t="s">
        <v>196</v>
      </c>
      <c r="J59" s="2" t="s">
        <v>118</v>
      </c>
      <c r="K59" s="2" t="s">
        <v>96</v>
      </c>
      <c r="L59" s="3">
        <v>71.14</v>
      </c>
      <c r="M59" s="3">
        <v>74.7</v>
      </c>
      <c r="N59" s="3">
        <v>144.99</v>
      </c>
      <c r="O59" s="2" t="s">
        <v>229</v>
      </c>
      <c r="P59" s="2" t="s">
        <v>198</v>
      </c>
      <c r="Q59" s="2" t="s">
        <v>99</v>
      </c>
      <c r="R59" s="2" t="s">
        <v>100</v>
      </c>
      <c r="S59" s="2" t="s">
        <v>211</v>
      </c>
      <c r="T59" s="2" t="s">
        <v>100</v>
      </c>
      <c r="U59" s="2" t="s">
        <v>102</v>
      </c>
      <c r="V59" s="2" t="s">
        <v>200</v>
      </c>
      <c r="W59" s="2" t="s">
        <v>104</v>
      </c>
      <c r="X59" s="2" t="s">
        <v>201</v>
      </c>
      <c r="Y59" s="2" t="s">
        <v>106</v>
      </c>
      <c r="Z59" s="4">
        <v>36</v>
      </c>
      <c r="AA59" s="4">
        <f>=ROUNDDOWN(9,0)</f>
      </c>
      <c r="AB59" s="5">
        <v>4</v>
      </c>
      <c r="AC59" s="2" t="s">
        <v>100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/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38</v>
      </c>
      <c r="BK59" s="8">
        <v>2394.07</v>
      </c>
      <c r="BL59" s="2" t="s">
        <v>296</v>
      </c>
      <c r="BM59" s="7"/>
      <c r="BN59" s="7"/>
      <c r="BO59" s="4"/>
      <c r="BP59" s="8"/>
      <c r="BQ59" s="4"/>
      <c r="BR59" s="8"/>
      <c r="BS59" s="7"/>
      <c r="BT59" s="7"/>
      <c r="BU59" s="2" t="s">
        <v>147</v>
      </c>
      <c r="BV59" s="2" t="s">
        <v>97</v>
      </c>
      <c r="BW59" s="2" t="s">
        <v>100</v>
      </c>
      <c r="BX59" s="2" t="s">
        <v>100</v>
      </c>
      <c r="BY59" s="2" t="s">
        <v>112</v>
      </c>
      <c r="BZ59" s="2" t="s">
        <v>100</v>
      </c>
    </row>
    <row r="60">
      <c r="A60" s="2" t="s">
        <v>297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193</v>
      </c>
      <c r="G60" s="2" t="s">
        <v>194</v>
      </c>
      <c r="H60" s="2" t="s">
        <v>195</v>
      </c>
      <c r="I60" s="2" t="s">
        <v>196</v>
      </c>
      <c r="J60" s="2" t="s">
        <v>95</v>
      </c>
      <c r="K60" s="2" t="s">
        <v>298</v>
      </c>
      <c r="L60" s="3">
        <v>61.96</v>
      </c>
      <c r="M60" s="3">
        <v>65.06</v>
      </c>
      <c r="N60" s="3">
        <v>124.99</v>
      </c>
      <c r="O60" s="2" t="s">
        <v>229</v>
      </c>
      <c r="P60" s="2" t="s">
        <v>198</v>
      </c>
      <c r="Q60" s="2" t="s">
        <v>99</v>
      </c>
      <c r="R60" s="2" t="s">
        <v>100</v>
      </c>
      <c r="S60" s="2" t="s">
        <v>299</v>
      </c>
      <c r="T60" s="2" t="s">
        <v>100</v>
      </c>
      <c r="U60" s="2" t="s">
        <v>102</v>
      </c>
      <c r="V60" s="2" t="s">
        <v>200</v>
      </c>
      <c r="W60" s="2" t="s">
        <v>104</v>
      </c>
      <c r="X60" s="2" t="s">
        <v>201</v>
      </c>
      <c r="Y60" s="2" t="s">
        <v>106</v>
      </c>
      <c r="Z60" s="4">
        <v>69</v>
      </c>
      <c r="AA60" s="4">
        <f>=ROUNDDOWN(6.27272727272727,0)</f>
      </c>
      <c r="AB60" s="5">
        <v>11</v>
      </c>
      <c r="AC60" s="2" t="s">
        <v>100</v>
      </c>
      <c r="AD60" s="4"/>
      <c r="AE60" s="4"/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283</v>
      </c>
      <c r="BK60" s="8">
        <v>12437.14</v>
      </c>
      <c r="BL60" s="2" t="s">
        <v>300</v>
      </c>
      <c r="BM60" s="7"/>
      <c r="BN60" s="7"/>
      <c r="BO60" s="4"/>
      <c r="BP60" s="8"/>
      <c r="BQ60" s="4"/>
      <c r="BR60" s="8"/>
      <c r="BS60" s="7"/>
      <c r="BT60" s="7"/>
      <c r="BU60" s="2" t="s">
        <v>147</v>
      </c>
      <c r="BV60" s="2" t="s">
        <v>97</v>
      </c>
      <c r="BW60" s="2" t="s">
        <v>100</v>
      </c>
      <c r="BX60" s="2" t="s">
        <v>100</v>
      </c>
      <c r="BY60" s="2" t="s">
        <v>112</v>
      </c>
      <c r="BZ60" s="2" t="s">
        <v>100</v>
      </c>
    </row>
    <row r="61">
      <c r="A61" s="2" t="s">
        <v>301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193</v>
      </c>
      <c r="G61" s="2" t="s">
        <v>194</v>
      </c>
      <c r="H61" s="2" t="s">
        <v>195</v>
      </c>
      <c r="I61" s="2" t="s">
        <v>196</v>
      </c>
      <c r="J61" s="2" t="s">
        <v>114</v>
      </c>
      <c r="K61" s="2" t="s">
        <v>298</v>
      </c>
      <c r="L61" s="3">
        <v>71.14</v>
      </c>
      <c r="M61" s="3">
        <v>74.7</v>
      </c>
      <c r="N61" s="3">
        <v>144.99</v>
      </c>
      <c r="O61" s="2" t="s">
        <v>229</v>
      </c>
      <c r="P61" s="2" t="s">
        <v>198</v>
      </c>
      <c r="Q61" s="2" t="s">
        <v>99</v>
      </c>
      <c r="R61" s="2" t="s">
        <v>100</v>
      </c>
      <c r="S61" s="2" t="s">
        <v>299</v>
      </c>
      <c r="T61" s="2" t="s">
        <v>100</v>
      </c>
      <c r="U61" s="2" t="s">
        <v>102</v>
      </c>
      <c r="V61" s="2" t="s">
        <v>200</v>
      </c>
      <c r="W61" s="2" t="s">
        <v>104</v>
      </c>
      <c r="X61" s="2" t="s">
        <v>201</v>
      </c>
      <c r="Y61" s="2" t="s">
        <v>106</v>
      </c>
      <c r="Z61" s="4">
        <v>85</v>
      </c>
      <c r="AA61" s="4">
        <f>=ROUNDDOWN(7.72727272727273,0)</f>
      </c>
      <c r="AB61" s="5">
        <v>11</v>
      </c>
      <c r="AC61" s="2" t="s">
        <v>100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202</v>
      </c>
      <c r="BK61" s="8">
        <v>11314.25</v>
      </c>
      <c r="BL61" s="2" t="s">
        <v>302</v>
      </c>
      <c r="BM61" s="7"/>
      <c r="BN61" s="7"/>
      <c r="BO61" s="4"/>
      <c r="BP61" s="8"/>
      <c r="BQ61" s="4"/>
      <c r="BR61" s="8"/>
      <c r="BS61" s="7"/>
      <c r="BT61" s="7"/>
      <c r="BU61" s="2" t="s">
        <v>147</v>
      </c>
      <c r="BV61" s="2" t="s">
        <v>97</v>
      </c>
      <c r="BW61" s="2" t="s">
        <v>100</v>
      </c>
      <c r="BX61" s="2" t="s">
        <v>100</v>
      </c>
      <c r="BY61" s="2" t="s">
        <v>112</v>
      </c>
      <c r="BZ61" s="2" t="s">
        <v>100</v>
      </c>
    </row>
    <row r="62">
      <c r="A62" s="2" t="s">
        <v>303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193</v>
      </c>
      <c r="G62" s="2" t="s">
        <v>194</v>
      </c>
      <c r="H62" s="2" t="s">
        <v>195</v>
      </c>
      <c r="I62" s="2" t="s">
        <v>196</v>
      </c>
      <c r="J62" s="2" t="s">
        <v>118</v>
      </c>
      <c r="K62" s="2" t="s">
        <v>298</v>
      </c>
      <c r="L62" s="3">
        <v>71.14</v>
      </c>
      <c r="M62" s="3">
        <v>74.7</v>
      </c>
      <c r="N62" s="3">
        <v>144.99</v>
      </c>
      <c r="O62" s="2" t="s">
        <v>229</v>
      </c>
      <c r="P62" s="2" t="s">
        <v>198</v>
      </c>
      <c r="Q62" s="2" t="s">
        <v>99</v>
      </c>
      <c r="R62" s="2" t="s">
        <v>100</v>
      </c>
      <c r="S62" s="2" t="s">
        <v>299</v>
      </c>
      <c r="T62" s="2" t="s">
        <v>100</v>
      </c>
      <c r="U62" s="2" t="s">
        <v>102</v>
      </c>
      <c r="V62" s="2" t="s">
        <v>200</v>
      </c>
      <c r="W62" s="2" t="s">
        <v>104</v>
      </c>
      <c r="X62" s="2" t="s">
        <v>201</v>
      </c>
      <c r="Y62" s="2" t="s">
        <v>106</v>
      </c>
      <c r="Z62" s="4">
        <v>76</v>
      </c>
      <c r="AA62" s="4">
        <f>=ROUNDDOWN(19,0)</f>
      </c>
      <c r="AB62" s="5">
        <v>4</v>
      </c>
      <c r="AC62" s="2" t="s">
        <v>100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100</v>
      </c>
      <c r="AW62" s="8" t="s">
        <v>100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 t="s">
        <v>100</v>
      </c>
      <c r="BJ62" s="4">
        <v>95</v>
      </c>
      <c r="BK62" s="8">
        <v>4801.76</v>
      </c>
      <c r="BL62" s="2" t="s">
        <v>304</v>
      </c>
      <c r="BM62" s="7"/>
      <c r="BN62" s="7"/>
      <c r="BO62" s="4"/>
      <c r="BP62" s="8"/>
      <c r="BQ62" s="4"/>
      <c r="BR62" s="8"/>
      <c r="BS62" s="7"/>
      <c r="BT62" s="7"/>
      <c r="BU62" s="2" t="s">
        <v>147</v>
      </c>
      <c r="BV62" s="2" t="s">
        <v>97</v>
      </c>
      <c r="BW62" s="2" t="s">
        <v>100</v>
      </c>
      <c r="BX62" s="2" t="s">
        <v>100</v>
      </c>
      <c r="BY62" s="2" t="s">
        <v>112</v>
      </c>
      <c r="BZ62" s="2" t="s">
        <v>100</v>
      </c>
    </row>
    <row r="63">
      <c r="A63" s="2" t="s">
        <v>305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306</v>
      </c>
      <c r="G63" s="2" t="s">
        <v>307</v>
      </c>
      <c r="H63" s="2" t="s">
        <v>308</v>
      </c>
      <c r="I63" s="2" t="s">
        <v>309</v>
      </c>
      <c r="J63" s="2" t="s">
        <v>95</v>
      </c>
      <c r="K63" s="2" t="s">
        <v>310</v>
      </c>
      <c r="L63" s="3">
        <v>60.74</v>
      </c>
      <c r="M63" s="3">
        <v>63.78</v>
      </c>
      <c r="N63" s="3">
        <v>124.99</v>
      </c>
      <c r="O63" s="2" t="s">
        <v>97</v>
      </c>
      <c r="P63" s="2" t="s">
        <v>182</v>
      </c>
      <c r="Q63" s="2" t="s">
        <v>99</v>
      </c>
      <c r="R63" s="2" t="s">
        <v>100</v>
      </c>
      <c r="S63" s="2" t="s">
        <v>311</v>
      </c>
      <c r="T63" s="2" t="s">
        <v>100</v>
      </c>
      <c r="U63" s="2" t="s">
        <v>102</v>
      </c>
      <c r="V63" s="2" t="s">
        <v>103</v>
      </c>
      <c r="W63" s="2" t="s">
        <v>312</v>
      </c>
      <c r="X63" s="2" t="s">
        <v>185</v>
      </c>
      <c r="Y63" s="2" t="s">
        <v>313</v>
      </c>
      <c r="Z63" s="4">
        <v>460</v>
      </c>
      <c r="AA63" s="4">
        <f>=ROUNDDOWN(32.8571428571429,0)</f>
      </c>
      <c r="AB63" s="5">
        <v>14</v>
      </c>
      <c r="AC63" s="2" t="s">
        <v>107</v>
      </c>
      <c r="AD63" s="4">
        <v>170</v>
      </c>
      <c r="AE63" s="4">
        <v>510</v>
      </c>
      <c r="AF63" s="6">
        <v>64</v>
      </c>
      <c r="AG63" s="6"/>
      <c r="AH63" s="7">
        <v>0.9818</v>
      </c>
      <c r="AI63" s="4"/>
      <c r="AJ63" s="4">
        <f>=ROUNDDOWN({0},0)</f>
      </c>
      <c r="AK63" s="5"/>
      <c r="AL63" s="2" t="s">
        <v>100</v>
      </c>
      <c r="AM63" s="4"/>
      <c r="AN63" s="4"/>
      <c r="AO63" s="7">
        <v>0</v>
      </c>
      <c r="AP63" s="4">
        <v>8</v>
      </c>
      <c r="AQ63" s="8">
        <v>510.24</v>
      </c>
      <c r="AR63" s="4">
        <v>21</v>
      </c>
      <c r="AS63" s="8">
        <v>1438.64</v>
      </c>
      <c r="AT63" s="7">
        <v>-0.619</v>
      </c>
      <c r="AU63" s="7">
        <v>-0.6453</v>
      </c>
      <c r="AV63" s="4">
        <v>27</v>
      </c>
      <c r="AW63" s="8">
        <v>1901.61</v>
      </c>
      <c r="AX63" s="4">
        <v>41</v>
      </c>
      <c r="AY63" s="8">
        <v>3025.34</v>
      </c>
      <c r="AZ63" s="7">
        <v>-0.3415</v>
      </c>
      <c r="BA63" s="7">
        <v>-0.3714</v>
      </c>
      <c r="BB63" s="7">
        <v>0.2683</v>
      </c>
      <c r="BC63" s="4">
        <v>27</v>
      </c>
      <c r="BD63" s="8">
        <v>1901.61</v>
      </c>
      <c r="BE63" s="4">
        <v>41</v>
      </c>
      <c r="BF63" s="8">
        <v>3025.34</v>
      </c>
      <c r="BG63" s="7">
        <v>-0.3415</v>
      </c>
      <c r="BH63" s="7">
        <v>-0.3714</v>
      </c>
      <c r="BI63" s="7">
        <v>1</v>
      </c>
      <c r="BJ63" s="4">
        <v>302</v>
      </c>
      <c r="BK63" s="8">
        <v>21331.97</v>
      </c>
      <c r="BL63" s="2" t="s">
        <v>314</v>
      </c>
      <c r="BM63" s="7">
        <v>0.0265</v>
      </c>
      <c r="BN63" s="7">
        <v>0.0239</v>
      </c>
      <c r="BO63" s="4">
        <v>8</v>
      </c>
      <c r="BP63" s="8">
        <v>510.24</v>
      </c>
      <c r="BQ63" s="4">
        <v>21</v>
      </c>
      <c r="BR63" s="8">
        <v>1438.64</v>
      </c>
      <c r="BS63" s="7">
        <v>-0.619</v>
      </c>
      <c r="BT63" s="7">
        <v>-0.6453</v>
      </c>
      <c r="BU63" s="2" t="s">
        <v>109</v>
      </c>
      <c r="BV63" s="2" t="s">
        <v>97</v>
      </c>
      <c r="BW63" s="2" t="s">
        <v>132</v>
      </c>
      <c r="BX63" s="2" t="s">
        <v>315</v>
      </c>
      <c r="BY63" s="2" t="s">
        <v>112</v>
      </c>
      <c r="BZ63" s="2" t="s">
        <v>100</v>
      </c>
    </row>
    <row r="64">
      <c r="A64" s="2" t="s">
        <v>316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306</v>
      </c>
      <c r="G64" s="2" t="s">
        <v>307</v>
      </c>
      <c r="H64" s="2" t="s">
        <v>308</v>
      </c>
      <c r="I64" s="2" t="s">
        <v>309</v>
      </c>
      <c r="J64" s="2" t="s">
        <v>114</v>
      </c>
      <c r="K64" s="2" t="s">
        <v>310</v>
      </c>
      <c r="L64" s="3">
        <v>69.74</v>
      </c>
      <c r="M64" s="3">
        <v>73.23</v>
      </c>
      <c r="N64" s="3">
        <v>144.99</v>
      </c>
      <c r="O64" s="2" t="s">
        <v>97</v>
      </c>
      <c r="P64" s="2" t="s">
        <v>182</v>
      </c>
      <c r="Q64" s="2" t="s">
        <v>99</v>
      </c>
      <c r="R64" s="2" t="s">
        <v>100</v>
      </c>
      <c r="S64" s="2" t="s">
        <v>311</v>
      </c>
      <c r="T64" s="2" t="s">
        <v>100</v>
      </c>
      <c r="U64" s="2" t="s">
        <v>102</v>
      </c>
      <c r="V64" s="2" t="s">
        <v>103</v>
      </c>
      <c r="W64" s="2" t="s">
        <v>312</v>
      </c>
      <c r="X64" s="2" t="s">
        <v>185</v>
      </c>
      <c r="Y64" s="2" t="s">
        <v>313</v>
      </c>
      <c r="Z64" s="4">
        <v>284</v>
      </c>
      <c r="AA64" s="4">
        <f>=ROUNDDOWN(21.8461538461538,0)</f>
      </c>
      <c r="AB64" s="5">
        <v>13</v>
      </c>
      <c r="AC64" s="2" t="s">
        <v>107</v>
      </c>
      <c r="AD64" s="4">
        <v>130</v>
      </c>
      <c r="AE64" s="4">
        <v>500</v>
      </c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>
        <v>0</v>
      </c>
      <c r="AP64" s="4">
        <v>13</v>
      </c>
      <c r="AQ64" s="8">
        <v>951.99</v>
      </c>
      <c r="AR64" s="4">
        <v>15</v>
      </c>
      <c r="AS64" s="8">
        <v>1204.27</v>
      </c>
      <c r="AT64" s="7">
        <v>-0.1333</v>
      </c>
      <c r="AU64" s="7">
        <v>-0.2095</v>
      </c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>
        <v>0.5006</v>
      </c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330</v>
      </c>
      <c r="BK64" s="8">
        <v>26853.52</v>
      </c>
      <c r="BL64" s="2" t="s">
        <v>317</v>
      </c>
      <c r="BM64" s="7">
        <v>0.0394</v>
      </c>
      <c r="BN64" s="7">
        <v>0.0355</v>
      </c>
      <c r="BO64" s="4">
        <v>13</v>
      </c>
      <c r="BP64" s="8">
        <v>951.99</v>
      </c>
      <c r="BQ64" s="4">
        <v>15</v>
      </c>
      <c r="BR64" s="8">
        <v>1204.27</v>
      </c>
      <c r="BS64" s="7">
        <v>-0.1333</v>
      </c>
      <c r="BT64" s="7">
        <v>-0.2095</v>
      </c>
      <c r="BU64" s="2" t="s">
        <v>109</v>
      </c>
      <c r="BV64" s="2" t="s">
        <v>97</v>
      </c>
      <c r="BW64" s="2" t="s">
        <v>132</v>
      </c>
      <c r="BX64" s="2" t="s">
        <v>318</v>
      </c>
      <c r="BY64" s="2" t="s">
        <v>112</v>
      </c>
      <c r="BZ64" s="2" t="s">
        <v>100</v>
      </c>
    </row>
    <row r="65">
      <c r="A65" s="2" t="s">
        <v>319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306</v>
      </c>
      <c r="G65" s="2" t="s">
        <v>307</v>
      </c>
      <c r="H65" s="2" t="s">
        <v>308</v>
      </c>
      <c r="I65" s="2" t="s">
        <v>309</v>
      </c>
      <c r="J65" s="2" t="s">
        <v>118</v>
      </c>
      <c r="K65" s="2" t="s">
        <v>310</v>
      </c>
      <c r="L65" s="3">
        <v>69.74</v>
      </c>
      <c r="M65" s="3">
        <v>73.23</v>
      </c>
      <c r="N65" s="3">
        <v>144.99</v>
      </c>
      <c r="O65" s="2" t="s">
        <v>97</v>
      </c>
      <c r="P65" s="2" t="s">
        <v>182</v>
      </c>
      <c r="Q65" s="2" t="s">
        <v>99</v>
      </c>
      <c r="R65" s="2" t="s">
        <v>100</v>
      </c>
      <c r="S65" s="2" t="s">
        <v>311</v>
      </c>
      <c r="T65" s="2" t="s">
        <v>100</v>
      </c>
      <c r="U65" s="2" t="s">
        <v>102</v>
      </c>
      <c r="V65" s="2" t="s">
        <v>103</v>
      </c>
      <c r="W65" s="2" t="s">
        <v>312</v>
      </c>
      <c r="X65" s="2" t="s">
        <v>185</v>
      </c>
      <c r="Y65" s="2" t="s">
        <v>313</v>
      </c>
      <c r="Z65" s="4">
        <v>229</v>
      </c>
      <c r="AA65" s="4">
        <f>=ROUNDDOWN(25.4444444444444,0)</f>
      </c>
      <c r="AB65" s="5">
        <v>9</v>
      </c>
      <c r="AC65" s="2" t="s">
        <v>107</v>
      </c>
      <c r="AD65" s="4">
        <v>70</v>
      </c>
      <c r="AE65" s="4">
        <v>160</v>
      </c>
      <c r="AF65" s="6">
        <v>64</v>
      </c>
      <c r="AG65" s="6"/>
      <c r="AH65" s="7">
        <v>0.9758</v>
      </c>
      <c r="AI65" s="4"/>
      <c r="AJ65" s="4">
        <f>=ROUNDDOWN({0},0)</f>
      </c>
      <c r="AK65" s="5"/>
      <c r="AL65" s="2" t="s">
        <v>100</v>
      </c>
      <c r="AM65" s="4"/>
      <c r="AN65" s="4"/>
      <c r="AO65" s="7">
        <v>0</v>
      </c>
      <c r="AP65" s="4">
        <v>6</v>
      </c>
      <c r="AQ65" s="8">
        <v>439.38</v>
      </c>
      <c r="AR65" s="4">
        <v>5</v>
      </c>
      <c r="AS65" s="8">
        <v>382.43</v>
      </c>
      <c r="AT65" s="7">
        <v>0.2</v>
      </c>
      <c r="AU65" s="7">
        <v>0.1489</v>
      </c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>
        <v>0.2311</v>
      </c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156</v>
      </c>
      <c r="BK65" s="8">
        <v>12637.99</v>
      </c>
      <c r="BL65" s="2" t="s">
        <v>320</v>
      </c>
      <c r="BM65" s="7">
        <v>0.0385</v>
      </c>
      <c r="BN65" s="7">
        <v>0.0348</v>
      </c>
      <c r="BO65" s="4">
        <v>6</v>
      </c>
      <c r="BP65" s="8">
        <v>439.38</v>
      </c>
      <c r="BQ65" s="4">
        <v>5</v>
      </c>
      <c r="BR65" s="8">
        <v>382.43</v>
      </c>
      <c r="BS65" s="7">
        <v>0.2</v>
      </c>
      <c r="BT65" s="7">
        <v>0.1489</v>
      </c>
      <c r="BU65" s="2" t="s">
        <v>109</v>
      </c>
      <c r="BV65" s="2" t="s">
        <v>97</v>
      </c>
      <c r="BW65" s="2" t="s">
        <v>132</v>
      </c>
      <c r="BX65" s="2" t="s">
        <v>321</v>
      </c>
      <c r="BY65" s="2" t="s">
        <v>112</v>
      </c>
      <c r="BZ65" s="2" t="s">
        <v>100</v>
      </c>
    </row>
    <row r="66">
      <c r="A66" s="2" t="s">
        <v>322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306</v>
      </c>
      <c r="G66" s="2" t="s">
        <v>307</v>
      </c>
      <c r="H66" s="2" t="s">
        <v>308</v>
      </c>
      <c r="I66" s="2" t="s">
        <v>309</v>
      </c>
      <c r="J66" s="2" t="s">
        <v>95</v>
      </c>
      <c r="K66" s="2" t="s">
        <v>323</v>
      </c>
      <c r="L66" s="3">
        <v>60.74</v>
      </c>
      <c r="M66" s="3">
        <v>63.78</v>
      </c>
      <c r="N66" s="3">
        <v>124.99</v>
      </c>
      <c r="O66" s="2" t="s">
        <v>97</v>
      </c>
      <c r="P66" s="2" t="s">
        <v>143</v>
      </c>
      <c r="Q66" s="2" t="s">
        <v>99</v>
      </c>
      <c r="R66" s="2" t="s">
        <v>100</v>
      </c>
      <c r="S66" s="2" t="s">
        <v>324</v>
      </c>
      <c r="T66" s="2" t="s">
        <v>100</v>
      </c>
      <c r="U66" s="2" t="s">
        <v>102</v>
      </c>
      <c r="V66" s="2" t="s">
        <v>103</v>
      </c>
      <c r="W66" s="2" t="s">
        <v>312</v>
      </c>
      <c r="X66" s="2" t="s">
        <v>185</v>
      </c>
      <c r="Y66" s="2" t="s">
        <v>106</v>
      </c>
      <c r="Z66" s="4">
        <v>1111</v>
      </c>
      <c r="AA66" s="4">
        <f>=ROUNDDOWN(25.25,0)</f>
      </c>
      <c r="AB66" s="5">
        <v>44</v>
      </c>
      <c r="AC66" s="2" t="s">
        <v>325</v>
      </c>
      <c r="AD66" s="4">
        <v>180</v>
      </c>
      <c r="AE66" s="4">
        <v>1410</v>
      </c>
      <c r="AF66" s="6">
        <v>64</v>
      </c>
      <c r="AG66" s="6">
        <v>47</v>
      </c>
      <c r="AH66" s="7">
        <v>0.9758</v>
      </c>
      <c r="AI66" s="4"/>
      <c r="AJ66" s="4">
        <f>=ROUNDDOWN({0},0)</f>
      </c>
      <c r="AK66" s="5"/>
      <c r="AL66" s="2" t="s">
        <v>100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100</v>
      </c>
      <c r="AW66" s="8" t="s">
        <v>100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/>
      <c r="BC66" s="4" t="s">
        <v>100</v>
      </c>
      <c r="BD66" s="8" t="s">
        <v>100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 t="s">
        <v>100</v>
      </c>
      <c r="BJ66" s="4">
        <v>1004</v>
      </c>
      <c r="BK66" s="8">
        <v>68971.7</v>
      </c>
      <c r="BL66" s="2" t="s">
        <v>326</v>
      </c>
      <c r="BM66" s="7"/>
      <c r="BN66" s="7"/>
      <c r="BO66" s="4"/>
      <c r="BP66" s="8"/>
      <c r="BQ66" s="4"/>
      <c r="BR66" s="8"/>
      <c r="BS66" s="7"/>
      <c r="BT66" s="7"/>
      <c r="BU66" s="2" t="s">
        <v>147</v>
      </c>
      <c r="BV66" s="2" t="s">
        <v>97</v>
      </c>
      <c r="BW66" s="2" t="s">
        <v>100</v>
      </c>
      <c r="BX66" s="2" t="s">
        <v>100</v>
      </c>
      <c r="BY66" s="2" t="s">
        <v>112</v>
      </c>
      <c r="BZ66" s="2" t="s">
        <v>100</v>
      </c>
    </row>
    <row r="67">
      <c r="A67" s="2" t="s">
        <v>327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306</v>
      </c>
      <c r="G67" s="2" t="s">
        <v>307</v>
      </c>
      <c r="H67" s="2" t="s">
        <v>308</v>
      </c>
      <c r="I67" s="2" t="s">
        <v>309</v>
      </c>
      <c r="J67" s="2" t="s">
        <v>114</v>
      </c>
      <c r="K67" s="2" t="s">
        <v>323</v>
      </c>
      <c r="L67" s="3">
        <v>69.74</v>
      </c>
      <c r="M67" s="3">
        <v>73.23</v>
      </c>
      <c r="N67" s="3">
        <v>144.99</v>
      </c>
      <c r="O67" s="2" t="s">
        <v>97</v>
      </c>
      <c r="P67" s="2" t="s">
        <v>143</v>
      </c>
      <c r="Q67" s="2" t="s">
        <v>99</v>
      </c>
      <c r="R67" s="2" t="s">
        <v>100</v>
      </c>
      <c r="S67" s="2" t="s">
        <v>324</v>
      </c>
      <c r="T67" s="2" t="s">
        <v>100</v>
      </c>
      <c r="U67" s="2" t="s">
        <v>102</v>
      </c>
      <c r="V67" s="2" t="s">
        <v>103</v>
      </c>
      <c r="W67" s="2" t="s">
        <v>312</v>
      </c>
      <c r="X67" s="2" t="s">
        <v>185</v>
      </c>
      <c r="Y67" s="2" t="s">
        <v>106</v>
      </c>
      <c r="Z67" s="4">
        <v>1025</v>
      </c>
      <c r="AA67" s="4">
        <f>=ROUNDDOWN(33.0645161290323,0)</f>
      </c>
      <c r="AB67" s="5">
        <v>31</v>
      </c>
      <c r="AC67" s="2" t="s">
        <v>325</v>
      </c>
      <c r="AD67" s="4">
        <v>100</v>
      </c>
      <c r="AE67" s="4">
        <v>860</v>
      </c>
      <c r="AF67" s="6">
        <v>64</v>
      </c>
      <c r="AG67" s="6">
        <v>47</v>
      </c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539</v>
      </c>
      <c r="BK67" s="8">
        <v>42318.06</v>
      </c>
      <c r="BL67" s="2" t="s">
        <v>328</v>
      </c>
      <c r="BM67" s="7"/>
      <c r="BN67" s="7"/>
      <c r="BO67" s="4"/>
      <c r="BP67" s="8"/>
      <c r="BQ67" s="4"/>
      <c r="BR67" s="8"/>
      <c r="BS67" s="7"/>
      <c r="BT67" s="7"/>
      <c r="BU67" s="2" t="s">
        <v>147</v>
      </c>
      <c r="BV67" s="2" t="s">
        <v>97</v>
      </c>
      <c r="BW67" s="2" t="s">
        <v>100</v>
      </c>
      <c r="BX67" s="2" t="s">
        <v>100</v>
      </c>
      <c r="BY67" s="2" t="s">
        <v>112</v>
      </c>
      <c r="BZ67" s="2" t="s">
        <v>100</v>
      </c>
    </row>
    <row r="68">
      <c r="A68" s="2" t="s">
        <v>329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306</v>
      </c>
      <c r="G68" s="2" t="s">
        <v>307</v>
      </c>
      <c r="H68" s="2" t="s">
        <v>308</v>
      </c>
      <c r="I68" s="2" t="s">
        <v>309</v>
      </c>
      <c r="J68" s="2" t="s">
        <v>118</v>
      </c>
      <c r="K68" s="2" t="s">
        <v>323</v>
      </c>
      <c r="L68" s="3">
        <v>69.74</v>
      </c>
      <c r="M68" s="3">
        <v>73.23</v>
      </c>
      <c r="N68" s="3">
        <v>144.99</v>
      </c>
      <c r="O68" s="2" t="s">
        <v>97</v>
      </c>
      <c r="P68" s="2" t="s">
        <v>143</v>
      </c>
      <c r="Q68" s="2" t="s">
        <v>99</v>
      </c>
      <c r="R68" s="2" t="s">
        <v>100</v>
      </c>
      <c r="S68" s="2" t="s">
        <v>324</v>
      </c>
      <c r="T68" s="2" t="s">
        <v>100</v>
      </c>
      <c r="U68" s="2" t="s">
        <v>102</v>
      </c>
      <c r="V68" s="2" t="s">
        <v>103</v>
      </c>
      <c r="W68" s="2" t="s">
        <v>312</v>
      </c>
      <c r="X68" s="2" t="s">
        <v>185</v>
      </c>
      <c r="Y68" s="2" t="s">
        <v>106</v>
      </c>
      <c r="Z68" s="4">
        <v>596</v>
      </c>
      <c r="AA68" s="4">
        <f>=ROUNDDOWN(31.3684210526316,0)</f>
      </c>
      <c r="AB68" s="5">
        <v>19</v>
      </c>
      <c r="AC68" s="2" t="s">
        <v>330</v>
      </c>
      <c r="AD68" s="4">
        <v>160</v>
      </c>
      <c r="AE68" s="4">
        <v>160</v>
      </c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343</v>
      </c>
      <c r="BK68" s="8">
        <v>27231.95</v>
      </c>
      <c r="BL68" s="2" t="s">
        <v>331</v>
      </c>
      <c r="BM68" s="7"/>
      <c r="BN68" s="7"/>
      <c r="BO68" s="4"/>
      <c r="BP68" s="8"/>
      <c r="BQ68" s="4"/>
      <c r="BR68" s="8"/>
      <c r="BS68" s="7"/>
      <c r="BT68" s="7"/>
      <c r="BU68" s="2" t="s">
        <v>147</v>
      </c>
      <c r="BV68" s="2" t="s">
        <v>97</v>
      </c>
      <c r="BW68" s="2" t="s">
        <v>100</v>
      </c>
      <c r="BX68" s="2" t="s">
        <v>100</v>
      </c>
      <c r="BY68" s="2" t="s">
        <v>112</v>
      </c>
      <c r="BZ68" s="2" t="s">
        <v>100</v>
      </c>
    </row>
    <row r="69">
      <c r="A69" s="2" t="s">
        <v>332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306</v>
      </c>
      <c r="G69" s="2" t="s">
        <v>307</v>
      </c>
      <c r="H69" s="2" t="s">
        <v>308</v>
      </c>
      <c r="I69" s="2" t="s">
        <v>309</v>
      </c>
      <c r="J69" s="2" t="s">
        <v>95</v>
      </c>
      <c r="K69" s="2" t="s">
        <v>333</v>
      </c>
      <c r="L69" s="3">
        <v>60.74</v>
      </c>
      <c r="M69" s="3">
        <v>63.78</v>
      </c>
      <c r="N69" s="3">
        <v>124.99</v>
      </c>
      <c r="O69" s="2" t="s">
        <v>97</v>
      </c>
      <c r="P69" s="2" t="s">
        <v>182</v>
      </c>
      <c r="Q69" s="2" t="s">
        <v>99</v>
      </c>
      <c r="R69" s="2" t="s">
        <v>100</v>
      </c>
      <c r="S69" s="2" t="s">
        <v>334</v>
      </c>
      <c r="T69" s="2" t="s">
        <v>100</v>
      </c>
      <c r="U69" s="2" t="s">
        <v>102</v>
      </c>
      <c r="V69" s="2" t="s">
        <v>103</v>
      </c>
      <c r="W69" s="2" t="s">
        <v>312</v>
      </c>
      <c r="X69" s="2" t="s">
        <v>185</v>
      </c>
      <c r="Y69" s="2" t="s">
        <v>106</v>
      </c>
      <c r="Z69" s="4">
        <v>338</v>
      </c>
      <c r="AA69" s="4">
        <f>=ROUNDDOWN(18.7777777777778,0)</f>
      </c>
      <c r="AB69" s="5">
        <v>18</v>
      </c>
      <c r="AC69" s="2" t="s">
        <v>335</v>
      </c>
      <c r="AD69" s="4">
        <v>220</v>
      </c>
      <c r="AE69" s="4">
        <v>1100</v>
      </c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100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100</v>
      </c>
      <c r="AW69" s="8" t="s">
        <v>100</v>
      </c>
      <c r="AX69" s="4" t="s">
        <v>100</v>
      </c>
      <c r="AY69" s="8" t="s">
        <v>100</v>
      </c>
      <c r="AZ69" s="7" t="s">
        <v>100</v>
      </c>
      <c r="BA69" s="7" t="s">
        <v>100</v>
      </c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 t="s">
        <v>100</v>
      </c>
      <c r="BJ69" s="4">
        <v>388</v>
      </c>
      <c r="BK69" s="8">
        <v>26544.45</v>
      </c>
      <c r="BL69" s="2" t="s">
        <v>336</v>
      </c>
      <c r="BM69" s="7"/>
      <c r="BN69" s="7"/>
      <c r="BO69" s="4"/>
      <c r="BP69" s="8"/>
      <c r="BQ69" s="4"/>
      <c r="BR69" s="8"/>
      <c r="BS69" s="7"/>
      <c r="BT69" s="7"/>
      <c r="BU69" s="2" t="s">
        <v>147</v>
      </c>
      <c r="BV69" s="2" t="s">
        <v>97</v>
      </c>
      <c r="BW69" s="2" t="s">
        <v>100</v>
      </c>
      <c r="BX69" s="2" t="s">
        <v>100</v>
      </c>
      <c r="BY69" s="2" t="s">
        <v>112</v>
      </c>
      <c r="BZ69" s="2" t="s">
        <v>100</v>
      </c>
    </row>
    <row r="70">
      <c r="A70" s="2" t="s">
        <v>337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306</v>
      </c>
      <c r="G70" s="2" t="s">
        <v>307</v>
      </c>
      <c r="H70" s="2" t="s">
        <v>308</v>
      </c>
      <c r="I70" s="2" t="s">
        <v>309</v>
      </c>
      <c r="J70" s="2" t="s">
        <v>114</v>
      </c>
      <c r="K70" s="2" t="s">
        <v>333</v>
      </c>
      <c r="L70" s="3">
        <v>69.74</v>
      </c>
      <c r="M70" s="3">
        <v>73.23</v>
      </c>
      <c r="N70" s="3">
        <v>144.99</v>
      </c>
      <c r="O70" s="2" t="s">
        <v>97</v>
      </c>
      <c r="P70" s="2" t="s">
        <v>182</v>
      </c>
      <c r="Q70" s="2" t="s">
        <v>99</v>
      </c>
      <c r="R70" s="2" t="s">
        <v>100</v>
      </c>
      <c r="S70" s="2" t="s">
        <v>334</v>
      </c>
      <c r="T70" s="2" t="s">
        <v>100</v>
      </c>
      <c r="U70" s="2" t="s">
        <v>102</v>
      </c>
      <c r="V70" s="2" t="s">
        <v>103</v>
      </c>
      <c r="W70" s="2" t="s">
        <v>312</v>
      </c>
      <c r="X70" s="2" t="s">
        <v>185</v>
      </c>
      <c r="Y70" s="2" t="s">
        <v>106</v>
      </c>
      <c r="Z70" s="4">
        <v>466</v>
      </c>
      <c r="AA70" s="4">
        <f>=ROUNDDOWN(29.125,0)</f>
      </c>
      <c r="AB70" s="5">
        <v>16</v>
      </c>
      <c r="AC70" s="2" t="s">
        <v>335</v>
      </c>
      <c r="AD70" s="4">
        <v>120</v>
      </c>
      <c r="AE70" s="4">
        <v>700</v>
      </c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100</v>
      </c>
      <c r="AW70" s="8" t="s">
        <v>100</v>
      </c>
      <c r="AX70" s="4" t="s">
        <v>100</v>
      </c>
      <c r="AY70" s="8" t="s">
        <v>100</v>
      </c>
      <c r="AZ70" s="7" t="s">
        <v>100</v>
      </c>
      <c r="BA70" s="7" t="s">
        <v>100</v>
      </c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 t="s">
        <v>100</v>
      </c>
      <c r="BJ70" s="4">
        <v>318</v>
      </c>
      <c r="BK70" s="8">
        <v>25001.15</v>
      </c>
      <c r="BL70" s="2" t="s">
        <v>338</v>
      </c>
      <c r="BM70" s="7"/>
      <c r="BN70" s="7"/>
      <c r="BO70" s="4"/>
      <c r="BP70" s="8"/>
      <c r="BQ70" s="4"/>
      <c r="BR70" s="8"/>
      <c r="BS70" s="7"/>
      <c r="BT70" s="7"/>
      <c r="BU70" s="2" t="s">
        <v>147</v>
      </c>
      <c r="BV70" s="2" t="s">
        <v>97</v>
      </c>
      <c r="BW70" s="2" t="s">
        <v>100</v>
      </c>
      <c r="BX70" s="2" t="s">
        <v>100</v>
      </c>
      <c r="BY70" s="2" t="s">
        <v>112</v>
      </c>
      <c r="BZ70" s="2" t="s">
        <v>100</v>
      </c>
    </row>
    <row r="71">
      <c r="A71" s="2" t="s">
        <v>339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306</v>
      </c>
      <c r="G71" s="2" t="s">
        <v>307</v>
      </c>
      <c r="H71" s="2" t="s">
        <v>308</v>
      </c>
      <c r="I71" s="2" t="s">
        <v>309</v>
      </c>
      <c r="J71" s="2" t="s">
        <v>118</v>
      </c>
      <c r="K71" s="2" t="s">
        <v>333</v>
      </c>
      <c r="L71" s="3">
        <v>69.74</v>
      </c>
      <c r="M71" s="3">
        <v>73.23</v>
      </c>
      <c r="N71" s="3">
        <v>144.99</v>
      </c>
      <c r="O71" s="2" t="s">
        <v>97</v>
      </c>
      <c r="P71" s="2" t="s">
        <v>182</v>
      </c>
      <c r="Q71" s="2" t="s">
        <v>99</v>
      </c>
      <c r="R71" s="2" t="s">
        <v>100</v>
      </c>
      <c r="S71" s="2" t="s">
        <v>334</v>
      </c>
      <c r="T71" s="2" t="s">
        <v>100</v>
      </c>
      <c r="U71" s="2" t="s">
        <v>102</v>
      </c>
      <c r="V71" s="2" t="s">
        <v>103</v>
      </c>
      <c r="W71" s="2" t="s">
        <v>312</v>
      </c>
      <c r="X71" s="2" t="s">
        <v>185</v>
      </c>
      <c r="Y71" s="2" t="s">
        <v>106</v>
      </c>
      <c r="Z71" s="4">
        <v>446</v>
      </c>
      <c r="AA71" s="4">
        <f>=ROUNDDOWN(49.5555555555556,0)</f>
      </c>
      <c r="AB71" s="5">
        <v>9</v>
      </c>
      <c r="AC71" s="2" t="s">
        <v>100</v>
      </c>
      <c r="AD71" s="4"/>
      <c r="AE71" s="4"/>
      <c r="AF71" s="6">
        <v>64</v>
      </c>
      <c r="AG71" s="6">
        <v>47</v>
      </c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100</v>
      </c>
      <c r="AW71" s="8" t="s">
        <v>100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/>
      <c r="BC71" s="4" t="s">
        <v>100</v>
      </c>
      <c r="BD71" s="8" t="s">
        <v>100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 t="s">
        <v>100</v>
      </c>
      <c r="BJ71" s="4">
        <v>118</v>
      </c>
      <c r="BK71" s="8">
        <v>9229.49</v>
      </c>
      <c r="BL71" s="2" t="s">
        <v>340</v>
      </c>
      <c r="BM71" s="7"/>
      <c r="BN71" s="7"/>
      <c r="BO71" s="4"/>
      <c r="BP71" s="8"/>
      <c r="BQ71" s="4"/>
      <c r="BR71" s="8"/>
      <c r="BS71" s="7"/>
      <c r="BT71" s="7"/>
      <c r="BU71" s="2" t="s">
        <v>147</v>
      </c>
      <c r="BV71" s="2" t="s">
        <v>97</v>
      </c>
      <c r="BW71" s="2" t="s">
        <v>100</v>
      </c>
      <c r="BX71" s="2" t="s">
        <v>100</v>
      </c>
      <c r="BY71" s="2" t="s">
        <v>112</v>
      </c>
      <c r="BZ71" s="2" t="s">
        <v>100</v>
      </c>
    </row>
    <row r="72">
      <c r="A72" s="2" t="s">
        <v>341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342</v>
      </c>
      <c r="G72" s="2" t="s">
        <v>343</v>
      </c>
      <c r="H72" s="2" t="s">
        <v>344</v>
      </c>
      <c r="I72" s="2" t="s">
        <v>309</v>
      </c>
      <c r="J72" s="2" t="s">
        <v>95</v>
      </c>
      <c r="K72" s="2" t="s">
        <v>158</v>
      </c>
      <c r="L72" s="3">
        <v>69.55</v>
      </c>
      <c r="M72" s="3">
        <v>73.03</v>
      </c>
      <c r="N72" s="3">
        <v>149.99</v>
      </c>
      <c r="O72" s="2" t="s">
        <v>97</v>
      </c>
      <c r="P72" s="2" t="s">
        <v>182</v>
      </c>
      <c r="Q72" s="2" t="s">
        <v>99</v>
      </c>
      <c r="R72" s="2" t="s">
        <v>100</v>
      </c>
      <c r="S72" s="2" t="s">
        <v>345</v>
      </c>
      <c r="T72" s="2" t="s">
        <v>100</v>
      </c>
      <c r="U72" s="2" t="s">
        <v>102</v>
      </c>
      <c r="V72" s="2" t="s">
        <v>103</v>
      </c>
      <c r="W72" s="2" t="s">
        <v>104</v>
      </c>
      <c r="X72" s="2" t="s">
        <v>105</v>
      </c>
      <c r="Y72" s="2" t="s">
        <v>106</v>
      </c>
      <c r="Z72" s="4">
        <v>945</v>
      </c>
      <c r="AA72" s="4">
        <f>=ROUNDDOWN(49.7368421052632,0)</f>
      </c>
      <c r="AB72" s="5">
        <v>19</v>
      </c>
      <c r="AC72" s="2" t="s">
        <v>100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>
        <v>0</v>
      </c>
      <c r="AP72" s="4">
        <v>2</v>
      </c>
      <c r="AQ72" s="8">
        <v>146.06</v>
      </c>
      <c r="AR72" s="4">
        <v>4</v>
      </c>
      <c r="AS72" s="8">
        <v>292.12</v>
      </c>
      <c r="AT72" s="7">
        <v>-0.5</v>
      </c>
      <c r="AU72" s="7">
        <v>-0.5</v>
      </c>
      <c r="AV72" s="4">
        <v>9</v>
      </c>
      <c r="AW72" s="8">
        <v>742.95</v>
      </c>
      <c r="AX72" s="4">
        <v>10</v>
      </c>
      <c r="AY72" s="8">
        <v>803.74</v>
      </c>
      <c r="AZ72" s="7">
        <v>-0.1</v>
      </c>
      <c r="BA72" s="7">
        <v>-0.0756</v>
      </c>
      <c r="BB72" s="7">
        <v>0.1966</v>
      </c>
      <c r="BC72" s="4">
        <v>23</v>
      </c>
      <c r="BD72" s="8">
        <v>1863.29</v>
      </c>
      <c r="BE72" s="4">
        <v>27</v>
      </c>
      <c r="BF72" s="8">
        <v>2155.41</v>
      </c>
      <c r="BG72" s="7">
        <v>-0.1481</v>
      </c>
      <c r="BH72" s="7">
        <v>-0.1355</v>
      </c>
      <c r="BI72" s="7">
        <v>0.3987</v>
      </c>
      <c r="BJ72" s="4">
        <v>320</v>
      </c>
      <c r="BK72" s="8">
        <v>22976.17</v>
      </c>
      <c r="BL72" s="2" t="s">
        <v>346</v>
      </c>
      <c r="BM72" s="7">
        <v>0.0062</v>
      </c>
      <c r="BN72" s="7">
        <v>0.0064</v>
      </c>
      <c r="BO72" s="4">
        <v>2</v>
      </c>
      <c r="BP72" s="8">
        <v>146.06</v>
      </c>
      <c r="BQ72" s="4">
        <v>4</v>
      </c>
      <c r="BR72" s="8">
        <v>292.12</v>
      </c>
      <c r="BS72" s="7">
        <v>-0.5</v>
      </c>
      <c r="BT72" s="7">
        <v>-0.5</v>
      </c>
      <c r="BU72" s="2" t="s">
        <v>109</v>
      </c>
      <c r="BV72" s="2" t="s">
        <v>97</v>
      </c>
      <c r="BW72" s="2" t="s">
        <v>217</v>
      </c>
      <c r="BX72" s="2" t="s">
        <v>347</v>
      </c>
      <c r="BY72" s="2" t="s">
        <v>112</v>
      </c>
      <c r="BZ72" s="2" t="s">
        <v>100</v>
      </c>
    </row>
    <row r="73">
      <c r="A73" s="2" t="s">
        <v>348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342</v>
      </c>
      <c r="G73" s="2" t="s">
        <v>343</v>
      </c>
      <c r="H73" s="2" t="s">
        <v>344</v>
      </c>
      <c r="I73" s="2" t="s">
        <v>309</v>
      </c>
      <c r="J73" s="2" t="s">
        <v>114</v>
      </c>
      <c r="K73" s="2" t="s">
        <v>158</v>
      </c>
      <c r="L73" s="3">
        <v>81.21</v>
      </c>
      <c r="M73" s="3">
        <v>85.27</v>
      </c>
      <c r="N73" s="3">
        <v>169.99</v>
      </c>
      <c r="O73" s="2" t="s">
        <v>97</v>
      </c>
      <c r="P73" s="2" t="s">
        <v>182</v>
      </c>
      <c r="Q73" s="2" t="s">
        <v>99</v>
      </c>
      <c r="R73" s="2" t="s">
        <v>100</v>
      </c>
      <c r="S73" s="2" t="s">
        <v>345</v>
      </c>
      <c r="T73" s="2" t="s">
        <v>100</v>
      </c>
      <c r="U73" s="2" t="s">
        <v>102</v>
      </c>
      <c r="V73" s="2" t="s">
        <v>103</v>
      </c>
      <c r="W73" s="2" t="s">
        <v>104</v>
      </c>
      <c r="X73" s="2" t="s">
        <v>105</v>
      </c>
      <c r="Y73" s="2" t="s">
        <v>106</v>
      </c>
      <c r="Z73" s="4">
        <v>434</v>
      </c>
      <c r="AA73" s="4">
        <f>=ROUNDDOWN(31,0)</f>
      </c>
      <c r="AB73" s="5">
        <v>14</v>
      </c>
      <c r="AC73" s="2" t="s">
        <v>100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>
        <v>0</v>
      </c>
      <c r="AP73" s="4">
        <v>6</v>
      </c>
      <c r="AQ73" s="8">
        <v>511.62</v>
      </c>
      <c r="AR73" s="4">
        <v>2</v>
      </c>
      <c r="AS73" s="8">
        <v>170.54</v>
      </c>
      <c r="AT73" s="7">
        <v>2</v>
      </c>
      <c r="AU73" s="7">
        <v>2</v>
      </c>
      <c r="AV73" s="4" t="s">
        <v>100</v>
      </c>
      <c r="AW73" s="8" t="s">
        <v>100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0.6886</v>
      </c>
      <c r="BC73" s="4" t="s">
        <v>100</v>
      </c>
      <c r="BD73" s="8" t="s">
        <v>100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 t="s">
        <v>100</v>
      </c>
      <c r="BJ73" s="4">
        <v>300</v>
      </c>
      <c r="BK73" s="8">
        <v>25446.93</v>
      </c>
      <c r="BL73" s="2" t="s">
        <v>349</v>
      </c>
      <c r="BM73" s="7">
        <v>0.02</v>
      </c>
      <c r="BN73" s="7">
        <v>0.0201</v>
      </c>
      <c r="BO73" s="4">
        <v>6</v>
      </c>
      <c r="BP73" s="8">
        <v>511.62</v>
      </c>
      <c r="BQ73" s="4">
        <v>2</v>
      </c>
      <c r="BR73" s="8">
        <v>170.54</v>
      </c>
      <c r="BS73" s="7">
        <v>2</v>
      </c>
      <c r="BT73" s="7">
        <v>2</v>
      </c>
      <c r="BU73" s="2" t="s">
        <v>109</v>
      </c>
      <c r="BV73" s="2" t="s">
        <v>97</v>
      </c>
      <c r="BW73" s="2" t="s">
        <v>217</v>
      </c>
      <c r="BX73" s="2" t="s">
        <v>350</v>
      </c>
      <c r="BY73" s="2" t="s">
        <v>112</v>
      </c>
      <c r="BZ73" s="2" t="s">
        <v>100</v>
      </c>
    </row>
    <row r="74">
      <c r="A74" s="2" t="s">
        <v>351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342</v>
      </c>
      <c r="G74" s="2" t="s">
        <v>343</v>
      </c>
      <c r="H74" s="2" t="s">
        <v>344</v>
      </c>
      <c r="I74" s="2" t="s">
        <v>309</v>
      </c>
      <c r="J74" s="2" t="s">
        <v>118</v>
      </c>
      <c r="K74" s="2" t="s">
        <v>158</v>
      </c>
      <c r="L74" s="3">
        <v>81.21</v>
      </c>
      <c r="M74" s="3">
        <v>85.27</v>
      </c>
      <c r="N74" s="3">
        <v>169.99</v>
      </c>
      <c r="O74" s="2" t="s">
        <v>97</v>
      </c>
      <c r="P74" s="2" t="s">
        <v>182</v>
      </c>
      <c r="Q74" s="2" t="s">
        <v>99</v>
      </c>
      <c r="R74" s="2" t="s">
        <v>100</v>
      </c>
      <c r="S74" s="2" t="s">
        <v>345</v>
      </c>
      <c r="T74" s="2" t="s">
        <v>100</v>
      </c>
      <c r="U74" s="2" t="s">
        <v>102</v>
      </c>
      <c r="V74" s="2" t="s">
        <v>103</v>
      </c>
      <c r="W74" s="2" t="s">
        <v>104</v>
      </c>
      <c r="X74" s="2" t="s">
        <v>105</v>
      </c>
      <c r="Y74" s="2" t="s">
        <v>106</v>
      </c>
      <c r="Z74" s="4">
        <v>238</v>
      </c>
      <c r="AA74" s="4">
        <f>=ROUNDDOWN(29.75,0)</f>
      </c>
      <c r="AB74" s="5">
        <v>8</v>
      </c>
      <c r="AC74" s="2" t="s">
        <v>100</v>
      </c>
      <c r="AD74" s="4"/>
      <c r="AE74" s="4"/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>
        <v>0</v>
      </c>
      <c r="AP74" s="4">
        <v>1</v>
      </c>
      <c r="AQ74" s="8">
        <v>85.27</v>
      </c>
      <c r="AR74" s="4">
        <v>4</v>
      </c>
      <c r="AS74" s="8">
        <v>341.08</v>
      </c>
      <c r="AT74" s="7">
        <v>-0.75</v>
      </c>
      <c r="AU74" s="7">
        <v>-0.75</v>
      </c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>
        <v>0.1148</v>
      </c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86</v>
      </c>
      <c r="BK74" s="8">
        <v>7123</v>
      </c>
      <c r="BL74" s="2" t="s">
        <v>352</v>
      </c>
      <c r="BM74" s="7">
        <v>0.0116</v>
      </c>
      <c r="BN74" s="7">
        <v>0.012</v>
      </c>
      <c r="BO74" s="4">
        <v>1</v>
      </c>
      <c r="BP74" s="8">
        <v>85.27</v>
      </c>
      <c r="BQ74" s="4">
        <v>4</v>
      </c>
      <c r="BR74" s="8">
        <v>341.08</v>
      </c>
      <c r="BS74" s="7">
        <v>-0.75</v>
      </c>
      <c r="BT74" s="7">
        <v>-0.75</v>
      </c>
      <c r="BU74" s="2" t="s">
        <v>109</v>
      </c>
      <c r="BV74" s="2" t="s">
        <v>97</v>
      </c>
      <c r="BW74" s="2" t="s">
        <v>110</v>
      </c>
      <c r="BX74" s="2" t="s">
        <v>353</v>
      </c>
      <c r="BY74" s="2" t="s">
        <v>112</v>
      </c>
      <c r="BZ74" s="2" t="s">
        <v>100</v>
      </c>
    </row>
    <row r="75">
      <c r="A75" s="2" t="s">
        <v>354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342</v>
      </c>
      <c r="G75" s="2" t="s">
        <v>343</v>
      </c>
      <c r="H75" s="2" t="s">
        <v>344</v>
      </c>
      <c r="I75" s="2" t="s">
        <v>309</v>
      </c>
      <c r="J75" s="2" t="s">
        <v>95</v>
      </c>
      <c r="K75" s="2" t="s">
        <v>323</v>
      </c>
      <c r="L75" s="3">
        <v>69.55</v>
      </c>
      <c r="M75" s="3">
        <v>73.03</v>
      </c>
      <c r="N75" s="3">
        <v>149.99</v>
      </c>
      <c r="O75" s="2" t="s">
        <v>97</v>
      </c>
      <c r="P75" s="2" t="s">
        <v>98</v>
      </c>
      <c r="Q75" s="2" t="s">
        <v>99</v>
      </c>
      <c r="R75" s="2" t="s">
        <v>100</v>
      </c>
      <c r="S75" s="2" t="s">
        <v>355</v>
      </c>
      <c r="T75" s="2" t="s">
        <v>100</v>
      </c>
      <c r="U75" s="2" t="s">
        <v>102</v>
      </c>
      <c r="V75" s="2" t="s">
        <v>103</v>
      </c>
      <c r="W75" s="2" t="s">
        <v>104</v>
      </c>
      <c r="X75" s="2" t="s">
        <v>105</v>
      </c>
      <c r="Y75" s="2" t="s">
        <v>106</v>
      </c>
      <c r="Z75" s="4">
        <v>1217</v>
      </c>
      <c r="AA75" s="4">
        <f>=ROUNDDOWN(52.9130434782609,0)</f>
      </c>
      <c r="AB75" s="5">
        <v>23</v>
      </c>
      <c r="AC75" s="2" t="s">
        <v>356</v>
      </c>
      <c r="AD75" s="4">
        <v>150</v>
      </c>
      <c r="AE75" s="4">
        <v>150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>
        <v>0</v>
      </c>
      <c r="AP75" s="4">
        <v>4</v>
      </c>
      <c r="AQ75" s="8">
        <v>292.12</v>
      </c>
      <c r="AR75" s="4">
        <v>3</v>
      </c>
      <c r="AS75" s="8">
        <v>219.09</v>
      </c>
      <c r="AT75" s="7">
        <v>0.3333</v>
      </c>
      <c r="AU75" s="7">
        <v>0.3333</v>
      </c>
      <c r="AV75" s="4">
        <v>9</v>
      </c>
      <c r="AW75" s="8">
        <v>718.47</v>
      </c>
      <c r="AX75" s="4">
        <v>9</v>
      </c>
      <c r="AY75" s="8">
        <v>730.71</v>
      </c>
      <c r="AZ75" s="7" t="s">
        <v>100</v>
      </c>
      <c r="BA75" s="7">
        <v>-0.0168</v>
      </c>
      <c r="BB75" s="7">
        <v>0.4066</v>
      </c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>
        <v>0.3856</v>
      </c>
      <c r="BJ75" s="4">
        <v>350</v>
      </c>
      <c r="BK75" s="8">
        <v>24245.6</v>
      </c>
      <c r="BL75" s="2" t="s">
        <v>357</v>
      </c>
      <c r="BM75" s="7">
        <v>0.0114</v>
      </c>
      <c r="BN75" s="7">
        <v>0.012</v>
      </c>
      <c r="BO75" s="4">
        <v>4</v>
      </c>
      <c r="BP75" s="8">
        <v>292.12</v>
      </c>
      <c r="BQ75" s="4">
        <v>3</v>
      </c>
      <c r="BR75" s="8">
        <v>219.09</v>
      </c>
      <c r="BS75" s="7">
        <v>0.3333</v>
      </c>
      <c r="BT75" s="7">
        <v>0.3333</v>
      </c>
      <c r="BU75" s="2" t="s">
        <v>109</v>
      </c>
      <c r="BV75" s="2" t="s">
        <v>97</v>
      </c>
      <c r="BW75" s="2" t="s">
        <v>110</v>
      </c>
      <c r="BX75" s="2" t="s">
        <v>358</v>
      </c>
      <c r="BY75" s="2" t="s">
        <v>112</v>
      </c>
      <c r="BZ75" s="2" t="s">
        <v>100</v>
      </c>
    </row>
    <row r="76">
      <c r="A76" s="2" t="s">
        <v>359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342</v>
      </c>
      <c r="G76" s="2" t="s">
        <v>343</v>
      </c>
      <c r="H76" s="2" t="s">
        <v>344</v>
      </c>
      <c r="I76" s="2" t="s">
        <v>309</v>
      </c>
      <c r="J76" s="2" t="s">
        <v>114</v>
      </c>
      <c r="K76" s="2" t="s">
        <v>323</v>
      </c>
      <c r="L76" s="3">
        <v>81.21</v>
      </c>
      <c r="M76" s="3">
        <v>85.27</v>
      </c>
      <c r="N76" s="3">
        <v>169.99</v>
      </c>
      <c r="O76" s="2" t="s">
        <v>97</v>
      </c>
      <c r="P76" s="2" t="s">
        <v>98</v>
      </c>
      <c r="Q76" s="2" t="s">
        <v>99</v>
      </c>
      <c r="R76" s="2" t="s">
        <v>100</v>
      </c>
      <c r="S76" s="2" t="s">
        <v>355</v>
      </c>
      <c r="T76" s="2" t="s">
        <v>100</v>
      </c>
      <c r="U76" s="2" t="s">
        <v>102</v>
      </c>
      <c r="V76" s="2" t="s">
        <v>103</v>
      </c>
      <c r="W76" s="2" t="s">
        <v>104</v>
      </c>
      <c r="X76" s="2" t="s">
        <v>105</v>
      </c>
      <c r="Y76" s="2" t="s">
        <v>106</v>
      </c>
      <c r="Z76" s="4">
        <v>604</v>
      </c>
      <c r="AA76" s="4">
        <f>=ROUNDDOWN(21.5714285714286,0)</f>
      </c>
      <c r="AB76" s="5">
        <v>28</v>
      </c>
      <c r="AC76" s="2" t="s">
        <v>269</v>
      </c>
      <c r="AD76" s="4">
        <v>220</v>
      </c>
      <c r="AE76" s="4">
        <v>700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>
        <v>0</v>
      </c>
      <c r="AP76" s="4">
        <v>4</v>
      </c>
      <c r="AQ76" s="8">
        <v>341.08</v>
      </c>
      <c r="AR76" s="4">
        <v>4</v>
      </c>
      <c r="AS76" s="8">
        <v>341.08</v>
      </c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>
        <v>0.4747</v>
      </c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719</v>
      </c>
      <c r="BK76" s="8">
        <v>59957.98</v>
      </c>
      <c r="BL76" s="2" t="s">
        <v>360</v>
      </c>
      <c r="BM76" s="7">
        <v>0.0056</v>
      </c>
      <c r="BN76" s="7">
        <v>0.0057</v>
      </c>
      <c r="BO76" s="4">
        <v>4</v>
      </c>
      <c r="BP76" s="8">
        <v>341.08</v>
      </c>
      <c r="BQ76" s="4">
        <v>4</v>
      </c>
      <c r="BR76" s="8">
        <v>341.08</v>
      </c>
      <c r="BS76" s="7"/>
      <c r="BT76" s="7"/>
      <c r="BU76" s="2" t="s">
        <v>109</v>
      </c>
      <c r="BV76" s="2" t="s">
        <v>97</v>
      </c>
      <c r="BW76" s="2" t="s">
        <v>110</v>
      </c>
      <c r="BX76" s="2" t="s">
        <v>361</v>
      </c>
      <c r="BY76" s="2" t="s">
        <v>112</v>
      </c>
      <c r="BZ76" s="2" t="s">
        <v>100</v>
      </c>
    </row>
    <row r="77">
      <c r="A77" s="2" t="s">
        <v>362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342</v>
      </c>
      <c r="G77" s="2" t="s">
        <v>343</v>
      </c>
      <c r="H77" s="2" t="s">
        <v>344</v>
      </c>
      <c r="I77" s="2" t="s">
        <v>309</v>
      </c>
      <c r="J77" s="2" t="s">
        <v>118</v>
      </c>
      <c r="K77" s="2" t="s">
        <v>323</v>
      </c>
      <c r="L77" s="3">
        <v>81.21</v>
      </c>
      <c r="M77" s="3">
        <v>85.27</v>
      </c>
      <c r="N77" s="3">
        <v>169.99</v>
      </c>
      <c r="O77" s="2" t="s">
        <v>97</v>
      </c>
      <c r="P77" s="2" t="s">
        <v>98</v>
      </c>
      <c r="Q77" s="2" t="s">
        <v>99</v>
      </c>
      <c r="R77" s="2" t="s">
        <v>100</v>
      </c>
      <c r="S77" s="2" t="s">
        <v>355</v>
      </c>
      <c r="T77" s="2" t="s">
        <v>100</v>
      </c>
      <c r="U77" s="2" t="s">
        <v>102</v>
      </c>
      <c r="V77" s="2" t="s">
        <v>103</v>
      </c>
      <c r="W77" s="2" t="s">
        <v>104</v>
      </c>
      <c r="X77" s="2" t="s">
        <v>105</v>
      </c>
      <c r="Y77" s="2" t="s">
        <v>363</v>
      </c>
      <c r="Z77" s="4">
        <v>292</v>
      </c>
      <c r="AA77" s="4">
        <f>=ROUNDDOWN(20.8571428571429,0)</f>
      </c>
      <c r="AB77" s="5">
        <v>14</v>
      </c>
      <c r="AC77" s="2" t="s">
        <v>269</v>
      </c>
      <c r="AD77" s="4">
        <v>50</v>
      </c>
      <c r="AE77" s="4">
        <v>150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>
        <v>0</v>
      </c>
      <c r="AP77" s="4">
        <v>1</v>
      </c>
      <c r="AQ77" s="8">
        <v>85.27</v>
      </c>
      <c r="AR77" s="4">
        <v>2</v>
      </c>
      <c r="AS77" s="8">
        <v>170.54</v>
      </c>
      <c r="AT77" s="7">
        <v>-0.5</v>
      </c>
      <c r="AU77" s="7">
        <v>-0.5</v>
      </c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>
        <v>0.1187</v>
      </c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328</v>
      </c>
      <c r="BK77" s="8">
        <v>27465.04</v>
      </c>
      <c r="BL77" s="2" t="s">
        <v>364</v>
      </c>
      <c r="BM77" s="7">
        <v>0.003</v>
      </c>
      <c r="BN77" s="7">
        <v>0.0031</v>
      </c>
      <c r="BO77" s="4">
        <v>1</v>
      </c>
      <c r="BP77" s="8">
        <v>85.27</v>
      </c>
      <c r="BQ77" s="4">
        <v>2</v>
      </c>
      <c r="BR77" s="8">
        <v>170.54</v>
      </c>
      <c r="BS77" s="7">
        <v>-0.5</v>
      </c>
      <c r="BT77" s="7">
        <v>-0.5</v>
      </c>
      <c r="BU77" s="2" t="s">
        <v>109</v>
      </c>
      <c r="BV77" s="2" t="s">
        <v>97</v>
      </c>
      <c r="BW77" s="2" t="s">
        <v>110</v>
      </c>
      <c r="BX77" s="2" t="s">
        <v>365</v>
      </c>
      <c r="BY77" s="2" t="s">
        <v>112</v>
      </c>
      <c r="BZ77" s="2" t="s">
        <v>100</v>
      </c>
    </row>
    <row r="78">
      <c r="A78" s="2" t="s">
        <v>366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342</v>
      </c>
      <c r="G78" s="2" t="s">
        <v>343</v>
      </c>
      <c r="H78" s="2" t="s">
        <v>344</v>
      </c>
      <c r="I78" s="2" t="s">
        <v>309</v>
      </c>
      <c r="J78" s="2" t="s">
        <v>95</v>
      </c>
      <c r="K78" s="2" t="s">
        <v>247</v>
      </c>
      <c r="L78" s="3">
        <v>69.55</v>
      </c>
      <c r="M78" s="3">
        <v>73.03</v>
      </c>
      <c r="N78" s="3">
        <v>149.99</v>
      </c>
      <c r="O78" s="2" t="s">
        <v>97</v>
      </c>
      <c r="P78" s="2" t="s">
        <v>182</v>
      </c>
      <c r="Q78" s="2" t="s">
        <v>99</v>
      </c>
      <c r="R78" s="2" t="s">
        <v>100</v>
      </c>
      <c r="S78" s="2" t="s">
        <v>367</v>
      </c>
      <c r="T78" s="2" t="s">
        <v>100</v>
      </c>
      <c r="U78" s="2" t="s">
        <v>102</v>
      </c>
      <c r="V78" s="2" t="s">
        <v>103</v>
      </c>
      <c r="W78" s="2" t="s">
        <v>104</v>
      </c>
      <c r="X78" s="2" t="s">
        <v>105</v>
      </c>
      <c r="Y78" s="2" t="s">
        <v>106</v>
      </c>
      <c r="Z78" s="4">
        <v>645</v>
      </c>
      <c r="AA78" s="4">
        <f>=ROUNDDOWN(40.3125,0)</f>
      </c>
      <c r="AB78" s="5">
        <v>16</v>
      </c>
      <c r="AC78" s="2" t="s">
        <v>100</v>
      </c>
      <c r="AD78" s="4"/>
      <c r="AE78" s="4"/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>
        <v>0</v>
      </c>
      <c r="AP78" s="4">
        <v>2</v>
      </c>
      <c r="AQ78" s="8">
        <v>146.06</v>
      </c>
      <c r="AR78" s="4">
        <v>5</v>
      </c>
      <c r="AS78" s="8">
        <v>365.15</v>
      </c>
      <c r="AT78" s="7">
        <v>-0.6</v>
      </c>
      <c r="AU78" s="7">
        <v>-0.6</v>
      </c>
      <c r="AV78" s="4">
        <v>5</v>
      </c>
      <c r="AW78" s="8">
        <v>401.87</v>
      </c>
      <c r="AX78" s="4">
        <v>8</v>
      </c>
      <c r="AY78" s="8">
        <v>620.96</v>
      </c>
      <c r="AZ78" s="7">
        <v>-0.375</v>
      </c>
      <c r="BA78" s="7">
        <v>-0.3528</v>
      </c>
      <c r="BB78" s="7">
        <v>0.3635</v>
      </c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>
        <v>0.2157</v>
      </c>
      <c r="BJ78" s="4">
        <v>348</v>
      </c>
      <c r="BK78" s="8">
        <v>23737.85</v>
      </c>
      <c r="BL78" s="2" t="s">
        <v>368</v>
      </c>
      <c r="BM78" s="7">
        <v>0.0057</v>
      </c>
      <c r="BN78" s="7">
        <v>0.0062</v>
      </c>
      <c r="BO78" s="4">
        <v>2</v>
      </c>
      <c r="BP78" s="8">
        <v>146.06</v>
      </c>
      <c r="BQ78" s="4">
        <v>5</v>
      </c>
      <c r="BR78" s="8">
        <v>365.15</v>
      </c>
      <c r="BS78" s="7">
        <v>-0.6</v>
      </c>
      <c r="BT78" s="7">
        <v>-0.6</v>
      </c>
      <c r="BU78" s="2" t="s">
        <v>109</v>
      </c>
      <c r="BV78" s="2" t="s">
        <v>97</v>
      </c>
      <c r="BW78" s="2" t="s">
        <v>369</v>
      </c>
      <c r="BX78" s="2" t="s">
        <v>370</v>
      </c>
      <c r="BY78" s="2" t="s">
        <v>112</v>
      </c>
      <c r="BZ78" s="2" t="s">
        <v>100</v>
      </c>
    </row>
    <row r="79">
      <c r="A79" s="2" t="s">
        <v>371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342</v>
      </c>
      <c r="G79" s="2" t="s">
        <v>343</v>
      </c>
      <c r="H79" s="2" t="s">
        <v>344</v>
      </c>
      <c r="I79" s="2" t="s">
        <v>309</v>
      </c>
      <c r="J79" s="2" t="s">
        <v>114</v>
      </c>
      <c r="K79" s="2" t="s">
        <v>247</v>
      </c>
      <c r="L79" s="3">
        <v>81.21</v>
      </c>
      <c r="M79" s="3">
        <v>85.27</v>
      </c>
      <c r="N79" s="3">
        <v>169.99</v>
      </c>
      <c r="O79" s="2" t="s">
        <v>97</v>
      </c>
      <c r="P79" s="2" t="s">
        <v>182</v>
      </c>
      <c r="Q79" s="2" t="s">
        <v>99</v>
      </c>
      <c r="R79" s="2" t="s">
        <v>100</v>
      </c>
      <c r="S79" s="2" t="s">
        <v>367</v>
      </c>
      <c r="T79" s="2" t="s">
        <v>100</v>
      </c>
      <c r="U79" s="2" t="s">
        <v>102</v>
      </c>
      <c r="V79" s="2" t="s">
        <v>103</v>
      </c>
      <c r="W79" s="2" t="s">
        <v>104</v>
      </c>
      <c r="X79" s="2" t="s">
        <v>105</v>
      </c>
      <c r="Y79" s="2" t="s">
        <v>106</v>
      </c>
      <c r="Z79" s="4">
        <v>619</v>
      </c>
      <c r="AA79" s="4">
        <f>=ROUNDDOWN(47.6153846153846,0)</f>
      </c>
      <c r="AB79" s="5">
        <v>13</v>
      </c>
      <c r="AC79" s="2" t="s">
        <v>100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>
        <v>0</v>
      </c>
      <c r="AP79" s="4">
        <v>3</v>
      </c>
      <c r="AQ79" s="8">
        <v>255.81</v>
      </c>
      <c r="AR79" s="4">
        <v>1</v>
      </c>
      <c r="AS79" s="8">
        <v>85.27</v>
      </c>
      <c r="AT79" s="7">
        <v>2</v>
      </c>
      <c r="AU79" s="7">
        <v>2</v>
      </c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>
        <v>0.6365</v>
      </c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287</v>
      </c>
      <c r="BK79" s="8">
        <v>23488.33</v>
      </c>
      <c r="BL79" s="2" t="s">
        <v>372</v>
      </c>
      <c r="BM79" s="7">
        <v>0.0105</v>
      </c>
      <c r="BN79" s="7">
        <v>0.0109</v>
      </c>
      <c r="BO79" s="4">
        <v>3</v>
      </c>
      <c r="BP79" s="8">
        <v>255.81</v>
      </c>
      <c r="BQ79" s="4">
        <v>1</v>
      </c>
      <c r="BR79" s="8">
        <v>85.27</v>
      </c>
      <c r="BS79" s="7">
        <v>2</v>
      </c>
      <c r="BT79" s="7">
        <v>2</v>
      </c>
      <c r="BU79" s="2" t="s">
        <v>109</v>
      </c>
      <c r="BV79" s="2" t="s">
        <v>97</v>
      </c>
      <c r="BW79" s="2" t="s">
        <v>110</v>
      </c>
      <c r="BX79" s="2" t="s">
        <v>373</v>
      </c>
      <c r="BY79" s="2" t="s">
        <v>112</v>
      </c>
      <c r="BZ79" s="2" t="s">
        <v>100</v>
      </c>
    </row>
    <row r="80">
      <c r="A80" s="2" t="s">
        <v>374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342</v>
      </c>
      <c r="G80" s="2" t="s">
        <v>343</v>
      </c>
      <c r="H80" s="2" t="s">
        <v>344</v>
      </c>
      <c r="I80" s="2" t="s">
        <v>309</v>
      </c>
      <c r="J80" s="2" t="s">
        <v>118</v>
      </c>
      <c r="K80" s="2" t="s">
        <v>247</v>
      </c>
      <c r="L80" s="3">
        <v>81.21</v>
      </c>
      <c r="M80" s="3">
        <v>85.27</v>
      </c>
      <c r="N80" s="3">
        <v>169.99</v>
      </c>
      <c r="O80" s="2" t="s">
        <v>97</v>
      </c>
      <c r="P80" s="2" t="s">
        <v>182</v>
      </c>
      <c r="Q80" s="2" t="s">
        <v>99</v>
      </c>
      <c r="R80" s="2" t="s">
        <v>100</v>
      </c>
      <c r="S80" s="2" t="s">
        <v>367</v>
      </c>
      <c r="T80" s="2" t="s">
        <v>100</v>
      </c>
      <c r="U80" s="2" t="s">
        <v>102</v>
      </c>
      <c r="V80" s="2" t="s">
        <v>103</v>
      </c>
      <c r="W80" s="2" t="s">
        <v>104</v>
      </c>
      <c r="X80" s="2" t="s">
        <v>105</v>
      </c>
      <c r="Y80" s="2" t="s">
        <v>106</v>
      </c>
      <c r="Z80" s="4">
        <v>338</v>
      </c>
      <c r="AA80" s="4">
        <f>=ROUNDDOWN(48.2857142857143,0)</f>
      </c>
      <c r="AB80" s="5">
        <v>7</v>
      </c>
      <c r="AC80" s="2" t="s">
        <v>100</v>
      </c>
      <c r="AD80" s="4"/>
      <c r="AE80" s="4"/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>
        <v>0</v>
      </c>
      <c r="AP80" s="4"/>
      <c r="AQ80" s="8"/>
      <c r="AR80" s="4">
        <v>2</v>
      </c>
      <c r="AS80" s="8">
        <v>170.54</v>
      </c>
      <c r="AT80" s="7">
        <v>-1</v>
      </c>
      <c r="AU80" s="7">
        <v>-1</v>
      </c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/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106</v>
      </c>
      <c r="BK80" s="8">
        <v>8775.56</v>
      </c>
      <c r="BL80" s="2" t="s">
        <v>375</v>
      </c>
      <c r="BM80" s="7"/>
      <c r="BN80" s="7"/>
      <c r="BO80" s="4"/>
      <c r="BP80" s="8"/>
      <c r="BQ80" s="4">
        <v>2</v>
      </c>
      <c r="BR80" s="8">
        <v>170.54</v>
      </c>
      <c r="BS80" s="7">
        <v>-1</v>
      </c>
      <c r="BT80" s="7">
        <v>-1</v>
      </c>
      <c r="BU80" s="2" t="s">
        <v>109</v>
      </c>
      <c r="BV80" s="2" t="s">
        <v>97</v>
      </c>
      <c r="BW80" s="2" t="s">
        <v>369</v>
      </c>
      <c r="BX80" s="2" t="s">
        <v>376</v>
      </c>
      <c r="BY80" s="2" t="s">
        <v>112</v>
      </c>
      <c r="BZ80" s="2" t="s">
        <v>100</v>
      </c>
    </row>
    <row r="81">
      <c r="A81" s="2" t="s">
        <v>377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342</v>
      </c>
      <c r="G81" s="2" t="s">
        <v>343</v>
      </c>
      <c r="H81" s="2" t="s">
        <v>344</v>
      </c>
      <c r="I81" s="2" t="s">
        <v>309</v>
      </c>
      <c r="J81" s="2" t="s">
        <v>95</v>
      </c>
      <c r="K81" s="2" t="s">
        <v>142</v>
      </c>
      <c r="L81" s="3">
        <v>69.55</v>
      </c>
      <c r="M81" s="3">
        <v>73.03</v>
      </c>
      <c r="N81" s="3">
        <v>149.99</v>
      </c>
      <c r="O81" s="2" t="s">
        <v>97</v>
      </c>
      <c r="P81" s="2" t="s">
        <v>182</v>
      </c>
      <c r="Q81" s="2" t="s">
        <v>99</v>
      </c>
      <c r="R81" s="2" t="s">
        <v>100</v>
      </c>
      <c r="S81" s="2" t="s">
        <v>378</v>
      </c>
      <c r="T81" s="2" t="s">
        <v>379</v>
      </c>
      <c r="U81" s="2" t="s">
        <v>102</v>
      </c>
      <c r="V81" s="2" t="s">
        <v>103</v>
      </c>
      <c r="W81" s="2" t="s">
        <v>104</v>
      </c>
      <c r="X81" s="2" t="s">
        <v>380</v>
      </c>
      <c r="Y81" s="2" t="s">
        <v>381</v>
      </c>
      <c r="Z81" s="4">
        <v>333</v>
      </c>
      <c r="AA81" s="4">
        <f>=ROUNDDOWN(22.2,0)</f>
      </c>
      <c r="AB81" s="5">
        <v>15</v>
      </c>
      <c r="AC81" s="2" t="s">
        <v>382</v>
      </c>
      <c r="AD81" s="4">
        <v>209</v>
      </c>
      <c r="AE81" s="4">
        <v>209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310</v>
      </c>
      <c r="BK81" s="8">
        <v>22287.46</v>
      </c>
      <c r="BL81" s="2" t="s">
        <v>383</v>
      </c>
      <c r="BM81" s="7"/>
      <c r="BN81" s="7"/>
      <c r="BO81" s="4"/>
      <c r="BP81" s="8"/>
      <c r="BQ81" s="4"/>
      <c r="BR81" s="8"/>
      <c r="BS81" s="7"/>
      <c r="BT81" s="7"/>
      <c r="BU81" s="2" t="s">
        <v>147</v>
      </c>
      <c r="BV81" s="2" t="s">
        <v>97</v>
      </c>
      <c r="BW81" s="2" t="s">
        <v>100</v>
      </c>
      <c r="BX81" s="2" t="s">
        <v>100</v>
      </c>
      <c r="BY81" s="2" t="s">
        <v>112</v>
      </c>
      <c r="BZ81" s="2" t="s">
        <v>100</v>
      </c>
    </row>
    <row r="82">
      <c r="A82" s="2" t="s">
        <v>384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342</v>
      </c>
      <c r="G82" s="2" t="s">
        <v>343</v>
      </c>
      <c r="H82" s="2" t="s">
        <v>344</v>
      </c>
      <c r="I82" s="2" t="s">
        <v>309</v>
      </c>
      <c r="J82" s="2" t="s">
        <v>114</v>
      </c>
      <c r="K82" s="2" t="s">
        <v>142</v>
      </c>
      <c r="L82" s="3">
        <v>81.21</v>
      </c>
      <c r="M82" s="3">
        <v>85.27</v>
      </c>
      <c r="N82" s="3">
        <v>169.99</v>
      </c>
      <c r="O82" s="2" t="s">
        <v>97</v>
      </c>
      <c r="P82" s="2" t="s">
        <v>182</v>
      </c>
      <c r="Q82" s="2" t="s">
        <v>99</v>
      </c>
      <c r="R82" s="2" t="s">
        <v>100</v>
      </c>
      <c r="S82" s="2" t="s">
        <v>378</v>
      </c>
      <c r="T82" s="2" t="s">
        <v>379</v>
      </c>
      <c r="U82" s="2" t="s">
        <v>102</v>
      </c>
      <c r="V82" s="2" t="s">
        <v>103</v>
      </c>
      <c r="W82" s="2" t="s">
        <v>104</v>
      </c>
      <c r="X82" s="2" t="s">
        <v>380</v>
      </c>
      <c r="Y82" s="2" t="s">
        <v>381</v>
      </c>
      <c r="Z82" s="4">
        <v>301</v>
      </c>
      <c r="AA82" s="4">
        <f>=ROUNDDOWN(33.4444444444444,0)</f>
      </c>
      <c r="AB82" s="5">
        <v>9</v>
      </c>
      <c r="AC82" s="2" t="s">
        <v>382</v>
      </c>
      <c r="AD82" s="4">
        <v>150</v>
      </c>
      <c r="AE82" s="4">
        <v>150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179</v>
      </c>
      <c r="BK82" s="8">
        <v>15117.01</v>
      </c>
      <c r="BL82" s="2" t="s">
        <v>385</v>
      </c>
      <c r="BM82" s="7"/>
      <c r="BN82" s="7"/>
      <c r="BO82" s="4"/>
      <c r="BP82" s="8"/>
      <c r="BQ82" s="4"/>
      <c r="BR82" s="8"/>
      <c r="BS82" s="7"/>
      <c r="BT82" s="7"/>
      <c r="BU82" s="2" t="s">
        <v>147</v>
      </c>
      <c r="BV82" s="2" t="s">
        <v>97</v>
      </c>
      <c r="BW82" s="2" t="s">
        <v>100</v>
      </c>
      <c r="BX82" s="2" t="s">
        <v>100</v>
      </c>
      <c r="BY82" s="2" t="s">
        <v>112</v>
      </c>
      <c r="BZ82" s="2" t="s">
        <v>100</v>
      </c>
    </row>
    <row r="83">
      <c r="A83" s="2" t="s">
        <v>386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342</v>
      </c>
      <c r="G83" s="2" t="s">
        <v>343</v>
      </c>
      <c r="H83" s="2" t="s">
        <v>344</v>
      </c>
      <c r="I83" s="2" t="s">
        <v>309</v>
      </c>
      <c r="J83" s="2" t="s">
        <v>118</v>
      </c>
      <c r="K83" s="2" t="s">
        <v>142</v>
      </c>
      <c r="L83" s="3">
        <v>81.21</v>
      </c>
      <c r="M83" s="3">
        <v>85.27</v>
      </c>
      <c r="N83" s="3">
        <v>169.99</v>
      </c>
      <c r="O83" s="2" t="s">
        <v>97</v>
      </c>
      <c r="P83" s="2" t="s">
        <v>182</v>
      </c>
      <c r="Q83" s="2" t="s">
        <v>99</v>
      </c>
      <c r="R83" s="2" t="s">
        <v>100</v>
      </c>
      <c r="S83" s="2" t="s">
        <v>378</v>
      </c>
      <c r="T83" s="2" t="s">
        <v>379</v>
      </c>
      <c r="U83" s="2" t="s">
        <v>102</v>
      </c>
      <c r="V83" s="2" t="s">
        <v>103</v>
      </c>
      <c r="W83" s="2" t="s">
        <v>104</v>
      </c>
      <c r="X83" s="2" t="s">
        <v>380</v>
      </c>
      <c r="Y83" s="2" t="s">
        <v>387</v>
      </c>
      <c r="Z83" s="4">
        <v>170</v>
      </c>
      <c r="AA83" s="4">
        <f>=ROUNDDOWN(34,0)</f>
      </c>
      <c r="AB83" s="5">
        <v>5</v>
      </c>
      <c r="AC83" s="2" t="s">
        <v>382</v>
      </c>
      <c r="AD83" s="4">
        <v>70</v>
      </c>
      <c r="AE83" s="4">
        <v>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94</v>
      </c>
      <c r="BK83" s="8">
        <v>7782.3</v>
      </c>
      <c r="BL83" s="2" t="s">
        <v>388</v>
      </c>
      <c r="BM83" s="7"/>
      <c r="BN83" s="7"/>
      <c r="BO83" s="4"/>
      <c r="BP83" s="8"/>
      <c r="BQ83" s="4"/>
      <c r="BR83" s="8"/>
      <c r="BS83" s="7"/>
      <c r="BT83" s="7"/>
      <c r="BU83" s="2" t="s">
        <v>147</v>
      </c>
      <c r="BV83" s="2" t="s">
        <v>97</v>
      </c>
      <c r="BW83" s="2" t="s">
        <v>100</v>
      </c>
      <c r="BX83" s="2" t="s">
        <v>100</v>
      </c>
      <c r="BY83" s="2" t="s">
        <v>112</v>
      </c>
      <c r="BZ83" s="2" t="s">
        <v>100</v>
      </c>
    </row>
    <row r="84">
      <c r="A84" s="2" t="s">
        <v>389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342</v>
      </c>
      <c r="G84" s="2" t="s">
        <v>343</v>
      </c>
      <c r="H84" s="2" t="s">
        <v>344</v>
      </c>
      <c r="I84" s="2" t="s">
        <v>309</v>
      </c>
      <c r="J84" s="2" t="s">
        <v>95</v>
      </c>
      <c r="K84" s="2" t="s">
        <v>168</v>
      </c>
      <c r="L84" s="3">
        <v>69.55</v>
      </c>
      <c r="M84" s="3">
        <v>73.03</v>
      </c>
      <c r="N84" s="3">
        <v>149.99</v>
      </c>
      <c r="O84" s="2" t="s">
        <v>97</v>
      </c>
      <c r="P84" s="2" t="s">
        <v>198</v>
      </c>
      <c r="Q84" s="2" t="s">
        <v>99</v>
      </c>
      <c r="R84" s="2" t="s">
        <v>100</v>
      </c>
      <c r="S84" s="2" t="s">
        <v>390</v>
      </c>
      <c r="T84" s="2" t="s">
        <v>100</v>
      </c>
      <c r="U84" s="2" t="s">
        <v>102</v>
      </c>
      <c r="V84" s="2" t="s">
        <v>103</v>
      </c>
      <c r="W84" s="2" t="s">
        <v>104</v>
      </c>
      <c r="X84" s="2" t="s">
        <v>105</v>
      </c>
      <c r="Y84" s="2" t="s">
        <v>391</v>
      </c>
      <c r="Z84" s="4">
        <v>202</v>
      </c>
      <c r="AA84" s="4">
        <f>=ROUNDDOWN(28.8571428571429,0)</f>
      </c>
      <c r="AB84" s="5">
        <v>7</v>
      </c>
      <c r="AC84" s="2" t="s">
        <v>100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144</v>
      </c>
      <c r="BK84" s="8">
        <v>9966.81</v>
      </c>
      <c r="BL84" s="2" t="s">
        <v>392</v>
      </c>
      <c r="BM84" s="7"/>
      <c r="BN84" s="7"/>
      <c r="BO84" s="4"/>
      <c r="BP84" s="8"/>
      <c r="BQ84" s="4"/>
      <c r="BR84" s="8"/>
      <c r="BS84" s="7"/>
      <c r="BT84" s="7"/>
      <c r="BU84" s="2" t="s">
        <v>147</v>
      </c>
      <c r="BV84" s="2" t="s">
        <v>97</v>
      </c>
      <c r="BW84" s="2" t="s">
        <v>100</v>
      </c>
      <c r="BX84" s="2" t="s">
        <v>100</v>
      </c>
      <c r="BY84" s="2" t="s">
        <v>112</v>
      </c>
      <c r="BZ84" s="2" t="s">
        <v>100</v>
      </c>
    </row>
    <row r="85">
      <c r="A85" s="2" t="s">
        <v>393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342</v>
      </c>
      <c r="G85" s="2" t="s">
        <v>343</v>
      </c>
      <c r="H85" s="2" t="s">
        <v>344</v>
      </c>
      <c r="I85" s="2" t="s">
        <v>309</v>
      </c>
      <c r="J85" s="2" t="s">
        <v>114</v>
      </c>
      <c r="K85" s="2" t="s">
        <v>168</v>
      </c>
      <c r="L85" s="3">
        <v>81.21</v>
      </c>
      <c r="M85" s="3">
        <v>85.27</v>
      </c>
      <c r="N85" s="3">
        <v>169.99</v>
      </c>
      <c r="O85" s="2" t="s">
        <v>97</v>
      </c>
      <c r="P85" s="2" t="s">
        <v>198</v>
      </c>
      <c r="Q85" s="2" t="s">
        <v>99</v>
      </c>
      <c r="R85" s="2" t="s">
        <v>100</v>
      </c>
      <c r="S85" s="2" t="s">
        <v>390</v>
      </c>
      <c r="T85" s="2" t="s">
        <v>100</v>
      </c>
      <c r="U85" s="2" t="s">
        <v>102</v>
      </c>
      <c r="V85" s="2" t="s">
        <v>103</v>
      </c>
      <c r="W85" s="2" t="s">
        <v>104</v>
      </c>
      <c r="X85" s="2" t="s">
        <v>105</v>
      </c>
      <c r="Y85" s="2" t="s">
        <v>391</v>
      </c>
      <c r="Z85" s="4">
        <v>247</v>
      </c>
      <c r="AA85" s="4">
        <f>=ROUNDDOWN(35.2857142857143,0)</f>
      </c>
      <c r="AB85" s="5">
        <v>7</v>
      </c>
      <c r="AC85" s="2" t="s">
        <v>100</v>
      </c>
      <c r="AD85" s="4"/>
      <c r="AE85" s="4"/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110</v>
      </c>
      <c r="BK85" s="8">
        <v>8760.57</v>
      </c>
      <c r="BL85" s="2" t="s">
        <v>392</v>
      </c>
      <c r="BM85" s="7"/>
      <c r="BN85" s="7"/>
      <c r="BO85" s="4"/>
      <c r="BP85" s="8"/>
      <c r="BQ85" s="4"/>
      <c r="BR85" s="8"/>
      <c r="BS85" s="7"/>
      <c r="BT85" s="7"/>
      <c r="BU85" s="2" t="s">
        <v>147</v>
      </c>
      <c r="BV85" s="2" t="s">
        <v>97</v>
      </c>
      <c r="BW85" s="2" t="s">
        <v>100</v>
      </c>
      <c r="BX85" s="2" t="s">
        <v>100</v>
      </c>
      <c r="BY85" s="2" t="s">
        <v>112</v>
      </c>
      <c r="BZ85" s="2" t="s">
        <v>100</v>
      </c>
    </row>
    <row r="86">
      <c r="A86" s="2" t="s">
        <v>394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342</v>
      </c>
      <c r="G86" s="2" t="s">
        <v>343</v>
      </c>
      <c r="H86" s="2" t="s">
        <v>344</v>
      </c>
      <c r="I86" s="2" t="s">
        <v>309</v>
      </c>
      <c r="J86" s="2" t="s">
        <v>118</v>
      </c>
      <c r="K86" s="2" t="s">
        <v>168</v>
      </c>
      <c r="L86" s="3">
        <v>81.21</v>
      </c>
      <c r="M86" s="3">
        <v>85.27</v>
      </c>
      <c r="N86" s="3">
        <v>169.99</v>
      </c>
      <c r="O86" s="2" t="s">
        <v>97</v>
      </c>
      <c r="P86" s="2" t="s">
        <v>198</v>
      </c>
      <c r="Q86" s="2" t="s">
        <v>99</v>
      </c>
      <c r="R86" s="2" t="s">
        <v>100</v>
      </c>
      <c r="S86" s="2" t="s">
        <v>390</v>
      </c>
      <c r="T86" s="2" t="s">
        <v>100</v>
      </c>
      <c r="U86" s="2" t="s">
        <v>102</v>
      </c>
      <c r="V86" s="2" t="s">
        <v>103</v>
      </c>
      <c r="W86" s="2" t="s">
        <v>104</v>
      </c>
      <c r="X86" s="2" t="s">
        <v>105</v>
      </c>
      <c r="Y86" s="2" t="s">
        <v>391</v>
      </c>
      <c r="Z86" s="4">
        <v>166</v>
      </c>
      <c r="AA86" s="4">
        <f>=ROUNDDOWN(33.2,0)</f>
      </c>
      <c r="AB86" s="5">
        <v>5</v>
      </c>
      <c r="AC86" s="2" t="s">
        <v>100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52</v>
      </c>
      <c r="BK86" s="8">
        <v>4204.69</v>
      </c>
      <c r="BL86" s="2" t="s">
        <v>395</v>
      </c>
      <c r="BM86" s="7"/>
      <c r="BN86" s="7"/>
      <c r="BO86" s="4"/>
      <c r="BP86" s="8"/>
      <c r="BQ86" s="4"/>
      <c r="BR86" s="8"/>
      <c r="BS86" s="7"/>
      <c r="BT86" s="7"/>
      <c r="BU86" s="2" t="s">
        <v>147</v>
      </c>
      <c r="BV86" s="2" t="s">
        <v>97</v>
      </c>
      <c r="BW86" s="2" t="s">
        <v>100</v>
      </c>
      <c r="BX86" s="2" t="s">
        <v>100</v>
      </c>
      <c r="BY86" s="2" t="s">
        <v>112</v>
      </c>
      <c r="BZ86" s="2" t="s">
        <v>100</v>
      </c>
    </row>
    <row r="87">
      <c r="A87" s="2" t="s">
        <v>396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397</v>
      </c>
      <c r="G87" s="2" t="s">
        <v>398</v>
      </c>
      <c r="H87" s="2" t="s">
        <v>399</v>
      </c>
      <c r="I87" s="2" t="s">
        <v>400</v>
      </c>
      <c r="J87" s="2" t="s">
        <v>95</v>
      </c>
      <c r="K87" s="2" t="s">
        <v>401</v>
      </c>
      <c r="L87" s="3">
        <v>86.29</v>
      </c>
      <c r="M87" s="3">
        <v>90.6</v>
      </c>
      <c r="N87" s="3">
        <v>179.99</v>
      </c>
      <c r="O87" s="2" t="s">
        <v>97</v>
      </c>
      <c r="P87" s="2" t="s">
        <v>124</v>
      </c>
      <c r="Q87" s="2" t="s">
        <v>99</v>
      </c>
      <c r="R87" s="2" t="s">
        <v>100</v>
      </c>
      <c r="S87" s="2" t="s">
        <v>402</v>
      </c>
      <c r="T87" s="2" t="s">
        <v>100</v>
      </c>
      <c r="U87" s="2" t="s">
        <v>403</v>
      </c>
      <c r="V87" s="2" t="s">
        <v>404</v>
      </c>
      <c r="W87" s="2" t="s">
        <v>405</v>
      </c>
      <c r="X87" s="2" t="s">
        <v>406</v>
      </c>
      <c r="Y87" s="2" t="s">
        <v>407</v>
      </c>
      <c r="Z87" s="4">
        <v>869</v>
      </c>
      <c r="AA87" s="4">
        <f>=ROUNDDOWN(14.0161290322581,0)</f>
      </c>
      <c r="AB87" s="5">
        <v>62</v>
      </c>
      <c r="AC87" s="2" t="s">
        <v>107</v>
      </c>
      <c r="AD87" s="4">
        <v>370</v>
      </c>
      <c r="AE87" s="4">
        <v>1630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>
        <v>0</v>
      </c>
      <c r="AP87" s="4">
        <v>3</v>
      </c>
      <c r="AQ87" s="8">
        <v>271.8</v>
      </c>
      <c r="AR87" s="4">
        <v>8</v>
      </c>
      <c r="AS87" s="8">
        <v>724.8</v>
      </c>
      <c r="AT87" s="7">
        <v>-0.625</v>
      </c>
      <c r="AU87" s="7">
        <v>-0.625</v>
      </c>
      <c r="AV87" s="4">
        <v>8</v>
      </c>
      <c r="AW87" s="8">
        <v>788.85</v>
      </c>
      <c r="AX87" s="4">
        <v>31</v>
      </c>
      <c r="AY87" s="8">
        <v>3103.23</v>
      </c>
      <c r="AZ87" s="7">
        <v>-0.7419</v>
      </c>
      <c r="BA87" s="7">
        <v>-0.7458</v>
      </c>
      <c r="BB87" s="7">
        <v>0.3446</v>
      </c>
      <c r="BC87" s="4">
        <v>18</v>
      </c>
      <c r="BD87" s="8">
        <v>1810.14</v>
      </c>
      <c r="BE87" s="4">
        <v>68</v>
      </c>
      <c r="BF87" s="8">
        <v>6711.63</v>
      </c>
      <c r="BG87" s="7">
        <v>-0.7353</v>
      </c>
      <c r="BH87" s="7">
        <v>-0.7303</v>
      </c>
      <c r="BI87" s="7">
        <v>0.4358</v>
      </c>
      <c r="BJ87" s="4">
        <v>934</v>
      </c>
      <c r="BK87" s="8">
        <v>83914.56</v>
      </c>
      <c r="BL87" s="2" t="s">
        <v>408</v>
      </c>
      <c r="BM87" s="7">
        <v>0.0032</v>
      </c>
      <c r="BN87" s="7">
        <v>0.0032</v>
      </c>
      <c r="BO87" s="4">
        <v>3</v>
      </c>
      <c r="BP87" s="8">
        <v>271.8</v>
      </c>
      <c r="BQ87" s="4">
        <v>8</v>
      </c>
      <c r="BR87" s="8">
        <v>724.8</v>
      </c>
      <c r="BS87" s="7">
        <v>-0.625</v>
      </c>
      <c r="BT87" s="7">
        <v>-0.625</v>
      </c>
      <c r="BU87" s="2" t="s">
        <v>109</v>
      </c>
      <c r="BV87" s="2" t="s">
        <v>97</v>
      </c>
      <c r="BW87" s="2" t="s">
        <v>132</v>
      </c>
      <c r="BX87" s="2" t="s">
        <v>409</v>
      </c>
      <c r="BY87" s="2" t="s">
        <v>112</v>
      </c>
      <c r="BZ87" s="2" t="s">
        <v>100</v>
      </c>
    </row>
    <row r="88">
      <c r="A88" s="2" t="s">
        <v>410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397</v>
      </c>
      <c r="G88" s="2" t="s">
        <v>398</v>
      </c>
      <c r="H88" s="2" t="s">
        <v>399</v>
      </c>
      <c r="I88" s="2" t="s">
        <v>400</v>
      </c>
      <c r="J88" s="2" t="s">
        <v>114</v>
      </c>
      <c r="K88" s="2" t="s">
        <v>401</v>
      </c>
      <c r="L88" s="3">
        <v>98.49</v>
      </c>
      <c r="M88" s="3">
        <v>103.41</v>
      </c>
      <c r="N88" s="3">
        <v>199.99</v>
      </c>
      <c r="O88" s="2" t="s">
        <v>97</v>
      </c>
      <c r="P88" s="2" t="s">
        <v>124</v>
      </c>
      <c r="Q88" s="2" t="s">
        <v>99</v>
      </c>
      <c r="R88" s="2" t="s">
        <v>100</v>
      </c>
      <c r="S88" s="2" t="s">
        <v>402</v>
      </c>
      <c r="T88" s="2" t="s">
        <v>100</v>
      </c>
      <c r="U88" s="2" t="s">
        <v>403</v>
      </c>
      <c r="V88" s="2" t="s">
        <v>404</v>
      </c>
      <c r="W88" s="2" t="s">
        <v>405</v>
      </c>
      <c r="X88" s="2" t="s">
        <v>406</v>
      </c>
      <c r="Y88" s="2" t="s">
        <v>407</v>
      </c>
      <c r="Z88" s="4">
        <v>1076</v>
      </c>
      <c r="AA88" s="4">
        <f>=ROUNDDOWN(13.2839506172839,0)</f>
      </c>
      <c r="AB88" s="5">
        <v>81</v>
      </c>
      <c r="AC88" s="2" t="s">
        <v>145</v>
      </c>
      <c r="AD88" s="4">
        <v>90</v>
      </c>
      <c r="AE88" s="4">
        <v>2070</v>
      </c>
      <c r="AF88" s="6">
        <v>64</v>
      </c>
      <c r="AG88" s="6">
        <v>47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>
        <v>0</v>
      </c>
      <c r="AP88" s="4">
        <v>3</v>
      </c>
      <c r="AQ88" s="8">
        <v>310.23</v>
      </c>
      <c r="AR88" s="4">
        <v>18</v>
      </c>
      <c r="AS88" s="8">
        <v>1861.38</v>
      </c>
      <c r="AT88" s="7">
        <v>-0.8333</v>
      </c>
      <c r="AU88" s="7">
        <v>-0.8333</v>
      </c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>
        <v>0.3933</v>
      </c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1197</v>
      </c>
      <c r="BK88" s="8">
        <v>123357.03</v>
      </c>
      <c r="BL88" s="2" t="s">
        <v>411</v>
      </c>
      <c r="BM88" s="7">
        <v>0.0025</v>
      </c>
      <c r="BN88" s="7">
        <v>0.0025</v>
      </c>
      <c r="BO88" s="4">
        <v>3</v>
      </c>
      <c r="BP88" s="8">
        <v>310.23</v>
      </c>
      <c r="BQ88" s="4">
        <v>18</v>
      </c>
      <c r="BR88" s="8">
        <v>1861.38</v>
      </c>
      <c r="BS88" s="7">
        <v>-0.8333</v>
      </c>
      <c r="BT88" s="7">
        <v>-0.8333</v>
      </c>
      <c r="BU88" s="2" t="s">
        <v>109</v>
      </c>
      <c r="BV88" s="2" t="s">
        <v>97</v>
      </c>
      <c r="BW88" s="2" t="s">
        <v>132</v>
      </c>
      <c r="BX88" s="2" t="s">
        <v>412</v>
      </c>
      <c r="BY88" s="2" t="s">
        <v>112</v>
      </c>
      <c r="BZ88" s="2" t="s">
        <v>100</v>
      </c>
    </row>
    <row r="89">
      <c r="A89" s="2" t="s">
        <v>413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397</v>
      </c>
      <c r="G89" s="2" t="s">
        <v>398</v>
      </c>
      <c r="H89" s="2" t="s">
        <v>399</v>
      </c>
      <c r="I89" s="2" t="s">
        <v>400</v>
      </c>
      <c r="J89" s="2" t="s">
        <v>118</v>
      </c>
      <c r="K89" s="2" t="s">
        <v>401</v>
      </c>
      <c r="L89" s="3">
        <v>98.49</v>
      </c>
      <c r="M89" s="3">
        <v>103.41</v>
      </c>
      <c r="N89" s="3">
        <v>199.99</v>
      </c>
      <c r="O89" s="2" t="s">
        <v>97</v>
      </c>
      <c r="P89" s="2" t="s">
        <v>124</v>
      </c>
      <c r="Q89" s="2" t="s">
        <v>99</v>
      </c>
      <c r="R89" s="2" t="s">
        <v>100</v>
      </c>
      <c r="S89" s="2" t="s">
        <v>402</v>
      </c>
      <c r="T89" s="2" t="s">
        <v>100</v>
      </c>
      <c r="U89" s="2" t="s">
        <v>403</v>
      </c>
      <c r="V89" s="2" t="s">
        <v>404</v>
      </c>
      <c r="W89" s="2" t="s">
        <v>405</v>
      </c>
      <c r="X89" s="2" t="s">
        <v>406</v>
      </c>
      <c r="Y89" s="2" t="s">
        <v>407</v>
      </c>
      <c r="Z89" s="4">
        <v>550</v>
      </c>
      <c r="AA89" s="4">
        <f>=ROUNDDOWN(11.9565217391304,0)</f>
      </c>
      <c r="AB89" s="5">
        <v>46</v>
      </c>
      <c r="AC89" s="2" t="s">
        <v>145</v>
      </c>
      <c r="AD89" s="4">
        <v>100</v>
      </c>
      <c r="AE89" s="4">
        <v>1460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>
        <v>0</v>
      </c>
      <c r="AP89" s="4">
        <v>2</v>
      </c>
      <c r="AQ89" s="8">
        <v>206.82</v>
      </c>
      <c r="AR89" s="4">
        <v>5</v>
      </c>
      <c r="AS89" s="8">
        <v>517.05</v>
      </c>
      <c r="AT89" s="7">
        <v>-0.6</v>
      </c>
      <c r="AU89" s="7">
        <v>-0.6</v>
      </c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>
        <v>0.2622</v>
      </c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790</v>
      </c>
      <c r="BK89" s="8">
        <v>82672.4</v>
      </c>
      <c r="BL89" s="2" t="s">
        <v>414</v>
      </c>
      <c r="BM89" s="7">
        <v>0.0025</v>
      </c>
      <c r="BN89" s="7">
        <v>0.0025</v>
      </c>
      <c r="BO89" s="4">
        <v>2</v>
      </c>
      <c r="BP89" s="8">
        <v>206.82</v>
      </c>
      <c r="BQ89" s="4">
        <v>5</v>
      </c>
      <c r="BR89" s="8">
        <v>517.05</v>
      </c>
      <c r="BS89" s="7">
        <v>-0.6</v>
      </c>
      <c r="BT89" s="7">
        <v>-0.6</v>
      </c>
      <c r="BU89" s="2" t="s">
        <v>109</v>
      </c>
      <c r="BV89" s="2" t="s">
        <v>97</v>
      </c>
      <c r="BW89" s="2" t="s">
        <v>132</v>
      </c>
      <c r="BX89" s="2" t="s">
        <v>415</v>
      </c>
      <c r="BY89" s="2" t="s">
        <v>112</v>
      </c>
      <c r="BZ89" s="2" t="s">
        <v>100</v>
      </c>
    </row>
    <row r="90">
      <c r="A90" s="2" t="s">
        <v>416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397</v>
      </c>
      <c r="G90" s="2" t="s">
        <v>398</v>
      </c>
      <c r="H90" s="2" t="s">
        <v>399</v>
      </c>
      <c r="I90" s="2" t="s">
        <v>400</v>
      </c>
      <c r="J90" s="2" t="s">
        <v>95</v>
      </c>
      <c r="K90" s="2" t="s">
        <v>417</v>
      </c>
      <c r="L90" s="3">
        <v>86.29</v>
      </c>
      <c r="M90" s="3">
        <v>90.6</v>
      </c>
      <c r="N90" s="3">
        <v>179.99</v>
      </c>
      <c r="O90" s="2" t="s">
        <v>97</v>
      </c>
      <c r="P90" s="2" t="s">
        <v>143</v>
      </c>
      <c r="Q90" s="2" t="s">
        <v>99</v>
      </c>
      <c r="R90" s="2" t="s">
        <v>100</v>
      </c>
      <c r="S90" s="2" t="s">
        <v>418</v>
      </c>
      <c r="T90" s="2" t="s">
        <v>100</v>
      </c>
      <c r="U90" s="2" t="s">
        <v>403</v>
      </c>
      <c r="V90" s="2" t="s">
        <v>404</v>
      </c>
      <c r="W90" s="2" t="s">
        <v>405</v>
      </c>
      <c r="X90" s="2" t="s">
        <v>406</v>
      </c>
      <c r="Y90" s="2" t="s">
        <v>419</v>
      </c>
      <c r="Z90" s="4">
        <v>1230</v>
      </c>
      <c r="AA90" s="4">
        <f>=ROUNDDOWN(27.9545454545455,0)</f>
      </c>
      <c r="AB90" s="5">
        <v>44</v>
      </c>
      <c r="AC90" s="2" t="s">
        <v>107</v>
      </c>
      <c r="AD90" s="4">
        <v>250</v>
      </c>
      <c r="AE90" s="4">
        <v>470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>
        <v>0</v>
      </c>
      <c r="AP90" s="4">
        <v>1</v>
      </c>
      <c r="AQ90" s="8">
        <v>90.6</v>
      </c>
      <c r="AR90" s="4">
        <v>12</v>
      </c>
      <c r="AS90" s="8">
        <v>1087.2</v>
      </c>
      <c r="AT90" s="7">
        <v>-0.9167</v>
      </c>
      <c r="AU90" s="7">
        <v>-0.9167</v>
      </c>
      <c r="AV90" s="4">
        <v>7</v>
      </c>
      <c r="AW90" s="8">
        <v>711.06</v>
      </c>
      <c r="AX90" s="4">
        <v>28</v>
      </c>
      <c r="AY90" s="8">
        <v>2741.76</v>
      </c>
      <c r="AZ90" s="7">
        <v>-0.75</v>
      </c>
      <c r="BA90" s="7">
        <v>-0.7407</v>
      </c>
      <c r="BB90" s="7">
        <v>0.1274</v>
      </c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>
        <v>0.3928</v>
      </c>
      <c r="BJ90" s="4">
        <v>872</v>
      </c>
      <c r="BK90" s="8">
        <v>77523.23</v>
      </c>
      <c r="BL90" s="2" t="s">
        <v>420</v>
      </c>
      <c r="BM90" s="7">
        <v>0.0011</v>
      </c>
      <c r="BN90" s="7">
        <v>0.0012</v>
      </c>
      <c r="BO90" s="4">
        <v>1</v>
      </c>
      <c r="BP90" s="8">
        <v>90.6</v>
      </c>
      <c r="BQ90" s="4">
        <v>12</v>
      </c>
      <c r="BR90" s="8">
        <v>1087.2</v>
      </c>
      <c r="BS90" s="7">
        <v>-0.9167</v>
      </c>
      <c r="BT90" s="7">
        <v>-0.9167</v>
      </c>
      <c r="BU90" s="2" t="s">
        <v>109</v>
      </c>
      <c r="BV90" s="2" t="s">
        <v>97</v>
      </c>
      <c r="BW90" s="2" t="s">
        <v>132</v>
      </c>
      <c r="BX90" s="2" t="s">
        <v>203</v>
      </c>
      <c r="BY90" s="2" t="s">
        <v>112</v>
      </c>
      <c r="BZ90" s="2" t="s">
        <v>100</v>
      </c>
    </row>
    <row r="91">
      <c r="A91" s="2" t="s">
        <v>421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397</v>
      </c>
      <c r="G91" s="2" t="s">
        <v>398</v>
      </c>
      <c r="H91" s="2" t="s">
        <v>399</v>
      </c>
      <c r="I91" s="2" t="s">
        <v>400</v>
      </c>
      <c r="J91" s="2" t="s">
        <v>114</v>
      </c>
      <c r="K91" s="2" t="s">
        <v>417</v>
      </c>
      <c r="L91" s="3">
        <v>98.49</v>
      </c>
      <c r="M91" s="3">
        <v>103.41</v>
      </c>
      <c r="N91" s="3">
        <v>199.99</v>
      </c>
      <c r="O91" s="2" t="s">
        <v>97</v>
      </c>
      <c r="P91" s="2" t="s">
        <v>143</v>
      </c>
      <c r="Q91" s="2" t="s">
        <v>99</v>
      </c>
      <c r="R91" s="2" t="s">
        <v>100</v>
      </c>
      <c r="S91" s="2" t="s">
        <v>418</v>
      </c>
      <c r="T91" s="2" t="s">
        <v>100</v>
      </c>
      <c r="U91" s="2" t="s">
        <v>403</v>
      </c>
      <c r="V91" s="2" t="s">
        <v>404</v>
      </c>
      <c r="W91" s="2" t="s">
        <v>405</v>
      </c>
      <c r="X91" s="2" t="s">
        <v>406</v>
      </c>
      <c r="Y91" s="2" t="s">
        <v>419</v>
      </c>
      <c r="Z91" s="4">
        <v>1602</v>
      </c>
      <c r="AA91" s="4">
        <f>=ROUNDDOWN(23.2173913043478,0)</f>
      </c>
      <c r="AB91" s="5">
        <v>69</v>
      </c>
      <c r="AC91" s="2" t="s">
        <v>107</v>
      </c>
      <c r="AD91" s="4">
        <v>250</v>
      </c>
      <c r="AE91" s="4">
        <v>850</v>
      </c>
      <c r="AF91" s="6">
        <v>64</v>
      </c>
      <c r="AG91" s="6">
        <v>47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>
        <v>0</v>
      </c>
      <c r="AP91" s="4">
        <v>5</v>
      </c>
      <c r="AQ91" s="8">
        <v>517.05</v>
      </c>
      <c r="AR91" s="4">
        <v>12</v>
      </c>
      <c r="AS91" s="8">
        <v>1240.92</v>
      </c>
      <c r="AT91" s="7">
        <v>-0.5833</v>
      </c>
      <c r="AU91" s="7">
        <v>-0.5833</v>
      </c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>
        <v>0.7272</v>
      </c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974</v>
      </c>
      <c r="BK91" s="8">
        <v>96035.15</v>
      </c>
      <c r="BL91" s="2" t="s">
        <v>422</v>
      </c>
      <c r="BM91" s="7">
        <v>0.0051</v>
      </c>
      <c r="BN91" s="7">
        <v>0.0054</v>
      </c>
      <c r="BO91" s="4">
        <v>5</v>
      </c>
      <c r="BP91" s="8">
        <v>517.05</v>
      </c>
      <c r="BQ91" s="4">
        <v>12</v>
      </c>
      <c r="BR91" s="8">
        <v>1240.92</v>
      </c>
      <c r="BS91" s="7">
        <v>-0.5833</v>
      </c>
      <c r="BT91" s="7">
        <v>-0.5833</v>
      </c>
      <c r="BU91" s="2" t="s">
        <v>109</v>
      </c>
      <c r="BV91" s="2" t="s">
        <v>97</v>
      </c>
      <c r="BW91" s="2" t="s">
        <v>132</v>
      </c>
      <c r="BX91" s="2" t="s">
        <v>203</v>
      </c>
      <c r="BY91" s="2" t="s">
        <v>112</v>
      </c>
      <c r="BZ91" s="2" t="s">
        <v>100</v>
      </c>
    </row>
    <row r="92">
      <c r="A92" s="2" t="s">
        <v>423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397</v>
      </c>
      <c r="G92" s="2" t="s">
        <v>398</v>
      </c>
      <c r="H92" s="2" t="s">
        <v>399</v>
      </c>
      <c r="I92" s="2" t="s">
        <v>400</v>
      </c>
      <c r="J92" s="2" t="s">
        <v>118</v>
      </c>
      <c r="K92" s="2" t="s">
        <v>417</v>
      </c>
      <c r="L92" s="3">
        <v>98.49</v>
      </c>
      <c r="M92" s="3">
        <v>103.41</v>
      </c>
      <c r="N92" s="3">
        <v>199.99</v>
      </c>
      <c r="O92" s="2" t="s">
        <v>97</v>
      </c>
      <c r="P92" s="2" t="s">
        <v>143</v>
      </c>
      <c r="Q92" s="2" t="s">
        <v>99</v>
      </c>
      <c r="R92" s="2" t="s">
        <v>100</v>
      </c>
      <c r="S92" s="2" t="s">
        <v>418</v>
      </c>
      <c r="T92" s="2" t="s">
        <v>100</v>
      </c>
      <c r="U92" s="2" t="s">
        <v>403</v>
      </c>
      <c r="V92" s="2" t="s">
        <v>404</v>
      </c>
      <c r="W92" s="2" t="s">
        <v>405</v>
      </c>
      <c r="X92" s="2" t="s">
        <v>406</v>
      </c>
      <c r="Y92" s="2" t="s">
        <v>419</v>
      </c>
      <c r="Z92" s="4">
        <v>724</v>
      </c>
      <c r="AA92" s="4">
        <f>=ROUNDDOWN(21.2941176470588,0)</f>
      </c>
      <c r="AB92" s="5">
        <v>34</v>
      </c>
      <c r="AC92" s="2" t="s">
        <v>107</v>
      </c>
      <c r="AD92" s="4">
        <v>100</v>
      </c>
      <c r="AE92" s="4">
        <v>580</v>
      </c>
      <c r="AF92" s="6">
        <v>64</v>
      </c>
      <c r="AG92" s="6">
        <v>47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>
        <v>0</v>
      </c>
      <c r="AP92" s="4">
        <v>1</v>
      </c>
      <c r="AQ92" s="8">
        <v>103.41</v>
      </c>
      <c r="AR92" s="4">
        <v>4</v>
      </c>
      <c r="AS92" s="8">
        <v>413.64</v>
      </c>
      <c r="AT92" s="7">
        <v>-0.75</v>
      </c>
      <c r="AU92" s="7">
        <v>-0.75</v>
      </c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>
        <v>0.1454</v>
      </c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450</v>
      </c>
      <c r="BK92" s="8">
        <v>45809.98</v>
      </c>
      <c r="BL92" s="2" t="s">
        <v>424</v>
      </c>
      <c r="BM92" s="7">
        <v>0.0022</v>
      </c>
      <c r="BN92" s="7">
        <v>0.0023</v>
      </c>
      <c r="BO92" s="4">
        <v>1</v>
      </c>
      <c r="BP92" s="8">
        <v>103.41</v>
      </c>
      <c r="BQ92" s="4">
        <v>4</v>
      </c>
      <c r="BR92" s="8">
        <v>413.64</v>
      </c>
      <c r="BS92" s="7">
        <v>-0.75</v>
      </c>
      <c r="BT92" s="7">
        <v>-0.75</v>
      </c>
      <c r="BU92" s="2" t="s">
        <v>109</v>
      </c>
      <c r="BV92" s="2" t="s">
        <v>97</v>
      </c>
      <c r="BW92" s="2" t="s">
        <v>132</v>
      </c>
      <c r="BX92" s="2" t="s">
        <v>425</v>
      </c>
      <c r="BY92" s="2" t="s">
        <v>112</v>
      </c>
      <c r="BZ92" s="2" t="s">
        <v>100</v>
      </c>
    </row>
    <row r="93">
      <c r="A93" s="2" t="s">
        <v>426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397</v>
      </c>
      <c r="G93" s="2" t="s">
        <v>398</v>
      </c>
      <c r="H93" s="2" t="s">
        <v>399</v>
      </c>
      <c r="I93" s="2" t="s">
        <v>400</v>
      </c>
      <c r="J93" s="2" t="s">
        <v>95</v>
      </c>
      <c r="K93" s="2" t="s">
        <v>427</v>
      </c>
      <c r="L93" s="3">
        <v>86.29</v>
      </c>
      <c r="M93" s="3">
        <v>90.6</v>
      </c>
      <c r="N93" s="3">
        <v>179.99</v>
      </c>
      <c r="O93" s="2" t="s">
        <v>97</v>
      </c>
      <c r="P93" s="2" t="s">
        <v>143</v>
      </c>
      <c r="Q93" s="2" t="s">
        <v>99</v>
      </c>
      <c r="R93" s="2" t="s">
        <v>100</v>
      </c>
      <c r="S93" s="2" t="s">
        <v>428</v>
      </c>
      <c r="T93" s="2" t="s">
        <v>100</v>
      </c>
      <c r="U93" s="2" t="s">
        <v>403</v>
      </c>
      <c r="V93" s="2" t="s">
        <v>404</v>
      </c>
      <c r="W93" s="2" t="s">
        <v>405</v>
      </c>
      <c r="X93" s="2" t="s">
        <v>406</v>
      </c>
      <c r="Y93" s="2" t="s">
        <v>429</v>
      </c>
      <c r="Z93" s="4">
        <v>700</v>
      </c>
      <c r="AA93" s="4">
        <f>=ROUNDDOWN(26.9230769230769,0)</f>
      </c>
      <c r="AB93" s="5">
        <v>26</v>
      </c>
      <c r="AC93" s="2" t="s">
        <v>430</v>
      </c>
      <c r="AD93" s="4">
        <v>170</v>
      </c>
      <c r="AE93" s="4">
        <v>370</v>
      </c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>
        <v>0</v>
      </c>
      <c r="AP93" s="4"/>
      <c r="AQ93" s="8"/>
      <c r="AR93" s="4">
        <v>5</v>
      </c>
      <c r="AS93" s="8">
        <v>453</v>
      </c>
      <c r="AT93" s="7">
        <v>-1</v>
      </c>
      <c r="AU93" s="7">
        <v>-1</v>
      </c>
      <c r="AV93" s="4">
        <v>3</v>
      </c>
      <c r="AW93" s="8">
        <v>310.23</v>
      </c>
      <c r="AX93" s="4">
        <v>9</v>
      </c>
      <c r="AY93" s="8">
        <v>866.64</v>
      </c>
      <c r="AZ93" s="7">
        <v>-0.6667</v>
      </c>
      <c r="BA93" s="7">
        <v>-0.642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>
        <v>0.1714</v>
      </c>
      <c r="BJ93" s="4">
        <v>512</v>
      </c>
      <c r="BK93" s="8">
        <v>43766.62</v>
      </c>
      <c r="BL93" s="2" t="s">
        <v>431</v>
      </c>
      <c r="BM93" s="7"/>
      <c r="BN93" s="7"/>
      <c r="BO93" s="4"/>
      <c r="BP93" s="8"/>
      <c r="BQ93" s="4">
        <v>5</v>
      </c>
      <c r="BR93" s="8">
        <v>453</v>
      </c>
      <c r="BS93" s="7">
        <v>-1</v>
      </c>
      <c r="BT93" s="7">
        <v>-1</v>
      </c>
      <c r="BU93" s="2" t="s">
        <v>109</v>
      </c>
      <c r="BV93" s="2" t="s">
        <v>97</v>
      </c>
      <c r="BW93" s="2" t="s">
        <v>110</v>
      </c>
      <c r="BX93" s="2" t="s">
        <v>432</v>
      </c>
      <c r="BY93" s="2" t="s">
        <v>112</v>
      </c>
      <c r="BZ93" s="2" t="s">
        <v>100</v>
      </c>
    </row>
    <row r="94">
      <c r="A94" s="2" t="s">
        <v>433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397</v>
      </c>
      <c r="G94" s="2" t="s">
        <v>398</v>
      </c>
      <c r="H94" s="2" t="s">
        <v>399</v>
      </c>
      <c r="I94" s="2" t="s">
        <v>400</v>
      </c>
      <c r="J94" s="2" t="s">
        <v>114</v>
      </c>
      <c r="K94" s="2" t="s">
        <v>427</v>
      </c>
      <c r="L94" s="3">
        <v>98.49</v>
      </c>
      <c r="M94" s="3">
        <v>103.41</v>
      </c>
      <c r="N94" s="3">
        <v>199.99</v>
      </c>
      <c r="O94" s="2" t="s">
        <v>97</v>
      </c>
      <c r="P94" s="2" t="s">
        <v>143</v>
      </c>
      <c r="Q94" s="2" t="s">
        <v>99</v>
      </c>
      <c r="R94" s="2" t="s">
        <v>100</v>
      </c>
      <c r="S94" s="2" t="s">
        <v>428</v>
      </c>
      <c r="T94" s="2" t="s">
        <v>100</v>
      </c>
      <c r="U94" s="2" t="s">
        <v>403</v>
      </c>
      <c r="V94" s="2" t="s">
        <v>404</v>
      </c>
      <c r="W94" s="2" t="s">
        <v>405</v>
      </c>
      <c r="X94" s="2" t="s">
        <v>406</v>
      </c>
      <c r="Y94" s="2" t="s">
        <v>429</v>
      </c>
      <c r="Z94" s="4">
        <v>641</v>
      </c>
      <c r="AA94" s="4">
        <f>=ROUNDDOWN(17.8055555555556,0)</f>
      </c>
      <c r="AB94" s="5">
        <v>36</v>
      </c>
      <c r="AC94" s="2" t="s">
        <v>130</v>
      </c>
      <c r="AD94" s="4">
        <v>60</v>
      </c>
      <c r="AE94" s="4">
        <v>860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>
        <v>0</v>
      </c>
      <c r="AP94" s="4">
        <v>3</v>
      </c>
      <c r="AQ94" s="8">
        <v>310.23</v>
      </c>
      <c r="AR94" s="4">
        <v>3</v>
      </c>
      <c r="AS94" s="8">
        <v>310.23</v>
      </c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>
        <v>1</v>
      </c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>
        <v>674</v>
      </c>
      <c r="BK94" s="8">
        <v>66434.18</v>
      </c>
      <c r="BL94" s="2" t="s">
        <v>434</v>
      </c>
      <c r="BM94" s="7">
        <v>0.0045</v>
      </c>
      <c r="BN94" s="7">
        <v>0.0047</v>
      </c>
      <c r="BO94" s="4">
        <v>3</v>
      </c>
      <c r="BP94" s="8">
        <v>310.23</v>
      </c>
      <c r="BQ94" s="4">
        <v>3</v>
      </c>
      <c r="BR94" s="8">
        <v>310.23</v>
      </c>
      <c r="BS94" s="7"/>
      <c r="BT94" s="7"/>
      <c r="BU94" s="2" t="s">
        <v>109</v>
      </c>
      <c r="BV94" s="2" t="s">
        <v>97</v>
      </c>
      <c r="BW94" s="2" t="s">
        <v>110</v>
      </c>
      <c r="BX94" s="2" t="s">
        <v>435</v>
      </c>
      <c r="BY94" s="2" t="s">
        <v>112</v>
      </c>
      <c r="BZ94" s="2" t="s">
        <v>100</v>
      </c>
    </row>
    <row r="95">
      <c r="A95" s="2" t="s">
        <v>436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397</v>
      </c>
      <c r="G95" s="2" t="s">
        <v>398</v>
      </c>
      <c r="H95" s="2" t="s">
        <v>399</v>
      </c>
      <c r="I95" s="2" t="s">
        <v>400</v>
      </c>
      <c r="J95" s="2" t="s">
        <v>118</v>
      </c>
      <c r="K95" s="2" t="s">
        <v>427</v>
      </c>
      <c r="L95" s="3">
        <v>98.49</v>
      </c>
      <c r="M95" s="3">
        <v>103.41</v>
      </c>
      <c r="N95" s="3">
        <v>199.99</v>
      </c>
      <c r="O95" s="2" t="s">
        <v>97</v>
      </c>
      <c r="P95" s="2" t="s">
        <v>143</v>
      </c>
      <c r="Q95" s="2" t="s">
        <v>99</v>
      </c>
      <c r="R95" s="2" t="s">
        <v>100</v>
      </c>
      <c r="S95" s="2" t="s">
        <v>428</v>
      </c>
      <c r="T95" s="2" t="s">
        <v>100</v>
      </c>
      <c r="U95" s="2" t="s">
        <v>403</v>
      </c>
      <c r="V95" s="2" t="s">
        <v>404</v>
      </c>
      <c r="W95" s="2" t="s">
        <v>405</v>
      </c>
      <c r="X95" s="2" t="s">
        <v>406</v>
      </c>
      <c r="Y95" s="2" t="s">
        <v>429</v>
      </c>
      <c r="Z95" s="4">
        <v>156</v>
      </c>
      <c r="AA95" s="4">
        <f>=ROUNDDOWN(7.09090909090909,0)</f>
      </c>
      <c r="AB95" s="5">
        <v>22</v>
      </c>
      <c r="AC95" s="2" t="s">
        <v>430</v>
      </c>
      <c r="AD95" s="4">
        <v>60</v>
      </c>
      <c r="AE95" s="4">
        <v>560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>
        <v>0</v>
      </c>
      <c r="AP95" s="4"/>
      <c r="AQ95" s="8"/>
      <c r="AR95" s="4">
        <v>1</v>
      </c>
      <c r="AS95" s="8">
        <v>103.41</v>
      </c>
      <c r="AT95" s="7">
        <v>-1</v>
      </c>
      <c r="AU95" s="7">
        <v>-1</v>
      </c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379</v>
      </c>
      <c r="BK95" s="8">
        <v>38230.89</v>
      </c>
      <c r="BL95" s="2" t="s">
        <v>437</v>
      </c>
      <c r="BM95" s="7"/>
      <c r="BN95" s="7"/>
      <c r="BO95" s="4"/>
      <c r="BP95" s="8"/>
      <c r="BQ95" s="4">
        <v>1</v>
      </c>
      <c r="BR95" s="8">
        <v>103.41</v>
      </c>
      <c r="BS95" s="7">
        <v>-1</v>
      </c>
      <c r="BT95" s="7">
        <v>-1</v>
      </c>
      <c r="BU95" s="2" t="s">
        <v>109</v>
      </c>
      <c r="BV95" s="2" t="s">
        <v>97</v>
      </c>
      <c r="BW95" s="2" t="s">
        <v>110</v>
      </c>
      <c r="BX95" s="2" t="s">
        <v>438</v>
      </c>
      <c r="BY95" s="2" t="s">
        <v>112</v>
      </c>
      <c r="BZ95" s="2" t="s">
        <v>100</v>
      </c>
    </row>
    <row r="96">
      <c r="A96" s="2" t="s">
        <v>439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397</v>
      </c>
      <c r="G96" s="2" t="s">
        <v>398</v>
      </c>
      <c r="H96" s="2" t="s">
        <v>440</v>
      </c>
      <c r="I96" s="2" t="s">
        <v>400</v>
      </c>
      <c r="J96" s="2" t="s">
        <v>95</v>
      </c>
      <c r="K96" s="2" t="s">
        <v>441</v>
      </c>
      <c r="L96" s="3">
        <v>86.29</v>
      </c>
      <c r="M96" s="3">
        <v>90.6</v>
      </c>
      <c r="N96" s="3">
        <v>179.99</v>
      </c>
      <c r="O96" s="2" t="s">
        <v>97</v>
      </c>
      <c r="P96" s="2" t="s">
        <v>143</v>
      </c>
      <c r="Q96" s="2" t="s">
        <v>99</v>
      </c>
      <c r="R96" s="2" t="s">
        <v>100</v>
      </c>
      <c r="S96" s="2" t="s">
        <v>442</v>
      </c>
      <c r="T96" s="2" t="s">
        <v>100</v>
      </c>
      <c r="U96" s="2" t="s">
        <v>403</v>
      </c>
      <c r="V96" s="2" t="s">
        <v>404</v>
      </c>
      <c r="W96" s="2" t="s">
        <v>405</v>
      </c>
      <c r="X96" s="2" t="s">
        <v>406</v>
      </c>
      <c r="Y96" s="2" t="s">
        <v>443</v>
      </c>
      <c r="Z96" s="4">
        <v>609</v>
      </c>
      <c r="AA96" s="4">
        <f>=ROUNDDOWN(25.375,0)</f>
      </c>
      <c r="AB96" s="5">
        <v>24</v>
      </c>
      <c r="AC96" s="2" t="s">
        <v>430</v>
      </c>
      <c r="AD96" s="4">
        <v>170</v>
      </c>
      <c r="AE96" s="4">
        <v>500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461</v>
      </c>
      <c r="BK96" s="8">
        <v>39682.56</v>
      </c>
      <c r="BL96" s="2" t="s">
        <v>444</v>
      </c>
      <c r="BM96" s="7"/>
      <c r="BN96" s="7"/>
      <c r="BO96" s="4"/>
      <c r="BP96" s="8"/>
      <c r="BQ96" s="4"/>
      <c r="BR96" s="8"/>
      <c r="BS96" s="7"/>
      <c r="BT96" s="7"/>
      <c r="BU96" s="2" t="s">
        <v>147</v>
      </c>
      <c r="BV96" s="2" t="s">
        <v>97</v>
      </c>
      <c r="BW96" s="2" t="s">
        <v>100</v>
      </c>
      <c r="BX96" s="2" t="s">
        <v>100</v>
      </c>
      <c r="BY96" s="2" t="s">
        <v>112</v>
      </c>
      <c r="BZ96" s="2" t="s">
        <v>100</v>
      </c>
    </row>
    <row r="97">
      <c r="A97" s="2" t="s">
        <v>445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397</v>
      </c>
      <c r="G97" s="2" t="s">
        <v>398</v>
      </c>
      <c r="H97" s="2" t="s">
        <v>440</v>
      </c>
      <c r="I97" s="2" t="s">
        <v>400</v>
      </c>
      <c r="J97" s="2" t="s">
        <v>114</v>
      </c>
      <c r="K97" s="2" t="s">
        <v>441</v>
      </c>
      <c r="L97" s="3">
        <v>98.49</v>
      </c>
      <c r="M97" s="3">
        <v>103.41</v>
      </c>
      <c r="N97" s="3">
        <v>199.99</v>
      </c>
      <c r="O97" s="2" t="s">
        <v>97</v>
      </c>
      <c r="P97" s="2" t="s">
        <v>143</v>
      </c>
      <c r="Q97" s="2" t="s">
        <v>99</v>
      </c>
      <c r="R97" s="2" t="s">
        <v>100</v>
      </c>
      <c r="S97" s="2" t="s">
        <v>442</v>
      </c>
      <c r="T97" s="2" t="s">
        <v>100</v>
      </c>
      <c r="U97" s="2" t="s">
        <v>403</v>
      </c>
      <c r="V97" s="2" t="s">
        <v>404</v>
      </c>
      <c r="W97" s="2" t="s">
        <v>405</v>
      </c>
      <c r="X97" s="2" t="s">
        <v>406</v>
      </c>
      <c r="Y97" s="2" t="s">
        <v>443</v>
      </c>
      <c r="Z97" s="4">
        <v>546</v>
      </c>
      <c r="AA97" s="4">
        <f>=ROUNDDOWN(26,0)</f>
      </c>
      <c r="AB97" s="5">
        <v>21</v>
      </c>
      <c r="AC97" s="2" t="s">
        <v>430</v>
      </c>
      <c r="AD97" s="4">
        <v>140</v>
      </c>
      <c r="AE97" s="4">
        <v>340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435</v>
      </c>
      <c r="BK97" s="8">
        <v>44011.45</v>
      </c>
      <c r="BL97" s="2" t="s">
        <v>446</v>
      </c>
      <c r="BM97" s="7"/>
      <c r="BN97" s="7"/>
      <c r="BO97" s="4"/>
      <c r="BP97" s="8"/>
      <c r="BQ97" s="4"/>
      <c r="BR97" s="8"/>
      <c r="BS97" s="7"/>
      <c r="BT97" s="7"/>
      <c r="BU97" s="2" t="s">
        <v>147</v>
      </c>
      <c r="BV97" s="2" t="s">
        <v>97</v>
      </c>
      <c r="BW97" s="2" t="s">
        <v>100</v>
      </c>
      <c r="BX97" s="2" t="s">
        <v>100</v>
      </c>
      <c r="BY97" s="2" t="s">
        <v>112</v>
      </c>
      <c r="BZ97" s="2" t="s">
        <v>100</v>
      </c>
    </row>
    <row r="98">
      <c r="A98" s="2" t="s">
        <v>447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397</v>
      </c>
      <c r="G98" s="2" t="s">
        <v>398</v>
      </c>
      <c r="H98" s="2" t="s">
        <v>440</v>
      </c>
      <c r="I98" s="2" t="s">
        <v>400</v>
      </c>
      <c r="J98" s="2" t="s">
        <v>118</v>
      </c>
      <c r="K98" s="2" t="s">
        <v>441</v>
      </c>
      <c r="L98" s="3">
        <v>98.49</v>
      </c>
      <c r="M98" s="3">
        <v>103.41</v>
      </c>
      <c r="N98" s="3">
        <v>199.99</v>
      </c>
      <c r="O98" s="2" t="s">
        <v>97</v>
      </c>
      <c r="P98" s="2" t="s">
        <v>143</v>
      </c>
      <c r="Q98" s="2" t="s">
        <v>99</v>
      </c>
      <c r="R98" s="2" t="s">
        <v>100</v>
      </c>
      <c r="S98" s="2" t="s">
        <v>442</v>
      </c>
      <c r="T98" s="2" t="s">
        <v>100</v>
      </c>
      <c r="U98" s="2" t="s">
        <v>403</v>
      </c>
      <c r="V98" s="2" t="s">
        <v>404</v>
      </c>
      <c r="W98" s="2" t="s">
        <v>405</v>
      </c>
      <c r="X98" s="2" t="s">
        <v>406</v>
      </c>
      <c r="Y98" s="2" t="s">
        <v>443</v>
      </c>
      <c r="Z98" s="4">
        <v>389</v>
      </c>
      <c r="AA98" s="4">
        <f>=ROUNDDOWN(32.4166666666667,0)</f>
      </c>
      <c r="AB98" s="5">
        <v>12</v>
      </c>
      <c r="AC98" s="2" t="s">
        <v>430</v>
      </c>
      <c r="AD98" s="4">
        <v>100</v>
      </c>
      <c r="AE98" s="4">
        <v>190</v>
      </c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100</v>
      </c>
      <c r="AW98" s="8" t="s">
        <v>100</v>
      </c>
      <c r="AX98" s="4" t="s">
        <v>100</v>
      </c>
      <c r="AY98" s="8" t="s">
        <v>100</v>
      </c>
      <c r="AZ98" s="7" t="s">
        <v>100</v>
      </c>
      <c r="BA98" s="7" t="s">
        <v>100</v>
      </c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 t="s">
        <v>100</v>
      </c>
      <c r="BJ98" s="4">
        <v>206</v>
      </c>
      <c r="BK98" s="8">
        <v>20540.76</v>
      </c>
      <c r="BL98" s="2" t="s">
        <v>448</v>
      </c>
      <c r="BM98" s="7"/>
      <c r="BN98" s="7"/>
      <c r="BO98" s="4"/>
      <c r="BP98" s="8"/>
      <c r="BQ98" s="4"/>
      <c r="BR98" s="8"/>
      <c r="BS98" s="7"/>
      <c r="BT98" s="7"/>
      <c r="BU98" s="2" t="s">
        <v>147</v>
      </c>
      <c r="BV98" s="2" t="s">
        <v>97</v>
      </c>
      <c r="BW98" s="2" t="s">
        <v>100</v>
      </c>
      <c r="BX98" s="2" t="s">
        <v>100</v>
      </c>
      <c r="BY98" s="2" t="s">
        <v>112</v>
      </c>
      <c r="BZ98" s="2" t="s">
        <v>100</v>
      </c>
    </row>
    <row r="99">
      <c r="A99" s="2" t="s">
        <v>449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450</v>
      </c>
      <c r="G99" s="2" t="s">
        <v>451</v>
      </c>
      <c r="H99" s="2" t="s">
        <v>452</v>
      </c>
      <c r="I99" s="2" t="s">
        <v>453</v>
      </c>
      <c r="J99" s="2" t="s">
        <v>95</v>
      </c>
      <c r="K99" s="2" t="s">
        <v>96</v>
      </c>
      <c r="L99" s="3">
        <v>69</v>
      </c>
      <c r="M99" s="3">
        <v>72.45</v>
      </c>
      <c r="N99" s="3">
        <v>149.99</v>
      </c>
      <c r="O99" s="2" t="s">
        <v>97</v>
      </c>
      <c r="P99" s="2" t="s">
        <v>182</v>
      </c>
      <c r="Q99" s="2" t="s">
        <v>99</v>
      </c>
      <c r="R99" s="2" t="s">
        <v>100</v>
      </c>
      <c r="S99" s="2" t="s">
        <v>454</v>
      </c>
      <c r="T99" s="2" t="s">
        <v>100</v>
      </c>
      <c r="U99" s="2" t="s">
        <v>102</v>
      </c>
      <c r="V99" s="2" t="s">
        <v>455</v>
      </c>
      <c r="W99" s="2" t="s">
        <v>405</v>
      </c>
      <c r="X99" s="2" t="s">
        <v>456</v>
      </c>
      <c r="Y99" s="2" t="s">
        <v>106</v>
      </c>
      <c r="Z99" s="4">
        <v>644</v>
      </c>
      <c r="AA99" s="4">
        <f>=ROUNDDOWN(40.25,0)</f>
      </c>
      <c r="AB99" s="5">
        <v>16</v>
      </c>
      <c r="AC99" s="2" t="s">
        <v>100</v>
      </c>
      <c r="AD99" s="4"/>
      <c r="AE99" s="4"/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>
        <v>0</v>
      </c>
      <c r="AP99" s="4">
        <v>13</v>
      </c>
      <c r="AQ99" s="8">
        <v>941.85</v>
      </c>
      <c r="AR99" s="4">
        <v>12</v>
      </c>
      <c r="AS99" s="8">
        <v>869.4</v>
      </c>
      <c r="AT99" s="7">
        <v>0.0833</v>
      </c>
      <c r="AU99" s="7">
        <v>0.0833</v>
      </c>
      <c r="AV99" s="4">
        <v>18</v>
      </c>
      <c r="AW99" s="8">
        <v>1352.4</v>
      </c>
      <c r="AX99" s="4">
        <v>21</v>
      </c>
      <c r="AY99" s="8">
        <v>1608.39</v>
      </c>
      <c r="AZ99" s="7">
        <v>-0.1429</v>
      </c>
      <c r="BA99" s="7">
        <v>-0.1592</v>
      </c>
      <c r="BB99" s="7">
        <v>0.6964</v>
      </c>
      <c r="BC99" s="4">
        <v>18</v>
      </c>
      <c r="BD99" s="8">
        <v>1352.4</v>
      </c>
      <c r="BE99" s="4">
        <v>21</v>
      </c>
      <c r="BF99" s="8">
        <v>1608.39</v>
      </c>
      <c r="BG99" s="7">
        <v>-0.1429</v>
      </c>
      <c r="BH99" s="7">
        <v>-0.1592</v>
      </c>
      <c r="BI99" s="7">
        <v>1</v>
      </c>
      <c r="BJ99" s="4">
        <v>318</v>
      </c>
      <c r="BK99" s="8">
        <v>21588.95</v>
      </c>
      <c r="BL99" s="2" t="s">
        <v>457</v>
      </c>
      <c r="BM99" s="7">
        <v>0.0409</v>
      </c>
      <c r="BN99" s="7">
        <v>0.0436</v>
      </c>
      <c r="BO99" s="4">
        <v>13</v>
      </c>
      <c r="BP99" s="8">
        <v>941.85</v>
      </c>
      <c r="BQ99" s="4">
        <v>12</v>
      </c>
      <c r="BR99" s="8">
        <v>869.4</v>
      </c>
      <c r="BS99" s="7">
        <v>0.0833</v>
      </c>
      <c r="BT99" s="7">
        <v>0.0833</v>
      </c>
      <c r="BU99" s="2" t="s">
        <v>109</v>
      </c>
      <c r="BV99" s="2" t="s">
        <v>97</v>
      </c>
      <c r="BW99" s="2" t="s">
        <v>110</v>
      </c>
      <c r="BX99" s="2" t="s">
        <v>361</v>
      </c>
      <c r="BY99" s="2" t="s">
        <v>112</v>
      </c>
      <c r="BZ99" s="2" t="s">
        <v>100</v>
      </c>
    </row>
    <row r="100">
      <c r="A100" s="2" t="s">
        <v>458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450</v>
      </c>
      <c r="G100" s="2" t="s">
        <v>451</v>
      </c>
      <c r="H100" s="2" t="s">
        <v>452</v>
      </c>
      <c r="I100" s="2" t="s">
        <v>453</v>
      </c>
      <c r="J100" s="2" t="s">
        <v>114</v>
      </c>
      <c r="K100" s="2" t="s">
        <v>96</v>
      </c>
      <c r="L100" s="3">
        <v>78.2</v>
      </c>
      <c r="M100" s="3">
        <v>82.11</v>
      </c>
      <c r="N100" s="3">
        <v>169.99</v>
      </c>
      <c r="O100" s="2" t="s">
        <v>97</v>
      </c>
      <c r="P100" s="2" t="s">
        <v>182</v>
      </c>
      <c r="Q100" s="2" t="s">
        <v>99</v>
      </c>
      <c r="R100" s="2" t="s">
        <v>100</v>
      </c>
      <c r="S100" s="2" t="s">
        <v>454</v>
      </c>
      <c r="T100" s="2" t="s">
        <v>100</v>
      </c>
      <c r="U100" s="2" t="s">
        <v>102</v>
      </c>
      <c r="V100" s="2" t="s">
        <v>455</v>
      </c>
      <c r="W100" s="2" t="s">
        <v>405</v>
      </c>
      <c r="X100" s="2" t="s">
        <v>456</v>
      </c>
      <c r="Y100" s="2" t="s">
        <v>106</v>
      </c>
      <c r="Z100" s="4">
        <v>468</v>
      </c>
      <c r="AA100" s="4">
        <f>=ROUNDDOWN(42.5454545454545,0)</f>
      </c>
      <c r="AB100" s="5">
        <v>11</v>
      </c>
      <c r="AC100" s="2" t="s">
        <v>100</v>
      </c>
      <c r="AD100" s="4"/>
      <c r="AE100" s="4"/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>
        <v>0</v>
      </c>
      <c r="AP100" s="4">
        <v>4</v>
      </c>
      <c r="AQ100" s="8">
        <v>328.44</v>
      </c>
      <c r="AR100" s="4">
        <v>5</v>
      </c>
      <c r="AS100" s="8">
        <v>410.55</v>
      </c>
      <c r="AT100" s="7">
        <v>-0.2</v>
      </c>
      <c r="AU100" s="7">
        <v>-0.2</v>
      </c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>
        <v>0.2429</v>
      </c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201</v>
      </c>
      <c r="BK100" s="8">
        <v>15935.11</v>
      </c>
      <c r="BL100" s="2" t="s">
        <v>459</v>
      </c>
      <c r="BM100" s="7">
        <v>0.0199</v>
      </c>
      <c r="BN100" s="7">
        <v>0.0206</v>
      </c>
      <c r="BO100" s="4">
        <v>4</v>
      </c>
      <c r="BP100" s="8">
        <v>328.44</v>
      </c>
      <c r="BQ100" s="4">
        <v>5</v>
      </c>
      <c r="BR100" s="8">
        <v>410.55</v>
      </c>
      <c r="BS100" s="7">
        <v>-0.2</v>
      </c>
      <c r="BT100" s="7">
        <v>-0.2</v>
      </c>
      <c r="BU100" s="2" t="s">
        <v>109</v>
      </c>
      <c r="BV100" s="2" t="s">
        <v>97</v>
      </c>
      <c r="BW100" s="2" t="s">
        <v>110</v>
      </c>
      <c r="BX100" s="2" t="s">
        <v>460</v>
      </c>
      <c r="BY100" s="2" t="s">
        <v>112</v>
      </c>
      <c r="BZ100" s="2" t="s">
        <v>100</v>
      </c>
    </row>
    <row r="101">
      <c r="A101" s="2" t="s">
        <v>461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450</v>
      </c>
      <c r="G101" s="2" t="s">
        <v>451</v>
      </c>
      <c r="H101" s="2" t="s">
        <v>452</v>
      </c>
      <c r="I101" s="2" t="s">
        <v>453</v>
      </c>
      <c r="J101" s="2" t="s">
        <v>118</v>
      </c>
      <c r="K101" s="2" t="s">
        <v>96</v>
      </c>
      <c r="L101" s="3">
        <v>78.2</v>
      </c>
      <c r="M101" s="3">
        <v>82.11</v>
      </c>
      <c r="N101" s="3">
        <v>169.99</v>
      </c>
      <c r="O101" s="2" t="s">
        <v>97</v>
      </c>
      <c r="P101" s="2" t="s">
        <v>182</v>
      </c>
      <c r="Q101" s="2" t="s">
        <v>99</v>
      </c>
      <c r="R101" s="2" t="s">
        <v>100</v>
      </c>
      <c r="S101" s="2" t="s">
        <v>454</v>
      </c>
      <c r="T101" s="2" t="s">
        <v>100</v>
      </c>
      <c r="U101" s="2" t="s">
        <v>102</v>
      </c>
      <c r="V101" s="2" t="s">
        <v>455</v>
      </c>
      <c r="W101" s="2" t="s">
        <v>405</v>
      </c>
      <c r="X101" s="2" t="s">
        <v>456</v>
      </c>
      <c r="Y101" s="2" t="s">
        <v>106</v>
      </c>
      <c r="Z101" s="4">
        <v>422</v>
      </c>
      <c r="AA101" s="4">
        <f>=ROUNDDOWN(52.75,0)</f>
      </c>
      <c r="AB101" s="5">
        <v>8</v>
      </c>
      <c r="AC101" s="2" t="s">
        <v>100</v>
      </c>
      <c r="AD101" s="4"/>
      <c r="AE101" s="4"/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>
        <v>0</v>
      </c>
      <c r="AP101" s="4">
        <v>1</v>
      </c>
      <c r="AQ101" s="8">
        <v>82.11</v>
      </c>
      <c r="AR101" s="4">
        <v>4</v>
      </c>
      <c r="AS101" s="8">
        <v>328.44</v>
      </c>
      <c r="AT101" s="7">
        <v>-0.75</v>
      </c>
      <c r="AU101" s="7">
        <v>-0.75</v>
      </c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>
        <v>0.0607</v>
      </c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123</v>
      </c>
      <c r="BK101" s="8">
        <v>9451.82</v>
      </c>
      <c r="BL101" s="2" t="s">
        <v>462</v>
      </c>
      <c r="BM101" s="7">
        <v>0.0081</v>
      </c>
      <c r="BN101" s="7">
        <v>0.0087</v>
      </c>
      <c r="BO101" s="4">
        <v>1</v>
      </c>
      <c r="BP101" s="8">
        <v>82.11</v>
      </c>
      <c r="BQ101" s="4">
        <v>4</v>
      </c>
      <c r="BR101" s="8">
        <v>328.44</v>
      </c>
      <c r="BS101" s="7">
        <v>-0.75</v>
      </c>
      <c r="BT101" s="7">
        <v>-0.75</v>
      </c>
      <c r="BU101" s="2" t="s">
        <v>109</v>
      </c>
      <c r="BV101" s="2" t="s">
        <v>97</v>
      </c>
      <c r="BW101" s="2" t="s">
        <v>110</v>
      </c>
      <c r="BX101" s="2" t="s">
        <v>116</v>
      </c>
      <c r="BY101" s="2" t="s">
        <v>112</v>
      </c>
      <c r="BZ101" s="2" t="s">
        <v>100</v>
      </c>
    </row>
    <row r="102">
      <c r="A102" s="2" t="s">
        <v>463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450</v>
      </c>
      <c r="G102" s="2" t="s">
        <v>451</v>
      </c>
      <c r="H102" s="2" t="s">
        <v>452</v>
      </c>
      <c r="I102" s="2" t="s">
        <v>453</v>
      </c>
      <c r="J102" s="2" t="s">
        <v>95</v>
      </c>
      <c r="K102" s="2" t="s">
        <v>142</v>
      </c>
      <c r="L102" s="3">
        <v>69</v>
      </c>
      <c r="M102" s="3">
        <v>72.45</v>
      </c>
      <c r="N102" s="3">
        <v>149.99</v>
      </c>
      <c r="O102" s="2" t="s">
        <v>97</v>
      </c>
      <c r="P102" s="2" t="s">
        <v>198</v>
      </c>
      <c r="Q102" s="2" t="s">
        <v>99</v>
      </c>
      <c r="R102" s="2" t="s">
        <v>100</v>
      </c>
      <c r="S102" s="2" t="s">
        <v>464</v>
      </c>
      <c r="T102" s="2" t="s">
        <v>100</v>
      </c>
      <c r="U102" s="2" t="s">
        <v>102</v>
      </c>
      <c r="V102" s="2" t="s">
        <v>455</v>
      </c>
      <c r="W102" s="2" t="s">
        <v>405</v>
      </c>
      <c r="X102" s="2" t="s">
        <v>104</v>
      </c>
      <c r="Y102" s="2" t="s">
        <v>465</v>
      </c>
      <c r="Z102" s="4">
        <v>333</v>
      </c>
      <c r="AA102" s="4">
        <f>=ROUNDDOWN(66.6,0)</f>
      </c>
      <c r="AB102" s="5">
        <v>5</v>
      </c>
      <c r="AC102" s="2" t="s">
        <v>100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100</v>
      </c>
      <c r="AW102" s="8" t="s">
        <v>100</v>
      </c>
      <c r="AX102" s="4" t="s">
        <v>100</v>
      </c>
      <c r="AY102" s="8" t="s">
        <v>100</v>
      </c>
      <c r="AZ102" s="7" t="s">
        <v>100</v>
      </c>
      <c r="BA102" s="7" t="s">
        <v>100</v>
      </c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 t="s">
        <v>100</v>
      </c>
      <c r="BJ102" s="4">
        <v>100</v>
      </c>
      <c r="BK102" s="8">
        <v>6889.45</v>
      </c>
      <c r="BL102" s="2" t="s">
        <v>466</v>
      </c>
      <c r="BM102" s="7"/>
      <c r="BN102" s="7"/>
      <c r="BO102" s="4"/>
      <c r="BP102" s="8"/>
      <c r="BQ102" s="4"/>
      <c r="BR102" s="8"/>
      <c r="BS102" s="7"/>
      <c r="BT102" s="7"/>
      <c r="BU102" s="2" t="s">
        <v>147</v>
      </c>
      <c r="BV102" s="2" t="s">
        <v>97</v>
      </c>
      <c r="BW102" s="2" t="s">
        <v>100</v>
      </c>
      <c r="BX102" s="2" t="s">
        <v>100</v>
      </c>
      <c r="BY102" s="2" t="s">
        <v>112</v>
      </c>
      <c r="BZ102" s="2" t="s">
        <v>100</v>
      </c>
    </row>
    <row r="103">
      <c r="A103" s="2" t="s">
        <v>467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450</v>
      </c>
      <c r="G103" s="2" t="s">
        <v>451</v>
      </c>
      <c r="H103" s="2" t="s">
        <v>452</v>
      </c>
      <c r="I103" s="2" t="s">
        <v>453</v>
      </c>
      <c r="J103" s="2" t="s">
        <v>114</v>
      </c>
      <c r="K103" s="2" t="s">
        <v>142</v>
      </c>
      <c r="L103" s="3">
        <v>78.2</v>
      </c>
      <c r="M103" s="3">
        <v>82.11</v>
      </c>
      <c r="N103" s="3">
        <v>169.99</v>
      </c>
      <c r="O103" s="2" t="s">
        <v>97</v>
      </c>
      <c r="P103" s="2" t="s">
        <v>198</v>
      </c>
      <c r="Q103" s="2" t="s">
        <v>99</v>
      </c>
      <c r="R103" s="2" t="s">
        <v>100</v>
      </c>
      <c r="S103" s="2" t="s">
        <v>464</v>
      </c>
      <c r="T103" s="2" t="s">
        <v>100</v>
      </c>
      <c r="U103" s="2" t="s">
        <v>102</v>
      </c>
      <c r="V103" s="2" t="s">
        <v>455</v>
      </c>
      <c r="W103" s="2" t="s">
        <v>405</v>
      </c>
      <c r="X103" s="2" t="s">
        <v>104</v>
      </c>
      <c r="Y103" s="2" t="s">
        <v>465</v>
      </c>
      <c r="Z103" s="4">
        <v>457</v>
      </c>
      <c r="AA103" s="4">
        <f>=ROUNDDOWN(76.1666666666667,0)</f>
      </c>
      <c r="AB103" s="5">
        <v>6</v>
      </c>
      <c r="AC103" s="2" t="s">
        <v>100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 t="s">
        <v>100</v>
      </c>
      <c r="BJ103" s="4">
        <v>90</v>
      </c>
      <c r="BK103" s="8">
        <v>7006.47</v>
      </c>
      <c r="BL103" s="2" t="s">
        <v>468</v>
      </c>
      <c r="BM103" s="7"/>
      <c r="BN103" s="7"/>
      <c r="BO103" s="4"/>
      <c r="BP103" s="8"/>
      <c r="BQ103" s="4"/>
      <c r="BR103" s="8"/>
      <c r="BS103" s="7"/>
      <c r="BT103" s="7"/>
      <c r="BU103" s="2" t="s">
        <v>147</v>
      </c>
      <c r="BV103" s="2" t="s">
        <v>97</v>
      </c>
      <c r="BW103" s="2" t="s">
        <v>100</v>
      </c>
      <c r="BX103" s="2" t="s">
        <v>100</v>
      </c>
      <c r="BY103" s="2" t="s">
        <v>112</v>
      </c>
      <c r="BZ103" s="2" t="s">
        <v>100</v>
      </c>
    </row>
    <row r="104">
      <c r="A104" s="2" t="s">
        <v>469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450</v>
      </c>
      <c r="G104" s="2" t="s">
        <v>451</v>
      </c>
      <c r="H104" s="2" t="s">
        <v>452</v>
      </c>
      <c r="I104" s="2" t="s">
        <v>453</v>
      </c>
      <c r="J104" s="2" t="s">
        <v>118</v>
      </c>
      <c r="K104" s="2" t="s">
        <v>142</v>
      </c>
      <c r="L104" s="3">
        <v>78.2</v>
      </c>
      <c r="M104" s="3">
        <v>82.11</v>
      </c>
      <c r="N104" s="3">
        <v>169.99</v>
      </c>
      <c r="O104" s="2" t="s">
        <v>97</v>
      </c>
      <c r="P104" s="2" t="s">
        <v>198</v>
      </c>
      <c r="Q104" s="2" t="s">
        <v>99</v>
      </c>
      <c r="R104" s="2" t="s">
        <v>100</v>
      </c>
      <c r="S104" s="2" t="s">
        <v>464</v>
      </c>
      <c r="T104" s="2" t="s">
        <v>100</v>
      </c>
      <c r="U104" s="2" t="s">
        <v>102</v>
      </c>
      <c r="V104" s="2" t="s">
        <v>455</v>
      </c>
      <c r="W104" s="2" t="s">
        <v>405</v>
      </c>
      <c r="X104" s="2" t="s">
        <v>104</v>
      </c>
      <c r="Y104" s="2" t="s">
        <v>465</v>
      </c>
      <c r="Z104" s="4">
        <v>302</v>
      </c>
      <c r="AA104" s="4">
        <f>=ROUNDDOWN(100.666666666667,0)</f>
      </c>
      <c r="AB104" s="5">
        <v>3</v>
      </c>
      <c r="AC104" s="2" t="s">
        <v>100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 t="s">
        <v>100</v>
      </c>
      <c r="BJ104" s="4">
        <v>41</v>
      </c>
      <c r="BK104" s="8">
        <v>3160.25</v>
      </c>
      <c r="BL104" s="2" t="s">
        <v>470</v>
      </c>
      <c r="BM104" s="7"/>
      <c r="BN104" s="7"/>
      <c r="BO104" s="4"/>
      <c r="BP104" s="8"/>
      <c r="BQ104" s="4"/>
      <c r="BR104" s="8"/>
      <c r="BS104" s="7"/>
      <c r="BT104" s="7"/>
      <c r="BU104" s="2" t="s">
        <v>147</v>
      </c>
      <c r="BV104" s="2" t="s">
        <v>97</v>
      </c>
      <c r="BW104" s="2" t="s">
        <v>100</v>
      </c>
      <c r="BX104" s="2" t="s">
        <v>100</v>
      </c>
      <c r="BY104" s="2" t="s">
        <v>112</v>
      </c>
      <c r="BZ104" s="2" t="s">
        <v>100</v>
      </c>
    </row>
    <row r="105">
      <c r="A105" s="2" t="s">
        <v>471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450</v>
      </c>
      <c r="G105" s="2" t="s">
        <v>451</v>
      </c>
      <c r="H105" s="2" t="s">
        <v>452</v>
      </c>
      <c r="I105" s="2" t="s">
        <v>453</v>
      </c>
      <c r="J105" s="2" t="s">
        <v>95</v>
      </c>
      <c r="K105" s="2" t="s">
        <v>197</v>
      </c>
      <c r="L105" s="3">
        <v>69</v>
      </c>
      <c r="M105" s="3">
        <v>72.45</v>
      </c>
      <c r="N105" s="3">
        <v>149.99</v>
      </c>
      <c r="O105" s="2" t="s">
        <v>97</v>
      </c>
      <c r="P105" s="2" t="s">
        <v>182</v>
      </c>
      <c r="Q105" s="2" t="s">
        <v>99</v>
      </c>
      <c r="R105" s="2" t="s">
        <v>100</v>
      </c>
      <c r="S105" s="2" t="s">
        <v>472</v>
      </c>
      <c r="T105" s="2" t="s">
        <v>100</v>
      </c>
      <c r="U105" s="2" t="s">
        <v>102</v>
      </c>
      <c r="V105" s="2" t="s">
        <v>455</v>
      </c>
      <c r="W105" s="2" t="s">
        <v>405</v>
      </c>
      <c r="X105" s="2" t="s">
        <v>456</v>
      </c>
      <c r="Y105" s="2" t="s">
        <v>473</v>
      </c>
      <c r="Z105" s="4">
        <v>475</v>
      </c>
      <c r="AA105" s="4">
        <f>=ROUNDDOWN(36.5384615384615,0)</f>
      </c>
      <c r="AB105" s="5">
        <v>13</v>
      </c>
      <c r="AC105" s="2" t="s">
        <v>474</v>
      </c>
      <c r="AD105" s="4">
        <v>50</v>
      </c>
      <c r="AE105" s="4">
        <v>50</v>
      </c>
      <c r="AF105" s="6">
        <v>64</v>
      </c>
      <c r="AG105" s="6">
        <v>47</v>
      </c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 t="s">
        <v>100</v>
      </c>
      <c r="BJ105" s="4">
        <v>232</v>
      </c>
      <c r="BK105" s="8">
        <v>15762.99</v>
      </c>
      <c r="BL105" s="2" t="s">
        <v>475</v>
      </c>
      <c r="BM105" s="7"/>
      <c r="BN105" s="7"/>
      <c r="BO105" s="4"/>
      <c r="BP105" s="8"/>
      <c r="BQ105" s="4"/>
      <c r="BR105" s="8"/>
      <c r="BS105" s="7"/>
      <c r="BT105" s="7"/>
      <c r="BU105" s="2" t="s">
        <v>147</v>
      </c>
      <c r="BV105" s="2" t="s">
        <v>97</v>
      </c>
      <c r="BW105" s="2" t="s">
        <v>100</v>
      </c>
      <c r="BX105" s="2" t="s">
        <v>100</v>
      </c>
      <c r="BY105" s="2" t="s">
        <v>112</v>
      </c>
      <c r="BZ105" s="2" t="s">
        <v>100</v>
      </c>
    </row>
    <row r="106">
      <c r="A106" s="2" t="s">
        <v>476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450</v>
      </c>
      <c r="G106" s="2" t="s">
        <v>451</v>
      </c>
      <c r="H106" s="2" t="s">
        <v>452</v>
      </c>
      <c r="I106" s="2" t="s">
        <v>453</v>
      </c>
      <c r="J106" s="2" t="s">
        <v>114</v>
      </c>
      <c r="K106" s="2" t="s">
        <v>197</v>
      </c>
      <c r="L106" s="3">
        <v>78.2</v>
      </c>
      <c r="M106" s="3">
        <v>82.11</v>
      </c>
      <c r="N106" s="3">
        <v>169.99</v>
      </c>
      <c r="O106" s="2" t="s">
        <v>97</v>
      </c>
      <c r="P106" s="2" t="s">
        <v>182</v>
      </c>
      <c r="Q106" s="2" t="s">
        <v>99</v>
      </c>
      <c r="R106" s="2" t="s">
        <v>100</v>
      </c>
      <c r="S106" s="2" t="s">
        <v>472</v>
      </c>
      <c r="T106" s="2" t="s">
        <v>100</v>
      </c>
      <c r="U106" s="2" t="s">
        <v>102</v>
      </c>
      <c r="V106" s="2" t="s">
        <v>455</v>
      </c>
      <c r="W106" s="2" t="s">
        <v>405</v>
      </c>
      <c r="X106" s="2" t="s">
        <v>456</v>
      </c>
      <c r="Y106" s="2" t="s">
        <v>477</v>
      </c>
      <c r="Z106" s="4">
        <v>496</v>
      </c>
      <c r="AA106" s="4">
        <f>=ROUNDDOWN(38.1538461538462,0)</f>
      </c>
      <c r="AB106" s="5">
        <v>13</v>
      </c>
      <c r="AC106" s="2" t="s">
        <v>474</v>
      </c>
      <c r="AD106" s="4">
        <v>50</v>
      </c>
      <c r="AE106" s="4">
        <v>50</v>
      </c>
      <c r="AF106" s="6">
        <v>64</v>
      </c>
      <c r="AG106" s="6">
        <v>47</v>
      </c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 t="s">
        <v>100</v>
      </c>
      <c r="BJ106" s="4">
        <v>294</v>
      </c>
      <c r="BK106" s="8">
        <v>23221.87</v>
      </c>
      <c r="BL106" s="2" t="s">
        <v>478</v>
      </c>
      <c r="BM106" s="7"/>
      <c r="BN106" s="7"/>
      <c r="BO106" s="4"/>
      <c r="BP106" s="8"/>
      <c r="BQ106" s="4"/>
      <c r="BR106" s="8"/>
      <c r="BS106" s="7"/>
      <c r="BT106" s="7"/>
      <c r="BU106" s="2" t="s">
        <v>147</v>
      </c>
      <c r="BV106" s="2" t="s">
        <v>97</v>
      </c>
      <c r="BW106" s="2" t="s">
        <v>100</v>
      </c>
      <c r="BX106" s="2" t="s">
        <v>100</v>
      </c>
      <c r="BY106" s="2" t="s">
        <v>112</v>
      </c>
      <c r="BZ106" s="2" t="s">
        <v>100</v>
      </c>
    </row>
    <row r="107">
      <c r="A107" s="2" t="s">
        <v>479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450</v>
      </c>
      <c r="G107" s="2" t="s">
        <v>451</v>
      </c>
      <c r="H107" s="2" t="s">
        <v>452</v>
      </c>
      <c r="I107" s="2" t="s">
        <v>453</v>
      </c>
      <c r="J107" s="2" t="s">
        <v>118</v>
      </c>
      <c r="K107" s="2" t="s">
        <v>197</v>
      </c>
      <c r="L107" s="3">
        <v>78.2</v>
      </c>
      <c r="M107" s="3">
        <v>82.11</v>
      </c>
      <c r="N107" s="3">
        <v>169.99</v>
      </c>
      <c r="O107" s="2" t="s">
        <v>97</v>
      </c>
      <c r="P107" s="2" t="s">
        <v>182</v>
      </c>
      <c r="Q107" s="2" t="s">
        <v>99</v>
      </c>
      <c r="R107" s="2" t="s">
        <v>100</v>
      </c>
      <c r="S107" s="2" t="s">
        <v>472</v>
      </c>
      <c r="T107" s="2" t="s">
        <v>100</v>
      </c>
      <c r="U107" s="2" t="s">
        <v>102</v>
      </c>
      <c r="V107" s="2" t="s">
        <v>455</v>
      </c>
      <c r="W107" s="2" t="s">
        <v>405</v>
      </c>
      <c r="X107" s="2" t="s">
        <v>456</v>
      </c>
      <c r="Y107" s="2" t="s">
        <v>477</v>
      </c>
      <c r="Z107" s="4">
        <v>213</v>
      </c>
      <c r="AA107" s="4">
        <f>=ROUNDDOWN(23.6666666666667,0)</f>
      </c>
      <c r="AB107" s="5">
        <v>9</v>
      </c>
      <c r="AC107" s="2" t="s">
        <v>480</v>
      </c>
      <c r="AD107" s="4">
        <v>50</v>
      </c>
      <c r="AE107" s="4">
        <v>200</v>
      </c>
      <c r="AF107" s="6">
        <v>64</v>
      </c>
      <c r="AG107" s="6">
        <v>47</v>
      </c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 t="s">
        <v>100</v>
      </c>
      <c r="BJ107" s="4">
        <v>134</v>
      </c>
      <c r="BK107" s="8">
        <v>10661.4</v>
      </c>
      <c r="BL107" s="2" t="s">
        <v>481</v>
      </c>
      <c r="BM107" s="7"/>
      <c r="BN107" s="7"/>
      <c r="BO107" s="4"/>
      <c r="BP107" s="8"/>
      <c r="BQ107" s="4"/>
      <c r="BR107" s="8"/>
      <c r="BS107" s="7"/>
      <c r="BT107" s="7"/>
      <c r="BU107" s="2" t="s">
        <v>147</v>
      </c>
      <c r="BV107" s="2" t="s">
        <v>97</v>
      </c>
      <c r="BW107" s="2" t="s">
        <v>100</v>
      </c>
      <c r="BX107" s="2" t="s">
        <v>100</v>
      </c>
      <c r="BY107" s="2" t="s">
        <v>112</v>
      </c>
      <c r="BZ107" s="2" t="s">
        <v>100</v>
      </c>
    </row>
    <row r="108">
      <c r="A108" s="2" t="s">
        <v>482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483</v>
      </c>
      <c r="G108" s="2" t="s">
        <v>484</v>
      </c>
      <c r="H108" s="2" t="s">
        <v>485</v>
      </c>
      <c r="I108" s="2" t="s">
        <v>486</v>
      </c>
      <c r="J108" s="2" t="s">
        <v>487</v>
      </c>
      <c r="K108" s="2" t="s">
        <v>488</v>
      </c>
      <c r="L108" s="3">
        <v>49.68</v>
      </c>
      <c r="M108" s="3">
        <v>52.16</v>
      </c>
      <c r="N108" s="3">
        <v>99.99</v>
      </c>
      <c r="O108" s="2" t="s">
        <v>97</v>
      </c>
      <c r="P108" s="2" t="s">
        <v>182</v>
      </c>
      <c r="Q108" s="2" t="s">
        <v>99</v>
      </c>
      <c r="R108" s="2" t="s">
        <v>100</v>
      </c>
      <c r="S108" s="2" t="s">
        <v>489</v>
      </c>
      <c r="T108" s="2" t="s">
        <v>100</v>
      </c>
      <c r="U108" s="2" t="s">
        <v>490</v>
      </c>
      <c r="V108" s="2" t="s">
        <v>491</v>
      </c>
      <c r="W108" s="2" t="s">
        <v>104</v>
      </c>
      <c r="X108" s="2" t="s">
        <v>492</v>
      </c>
      <c r="Y108" s="2" t="s">
        <v>493</v>
      </c>
      <c r="Z108" s="4">
        <v>264</v>
      </c>
      <c r="AA108" s="4">
        <f>=ROUNDDOWN(29.3333333333333,0)</f>
      </c>
      <c r="AB108" s="5">
        <v>9</v>
      </c>
      <c r="AC108" s="2" t="s">
        <v>494</v>
      </c>
      <c r="AD108" s="4">
        <v>50</v>
      </c>
      <c r="AE108" s="4">
        <v>110</v>
      </c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>
        <v>0</v>
      </c>
      <c r="AP108" s="4">
        <v>1</v>
      </c>
      <c r="AQ108" s="8">
        <v>52.16</v>
      </c>
      <c r="AR108" s="4">
        <v>4</v>
      </c>
      <c r="AS108" s="8">
        <v>226.04</v>
      </c>
      <c r="AT108" s="7">
        <v>-0.75</v>
      </c>
      <c r="AU108" s="7">
        <v>-0.7692</v>
      </c>
      <c r="AV108" s="4">
        <v>9</v>
      </c>
      <c r="AW108" s="8">
        <v>639.12</v>
      </c>
      <c r="AX108" s="4">
        <v>11</v>
      </c>
      <c r="AY108" s="8">
        <v>777.61</v>
      </c>
      <c r="AZ108" s="7">
        <v>-0.1818</v>
      </c>
      <c r="BA108" s="7">
        <v>-0.1781</v>
      </c>
      <c r="BB108" s="7">
        <v>0.0816</v>
      </c>
      <c r="BC108" s="4">
        <v>16</v>
      </c>
      <c r="BD108" s="8">
        <v>1147.37</v>
      </c>
      <c r="BE108" s="4">
        <v>28</v>
      </c>
      <c r="BF108" s="8">
        <v>2113.61</v>
      </c>
      <c r="BG108" s="7">
        <v>-0.4286</v>
      </c>
      <c r="BH108" s="7">
        <v>-0.4572</v>
      </c>
      <c r="BI108" s="7">
        <v>0.557</v>
      </c>
      <c r="BJ108" s="4">
        <v>122</v>
      </c>
      <c r="BK108" s="8">
        <v>6444.16</v>
      </c>
      <c r="BL108" s="2" t="s">
        <v>495</v>
      </c>
      <c r="BM108" s="7">
        <v>0.0082</v>
      </c>
      <c r="BN108" s="7">
        <v>0.0081</v>
      </c>
      <c r="BO108" s="4">
        <v>1</v>
      </c>
      <c r="BP108" s="8">
        <v>52.16</v>
      </c>
      <c r="BQ108" s="4">
        <v>4</v>
      </c>
      <c r="BR108" s="8">
        <v>226.04</v>
      </c>
      <c r="BS108" s="7">
        <v>-0.75</v>
      </c>
      <c r="BT108" s="7">
        <v>-0.7692</v>
      </c>
      <c r="BU108" s="2" t="s">
        <v>109</v>
      </c>
      <c r="BV108" s="2" t="s">
        <v>97</v>
      </c>
      <c r="BW108" s="2" t="s">
        <v>110</v>
      </c>
      <c r="BX108" s="2" t="s">
        <v>496</v>
      </c>
      <c r="BY108" s="2" t="s">
        <v>112</v>
      </c>
      <c r="BZ108" s="2" t="s">
        <v>100</v>
      </c>
    </row>
    <row r="109">
      <c r="A109" s="2" t="s">
        <v>497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483</v>
      </c>
      <c r="G109" s="2" t="s">
        <v>484</v>
      </c>
      <c r="H109" s="2" t="s">
        <v>485</v>
      </c>
      <c r="I109" s="2" t="s">
        <v>486</v>
      </c>
      <c r="J109" s="2" t="s">
        <v>95</v>
      </c>
      <c r="K109" s="2" t="s">
        <v>488</v>
      </c>
      <c r="L109" s="3">
        <v>64.79</v>
      </c>
      <c r="M109" s="3">
        <v>68.03</v>
      </c>
      <c r="N109" s="3">
        <v>129.99</v>
      </c>
      <c r="O109" s="2" t="s">
        <v>97</v>
      </c>
      <c r="P109" s="2" t="s">
        <v>182</v>
      </c>
      <c r="Q109" s="2" t="s">
        <v>99</v>
      </c>
      <c r="R109" s="2" t="s">
        <v>100</v>
      </c>
      <c r="S109" s="2" t="s">
        <v>489</v>
      </c>
      <c r="T109" s="2" t="s">
        <v>100</v>
      </c>
      <c r="U109" s="2" t="s">
        <v>102</v>
      </c>
      <c r="V109" s="2" t="s">
        <v>491</v>
      </c>
      <c r="W109" s="2" t="s">
        <v>104</v>
      </c>
      <c r="X109" s="2" t="s">
        <v>492</v>
      </c>
      <c r="Y109" s="2" t="s">
        <v>498</v>
      </c>
      <c r="Z109" s="4">
        <v>935</v>
      </c>
      <c r="AA109" s="4">
        <f>=ROUNDDOWN(34.6296296296296,0)</f>
      </c>
      <c r="AB109" s="5">
        <v>27</v>
      </c>
      <c r="AC109" s="2" t="s">
        <v>494</v>
      </c>
      <c r="AD109" s="4">
        <v>100</v>
      </c>
      <c r="AE109" s="4">
        <v>100</v>
      </c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>
        <v>0</v>
      </c>
      <c r="AP109" s="4">
        <v>4</v>
      </c>
      <c r="AQ109" s="8">
        <v>272.12</v>
      </c>
      <c r="AR109" s="4">
        <v>3</v>
      </c>
      <c r="AS109" s="8">
        <v>219.23</v>
      </c>
      <c r="AT109" s="7">
        <v>0.3333</v>
      </c>
      <c r="AU109" s="7">
        <v>0.2413</v>
      </c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>
        <v>0.4258</v>
      </c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 t="s">
        <v>100</v>
      </c>
      <c r="BJ109" s="4">
        <v>563</v>
      </c>
      <c r="BK109" s="8">
        <v>40380.7</v>
      </c>
      <c r="BL109" s="2" t="s">
        <v>499</v>
      </c>
      <c r="BM109" s="7">
        <v>0.0071</v>
      </c>
      <c r="BN109" s="7">
        <v>0.0067</v>
      </c>
      <c r="BO109" s="4">
        <v>4</v>
      </c>
      <c r="BP109" s="8">
        <v>272.12</v>
      </c>
      <c r="BQ109" s="4">
        <v>3</v>
      </c>
      <c r="BR109" s="8">
        <v>219.23</v>
      </c>
      <c r="BS109" s="7">
        <v>0.3333</v>
      </c>
      <c r="BT109" s="7">
        <v>0.2413</v>
      </c>
      <c r="BU109" s="2" t="s">
        <v>109</v>
      </c>
      <c r="BV109" s="2" t="s">
        <v>97</v>
      </c>
      <c r="BW109" s="2" t="s">
        <v>110</v>
      </c>
      <c r="BX109" s="2" t="s">
        <v>500</v>
      </c>
      <c r="BY109" s="2" t="s">
        <v>112</v>
      </c>
      <c r="BZ109" s="2" t="s">
        <v>100</v>
      </c>
    </row>
    <row r="110">
      <c r="A110" s="2" t="s">
        <v>501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483</v>
      </c>
      <c r="G110" s="2" t="s">
        <v>484</v>
      </c>
      <c r="H110" s="2" t="s">
        <v>485</v>
      </c>
      <c r="I110" s="2" t="s">
        <v>486</v>
      </c>
      <c r="J110" s="2" t="s">
        <v>114</v>
      </c>
      <c r="K110" s="2" t="s">
        <v>488</v>
      </c>
      <c r="L110" s="3">
        <v>74.96</v>
      </c>
      <c r="M110" s="3">
        <v>78.71</v>
      </c>
      <c r="N110" s="3">
        <v>149.99</v>
      </c>
      <c r="O110" s="2" t="s">
        <v>97</v>
      </c>
      <c r="P110" s="2" t="s">
        <v>182</v>
      </c>
      <c r="Q110" s="2" t="s">
        <v>99</v>
      </c>
      <c r="R110" s="2" t="s">
        <v>100</v>
      </c>
      <c r="S110" s="2" t="s">
        <v>489</v>
      </c>
      <c r="T110" s="2" t="s">
        <v>100</v>
      </c>
      <c r="U110" s="2" t="s">
        <v>102</v>
      </c>
      <c r="V110" s="2" t="s">
        <v>491</v>
      </c>
      <c r="W110" s="2" t="s">
        <v>104</v>
      </c>
      <c r="X110" s="2" t="s">
        <v>492</v>
      </c>
      <c r="Y110" s="2" t="s">
        <v>502</v>
      </c>
      <c r="Z110" s="4">
        <v>640</v>
      </c>
      <c r="AA110" s="4">
        <f>=ROUNDDOWN(40,0)</f>
      </c>
      <c r="AB110" s="5">
        <v>16</v>
      </c>
      <c r="AC110" s="2" t="s">
        <v>494</v>
      </c>
      <c r="AD110" s="4">
        <v>100</v>
      </c>
      <c r="AE110" s="4">
        <v>100</v>
      </c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>
        <v>0</v>
      </c>
      <c r="AP110" s="4">
        <v>3</v>
      </c>
      <c r="AQ110" s="8">
        <v>236.13</v>
      </c>
      <c r="AR110" s="4">
        <v>3</v>
      </c>
      <c r="AS110" s="8">
        <v>244.88</v>
      </c>
      <c r="AT110" s="7"/>
      <c r="AU110" s="7">
        <v>-0.0357</v>
      </c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>
        <v>0.3695</v>
      </c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 t="s">
        <v>100</v>
      </c>
      <c r="BJ110" s="4">
        <v>315</v>
      </c>
      <c r="BK110" s="8">
        <v>26247.63</v>
      </c>
      <c r="BL110" s="2" t="s">
        <v>503</v>
      </c>
      <c r="BM110" s="7">
        <v>0.0095</v>
      </c>
      <c r="BN110" s="7">
        <v>0.009</v>
      </c>
      <c r="BO110" s="4">
        <v>3</v>
      </c>
      <c r="BP110" s="8">
        <v>236.13</v>
      </c>
      <c r="BQ110" s="4">
        <v>3</v>
      </c>
      <c r="BR110" s="8">
        <v>244.88</v>
      </c>
      <c r="BS110" s="7"/>
      <c r="BT110" s="7">
        <v>-0.0357</v>
      </c>
      <c r="BU110" s="2" t="s">
        <v>109</v>
      </c>
      <c r="BV110" s="2" t="s">
        <v>97</v>
      </c>
      <c r="BW110" s="2" t="s">
        <v>110</v>
      </c>
      <c r="BX110" s="2" t="s">
        <v>504</v>
      </c>
      <c r="BY110" s="2" t="s">
        <v>112</v>
      </c>
      <c r="BZ110" s="2" t="s">
        <v>100</v>
      </c>
    </row>
    <row r="111">
      <c r="A111" s="2" t="s">
        <v>505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483</v>
      </c>
      <c r="G111" s="2" t="s">
        <v>484</v>
      </c>
      <c r="H111" s="2" t="s">
        <v>485</v>
      </c>
      <c r="I111" s="2" t="s">
        <v>486</v>
      </c>
      <c r="J111" s="2" t="s">
        <v>118</v>
      </c>
      <c r="K111" s="2" t="s">
        <v>488</v>
      </c>
      <c r="L111" s="3">
        <v>74.96</v>
      </c>
      <c r="M111" s="3">
        <v>78.71</v>
      </c>
      <c r="N111" s="3">
        <v>149.99</v>
      </c>
      <c r="O111" s="2" t="s">
        <v>97</v>
      </c>
      <c r="P111" s="2" t="s">
        <v>182</v>
      </c>
      <c r="Q111" s="2" t="s">
        <v>99</v>
      </c>
      <c r="R111" s="2" t="s">
        <v>100</v>
      </c>
      <c r="S111" s="2" t="s">
        <v>489</v>
      </c>
      <c r="T111" s="2" t="s">
        <v>100</v>
      </c>
      <c r="U111" s="2" t="s">
        <v>102</v>
      </c>
      <c r="V111" s="2" t="s">
        <v>491</v>
      </c>
      <c r="W111" s="2" t="s">
        <v>104</v>
      </c>
      <c r="X111" s="2" t="s">
        <v>492</v>
      </c>
      <c r="Y111" s="2" t="s">
        <v>502</v>
      </c>
      <c r="Z111" s="4">
        <v>222</v>
      </c>
      <c r="AA111" s="4">
        <f>=ROUNDDOWN(24.6666666666667,0)</f>
      </c>
      <c r="AB111" s="5">
        <v>9</v>
      </c>
      <c r="AC111" s="2" t="s">
        <v>494</v>
      </c>
      <c r="AD111" s="4">
        <v>30</v>
      </c>
      <c r="AE111" s="4">
        <v>310</v>
      </c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>
        <v>0</v>
      </c>
      <c r="AP111" s="4">
        <v>1</v>
      </c>
      <c r="AQ111" s="8">
        <v>78.71</v>
      </c>
      <c r="AR111" s="4">
        <v>1</v>
      </c>
      <c r="AS111" s="8">
        <v>87.46</v>
      </c>
      <c r="AT111" s="7"/>
      <c r="AU111" s="7">
        <v>-0.1</v>
      </c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>
        <v>0.1232</v>
      </c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 t="s">
        <v>100</v>
      </c>
      <c r="BJ111" s="4">
        <v>115</v>
      </c>
      <c r="BK111" s="8">
        <v>9729.08</v>
      </c>
      <c r="BL111" s="2" t="s">
        <v>506</v>
      </c>
      <c r="BM111" s="7">
        <v>0.0087</v>
      </c>
      <c r="BN111" s="7">
        <v>0.0081</v>
      </c>
      <c r="BO111" s="4">
        <v>1</v>
      </c>
      <c r="BP111" s="8">
        <v>78.71</v>
      </c>
      <c r="BQ111" s="4">
        <v>1</v>
      </c>
      <c r="BR111" s="8">
        <v>87.46</v>
      </c>
      <c r="BS111" s="7"/>
      <c r="BT111" s="7">
        <v>-0.1</v>
      </c>
      <c r="BU111" s="2" t="s">
        <v>109</v>
      </c>
      <c r="BV111" s="2" t="s">
        <v>97</v>
      </c>
      <c r="BW111" s="2" t="s">
        <v>507</v>
      </c>
      <c r="BX111" s="2" t="s">
        <v>508</v>
      </c>
      <c r="BY111" s="2" t="s">
        <v>112</v>
      </c>
      <c r="BZ111" s="2" t="s">
        <v>100</v>
      </c>
    </row>
    <row r="112">
      <c r="A112" s="2" t="s">
        <v>509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483</v>
      </c>
      <c r="G112" s="2" t="s">
        <v>484</v>
      </c>
      <c r="H112" s="2" t="s">
        <v>485</v>
      </c>
      <c r="I112" s="2" t="s">
        <v>486</v>
      </c>
      <c r="J112" s="2" t="s">
        <v>95</v>
      </c>
      <c r="K112" s="2" t="s">
        <v>510</v>
      </c>
      <c r="L112" s="3">
        <v>64.79</v>
      </c>
      <c r="M112" s="3">
        <v>68.03</v>
      </c>
      <c r="N112" s="3">
        <v>129.99</v>
      </c>
      <c r="O112" s="2" t="s">
        <v>97</v>
      </c>
      <c r="P112" s="2" t="s">
        <v>182</v>
      </c>
      <c r="Q112" s="2" t="s">
        <v>99</v>
      </c>
      <c r="R112" s="2" t="s">
        <v>100</v>
      </c>
      <c r="S112" s="2" t="s">
        <v>511</v>
      </c>
      <c r="T112" s="2" t="s">
        <v>100</v>
      </c>
      <c r="U112" s="2" t="s">
        <v>102</v>
      </c>
      <c r="V112" s="2" t="s">
        <v>491</v>
      </c>
      <c r="W112" s="2" t="s">
        <v>104</v>
      </c>
      <c r="X112" s="2" t="s">
        <v>492</v>
      </c>
      <c r="Y112" s="2" t="s">
        <v>106</v>
      </c>
      <c r="Z112" s="4">
        <v>306</v>
      </c>
      <c r="AA112" s="4">
        <f>=ROUNDDOWN(18,0)</f>
      </c>
      <c r="AB112" s="5">
        <v>17</v>
      </c>
      <c r="AC112" s="2" t="s">
        <v>512</v>
      </c>
      <c r="AD112" s="4">
        <v>100</v>
      </c>
      <c r="AE112" s="4">
        <v>200</v>
      </c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>
        <v>0</v>
      </c>
      <c r="AP112" s="4">
        <v>2</v>
      </c>
      <c r="AQ112" s="8">
        <v>136.06</v>
      </c>
      <c r="AR112" s="4">
        <v>3</v>
      </c>
      <c r="AS112" s="8">
        <v>219.21</v>
      </c>
      <c r="AT112" s="7">
        <v>-0.3333</v>
      </c>
      <c r="AU112" s="7">
        <v>-0.3793</v>
      </c>
      <c r="AV112" s="4">
        <v>4</v>
      </c>
      <c r="AW112" s="8">
        <v>293.48</v>
      </c>
      <c r="AX112" s="4">
        <v>5</v>
      </c>
      <c r="AY112" s="8">
        <v>394.13</v>
      </c>
      <c r="AZ112" s="7">
        <v>-0.2</v>
      </c>
      <c r="BA112" s="7">
        <v>-0.2554</v>
      </c>
      <c r="BB112" s="7">
        <v>0.4636</v>
      </c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>
        <v>0.2558</v>
      </c>
      <c r="BJ112" s="4">
        <v>276</v>
      </c>
      <c r="BK112" s="8">
        <v>19643.96</v>
      </c>
      <c r="BL112" s="2" t="s">
        <v>513</v>
      </c>
      <c r="BM112" s="7">
        <v>0.0072</v>
      </c>
      <c r="BN112" s="7">
        <v>0.0069</v>
      </c>
      <c r="BO112" s="4">
        <v>2</v>
      </c>
      <c r="BP112" s="8">
        <v>136.06</v>
      </c>
      <c r="BQ112" s="4">
        <v>3</v>
      </c>
      <c r="BR112" s="8">
        <v>219.21</v>
      </c>
      <c r="BS112" s="7">
        <v>-0.3333</v>
      </c>
      <c r="BT112" s="7">
        <v>-0.3793</v>
      </c>
      <c r="BU112" s="2" t="s">
        <v>109</v>
      </c>
      <c r="BV112" s="2" t="s">
        <v>97</v>
      </c>
      <c r="BW112" s="2" t="s">
        <v>217</v>
      </c>
      <c r="BX112" s="2" t="s">
        <v>221</v>
      </c>
      <c r="BY112" s="2" t="s">
        <v>112</v>
      </c>
      <c r="BZ112" s="2" t="s">
        <v>100</v>
      </c>
    </row>
    <row r="113">
      <c r="A113" s="2" t="s">
        <v>514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483</v>
      </c>
      <c r="G113" s="2" t="s">
        <v>484</v>
      </c>
      <c r="H113" s="2" t="s">
        <v>485</v>
      </c>
      <c r="I113" s="2" t="s">
        <v>486</v>
      </c>
      <c r="J113" s="2" t="s">
        <v>114</v>
      </c>
      <c r="K113" s="2" t="s">
        <v>510</v>
      </c>
      <c r="L113" s="3">
        <v>74.96</v>
      </c>
      <c r="M113" s="3">
        <v>78.71</v>
      </c>
      <c r="N113" s="3">
        <v>149.99</v>
      </c>
      <c r="O113" s="2" t="s">
        <v>97</v>
      </c>
      <c r="P113" s="2" t="s">
        <v>182</v>
      </c>
      <c r="Q113" s="2" t="s">
        <v>99</v>
      </c>
      <c r="R113" s="2" t="s">
        <v>100</v>
      </c>
      <c r="S113" s="2" t="s">
        <v>511</v>
      </c>
      <c r="T113" s="2" t="s">
        <v>100</v>
      </c>
      <c r="U113" s="2" t="s">
        <v>102</v>
      </c>
      <c r="V113" s="2" t="s">
        <v>491</v>
      </c>
      <c r="W113" s="2" t="s">
        <v>104</v>
      </c>
      <c r="X113" s="2" t="s">
        <v>492</v>
      </c>
      <c r="Y113" s="2" t="s">
        <v>106</v>
      </c>
      <c r="Z113" s="4">
        <v>150</v>
      </c>
      <c r="AA113" s="4">
        <f>=ROUNDDOWN(13.6363636363636,0)</f>
      </c>
      <c r="AB113" s="5">
        <v>11</v>
      </c>
      <c r="AC113" s="2" t="s">
        <v>512</v>
      </c>
      <c r="AD113" s="4">
        <v>120</v>
      </c>
      <c r="AE113" s="4">
        <v>260</v>
      </c>
      <c r="AF113" s="6">
        <v>65</v>
      </c>
      <c r="AG113" s="6">
        <v>73</v>
      </c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>
        <v>0</v>
      </c>
      <c r="AP113" s="4">
        <v>2</v>
      </c>
      <c r="AQ113" s="8">
        <v>157.42</v>
      </c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>
        <v>0.5364</v>
      </c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 t="s">
        <v>100</v>
      </c>
      <c r="BJ113" s="4">
        <v>168</v>
      </c>
      <c r="BK113" s="8">
        <v>13750.32</v>
      </c>
      <c r="BL113" s="2" t="s">
        <v>515</v>
      </c>
      <c r="BM113" s="7">
        <v>0.0119</v>
      </c>
      <c r="BN113" s="7">
        <v>0.0114</v>
      </c>
      <c r="BO113" s="4">
        <v>2</v>
      </c>
      <c r="BP113" s="8">
        <v>157.42</v>
      </c>
      <c r="BQ113" s="4"/>
      <c r="BR113" s="8"/>
      <c r="BS113" s="7"/>
      <c r="BT113" s="7"/>
      <c r="BU113" s="2" t="s">
        <v>109</v>
      </c>
      <c r="BV113" s="2" t="s">
        <v>97</v>
      </c>
      <c r="BW113" s="2" t="s">
        <v>217</v>
      </c>
      <c r="BX113" s="2" t="s">
        <v>516</v>
      </c>
      <c r="BY113" s="2" t="s">
        <v>112</v>
      </c>
      <c r="BZ113" s="2" t="s">
        <v>100</v>
      </c>
    </row>
    <row r="114">
      <c r="A114" s="2" t="s">
        <v>517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483</v>
      </c>
      <c r="G114" s="2" t="s">
        <v>484</v>
      </c>
      <c r="H114" s="2" t="s">
        <v>485</v>
      </c>
      <c r="I114" s="2" t="s">
        <v>486</v>
      </c>
      <c r="J114" s="2" t="s">
        <v>118</v>
      </c>
      <c r="K114" s="2" t="s">
        <v>510</v>
      </c>
      <c r="L114" s="3">
        <v>74.96</v>
      </c>
      <c r="M114" s="3">
        <v>78.71</v>
      </c>
      <c r="N114" s="3">
        <v>149.99</v>
      </c>
      <c r="O114" s="2" t="s">
        <v>97</v>
      </c>
      <c r="P114" s="2" t="s">
        <v>182</v>
      </c>
      <c r="Q114" s="2" t="s">
        <v>99</v>
      </c>
      <c r="R114" s="2" t="s">
        <v>100</v>
      </c>
      <c r="S114" s="2" t="s">
        <v>511</v>
      </c>
      <c r="T114" s="2" t="s">
        <v>100</v>
      </c>
      <c r="U114" s="2" t="s">
        <v>102</v>
      </c>
      <c r="V114" s="2" t="s">
        <v>491</v>
      </c>
      <c r="W114" s="2" t="s">
        <v>104</v>
      </c>
      <c r="X114" s="2" t="s">
        <v>492</v>
      </c>
      <c r="Y114" s="2" t="s">
        <v>106</v>
      </c>
      <c r="Z114" s="4">
        <v>135</v>
      </c>
      <c r="AA114" s="4">
        <f>=ROUNDDOWN(27,0)</f>
      </c>
      <c r="AB114" s="5">
        <v>5</v>
      </c>
      <c r="AC114" s="2" t="s">
        <v>518</v>
      </c>
      <c r="AD114" s="4">
        <v>30</v>
      </c>
      <c r="AE114" s="4">
        <v>30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>
        <v>0</v>
      </c>
      <c r="AP114" s="4"/>
      <c r="AQ114" s="8"/>
      <c r="AR114" s="4">
        <v>2</v>
      </c>
      <c r="AS114" s="8">
        <v>174.92</v>
      </c>
      <c r="AT114" s="7">
        <v>-1</v>
      </c>
      <c r="AU114" s="7">
        <v>-1</v>
      </c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 t="s">
        <v>100</v>
      </c>
      <c r="BJ114" s="4">
        <v>75</v>
      </c>
      <c r="BK114" s="8">
        <v>6097.65</v>
      </c>
      <c r="BL114" s="2" t="s">
        <v>519</v>
      </c>
      <c r="BM114" s="7"/>
      <c r="BN114" s="7"/>
      <c r="BO114" s="4"/>
      <c r="BP114" s="8"/>
      <c r="BQ114" s="4">
        <v>2</v>
      </c>
      <c r="BR114" s="8">
        <v>174.92</v>
      </c>
      <c r="BS114" s="7">
        <v>-1</v>
      </c>
      <c r="BT114" s="7">
        <v>-1</v>
      </c>
      <c r="BU114" s="2" t="s">
        <v>109</v>
      </c>
      <c r="BV114" s="2" t="s">
        <v>97</v>
      </c>
      <c r="BW114" s="2" t="s">
        <v>110</v>
      </c>
      <c r="BX114" s="2" t="s">
        <v>520</v>
      </c>
      <c r="BY114" s="2" t="s">
        <v>112</v>
      </c>
      <c r="BZ114" s="2" t="s">
        <v>100</v>
      </c>
    </row>
    <row r="115">
      <c r="A115" s="2" t="s">
        <v>521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483</v>
      </c>
      <c r="G115" s="2" t="s">
        <v>484</v>
      </c>
      <c r="H115" s="2" t="s">
        <v>485</v>
      </c>
      <c r="I115" s="2" t="s">
        <v>486</v>
      </c>
      <c r="J115" s="2" t="s">
        <v>487</v>
      </c>
      <c r="K115" s="2" t="s">
        <v>267</v>
      </c>
      <c r="L115" s="3">
        <v>49.68</v>
      </c>
      <c r="M115" s="3">
        <v>52.16</v>
      </c>
      <c r="N115" s="3">
        <v>99.99</v>
      </c>
      <c r="O115" s="2" t="s">
        <v>97</v>
      </c>
      <c r="P115" s="2" t="s">
        <v>182</v>
      </c>
      <c r="Q115" s="2" t="s">
        <v>99</v>
      </c>
      <c r="R115" s="2" t="s">
        <v>100</v>
      </c>
      <c r="S115" s="2" t="s">
        <v>522</v>
      </c>
      <c r="T115" s="2" t="s">
        <v>100</v>
      </c>
      <c r="U115" s="2" t="s">
        <v>490</v>
      </c>
      <c r="V115" s="2" t="s">
        <v>491</v>
      </c>
      <c r="W115" s="2" t="s">
        <v>104</v>
      </c>
      <c r="X115" s="2" t="s">
        <v>492</v>
      </c>
      <c r="Y115" s="2" t="s">
        <v>523</v>
      </c>
      <c r="Z115" s="4">
        <v>201</v>
      </c>
      <c r="AA115" s="4">
        <f>=ROUNDDOWN(50.25,0)</f>
      </c>
      <c r="AB115" s="5">
        <v>4</v>
      </c>
      <c r="AC115" s="2" t="s">
        <v>100</v>
      </c>
      <c r="AD115" s="4"/>
      <c r="AE115" s="4"/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>
        <v>2</v>
      </c>
      <c r="AW115" s="8">
        <v>146.74</v>
      </c>
      <c r="AX115" s="4">
        <v>9</v>
      </c>
      <c r="AY115" s="8">
        <v>708.99</v>
      </c>
      <c r="AZ115" s="7">
        <v>-0.7778</v>
      </c>
      <c r="BA115" s="7">
        <v>-0.793</v>
      </c>
      <c r="BB115" s="7"/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>
        <v>0.1279</v>
      </c>
      <c r="BJ115" s="4">
        <v>51</v>
      </c>
      <c r="BK115" s="8">
        <v>2678.88</v>
      </c>
      <c r="BL115" s="2" t="s">
        <v>524</v>
      </c>
      <c r="BM115" s="7"/>
      <c r="BN115" s="7"/>
      <c r="BO115" s="4"/>
      <c r="BP115" s="8"/>
      <c r="BQ115" s="4"/>
      <c r="BR115" s="8"/>
      <c r="BS115" s="7"/>
      <c r="BT115" s="7"/>
      <c r="BU115" s="2" t="s">
        <v>147</v>
      </c>
      <c r="BV115" s="2" t="s">
        <v>97</v>
      </c>
      <c r="BW115" s="2" t="s">
        <v>100</v>
      </c>
      <c r="BX115" s="2" t="s">
        <v>100</v>
      </c>
      <c r="BY115" s="2" t="s">
        <v>112</v>
      </c>
      <c r="BZ115" s="2" t="s">
        <v>100</v>
      </c>
    </row>
    <row r="116">
      <c r="A116" s="2" t="s">
        <v>525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483</v>
      </c>
      <c r="G116" s="2" t="s">
        <v>484</v>
      </c>
      <c r="H116" s="2" t="s">
        <v>485</v>
      </c>
      <c r="I116" s="2" t="s">
        <v>486</v>
      </c>
      <c r="J116" s="2" t="s">
        <v>95</v>
      </c>
      <c r="K116" s="2" t="s">
        <v>267</v>
      </c>
      <c r="L116" s="3">
        <v>64.79</v>
      </c>
      <c r="M116" s="3">
        <v>68.03</v>
      </c>
      <c r="N116" s="3">
        <v>129.99</v>
      </c>
      <c r="O116" s="2" t="s">
        <v>97</v>
      </c>
      <c r="P116" s="2" t="s">
        <v>182</v>
      </c>
      <c r="Q116" s="2" t="s">
        <v>99</v>
      </c>
      <c r="R116" s="2" t="s">
        <v>100</v>
      </c>
      <c r="S116" s="2" t="s">
        <v>526</v>
      </c>
      <c r="T116" s="2" t="s">
        <v>100</v>
      </c>
      <c r="U116" s="2" t="s">
        <v>102</v>
      </c>
      <c r="V116" s="2" t="s">
        <v>491</v>
      </c>
      <c r="W116" s="2" t="s">
        <v>104</v>
      </c>
      <c r="X116" s="2" t="s">
        <v>492</v>
      </c>
      <c r="Y116" s="2" t="s">
        <v>162</v>
      </c>
      <c r="Z116" s="4">
        <v>520</v>
      </c>
      <c r="AA116" s="4">
        <f>=ROUNDDOWN(23.6363636363636,0)</f>
      </c>
      <c r="AB116" s="5">
        <v>22</v>
      </c>
      <c r="AC116" s="2" t="s">
        <v>527</v>
      </c>
      <c r="AD116" s="4">
        <v>30</v>
      </c>
      <c r="AE116" s="4">
        <v>540</v>
      </c>
      <c r="AF116" s="6">
        <v>65</v>
      </c>
      <c r="AG116" s="6">
        <v>73</v>
      </c>
      <c r="AH116" s="7">
        <v>0.9091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>
        <v>0</v>
      </c>
      <c r="AP116" s="4">
        <v>1</v>
      </c>
      <c r="AQ116" s="8">
        <v>68.03</v>
      </c>
      <c r="AR116" s="4">
        <v>3</v>
      </c>
      <c r="AS116" s="8">
        <v>219.23</v>
      </c>
      <c r="AT116" s="7">
        <v>-0.6667</v>
      </c>
      <c r="AU116" s="7">
        <v>-0.6897</v>
      </c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>
        <v>0.4636</v>
      </c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 t="s">
        <v>100</v>
      </c>
      <c r="BJ116" s="4">
        <v>350</v>
      </c>
      <c r="BK116" s="8">
        <v>25018.71</v>
      </c>
      <c r="BL116" s="2" t="s">
        <v>528</v>
      </c>
      <c r="BM116" s="7">
        <v>0.0029</v>
      </c>
      <c r="BN116" s="7">
        <v>0.0027</v>
      </c>
      <c r="BO116" s="4">
        <v>1</v>
      </c>
      <c r="BP116" s="8">
        <v>68.03</v>
      </c>
      <c r="BQ116" s="4">
        <v>3</v>
      </c>
      <c r="BR116" s="8">
        <v>219.23</v>
      </c>
      <c r="BS116" s="7">
        <v>-0.6667</v>
      </c>
      <c r="BT116" s="7">
        <v>-0.6897</v>
      </c>
      <c r="BU116" s="2" t="s">
        <v>109</v>
      </c>
      <c r="BV116" s="2" t="s">
        <v>97</v>
      </c>
      <c r="BW116" s="2" t="s">
        <v>110</v>
      </c>
      <c r="BX116" s="2" t="s">
        <v>373</v>
      </c>
      <c r="BY116" s="2" t="s">
        <v>112</v>
      </c>
      <c r="BZ116" s="2" t="s">
        <v>100</v>
      </c>
    </row>
    <row r="117">
      <c r="A117" s="2" t="s">
        <v>529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483</v>
      </c>
      <c r="G117" s="2" t="s">
        <v>484</v>
      </c>
      <c r="H117" s="2" t="s">
        <v>485</v>
      </c>
      <c r="I117" s="2" t="s">
        <v>486</v>
      </c>
      <c r="J117" s="2" t="s">
        <v>114</v>
      </c>
      <c r="K117" s="2" t="s">
        <v>267</v>
      </c>
      <c r="L117" s="3">
        <v>74.96</v>
      </c>
      <c r="M117" s="3">
        <v>78.71</v>
      </c>
      <c r="N117" s="3">
        <v>149.99</v>
      </c>
      <c r="O117" s="2" t="s">
        <v>97</v>
      </c>
      <c r="P117" s="2" t="s">
        <v>182</v>
      </c>
      <c r="Q117" s="2" t="s">
        <v>99</v>
      </c>
      <c r="R117" s="2" t="s">
        <v>100</v>
      </c>
      <c r="S117" s="2" t="s">
        <v>526</v>
      </c>
      <c r="T117" s="2" t="s">
        <v>100</v>
      </c>
      <c r="U117" s="2" t="s">
        <v>102</v>
      </c>
      <c r="V117" s="2" t="s">
        <v>491</v>
      </c>
      <c r="W117" s="2" t="s">
        <v>104</v>
      </c>
      <c r="X117" s="2" t="s">
        <v>492</v>
      </c>
      <c r="Y117" s="2" t="s">
        <v>106</v>
      </c>
      <c r="Z117" s="4">
        <v>303</v>
      </c>
      <c r="AA117" s="4">
        <f>=ROUNDDOWN(30.3,0)</f>
      </c>
      <c r="AB117" s="5">
        <v>10</v>
      </c>
      <c r="AC117" s="2" t="s">
        <v>527</v>
      </c>
      <c r="AD117" s="4">
        <v>30</v>
      </c>
      <c r="AE117" s="4">
        <v>180</v>
      </c>
      <c r="AF117" s="6">
        <v>65</v>
      </c>
      <c r="AG117" s="6">
        <v>73</v>
      </c>
      <c r="AH117" s="7">
        <v>0.8485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>
        <v>0</v>
      </c>
      <c r="AP117" s="4">
        <v>1</v>
      </c>
      <c r="AQ117" s="8">
        <v>78.71</v>
      </c>
      <c r="AR117" s="4">
        <v>6</v>
      </c>
      <c r="AS117" s="8">
        <v>489.76</v>
      </c>
      <c r="AT117" s="7">
        <v>-0.8333</v>
      </c>
      <c r="AU117" s="7">
        <v>-0.8393</v>
      </c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>
        <v>0.5364</v>
      </c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 t="s">
        <v>100</v>
      </c>
      <c r="BJ117" s="4">
        <v>171</v>
      </c>
      <c r="BK117" s="8">
        <v>13998.11</v>
      </c>
      <c r="BL117" s="2" t="s">
        <v>530</v>
      </c>
      <c r="BM117" s="7">
        <v>0.0058</v>
      </c>
      <c r="BN117" s="7">
        <v>0.0056</v>
      </c>
      <c r="BO117" s="4">
        <v>1</v>
      </c>
      <c r="BP117" s="8">
        <v>78.71</v>
      </c>
      <c r="BQ117" s="4">
        <v>6</v>
      </c>
      <c r="BR117" s="8">
        <v>489.76</v>
      </c>
      <c r="BS117" s="7">
        <v>-0.8333</v>
      </c>
      <c r="BT117" s="7">
        <v>-0.8393</v>
      </c>
      <c r="BU117" s="2" t="s">
        <v>109</v>
      </c>
      <c r="BV117" s="2" t="s">
        <v>97</v>
      </c>
      <c r="BW117" s="2" t="s">
        <v>110</v>
      </c>
      <c r="BX117" s="2" t="s">
        <v>531</v>
      </c>
      <c r="BY117" s="2" t="s">
        <v>112</v>
      </c>
      <c r="BZ117" s="2" t="s">
        <v>100</v>
      </c>
    </row>
    <row r="118">
      <c r="A118" s="2" t="s">
        <v>532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483</v>
      </c>
      <c r="G118" s="2" t="s">
        <v>484</v>
      </c>
      <c r="H118" s="2" t="s">
        <v>485</v>
      </c>
      <c r="I118" s="2" t="s">
        <v>486</v>
      </c>
      <c r="J118" s="2" t="s">
        <v>118</v>
      </c>
      <c r="K118" s="2" t="s">
        <v>267</v>
      </c>
      <c r="L118" s="3">
        <v>74.96</v>
      </c>
      <c r="M118" s="3">
        <v>78.71</v>
      </c>
      <c r="N118" s="3">
        <v>149.99</v>
      </c>
      <c r="O118" s="2" t="s">
        <v>97</v>
      </c>
      <c r="P118" s="2" t="s">
        <v>182</v>
      </c>
      <c r="Q118" s="2" t="s">
        <v>99</v>
      </c>
      <c r="R118" s="2" t="s">
        <v>100</v>
      </c>
      <c r="S118" s="2" t="s">
        <v>526</v>
      </c>
      <c r="T118" s="2" t="s">
        <v>100</v>
      </c>
      <c r="U118" s="2" t="s">
        <v>102</v>
      </c>
      <c r="V118" s="2" t="s">
        <v>491</v>
      </c>
      <c r="W118" s="2" t="s">
        <v>104</v>
      </c>
      <c r="X118" s="2" t="s">
        <v>492</v>
      </c>
      <c r="Y118" s="2" t="s">
        <v>106</v>
      </c>
      <c r="Z118" s="4">
        <v>188</v>
      </c>
      <c r="AA118" s="4">
        <f>=ROUNDDOWN(37.6,0)</f>
      </c>
      <c r="AB118" s="5">
        <v>5</v>
      </c>
      <c r="AC118" s="2" t="s">
        <v>533</v>
      </c>
      <c r="AD118" s="4">
        <v>140</v>
      </c>
      <c r="AE118" s="4">
        <v>140</v>
      </c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 t="s">
        <v>100</v>
      </c>
      <c r="AY118" s="8" t="s">
        <v>100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 t="s">
        <v>100</v>
      </c>
      <c r="BF118" s="8" t="s">
        <v>100</v>
      </c>
      <c r="BG118" s="7" t="s">
        <v>100</v>
      </c>
      <c r="BH118" s="7" t="s">
        <v>100</v>
      </c>
      <c r="BI118" s="7" t="s">
        <v>100</v>
      </c>
      <c r="BJ118" s="4">
        <v>94</v>
      </c>
      <c r="BK118" s="8">
        <v>7787.21</v>
      </c>
      <c r="BL118" s="2" t="s">
        <v>534</v>
      </c>
      <c r="BM118" s="7"/>
      <c r="BN118" s="7"/>
      <c r="BO118" s="4"/>
      <c r="BP118" s="8"/>
      <c r="BQ118" s="4"/>
      <c r="BR118" s="8"/>
      <c r="BS118" s="7"/>
      <c r="BT118" s="7"/>
      <c r="BU118" s="2" t="s">
        <v>147</v>
      </c>
      <c r="BV118" s="2" t="s">
        <v>97</v>
      </c>
      <c r="BW118" s="2" t="s">
        <v>100</v>
      </c>
      <c r="BX118" s="2" t="s">
        <v>100</v>
      </c>
      <c r="BY118" s="2" t="s">
        <v>112</v>
      </c>
      <c r="BZ118" s="2" t="s">
        <v>100</v>
      </c>
    </row>
    <row r="119">
      <c r="A119" s="2" t="s">
        <v>535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483</v>
      </c>
      <c r="G119" s="2" t="s">
        <v>484</v>
      </c>
      <c r="H119" s="2" t="s">
        <v>485</v>
      </c>
      <c r="I119" s="2" t="s">
        <v>486</v>
      </c>
      <c r="J119" s="2" t="s">
        <v>487</v>
      </c>
      <c r="K119" s="2" t="s">
        <v>536</v>
      </c>
      <c r="L119" s="3">
        <v>49.68</v>
      </c>
      <c r="M119" s="3">
        <v>52.16</v>
      </c>
      <c r="N119" s="3">
        <v>99.99</v>
      </c>
      <c r="O119" s="2" t="s">
        <v>97</v>
      </c>
      <c r="P119" s="2" t="s">
        <v>182</v>
      </c>
      <c r="Q119" s="2" t="s">
        <v>99</v>
      </c>
      <c r="R119" s="2" t="s">
        <v>100</v>
      </c>
      <c r="S119" s="2" t="s">
        <v>537</v>
      </c>
      <c r="T119" s="2" t="s">
        <v>100</v>
      </c>
      <c r="U119" s="2" t="s">
        <v>490</v>
      </c>
      <c r="V119" s="2" t="s">
        <v>491</v>
      </c>
      <c r="W119" s="2" t="s">
        <v>104</v>
      </c>
      <c r="X119" s="2" t="s">
        <v>492</v>
      </c>
      <c r="Y119" s="2" t="s">
        <v>106</v>
      </c>
      <c r="Z119" s="4">
        <v>73</v>
      </c>
      <c r="AA119" s="4">
        <f>=ROUNDDOWN(14.6,0)</f>
      </c>
      <c r="AB119" s="5">
        <v>5</v>
      </c>
      <c r="AC119" s="2" t="s">
        <v>494</v>
      </c>
      <c r="AD119" s="4">
        <v>30</v>
      </c>
      <c r="AE119" s="4">
        <v>150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>
        <v>1</v>
      </c>
      <c r="AW119" s="8">
        <v>68.03</v>
      </c>
      <c r="AX119" s="4">
        <v>2</v>
      </c>
      <c r="AY119" s="8">
        <v>174.92</v>
      </c>
      <c r="AZ119" s="7">
        <v>-0.5</v>
      </c>
      <c r="BA119" s="7">
        <v>-0.6111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>
        <v>0.0593</v>
      </c>
      <c r="BJ119" s="4">
        <v>87</v>
      </c>
      <c r="BK119" s="8">
        <v>4752.03</v>
      </c>
      <c r="BL119" s="2" t="s">
        <v>538</v>
      </c>
      <c r="BM119" s="7"/>
      <c r="BN119" s="7"/>
      <c r="BO119" s="4"/>
      <c r="BP119" s="8"/>
      <c r="BQ119" s="4"/>
      <c r="BR119" s="8"/>
      <c r="BS119" s="7"/>
      <c r="BT119" s="7"/>
      <c r="BU119" s="2" t="s">
        <v>147</v>
      </c>
      <c r="BV119" s="2" t="s">
        <v>97</v>
      </c>
      <c r="BW119" s="2" t="s">
        <v>100</v>
      </c>
      <c r="BX119" s="2" t="s">
        <v>100</v>
      </c>
      <c r="BY119" s="2" t="s">
        <v>112</v>
      </c>
      <c r="BZ119" s="2" t="s">
        <v>100</v>
      </c>
    </row>
    <row r="120">
      <c r="A120" s="2" t="s">
        <v>539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483</v>
      </c>
      <c r="G120" s="2" t="s">
        <v>484</v>
      </c>
      <c r="H120" s="2" t="s">
        <v>485</v>
      </c>
      <c r="I120" s="2" t="s">
        <v>486</v>
      </c>
      <c r="J120" s="2" t="s">
        <v>95</v>
      </c>
      <c r="K120" s="2" t="s">
        <v>536</v>
      </c>
      <c r="L120" s="3">
        <v>64.79</v>
      </c>
      <c r="M120" s="3">
        <v>68.03</v>
      </c>
      <c r="N120" s="3">
        <v>129.99</v>
      </c>
      <c r="O120" s="2" t="s">
        <v>97</v>
      </c>
      <c r="P120" s="2" t="s">
        <v>182</v>
      </c>
      <c r="Q120" s="2" t="s">
        <v>99</v>
      </c>
      <c r="R120" s="2" t="s">
        <v>100</v>
      </c>
      <c r="S120" s="2" t="s">
        <v>537</v>
      </c>
      <c r="T120" s="2" t="s">
        <v>100</v>
      </c>
      <c r="U120" s="2" t="s">
        <v>102</v>
      </c>
      <c r="V120" s="2" t="s">
        <v>491</v>
      </c>
      <c r="W120" s="2" t="s">
        <v>104</v>
      </c>
      <c r="X120" s="2" t="s">
        <v>492</v>
      </c>
      <c r="Y120" s="2" t="s">
        <v>106</v>
      </c>
      <c r="Z120" s="4">
        <v>490</v>
      </c>
      <c r="AA120" s="4">
        <f>=ROUNDDOWN(28.8235294117647,0)</f>
      </c>
      <c r="AB120" s="5">
        <v>17</v>
      </c>
      <c r="AC120" s="2" t="s">
        <v>494</v>
      </c>
      <c r="AD120" s="4">
        <v>150</v>
      </c>
      <c r="AE120" s="4">
        <v>150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>
        <v>0</v>
      </c>
      <c r="AP120" s="4">
        <v>1</v>
      </c>
      <c r="AQ120" s="8">
        <v>68.03</v>
      </c>
      <c r="AR120" s="4"/>
      <c r="AS120" s="8"/>
      <c r="AT120" s="7"/>
      <c r="AU120" s="7"/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>
        <v>1</v>
      </c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 t="s">
        <v>100</v>
      </c>
      <c r="BJ120" s="4">
        <v>255</v>
      </c>
      <c r="BK120" s="8">
        <v>17697.12</v>
      </c>
      <c r="BL120" s="2" t="s">
        <v>540</v>
      </c>
      <c r="BM120" s="7">
        <v>0.0039</v>
      </c>
      <c r="BN120" s="7">
        <v>0.0038</v>
      </c>
      <c r="BO120" s="4">
        <v>1</v>
      </c>
      <c r="BP120" s="8">
        <v>68.03</v>
      </c>
      <c r="BQ120" s="4"/>
      <c r="BR120" s="8"/>
      <c r="BS120" s="7"/>
      <c r="BT120" s="7"/>
      <c r="BU120" s="2" t="s">
        <v>109</v>
      </c>
      <c r="BV120" s="2" t="s">
        <v>97</v>
      </c>
      <c r="BW120" s="2" t="s">
        <v>217</v>
      </c>
      <c r="BX120" s="2" t="s">
        <v>541</v>
      </c>
      <c r="BY120" s="2" t="s">
        <v>112</v>
      </c>
      <c r="BZ120" s="2" t="s">
        <v>100</v>
      </c>
    </row>
    <row r="121">
      <c r="A121" s="2" t="s">
        <v>542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483</v>
      </c>
      <c r="G121" s="2" t="s">
        <v>484</v>
      </c>
      <c r="H121" s="2" t="s">
        <v>485</v>
      </c>
      <c r="I121" s="2" t="s">
        <v>486</v>
      </c>
      <c r="J121" s="2" t="s">
        <v>114</v>
      </c>
      <c r="K121" s="2" t="s">
        <v>536</v>
      </c>
      <c r="L121" s="3">
        <v>74.96</v>
      </c>
      <c r="M121" s="3">
        <v>78.71</v>
      </c>
      <c r="N121" s="3">
        <v>149.99</v>
      </c>
      <c r="O121" s="2" t="s">
        <v>97</v>
      </c>
      <c r="P121" s="2" t="s">
        <v>182</v>
      </c>
      <c r="Q121" s="2" t="s">
        <v>99</v>
      </c>
      <c r="R121" s="2" t="s">
        <v>100</v>
      </c>
      <c r="S121" s="2" t="s">
        <v>537</v>
      </c>
      <c r="T121" s="2" t="s">
        <v>100</v>
      </c>
      <c r="U121" s="2" t="s">
        <v>102</v>
      </c>
      <c r="V121" s="2" t="s">
        <v>491</v>
      </c>
      <c r="W121" s="2" t="s">
        <v>104</v>
      </c>
      <c r="X121" s="2" t="s">
        <v>492</v>
      </c>
      <c r="Y121" s="2" t="s">
        <v>106</v>
      </c>
      <c r="Z121" s="4">
        <v>235</v>
      </c>
      <c r="AA121" s="4">
        <f>=ROUNDDOWN(19.5833333333333,0)</f>
      </c>
      <c r="AB121" s="5">
        <v>12</v>
      </c>
      <c r="AC121" s="2" t="s">
        <v>494</v>
      </c>
      <c r="AD121" s="4">
        <v>80</v>
      </c>
      <c r="AE121" s="4">
        <v>340</v>
      </c>
      <c r="AF121" s="6">
        <v>65</v>
      </c>
      <c r="AG121" s="6">
        <v>73</v>
      </c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>
        <v>0</v>
      </c>
      <c r="AP121" s="4"/>
      <c r="AQ121" s="8"/>
      <c r="AR121" s="4">
        <v>1</v>
      </c>
      <c r="AS121" s="8">
        <v>87.46</v>
      </c>
      <c r="AT121" s="7">
        <v>-1</v>
      </c>
      <c r="AU121" s="7">
        <v>-1</v>
      </c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 t="s">
        <v>100</v>
      </c>
      <c r="BJ121" s="4">
        <v>182</v>
      </c>
      <c r="BK121" s="8">
        <v>14193.25</v>
      </c>
      <c r="BL121" s="2" t="s">
        <v>543</v>
      </c>
      <c r="BM121" s="7"/>
      <c r="BN121" s="7"/>
      <c r="BO121" s="4"/>
      <c r="BP121" s="8"/>
      <c r="BQ121" s="4">
        <v>1</v>
      </c>
      <c r="BR121" s="8">
        <v>87.46</v>
      </c>
      <c r="BS121" s="7">
        <v>-1</v>
      </c>
      <c r="BT121" s="7">
        <v>-1</v>
      </c>
      <c r="BU121" s="2" t="s">
        <v>109</v>
      </c>
      <c r="BV121" s="2" t="s">
        <v>97</v>
      </c>
      <c r="BW121" s="2" t="s">
        <v>217</v>
      </c>
      <c r="BX121" s="2" t="s">
        <v>544</v>
      </c>
      <c r="BY121" s="2" t="s">
        <v>112</v>
      </c>
      <c r="BZ121" s="2" t="s">
        <v>100</v>
      </c>
    </row>
    <row r="122">
      <c r="A122" s="2" t="s">
        <v>545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483</v>
      </c>
      <c r="G122" s="2" t="s">
        <v>484</v>
      </c>
      <c r="H122" s="2" t="s">
        <v>485</v>
      </c>
      <c r="I122" s="2" t="s">
        <v>486</v>
      </c>
      <c r="J122" s="2" t="s">
        <v>118</v>
      </c>
      <c r="K122" s="2" t="s">
        <v>536</v>
      </c>
      <c r="L122" s="3">
        <v>74.96</v>
      </c>
      <c r="M122" s="3">
        <v>78.71</v>
      </c>
      <c r="N122" s="3">
        <v>149.99</v>
      </c>
      <c r="O122" s="2" t="s">
        <v>97</v>
      </c>
      <c r="P122" s="2" t="s">
        <v>182</v>
      </c>
      <c r="Q122" s="2" t="s">
        <v>99</v>
      </c>
      <c r="R122" s="2" t="s">
        <v>100</v>
      </c>
      <c r="S122" s="2" t="s">
        <v>537</v>
      </c>
      <c r="T122" s="2" t="s">
        <v>100</v>
      </c>
      <c r="U122" s="2" t="s">
        <v>102</v>
      </c>
      <c r="V122" s="2" t="s">
        <v>491</v>
      </c>
      <c r="W122" s="2" t="s">
        <v>104</v>
      </c>
      <c r="X122" s="2" t="s">
        <v>492</v>
      </c>
      <c r="Y122" s="2" t="s">
        <v>106</v>
      </c>
      <c r="Z122" s="4">
        <v>112</v>
      </c>
      <c r="AA122" s="4">
        <f>=ROUNDDOWN(18.6666666666667,0)</f>
      </c>
      <c r="AB122" s="5">
        <v>6</v>
      </c>
      <c r="AC122" s="2" t="s">
        <v>494</v>
      </c>
      <c r="AD122" s="4">
        <v>30</v>
      </c>
      <c r="AE122" s="4">
        <v>100</v>
      </c>
      <c r="AF122" s="6">
        <v>65</v>
      </c>
      <c r="AG122" s="6"/>
      <c r="AH122" s="7">
        <v>0.9879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>
        <v>0</v>
      </c>
      <c r="AP122" s="4"/>
      <c r="AQ122" s="8"/>
      <c r="AR122" s="4">
        <v>1</v>
      </c>
      <c r="AS122" s="8">
        <v>87.46</v>
      </c>
      <c r="AT122" s="7">
        <v>-1</v>
      </c>
      <c r="AU122" s="7">
        <v>-1</v>
      </c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 t="s">
        <v>100</v>
      </c>
      <c r="BJ122" s="4">
        <v>82</v>
      </c>
      <c r="BK122" s="8">
        <v>6534.88</v>
      </c>
      <c r="BL122" s="2" t="s">
        <v>546</v>
      </c>
      <c r="BM122" s="7"/>
      <c r="BN122" s="7"/>
      <c r="BO122" s="4"/>
      <c r="BP122" s="8"/>
      <c r="BQ122" s="4">
        <v>1</v>
      </c>
      <c r="BR122" s="8">
        <v>87.46</v>
      </c>
      <c r="BS122" s="7">
        <v>-1</v>
      </c>
      <c r="BT122" s="7">
        <v>-1</v>
      </c>
      <c r="BU122" s="2" t="s">
        <v>109</v>
      </c>
      <c r="BV122" s="2" t="s">
        <v>97</v>
      </c>
      <c r="BW122" s="2" t="s">
        <v>110</v>
      </c>
      <c r="BX122" s="2" t="s">
        <v>547</v>
      </c>
      <c r="BY122" s="2" t="s">
        <v>112</v>
      </c>
      <c r="BZ122" s="2" t="s">
        <v>100</v>
      </c>
    </row>
    <row r="123">
      <c r="A123" s="2" t="s">
        <v>548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483</v>
      </c>
      <c r="G123" s="2" t="s">
        <v>484</v>
      </c>
      <c r="H123" s="2" t="s">
        <v>485</v>
      </c>
      <c r="I123" s="2" t="s">
        <v>549</v>
      </c>
      <c r="J123" s="2" t="s">
        <v>487</v>
      </c>
      <c r="K123" s="2" t="s">
        <v>298</v>
      </c>
      <c r="L123" s="3">
        <v>55.2</v>
      </c>
      <c r="M123" s="3">
        <v>57.96</v>
      </c>
      <c r="N123" s="3">
        <v>119.99</v>
      </c>
      <c r="O123" s="2" t="s">
        <v>550</v>
      </c>
      <c r="P123" s="2" t="s">
        <v>198</v>
      </c>
      <c r="Q123" s="2" t="s">
        <v>99</v>
      </c>
      <c r="R123" s="2" t="s">
        <v>100</v>
      </c>
      <c r="S123" s="2" t="s">
        <v>511</v>
      </c>
      <c r="T123" s="2" t="s">
        <v>100</v>
      </c>
      <c r="U123" s="2" t="s">
        <v>490</v>
      </c>
      <c r="V123" s="2" t="s">
        <v>491</v>
      </c>
      <c r="W123" s="2" t="s">
        <v>104</v>
      </c>
      <c r="X123" s="2" t="s">
        <v>492</v>
      </c>
      <c r="Y123" s="2" t="s">
        <v>106</v>
      </c>
      <c r="Z123" s="4"/>
      <c r="AA123" s="4">
        <f>=ROUNDDOWN({0},0)</f>
      </c>
      <c r="AB123" s="5"/>
      <c r="AC123" s="2" t="s">
        <v>100</v>
      </c>
      <c r="AD123" s="4"/>
      <c r="AE123" s="4"/>
      <c r="AF123" s="6">
        <v>65</v>
      </c>
      <c r="AG123" s="6"/>
      <c r="AH123" s="7">
        <v>0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>
        <v>0</v>
      </c>
      <c r="AP123" s="4"/>
      <c r="AQ123" s="8"/>
      <c r="AR123" s="4">
        <v>1</v>
      </c>
      <c r="AS123" s="8">
        <v>57.96</v>
      </c>
      <c r="AT123" s="7">
        <v>-1</v>
      </c>
      <c r="AU123" s="7">
        <v>-1</v>
      </c>
      <c r="AV123" s="4"/>
      <c r="AW123" s="8"/>
      <c r="AX123" s="4">
        <v>1</v>
      </c>
      <c r="AY123" s="8">
        <v>57.96</v>
      </c>
      <c r="AZ123" s="7">
        <v>-1</v>
      </c>
      <c r="BA123" s="7">
        <v>-1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/>
      <c r="BK123" s="8"/>
      <c r="BL123" s="2" t="s">
        <v>551</v>
      </c>
      <c r="BM123" s="7"/>
      <c r="BN123" s="7"/>
      <c r="BO123" s="4"/>
      <c r="BP123" s="8"/>
      <c r="BQ123" s="4">
        <v>1</v>
      </c>
      <c r="BR123" s="8">
        <v>57.96</v>
      </c>
      <c r="BS123" s="7">
        <v>-1</v>
      </c>
      <c r="BT123" s="7">
        <v>-1</v>
      </c>
      <c r="BU123" s="2" t="s">
        <v>109</v>
      </c>
      <c r="BV123" s="2" t="s">
        <v>552</v>
      </c>
      <c r="BW123" s="2" t="s">
        <v>110</v>
      </c>
      <c r="BX123" s="2" t="s">
        <v>553</v>
      </c>
      <c r="BY123" s="2" t="s">
        <v>112</v>
      </c>
      <c r="BZ123" s="2" t="s">
        <v>100</v>
      </c>
    </row>
    <row r="124">
      <c r="A124" s="2" t="s">
        <v>554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555</v>
      </c>
      <c r="G124" s="2" t="s">
        <v>556</v>
      </c>
      <c r="H124" s="2" t="s">
        <v>557</v>
      </c>
      <c r="I124" s="2" t="s">
        <v>558</v>
      </c>
      <c r="J124" s="2" t="s">
        <v>95</v>
      </c>
      <c r="K124" s="2" t="s">
        <v>559</v>
      </c>
      <c r="L124" s="3">
        <v>62.1</v>
      </c>
      <c r="M124" s="3">
        <v>65.2</v>
      </c>
      <c r="N124" s="3">
        <v>139.99</v>
      </c>
      <c r="O124" s="2" t="s">
        <v>97</v>
      </c>
      <c r="P124" s="2" t="s">
        <v>143</v>
      </c>
      <c r="Q124" s="2" t="s">
        <v>99</v>
      </c>
      <c r="R124" s="2" t="s">
        <v>100</v>
      </c>
      <c r="S124" s="2" t="s">
        <v>560</v>
      </c>
      <c r="T124" s="2" t="s">
        <v>100</v>
      </c>
      <c r="U124" s="2" t="s">
        <v>102</v>
      </c>
      <c r="V124" s="2" t="s">
        <v>561</v>
      </c>
      <c r="W124" s="2" t="s">
        <v>104</v>
      </c>
      <c r="X124" s="2" t="s">
        <v>562</v>
      </c>
      <c r="Y124" s="2" t="s">
        <v>106</v>
      </c>
      <c r="Z124" s="4">
        <v>578</v>
      </c>
      <c r="AA124" s="4">
        <f>=ROUNDDOWN(24.0833333333333,0)</f>
      </c>
      <c r="AB124" s="5">
        <v>24</v>
      </c>
      <c r="AC124" s="2" t="s">
        <v>563</v>
      </c>
      <c r="AD124" s="4">
        <v>300</v>
      </c>
      <c r="AE124" s="4">
        <v>330</v>
      </c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>
        <v>0</v>
      </c>
      <c r="AP124" s="4">
        <v>10</v>
      </c>
      <c r="AQ124" s="8">
        <v>652.1</v>
      </c>
      <c r="AR124" s="4">
        <v>20</v>
      </c>
      <c r="AS124" s="8">
        <v>1420.04</v>
      </c>
      <c r="AT124" s="7">
        <v>-0.5</v>
      </c>
      <c r="AU124" s="7">
        <v>-0.5408</v>
      </c>
      <c r="AV124" s="4">
        <v>13</v>
      </c>
      <c r="AW124" s="8">
        <v>873.8</v>
      </c>
      <c r="AX124" s="4">
        <v>38</v>
      </c>
      <c r="AY124" s="8">
        <v>2856.97</v>
      </c>
      <c r="AZ124" s="7">
        <v>-0.6579</v>
      </c>
      <c r="BA124" s="7">
        <v>-0.6942</v>
      </c>
      <c r="BB124" s="7">
        <v>0.7463</v>
      </c>
      <c r="BC124" s="4">
        <v>13</v>
      </c>
      <c r="BD124" s="8">
        <v>873.8</v>
      </c>
      <c r="BE124" s="4">
        <v>38</v>
      </c>
      <c r="BF124" s="8">
        <v>2856.97</v>
      </c>
      <c r="BG124" s="7">
        <v>-0.6579</v>
      </c>
      <c r="BH124" s="7">
        <v>-0.6942</v>
      </c>
      <c r="BI124" s="7">
        <v>1</v>
      </c>
      <c r="BJ124" s="4">
        <v>516</v>
      </c>
      <c r="BK124" s="8">
        <v>39793.4</v>
      </c>
      <c r="BL124" s="2" t="s">
        <v>564</v>
      </c>
      <c r="BM124" s="7">
        <v>0.0194</v>
      </c>
      <c r="BN124" s="7">
        <v>0.0164</v>
      </c>
      <c r="BO124" s="4">
        <v>10</v>
      </c>
      <c r="BP124" s="8">
        <v>652.1</v>
      </c>
      <c r="BQ124" s="4">
        <v>20</v>
      </c>
      <c r="BR124" s="8">
        <v>1420.04</v>
      </c>
      <c r="BS124" s="7">
        <v>-0.5</v>
      </c>
      <c r="BT124" s="7">
        <v>-0.5408</v>
      </c>
      <c r="BU124" s="2" t="s">
        <v>109</v>
      </c>
      <c r="BV124" s="2" t="s">
        <v>97</v>
      </c>
      <c r="BW124" s="2" t="s">
        <v>565</v>
      </c>
      <c r="BX124" s="2" t="s">
        <v>566</v>
      </c>
      <c r="BY124" s="2" t="s">
        <v>112</v>
      </c>
      <c r="BZ124" s="2" t="s">
        <v>100</v>
      </c>
    </row>
    <row r="125">
      <c r="A125" s="2" t="s">
        <v>567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555</v>
      </c>
      <c r="G125" s="2" t="s">
        <v>556</v>
      </c>
      <c r="H125" s="2" t="s">
        <v>557</v>
      </c>
      <c r="I125" s="2" t="s">
        <v>558</v>
      </c>
      <c r="J125" s="2" t="s">
        <v>114</v>
      </c>
      <c r="K125" s="2" t="s">
        <v>559</v>
      </c>
      <c r="L125" s="3">
        <v>70.38</v>
      </c>
      <c r="M125" s="3">
        <v>73.9</v>
      </c>
      <c r="N125" s="3">
        <v>159.99</v>
      </c>
      <c r="O125" s="2" t="s">
        <v>97</v>
      </c>
      <c r="P125" s="2" t="s">
        <v>143</v>
      </c>
      <c r="Q125" s="2" t="s">
        <v>99</v>
      </c>
      <c r="R125" s="2" t="s">
        <v>100</v>
      </c>
      <c r="S125" s="2" t="s">
        <v>560</v>
      </c>
      <c r="T125" s="2" t="s">
        <v>100</v>
      </c>
      <c r="U125" s="2" t="s">
        <v>102</v>
      </c>
      <c r="V125" s="2" t="s">
        <v>561</v>
      </c>
      <c r="W125" s="2" t="s">
        <v>104</v>
      </c>
      <c r="X125" s="2" t="s">
        <v>562</v>
      </c>
      <c r="Y125" s="2" t="s">
        <v>106</v>
      </c>
      <c r="Z125" s="4">
        <v>598</v>
      </c>
      <c r="AA125" s="4">
        <f>=ROUNDDOWN(24.9166666666667,0)</f>
      </c>
      <c r="AB125" s="5">
        <v>24</v>
      </c>
      <c r="AC125" s="2" t="s">
        <v>563</v>
      </c>
      <c r="AD125" s="4">
        <v>370</v>
      </c>
      <c r="AE125" s="4">
        <v>370</v>
      </c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>
        <v>0</v>
      </c>
      <c r="AP125" s="4">
        <v>3</v>
      </c>
      <c r="AQ125" s="8">
        <v>221.7</v>
      </c>
      <c r="AR125" s="4">
        <v>16</v>
      </c>
      <c r="AS125" s="8">
        <v>1280.92</v>
      </c>
      <c r="AT125" s="7">
        <v>-0.8125</v>
      </c>
      <c r="AU125" s="7">
        <v>-0.8269</v>
      </c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>
        <v>0.2537</v>
      </c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 t="s">
        <v>100</v>
      </c>
      <c r="BJ125" s="4">
        <v>492</v>
      </c>
      <c r="BK125" s="8">
        <v>43198.94</v>
      </c>
      <c r="BL125" s="2" t="s">
        <v>568</v>
      </c>
      <c r="BM125" s="7">
        <v>0.0061</v>
      </c>
      <c r="BN125" s="7">
        <v>0.0051</v>
      </c>
      <c r="BO125" s="4">
        <v>3</v>
      </c>
      <c r="BP125" s="8">
        <v>221.7</v>
      </c>
      <c r="BQ125" s="4">
        <v>16</v>
      </c>
      <c r="BR125" s="8">
        <v>1280.92</v>
      </c>
      <c r="BS125" s="7">
        <v>-0.8125</v>
      </c>
      <c r="BT125" s="7">
        <v>-0.8269</v>
      </c>
      <c r="BU125" s="2" t="s">
        <v>109</v>
      </c>
      <c r="BV125" s="2" t="s">
        <v>97</v>
      </c>
      <c r="BW125" s="2" t="s">
        <v>569</v>
      </c>
      <c r="BX125" s="2" t="s">
        <v>570</v>
      </c>
      <c r="BY125" s="2" t="s">
        <v>112</v>
      </c>
      <c r="BZ125" s="2" t="s">
        <v>100</v>
      </c>
    </row>
    <row r="126">
      <c r="A126" s="2" t="s">
        <v>571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555</v>
      </c>
      <c r="G126" s="2" t="s">
        <v>556</v>
      </c>
      <c r="H126" s="2" t="s">
        <v>557</v>
      </c>
      <c r="I126" s="2" t="s">
        <v>558</v>
      </c>
      <c r="J126" s="2" t="s">
        <v>118</v>
      </c>
      <c r="K126" s="2" t="s">
        <v>559</v>
      </c>
      <c r="L126" s="3">
        <v>70.38</v>
      </c>
      <c r="M126" s="3">
        <v>73.9</v>
      </c>
      <c r="N126" s="3">
        <v>159.99</v>
      </c>
      <c r="O126" s="2" t="s">
        <v>97</v>
      </c>
      <c r="P126" s="2" t="s">
        <v>143</v>
      </c>
      <c r="Q126" s="2" t="s">
        <v>99</v>
      </c>
      <c r="R126" s="2" t="s">
        <v>100</v>
      </c>
      <c r="S126" s="2" t="s">
        <v>560</v>
      </c>
      <c r="T126" s="2" t="s">
        <v>100</v>
      </c>
      <c r="U126" s="2" t="s">
        <v>102</v>
      </c>
      <c r="V126" s="2" t="s">
        <v>561</v>
      </c>
      <c r="W126" s="2" t="s">
        <v>104</v>
      </c>
      <c r="X126" s="2" t="s">
        <v>562</v>
      </c>
      <c r="Y126" s="2" t="s">
        <v>106</v>
      </c>
      <c r="Z126" s="4">
        <v>256</v>
      </c>
      <c r="AA126" s="4">
        <f>=ROUNDDOWN(25.6,0)</f>
      </c>
      <c r="AB126" s="5">
        <v>10</v>
      </c>
      <c r="AC126" s="2" t="s">
        <v>335</v>
      </c>
      <c r="AD126" s="4">
        <v>50</v>
      </c>
      <c r="AE126" s="4">
        <v>130</v>
      </c>
      <c r="AF126" s="6">
        <v>66</v>
      </c>
      <c r="AG126" s="6">
        <v>49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>
        <v>0</v>
      </c>
      <c r="AP126" s="4"/>
      <c r="AQ126" s="8"/>
      <c r="AR126" s="4">
        <v>2</v>
      </c>
      <c r="AS126" s="8">
        <v>156.01</v>
      </c>
      <c r="AT126" s="7">
        <v>-1</v>
      </c>
      <c r="AU126" s="7">
        <v>-1</v>
      </c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 t="s">
        <v>100</v>
      </c>
      <c r="BJ126" s="4">
        <v>198</v>
      </c>
      <c r="BK126" s="8">
        <v>17370.31</v>
      </c>
      <c r="BL126" s="2" t="s">
        <v>572</v>
      </c>
      <c r="BM126" s="7"/>
      <c r="BN126" s="7"/>
      <c r="BO126" s="4"/>
      <c r="BP126" s="8"/>
      <c r="BQ126" s="4">
        <v>2</v>
      </c>
      <c r="BR126" s="8">
        <v>156.01</v>
      </c>
      <c r="BS126" s="7">
        <v>-1</v>
      </c>
      <c r="BT126" s="7">
        <v>-1</v>
      </c>
      <c r="BU126" s="2" t="s">
        <v>109</v>
      </c>
      <c r="BV126" s="2" t="s">
        <v>97</v>
      </c>
      <c r="BW126" s="2" t="s">
        <v>573</v>
      </c>
      <c r="BX126" s="2" t="s">
        <v>574</v>
      </c>
      <c r="BY126" s="2" t="s">
        <v>112</v>
      </c>
      <c r="BZ126" s="2" t="s">
        <v>100</v>
      </c>
    </row>
    <row r="127">
      <c r="A127" s="2" t="s">
        <v>575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555</v>
      </c>
      <c r="G127" s="2" t="s">
        <v>556</v>
      </c>
      <c r="H127" s="2" t="s">
        <v>557</v>
      </c>
      <c r="I127" s="2" t="s">
        <v>558</v>
      </c>
      <c r="J127" s="2" t="s">
        <v>95</v>
      </c>
      <c r="K127" s="2" t="s">
        <v>197</v>
      </c>
      <c r="L127" s="3">
        <v>62.1</v>
      </c>
      <c r="M127" s="3">
        <v>65.2</v>
      </c>
      <c r="N127" s="3">
        <v>139.99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576</v>
      </c>
      <c r="T127" s="2" t="s">
        <v>100</v>
      </c>
      <c r="U127" s="2" t="s">
        <v>102</v>
      </c>
      <c r="V127" s="2" t="s">
        <v>561</v>
      </c>
      <c r="W127" s="2" t="s">
        <v>104</v>
      </c>
      <c r="X127" s="2" t="s">
        <v>577</v>
      </c>
      <c r="Y127" s="2" t="s">
        <v>578</v>
      </c>
      <c r="Z127" s="4">
        <v>299</v>
      </c>
      <c r="AA127" s="4">
        <f>=ROUNDDOWN(7.11904761904762,0)</f>
      </c>
      <c r="AB127" s="5">
        <v>42</v>
      </c>
      <c r="AC127" s="2" t="s">
        <v>107</v>
      </c>
      <c r="AD127" s="4">
        <v>350</v>
      </c>
      <c r="AE127" s="4">
        <v>1310</v>
      </c>
      <c r="AF127" s="6">
        <v>66</v>
      </c>
      <c r="AG127" s="6">
        <v>49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 t="s">
        <v>100</v>
      </c>
      <c r="BJ127" s="4">
        <v>952</v>
      </c>
      <c r="BK127" s="8">
        <v>75615.53</v>
      </c>
      <c r="BL127" s="2" t="s">
        <v>579</v>
      </c>
      <c r="BM127" s="7"/>
      <c r="BN127" s="7"/>
      <c r="BO127" s="4"/>
      <c r="BP127" s="8"/>
      <c r="BQ127" s="4"/>
      <c r="BR127" s="8"/>
      <c r="BS127" s="7"/>
      <c r="BT127" s="7"/>
      <c r="BU127" s="2" t="s">
        <v>109</v>
      </c>
      <c r="BV127" s="2" t="s">
        <v>97</v>
      </c>
      <c r="BW127" s="2" t="s">
        <v>580</v>
      </c>
      <c r="BX127" s="2" t="s">
        <v>100</v>
      </c>
      <c r="BY127" s="2" t="s">
        <v>112</v>
      </c>
      <c r="BZ127" s="2" t="s">
        <v>100</v>
      </c>
    </row>
    <row r="128">
      <c r="A128" s="2" t="s">
        <v>581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555</v>
      </c>
      <c r="G128" s="2" t="s">
        <v>556</v>
      </c>
      <c r="H128" s="2" t="s">
        <v>557</v>
      </c>
      <c r="I128" s="2" t="s">
        <v>558</v>
      </c>
      <c r="J128" s="2" t="s">
        <v>114</v>
      </c>
      <c r="K128" s="2" t="s">
        <v>197</v>
      </c>
      <c r="L128" s="3">
        <v>70.38</v>
      </c>
      <c r="M128" s="3">
        <v>73.9</v>
      </c>
      <c r="N128" s="3">
        <v>159.99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576</v>
      </c>
      <c r="T128" s="2" t="s">
        <v>100</v>
      </c>
      <c r="U128" s="2" t="s">
        <v>102</v>
      </c>
      <c r="V128" s="2" t="s">
        <v>561</v>
      </c>
      <c r="W128" s="2" t="s">
        <v>104</v>
      </c>
      <c r="X128" s="2" t="s">
        <v>577</v>
      </c>
      <c r="Y128" s="2" t="s">
        <v>582</v>
      </c>
      <c r="Z128" s="4">
        <v>380</v>
      </c>
      <c r="AA128" s="4">
        <f>=ROUNDDOWN(10.8571428571429,0)</f>
      </c>
      <c r="AB128" s="5">
        <v>35</v>
      </c>
      <c r="AC128" s="2" t="s">
        <v>107</v>
      </c>
      <c r="AD128" s="4">
        <v>100</v>
      </c>
      <c r="AE128" s="4">
        <v>1010</v>
      </c>
      <c r="AF128" s="6">
        <v>66</v>
      </c>
      <c r="AG128" s="6">
        <v>49</v>
      </c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 t="s">
        <v>100</v>
      </c>
      <c r="BJ128" s="4">
        <v>811</v>
      </c>
      <c r="BK128" s="8">
        <v>73622.94</v>
      </c>
      <c r="BL128" s="2" t="s">
        <v>583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97</v>
      </c>
      <c r="BW128" s="2" t="s">
        <v>580</v>
      </c>
      <c r="BX128" s="2" t="s">
        <v>100</v>
      </c>
      <c r="BY128" s="2" t="s">
        <v>112</v>
      </c>
      <c r="BZ128" s="2" t="s">
        <v>100</v>
      </c>
    </row>
    <row r="129">
      <c r="A129" s="2" t="s">
        <v>584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555</v>
      </c>
      <c r="G129" s="2" t="s">
        <v>556</v>
      </c>
      <c r="H129" s="2" t="s">
        <v>557</v>
      </c>
      <c r="I129" s="2" t="s">
        <v>558</v>
      </c>
      <c r="J129" s="2" t="s">
        <v>118</v>
      </c>
      <c r="K129" s="2" t="s">
        <v>197</v>
      </c>
      <c r="L129" s="3">
        <v>70.38</v>
      </c>
      <c r="M129" s="3">
        <v>73.9</v>
      </c>
      <c r="N129" s="3">
        <v>159.99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576</v>
      </c>
      <c r="T129" s="2" t="s">
        <v>100</v>
      </c>
      <c r="U129" s="2" t="s">
        <v>102</v>
      </c>
      <c r="V129" s="2" t="s">
        <v>561</v>
      </c>
      <c r="W129" s="2" t="s">
        <v>104</v>
      </c>
      <c r="X129" s="2" t="s">
        <v>577</v>
      </c>
      <c r="Y129" s="2" t="s">
        <v>582</v>
      </c>
      <c r="Z129" s="4">
        <v>146</v>
      </c>
      <c r="AA129" s="4">
        <f>=ROUNDDOWN(9.73333333333333,0)</f>
      </c>
      <c r="AB129" s="5">
        <v>15</v>
      </c>
      <c r="AC129" s="2" t="s">
        <v>107</v>
      </c>
      <c r="AD129" s="4">
        <v>40</v>
      </c>
      <c r="AE129" s="4">
        <v>460</v>
      </c>
      <c r="AF129" s="6">
        <v>66</v>
      </c>
      <c r="AG129" s="6">
        <v>49</v>
      </c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 t="s">
        <v>100</v>
      </c>
      <c r="BJ129" s="4">
        <v>356</v>
      </c>
      <c r="BK129" s="8">
        <v>32165.98</v>
      </c>
      <c r="BL129" s="2" t="s">
        <v>585</v>
      </c>
      <c r="BM129" s="7"/>
      <c r="BN129" s="7"/>
      <c r="BO129" s="4"/>
      <c r="BP129" s="8"/>
      <c r="BQ129" s="4"/>
      <c r="BR129" s="8"/>
      <c r="BS129" s="7"/>
      <c r="BT129" s="7"/>
      <c r="BU129" s="2" t="s">
        <v>109</v>
      </c>
      <c r="BV129" s="2" t="s">
        <v>97</v>
      </c>
      <c r="BW129" s="2" t="s">
        <v>580</v>
      </c>
      <c r="BX129" s="2" t="s">
        <v>100</v>
      </c>
      <c r="BY129" s="2" t="s">
        <v>112</v>
      </c>
      <c r="BZ129" s="2" t="s">
        <v>100</v>
      </c>
    </row>
    <row r="130">
      <c r="A130" s="2" t="s">
        <v>586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555</v>
      </c>
      <c r="G130" s="2" t="s">
        <v>556</v>
      </c>
      <c r="H130" s="2" t="s">
        <v>557</v>
      </c>
      <c r="I130" s="2" t="s">
        <v>558</v>
      </c>
      <c r="J130" s="2" t="s">
        <v>95</v>
      </c>
      <c r="K130" s="2" t="s">
        <v>168</v>
      </c>
      <c r="L130" s="3">
        <v>62.1</v>
      </c>
      <c r="M130" s="3">
        <v>65.2</v>
      </c>
      <c r="N130" s="3">
        <v>139.99</v>
      </c>
      <c r="O130" s="2" t="s">
        <v>97</v>
      </c>
      <c r="P130" s="2" t="s">
        <v>182</v>
      </c>
      <c r="Q130" s="2" t="s">
        <v>99</v>
      </c>
      <c r="R130" s="2" t="s">
        <v>100</v>
      </c>
      <c r="S130" s="2" t="s">
        <v>587</v>
      </c>
      <c r="T130" s="2" t="s">
        <v>100</v>
      </c>
      <c r="U130" s="2" t="s">
        <v>102</v>
      </c>
      <c r="V130" s="2" t="s">
        <v>561</v>
      </c>
      <c r="W130" s="2" t="s">
        <v>104</v>
      </c>
      <c r="X130" s="2" t="s">
        <v>577</v>
      </c>
      <c r="Y130" s="2" t="s">
        <v>588</v>
      </c>
      <c r="Z130" s="4">
        <v>266</v>
      </c>
      <c r="AA130" s="4">
        <f>=ROUNDDOWN(20.4615384615385,0)</f>
      </c>
      <c r="AB130" s="5">
        <v>13</v>
      </c>
      <c r="AC130" s="2" t="s">
        <v>589</v>
      </c>
      <c r="AD130" s="4">
        <v>170</v>
      </c>
      <c r="AE130" s="4">
        <v>410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 t="s">
        <v>100</v>
      </c>
      <c r="BJ130" s="4">
        <v>293</v>
      </c>
      <c r="BK130" s="8">
        <v>22740.38</v>
      </c>
      <c r="BL130" s="2" t="s">
        <v>590</v>
      </c>
      <c r="BM130" s="7"/>
      <c r="BN130" s="7"/>
      <c r="BO130" s="4"/>
      <c r="BP130" s="8"/>
      <c r="BQ130" s="4"/>
      <c r="BR130" s="8"/>
      <c r="BS130" s="7"/>
      <c r="BT130" s="7"/>
      <c r="BU130" s="2" t="s">
        <v>147</v>
      </c>
      <c r="BV130" s="2" t="s">
        <v>97</v>
      </c>
      <c r="BW130" s="2" t="s">
        <v>100</v>
      </c>
      <c r="BX130" s="2" t="s">
        <v>100</v>
      </c>
      <c r="BY130" s="2" t="s">
        <v>112</v>
      </c>
      <c r="BZ130" s="2" t="s">
        <v>100</v>
      </c>
    </row>
    <row r="131">
      <c r="A131" s="2" t="s">
        <v>591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555</v>
      </c>
      <c r="G131" s="2" t="s">
        <v>556</v>
      </c>
      <c r="H131" s="2" t="s">
        <v>557</v>
      </c>
      <c r="I131" s="2" t="s">
        <v>558</v>
      </c>
      <c r="J131" s="2" t="s">
        <v>114</v>
      </c>
      <c r="K131" s="2" t="s">
        <v>168</v>
      </c>
      <c r="L131" s="3">
        <v>70.38</v>
      </c>
      <c r="M131" s="3">
        <v>73.9</v>
      </c>
      <c r="N131" s="3">
        <v>159.99</v>
      </c>
      <c r="O131" s="2" t="s">
        <v>97</v>
      </c>
      <c r="P131" s="2" t="s">
        <v>182</v>
      </c>
      <c r="Q131" s="2" t="s">
        <v>99</v>
      </c>
      <c r="R131" s="2" t="s">
        <v>100</v>
      </c>
      <c r="S131" s="2" t="s">
        <v>587</v>
      </c>
      <c r="T131" s="2" t="s">
        <v>100</v>
      </c>
      <c r="U131" s="2" t="s">
        <v>102</v>
      </c>
      <c r="V131" s="2" t="s">
        <v>561</v>
      </c>
      <c r="W131" s="2" t="s">
        <v>104</v>
      </c>
      <c r="X131" s="2" t="s">
        <v>577</v>
      </c>
      <c r="Y131" s="2" t="s">
        <v>588</v>
      </c>
      <c r="Z131" s="4">
        <v>310</v>
      </c>
      <c r="AA131" s="4">
        <f>=ROUNDDOWN(25.8333333333333,0)</f>
      </c>
      <c r="AB131" s="5">
        <v>12</v>
      </c>
      <c r="AC131" s="2" t="s">
        <v>589</v>
      </c>
      <c r="AD131" s="4">
        <v>30</v>
      </c>
      <c r="AE131" s="4">
        <v>190</v>
      </c>
      <c r="AF131" s="6">
        <v>66</v>
      </c>
      <c r="AG131" s="6"/>
      <c r="AH131" s="7">
        <v>0.9879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 t="s">
        <v>100</v>
      </c>
      <c r="BJ131" s="4">
        <v>252</v>
      </c>
      <c r="BK131" s="8">
        <v>22009.55</v>
      </c>
      <c r="BL131" s="2" t="s">
        <v>592</v>
      </c>
      <c r="BM131" s="7"/>
      <c r="BN131" s="7"/>
      <c r="BO131" s="4"/>
      <c r="BP131" s="8"/>
      <c r="BQ131" s="4"/>
      <c r="BR131" s="8"/>
      <c r="BS131" s="7"/>
      <c r="BT131" s="7"/>
      <c r="BU131" s="2" t="s">
        <v>147</v>
      </c>
      <c r="BV131" s="2" t="s">
        <v>97</v>
      </c>
      <c r="BW131" s="2" t="s">
        <v>100</v>
      </c>
      <c r="BX131" s="2" t="s">
        <v>100</v>
      </c>
      <c r="BY131" s="2" t="s">
        <v>112</v>
      </c>
      <c r="BZ131" s="2" t="s">
        <v>100</v>
      </c>
    </row>
    <row r="132">
      <c r="A132" s="2" t="s">
        <v>593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555</v>
      </c>
      <c r="G132" s="2" t="s">
        <v>556</v>
      </c>
      <c r="H132" s="2" t="s">
        <v>557</v>
      </c>
      <c r="I132" s="2" t="s">
        <v>558</v>
      </c>
      <c r="J132" s="2" t="s">
        <v>118</v>
      </c>
      <c r="K132" s="2" t="s">
        <v>168</v>
      </c>
      <c r="L132" s="3">
        <v>70.38</v>
      </c>
      <c r="M132" s="3">
        <v>73.9</v>
      </c>
      <c r="N132" s="3">
        <v>159.99</v>
      </c>
      <c r="O132" s="2" t="s">
        <v>97</v>
      </c>
      <c r="P132" s="2" t="s">
        <v>182</v>
      </c>
      <c r="Q132" s="2" t="s">
        <v>99</v>
      </c>
      <c r="R132" s="2" t="s">
        <v>100</v>
      </c>
      <c r="S132" s="2" t="s">
        <v>587</v>
      </c>
      <c r="T132" s="2" t="s">
        <v>100</v>
      </c>
      <c r="U132" s="2" t="s">
        <v>102</v>
      </c>
      <c r="V132" s="2" t="s">
        <v>561</v>
      </c>
      <c r="W132" s="2" t="s">
        <v>104</v>
      </c>
      <c r="X132" s="2" t="s">
        <v>577</v>
      </c>
      <c r="Y132" s="2" t="s">
        <v>588</v>
      </c>
      <c r="Z132" s="4">
        <v>208</v>
      </c>
      <c r="AA132" s="4">
        <f>=ROUNDDOWN(41.6,0)</f>
      </c>
      <c r="AB132" s="5">
        <v>5</v>
      </c>
      <c r="AC132" s="2" t="s">
        <v>100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 t="s">
        <v>100</v>
      </c>
      <c r="BJ132" s="4">
        <v>87</v>
      </c>
      <c r="BK132" s="8">
        <v>7751.5</v>
      </c>
      <c r="BL132" s="2" t="s">
        <v>594</v>
      </c>
      <c r="BM132" s="7"/>
      <c r="BN132" s="7"/>
      <c r="BO132" s="4"/>
      <c r="BP132" s="8"/>
      <c r="BQ132" s="4"/>
      <c r="BR132" s="8"/>
      <c r="BS132" s="7"/>
      <c r="BT132" s="7"/>
      <c r="BU132" s="2" t="s">
        <v>147</v>
      </c>
      <c r="BV132" s="2" t="s">
        <v>97</v>
      </c>
      <c r="BW132" s="2" t="s">
        <v>100</v>
      </c>
      <c r="BX132" s="2" t="s">
        <v>100</v>
      </c>
      <c r="BY132" s="2" t="s">
        <v>112</v>
      </c>
      <c r="BZ132" s="2" t="s">
        <v>100</v>
      </c>
    </row>
    <row r="133">
      <c r="A133" s="2" t="s">
        <v>595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596</v>
      </c>
      <c r="G133" s="2" t="s">
        <v>597</v>
      </c>
      <c r="H133" s="2" t="s">
        <v>598</v>
      </c>
      <c r="I133" s="2" t="s">
        <v>599</v>
      </c>
      <c r="J133" s="2" t="s">
        <v>95</v>
      </c>
      <c r="K133" s="2" t="s">
        <v>333</v>
      </c>
      <c r="L133" s="3">
        <v>52.8</v>
      </c>
      <c r="M133" s="3">
        <v>55.43</v>
      </c>
      <c r="N133" s="3">
        <v>109.99</v>
      </c>
      <c r="O133" s="2" t="s">
        <v>97</v>
      </c>
      <c r="P133" s="2" t="s">
        <v>182</v>
      </c>
      <c r="Q133" s="2" t="s">
        <v>99</v>
      </c>
      <c r="R133" s="2" t="s">
        <v>100</v>
      </c>
      <c r="S133" s="2" t="s">
        <v>600</v>
      </c>
      <c r="T133" s="2" t="s">
        <v>100</v>
      </c>
      <c r="U133" s="2" t="s">
        <v>102</v>
      </c>
      <c r="V133" s="2" t="s">
        <v>601</v>
      </c>
      <c r="W133" s="2" t="s">
        <v>602</v>
      </c>
      <c r="X133" s="2" t="s">
        <v>603</v>
      </c>
      <c r="Y133" s="2" t="s">
        <v>604</v>
      </c>
      <c r="Z133" s="4">
        <v>395</v>
      </c>
      <c r="AA133" s="4">
        <f>=ROUNDDOWN(24.6875,0)</f>
      </c>
      <c r="AB133" s="5">
        <v>16</v>
      </c>
      <c r="AC133" s="2" t="s">
        <v>518</v>
      </c>
      <c r="AD133" s="4">
        <v>210</v>
      </c>
      <c r="AE133" s="4">
        <v>210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>
        <v>0</v>
      </c>
      <c r="AP133" s="4">
        <v>10</v>
      </c>
      <c r="AQ133" s="8">
        <v>554.4</v>
      </c>
      <c r="AR133" s="4">
        <v>12</v>
      </c>
      <c r="AS133" s="8">
        <v>665.28</v>
      </c>
      <c r="AT133" s="7">
        <v>-0.1667</v>
      </c>
      <c r="AU133" s="7">
        <v>-0.1667</v>
      </c>
      <c r="AV133" s="4">
        <v>14</v>
      </c>
      <c r="AW133" s="8">
        <v>821.92</v>
      </c>
      <c r="AX133" s="4">
        <v>30</v>
      </c>
      <c r="AY133" s="8">
        <v>1869.12</v>
      </c>
      <c r="AZ133" s="7">
        <v>-0.5333</v>
      </c>
      <c r="BA133" s="7">
        <v>-0.5603</v>
      </c>
      <c r="BB133" s="7">
        <v>0.6745</v>
      </c>
      <c r="BC133" s="4">
        <v>14</v>
      </c>
      <c r="BD133" s="8">
        <v>821.92</v>
      </c>
      <c r="BE133" s="4">
        <v>30</v>
      </c>
      <c r="BF133" s="8">
        <v>1869.12</v>
      </c>
      <c r="BG133" s="7">
        <v>-0.5333</v>
      </c>
      <c r="BH133" s="7">
        <v>-0.5603</v>
      </c>
      <c r="BI133" s="7">
        <v>1</v>
      </c>
      <c r="BJ133" s="4">
        <v>358</v>
      </c>
      <c r="BK133" s="8">
        <v>20054.03</v>
      </c>
      <c r="BL133" s="2" t="s">
        <v>605</v>
      </c>
      <c r="BM133" s="7">
        <v>0.0279</v>
      </c>
      <c r="BN133" s="7">
        <v>0.0276</v>
      </c>
      <c r="BO133" s="4">
        <v>10</v>
      </c>
      <c r="BP133" s="8">
        <v>554.4</v>
      </c>
      <c r="BQ133" s="4">
        <v>12</v>
      </c>
      <c r="BR133" s="8">
        <v>665.28</v>
      </c>
      <c r="BS133" s="7">
        <v>-0.1667</v>
      </c>
      <c r="BT133" s="7">
        <v>-0.1667</v>
      </c>
      <c r="BU133" s="2" t="s">
        <v>109</v>
      </c>
      <c r="BV133" s="2" t="s">
        <v>97</v>
      </c>
      <c r="BW133" s="2" t="s">
        <v>606</v>
      </c>
      <c r="BX133" s="2" t="s">
        <v>607</v>
      </c>
      <c r="BY133" s="2" t="s">
        <v>112</v>
      </c>
      <c r="BZ133" s="2" t="s">
        <v>100</v>
      </c>
    </row>
    <row r="134">
      <c r="A134" s="2" t="s">
        <v>608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596</v>
      </c>
      <c r="G134" s="2" t="s">
        <v>597</v>
      </c>
      <c r="H134" s="2" t="s">
        <v>598</v>
      </c>
      <c r="I134" s="2" t="s">
        <v>599</v>
      </c>
      <c r="J134" s="2" t="s">
        <v>114</v>
      </c>
      <c r="K134" s="2" t="s">
        <v>333</v>
      </c>
      <c r="L134" s="3">
        <v>63.7</v>
      </c>
      <c r="M134" s="3">
        <v>66.88</v>
      </c>
      <c r="N134" s="3">
        <v>129.99</v>
      </c>
      <c r="O134" s="2" t="s">
        <v>97</v>
      </c>
      <c r="P134" s="2" t="s">
        <v>182</v>
      </c>
      <c r="Q134" s="2" t="s">
        <v>99</v>
      </c>
      <c r="R134" s="2" t="s">
        <v>100</v>
      </c>
      <c r="S134" s="2" t="s">
        <v>600</v>
      </c>
      <c r="T134" s="2" t="s">
        <v>100</v>
      </c>
      <c r="U134" s="2" t="s">
        <v>102</v>
      </c>
      <c r="V134" s="2" t="s">
        <v>601</v>
      </c>
      <c r="W134" s="2" t="s">
        <v>602</v>
      </c>
      <c r="X134" s="2" t="s">
        <v>603</v>
      </c>
      <c r="Y134" s="2" t="s">
        <v>604</v>
      </c>
      <c r="Z134" s="4">
        <v>340</v>
      </c>
      <c r="AA134" s="4">
        <f>=ROUNDDOWN(24.2857142857143,0)</f>
      </c>
      <c r="AB134" s="5">
        <v>14</v>
      </c>
      <c r="AC134" s="2" t="s">
        <v>518</v>
      </c>
      <c r="AD134" s="4">
        <v>170</v>
      </c>
      <c r="AE134" s="4">
        <v>170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>
        <v>0</v>
      </c>
      <c r="AP134" s="4">
        <v>1</v>
      </c>
      <c r="AQ134" s="8">
        <v>66.88</v>
      </c>
      <c r="AR134" s="4">
        <v>16</v>
      </c>
      <c r="AS134" s="8">
        <v>1070.08</v>
      </c>
      <c r="AT134" s="7">
        <v>-0.9375</v>
      </c>
      <c r="AU134" s="7">
        <v>-0.9375</v>
      </c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>
        <v>0.0814</v>
      </c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 t="s">
        <v>100</v>
      </c>
      <c r="BJ134" s="4">
        <v>262</v>
      </c>
      <c r="BK134" s="8">
        <v>17326.19</v>
      </c>
      <c r="BL134" s="2" t="s">
        <v>609</v>
      </c>
      <c r="BM134" s="7">
        <v>0.0038</v>
      </c>
      <c r="BN134" s="7">
        <v>0.0039</v>
      </c>
      <c r="BO134" s="4">
        <v>1</v>
      </c>
      <c r="BP134" s="8">
        <v>66.88</v>
      </c>
      <c r="BQ134" s="4">
        <v>16</v>
      </c>
      <c r="BR134" s="8">
        <v>1070.08</v>
      </c>
      <c r="BS134" s="7">
        <v>-0.9375</v>
      </c>
      <c r="BT134" s="7">
        <v>-0.9375</v>
      </c>
      <c r="BU134" s="2" t="s">
        <v>109</v>
      </c>
      <c r="BV134" s="2" t="s">
        <v>97</v>
      </c>
      <c r="BW134" s="2" t="s">
        <v>606</v>
      </c>
      <c r="BX134" s="2" t="s">
        <v>361</v>
      </c>
      <c r="BY134" s="2" t="s">
        <v>112</v>
      </c>
      <c r="BZ134" s="2" t="s">
        <v>100</v>
      </c>
    </row>
    <row r="135">
      <c r="A135" s="2" t="s">
        <v>610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596</v>
      </c>
      <c r="G135" s="2" t="s">
        <v>597</v>
      </c>
      <c r="H135" s="2" t="s">
        <v>598</v>
      </c>
      <c r="I135" s="2" t="s">
        <v>599</v>
      </c>
      <c r="J135" s="2" t="s">
        <v>118</v>
      </c>
      <c r="K135" s="2" t="s">
        <v>333</v>
      </c>
      <c r="L135" s="3">
        <v>63.7</v>
      </c>
      <c r="M135" s="3">
        <v>66.88</v>
      </c>
      <c r="N135" s="3">
        <v>129.99</v>
      </c>
      <c r="O135" s="2" t="s">
        <v>97</v>
      </c>
      <c r="P135" s="2" t="s">
        <v>182</v>
      </c>
      <c r="Q135" s="2" t="s">
        <v>99</v>
      </c>
      <c r="R135" s="2" t="s">
        <v>100</v>
      </c>
      <c r="S135" s="2" t="s">
        <v>600</v>
      </c>
      <c r="T135" s="2" t="s">
        <v>100</v>
      </c>
      <c r="U135" s="2" t="s">
        <v>102</v>
      </c>
      <c r="V135" s="2" t="s">
        <v>601</v>
      </c>
      <c r="W135" s="2" t="s">
        <v>602</v>
      </c>
      <c r="X135" s="2" t="s">
        <v>603</v>
      </c>
      <c r="Y135" s="2" t="s">
        <v>604</v>
      </c>
      <c r="Z135" s="4">
        <v>242</v>
      </c>
      <c r="AA135" s="4">
        <f>=ROUNDDOWN(26.8888888888889,0)</f>
      </c>
      <c r="AB135" s="5">
        <v>9</v>
      </c>
      <c r="AC135" s="2" t="s">
        <v>518</v>
      </c>
      <c r="AD135" s="4">
        <v>115</v>
      </c>
      <c r="AE135" s="4">
        <v>115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>
        <v>0</v>
      </c>
      <c r="AP135" s="4">
        <v>3</v>
      </c>
      <c r="AQ135" s="8">
        <v>200.64</v>
      </c>
      <c r="AR135" s="4">
        <v>2</v>
      </c>
      <c r="AS135" s="8">
        <v>133.76</v>
      </c>
      <c r="AT135" s="7">
        <v>0.5</v>
      </c>
      <c r="AU135" s="7">
        <v>0.5</v>
      </c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>
        <v>0.2441</v>
      </c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 t="s">
        <v>100</v>
      </c>
      <c r="BJ135" s="4">
        <v>158</v>
      </c>
      <c r="BK135" s="8">
        <v>10686.24</v>
      </c>
      <c r="BL135" s="2" t="s">
        <v>611</v>
      </c>
      <c r="BM135" s="7">
        <v>0.019</v>
      </c>
      <c r="BN135" s="7">
        <v>0.0188</v>
      </c>
      <c r="BO135" s="4">
        <v>3</v>
      </c>
      <c r="BP135" s="8">
        <v>200.64</v>
      </c>
      <c r="BQ135" s="4">
        <v>2</v>
      </c>
      <c r="BR135" s="8">
        <v>133.76</v>
      </c>
      <c r="BS135" s="7">
        <v>0.5</v>
      </c>
      <c r="BT135" s="7">
        <v>0.5</v>
      </c>
      <c r="BU135" s="2" t="s">
        <v>109</v>
      </c>
      <c r="BV135" s="2" t="s">
        <v>97</v>
      </c>
      <c r="BW135" s="2" t="s">
        <v>606</v>
      </c>
      <c r="BX135" s="2" t="s">
        <v>612</v>
      </c>
      <c r="BY135" s="2" t="s">
        <v>112</v>
      </c>
      <c r="BZ135" s="2" t="s">
        <v>100</v>
      </c>
    </row>
    <row r="136">
      <c r="A136" s="2" t="s">
        <v>613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596</v>
      </c>
      <c r="G136" s="2" t="s">
        <v>597</v>
      </c>
      <c r="H136" s="2" t="s">
        <v>598</v>
      </c>
      <c r="I136" s="2" t="s">
        <v>599</v>
      </c>
      <c r="J136" s="2" t="s">
        <v>95</v>
      </c>
      <c r="K136" s="2" t="s">
        <v>197</v>
      </c>
      <c r="L136" s="3">
        <v>52.8</v>
      </c>
      <c r="M136" s="3">
        <v>55.43</v>
      </c>
      <c r="N136" s="3">
        <v>109.99</v>
      </c>
      <c r="O136" s="2" t="s">
        <v>97</v>
      </c>
      <c r="P136" s="2" t="s">
        <v>182</v>
      </c>
      <c r="Q136" s="2" t="s">
        <v>99</v>
      </c>
      <c r="R136" s="2" t="s">
        <v>100</v>
      </c>
      <c r="S136" s="2" t="s">
        <v>614</v>
      </c>
      <c r="T136" s="2" t="s">
        <v>100</v>
      </c>
      <c r="U136" s="2" t="s">
        <v>102</v>
      </c>
      <c r="V136" s="2" t="s">
        <v>601</v>
      </c>
      <c r="W136" s="2" t="s">
        <v>602</v>
      </c>
      <c r="X136" s="2" t="s">
        <v>603</v>
      </c>
      <c r="Y136" s="2" t="s">
        <v>615</v>
      </c>
      <c r="Z136" s="4">
        <v>178</v>
      </c>
      <c r="AA136" s="4">
        <f>=ROUNDDOWN(17.8,0)</f>
      </c>
      <c r="AB136" s="5">
        <v>10</v>
      </c>
      <c r="AC136" s="2" t="s">
        <v>589</v>
      </c>
      <c r="AD136" s="4">
        <v>250</v>
      </c>
      <c r="AE136" s="4">
        <v>250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 t="s">
        <v>100</v>
      </c>
      <c r="BJ136" s="4">
        <v>251</v>
      </c>
      <c r="BK136" s="8">
        <v>14096.98</v>
      </c>
      <c r="BL136" s="2" t="s">
        <v>616</v>
      </c>
      <c r="BM136" s="7"/>
      <c r="BN136" s="7"/>
      <c r="BO136" s="4"/>
      <c r="BP136" s="8"/>
      <c r="BQ136" s="4"/>
      <c r="BR136" s="8"/>
      <c r="BS136" s="7"/>
      <c r="BT136" s="7"/>
      <c r="BU136" s="2" t="s">
        <v>147</v>
      </c>
      <c r="BV136" s="2" t="s">
        <v>97</v>
      </c>
      <c r="BW136" s="2" t="s">
        <v>100</v>
      </c>
      <c r="BX136" s="2" t="s">
        <v>100</v>
      </c>
      <c r="BY136" s="2" t="s">
        <v>112</v>
      </c>
      <c r="BZ136" s="2" t="s">
        <v>100</v>
      </c>
    </row>
    <row r="137">
      <c r="A137" s="2" t="s">
        <v>617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596</v>
      </c>
      <c r="G137" s="2" t="s">
        <v>597</v>
      </c>
      <c r="H137" s="2" t="s">
        <v>598</v>
      </c>
      <c r="I137" s="2" t="s">
        <v>599</v>
      </c>
      <c r="J137" s="2" t="s">
        <v>114</v>
      </c>
      <c r="K137" s="2" t="s">
        <v>197</v>
      </c>
      <c r="L137" s="3">
        <v>63.7</v>
      </c>
      <c r="M137" s="3">
        <v>66.88</v>
      </c>
      <c r="N137" s="3">
        <v>129.99</v>
      </c>
      <c r="O137" s="2" t="s">
        <v>97</v>
      </c>
      <c r="P137" s="2" t="s">
        <v>182</v>
      </c>
      <c r="Q137" s="2" t="s">
        <v>99</v>
      </c>
      <c r="R137" s="2" t="s">
        <v>100</v>
      </c>
      <c r="S137" s="2" t="s">
        <v>614</v>
      </c>
      <c r="T137" s="2" t="s">
        <v>100</v>
      </c>
      <c r="U137" s="2" t="s">
        <v>102</v>
      </c>
      <c r="V137" s="2" t="s">
        <v>601</v>
      </c>
      <c r="W137" s="2" t="s">
        <v>602</v>
      </c>
      <c r="X137" s="2" t="s">
        <v>603</v>
      </c>
      <c r="Y137" s="2" t="s">
        <v>615</v>
      </c>
      <c r="Z137" s="4">
        <v>256</v>
      </c>
      <c r="AA137" s="4">
        <f>=ROUNDDOWN(32,0)</f>
      </c>
      <c r="AB137" s="5">
        <v>8</v>
      </c>
      <c r="AC137" s="2" t="s">
        <v>589</v>
      </c>
      <c r="AD137" s="4">
        <v>230</v>
      </c>
      <c r="AE137" s="4">
        <v>230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 t="s">
        <v>100</v>
      </c>
      <c r="BJ137" s="4">
        <v>167</v>
      </c>
      <c r="BK137" s="8">
        <v>11017.15</v>
      </c>
      <c r="BL137" s="2" t="s">
        <v>618</v>
      </c>
      <c r="BM137" s="7"/>
      <c r="BN137" s="7"/>
      <c r="BO137" s="4"/>
      <c r="BP137" s="8"/>
      <c r="BQ137" s="4"/>
      <c r="BR137" s="8"/>
      <c r="BS137" s="7"/>
      <c r="BT137" s="7"/>
      <c r="BU137" s="2" t="s">
        <v>147</v>
      </c>
      <c r="BV137" s="2" t="s">
        <v>97</v>
      </c>
      <c r="BW137" s="2" t="s">
        <v>100</v>
      </c>
      <c r="BX137" s="2" t="s">
        <v>100</v>
      </c>
      <c r="BY137" s="2" t="s">
        <v>112</v>
      </c>
      <c r="BZ137" s="2" t="s">
        <v>100</v>
      </c>
    </row>
    <row r="138">
      <c r="A138" s="2" t="s">
        <v>619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596</v>
      </c>
      <c r="G138" s="2" t="s">
        <v>597</v>
      </c>
      <c r="H138" s="2" t="s">
        <v>598</v>
      </c>
      <c r="I138" s="2" t="s">
        <v>599</v>
      </c>
      <c r="J138" s="2" t="s">
        <v>118</v>
      </c>
      <c r="K138" s="2" t="s">
        <v>197</v>
      </c>
      <c r="L138" s="3">
        <v>63.7</v>
      </c>
      <c r="M138" s="3">
        <v>66.88</v>
      </c>
      <c r="N138" s="3">
        <v>129.99</v>
      </c>
      <c r="O138" s="2" t="s">
        <v>97</v>
      </c>
      <c r="P138" s="2" t="s">
        <v>182</v>
      </c>
      <c r="Q138" s="2" t="s">
        <v>99</v>
      </c>
      <c r="R138" s="2" t="s">
        <v>100</v>
      </c>
      <c r="S138" s="2" t="s">
        <v>614</v>
      </c>
      <c r="T138" s="2" t="s">
        <v>100</v>
      </c>
      <c r="U138" s="2" t="s">
        <v>102</v>
      </c>
      <c r="V138" s="2" t="s">
        <v>601</v>
      </c>
      <c r="W138" s="2" t="s">
        <v>602</v>
      </c>
      <c r="X138" s="2" t="s">
        <v>603</v>
      </c>
      <c r="Y138" s="2" t="s">
        <v>615</v>
      </c>
      <c r="Z138" s="4">
        <v>174</v>
      </c>
      <c r="AA138" s="4">
        <f>=ROUNDDOWN(21.75,0)</f>
      </c>
      <c r="AB138" s="5">
        <v>8</v>
      </c>
      <c r="AC138" s="2" t="s">
        <v>589</v>
      </c>
      <c r="AD138" s="4">
        <v>85</v>
      </c>
      <c r="AE138" s="4">
        <v>85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 t="s">
        <v>100</v>
      </c>
      <c r="BJ138" s="4">
        <v>114</v>
      </c>
      <c r="BK138" s="8">
        <v>7500.97</v>
      </c>
      <c r="BL138" s="2" t="s">
        <v>620</v>
      </c>
      <c r="BM138" s="7"/>
      <c r="BN138" s="7"/>
      <c r="BO138" s="4"/>
      <c r="BP138" s="8"/>
      <c r="BQ138" s="4"/>
      <c r="BR138" s="8"/>
      <c r="BS138" s="7"/>
      <c r="BT138" s="7"/>
      <c r="BU138" s="2" t="s">
        <v>147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621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596</v>
      </c>
      <c r="G139" s="2" t="s">
        <v>597</v>
      </c>
      <c r="H139" s="2" t="s">
        <v>598</v>
      </c>
      <c r="I139" s="2" t="s">
        <v>599</v>
      </c>
      <c r="J139" s="2" t="s">
        <v>95</v>
      </c>
      <c r="K139" s="2" t="s">
        <v>622</v>
      </c>
      <c r="L139" s="3">
        <v>52.8</v>
      </c>
      <c r="M139" s="3">
        <v>55.43</v>
      </c>
      <c r="N139" s="3">
        <v>109.99</v>
      </c>
      <c r="O139" s="2" t="s">
        <v>97</v>
      </c>
      <c r="P139" s="2" t="s">
        <v>182</v>
      </c>
      <c r="Q139" s="2" t="s">
        <v>99</v>
      </c>
      <c r="R139" s="2" t="s">
        <v>100</v>
      </c>
      <c r="S139" s="2" t="s">
        <v>623</v>
      </c>
      <c r="T139" s="2" t="s">
        <v>100</v>
      </c>
      <c r="U139" s="2" t="s">
        <v>102</v>
      </c>
      <c r="V139" s="2" t="s">
        <v>601</v>
      </c>
      <c r="W139" s="2" t="s">
        <v>602</v>
      </c>
      <c r="X139" s="2" t="s">
        <v>603</v>
      </c>
      <c r="Y139" s="2" t="s">
        <v>624</v>
      </c>
      <c r="Z139" s="4">
        <v>342</v>
      </c>
      <c r="AA139" s="4">
        <f>=ROUNDDOWN(26.3076923076923,0)</f>
      </c>
      <c r="AB139" s="5">
        <v>13</v>
      </c>
      <c r="AC139" s="2" t="s">
        <v>589</v>
      </c>
      <c r="AD139" s="4">
        <v>220</v>
      </c>
      <c r="AE139" s="4">
        <v>220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 t="s">
        <v>100</v>
      </c>
      <c r="BJ139" s="4">
        <v>234</v>
      </c>
      <c r="BK139" s="8">
        <v>13129.21</v>
      </c>
      <c r="BL139" s="2" t="s">
        <v>625</v>
      </c>
      <c r="BM139" s="7"/>
      <c r="BN139" s="7"/>
      <c r="BO139" s="4"/>
      <c r="BP139" s="8"/>
      <c r="BQ139" s="4"/>
      <c r="BR139" s="8"/>
      <c r="BS139" s="7"/>
      <c r="BT139" s="7"/>
      <c r="BU139" s="2" t="s">
        <v>147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100</v>
      </c>
    </row>
    <row r="140">
      <c r="A140" s="2" t="s">
        <v>626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596</v>
      </c>
      <c r="G140" s="2" t="s">
        <v>597</v>
      </c>
      <c r="H140" s="2" t="s">
        <v>598</v>
      </c>
      <c r="I140" s="2" t="s">
        <v>599</v>
      </c>
      <c r="J140" s="2" t="s">
        <v>114</v>
      </c>
      <c r="K140" s="2" t="s">
        <v>622</v>
      </c>
      <c r="L140" s="3">
        <v>63.7</v>
      </c>
      <c r="M140" s="3">
        <v>66.88</v>
      </c>
      <c r="N140" s="3">
        <v>129.99</v>
      </c>
      <c r="O140" s="2" t="s">
        <v>97</v>
      </c>
      <c r="P140" s="2" t="s">
        <v>182</v>
      </c>
      <c r="Q140" s="2" t="s">
        <v>99</v>
      </c>
      <c r="R140" s="2" t="s">
        <v>100</v>
      </c>
      <c r="S140" s="2" t="s">
        <v>623</v>
      </c>
      <c r="T140" s="2" t="s">
        <v>100</v>
      </c>
      <c r="U140" s="2" t="s">
        <v>102</v>
      </c>
      <c r="V140" s="2" t="s">
        <v>601</v>
      </c>
      <c r="W140" s="2" t="s">
        <v>602</v>
      </c>
      <c r="X140" s="2" t="s">
        <v>603</v>
      </c>
      <c r="Y140" s="2" t="s">
        <v>624</v>
      </c>
      <c r="Z140" s="4">
        <v>238</v>
      </c>
      <c r="AA140" s="4">
        <f>=ROUNDDOWN(17,0)</f>
      </c>
      <c r="AB140" s="5">
        <v>14</v>
      </c>
      <c r="AC140" s="2" t="s">
        <v>589</v>
      </c>
      <c r="AD140" s="4">
        <v>210</v>
      </c>
      <c r="AE140" s="4">
        <v>210</v>
      </c>
      <c r="AF140" s="6">
        <v>65</v>
      </c>
      <c r="AG140" s="6"/>
      <c r="AH140" s="7">
        <v>0.8788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/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 t="s">
        <v>100</v>
      </c>
      <c r="BJ140" s="4">
        <v>250</v>
      </c>
      <c r="BK140" s="8">
        <v>17018.26</v>
      </c>
      <c r="BL140" s="2" t="s">
        <v>627</v>
      </c>
      <c r="BM140" s="7"/>
      <c r="BN140" s="7"/>
      <c r="BO140" s="4"/>
      <c r="BP140" s="8"/>
      <c r="BQ140" s="4"/>
      <c r="BR140" s="8"/>
      <c r="BS140" s="7"/>
      <c r="BT140" s="7"/>
      <c r="BU140" s="2" t="s">
        <v>147</v>
      </c>
      <c r="BV140" s="2" t="s">
        <v>97</v>
      </c>
      <c r="BW140" s="2" t="s">
        <v>100</v>
      </c>
      <c r="BX140" s="2" t="s">
        <v>100</v>
      </c>
      <c r="BY140" s="2" t="s">
        <v>112</v>
      </c>
      <c r="BZ140" s="2" t="s">
        <v>100</v>
      </c>
    </row>
    <row r="141">
      <c r="A141" s="2" t="s">
        <v>628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596</v>
      </c>
      <c r="G141" s="2" t="s">
        <v>597</v>
      </c>
      <c r="H141" s="2" t="s">
        <v>598</v>
      </c>
      <c r="I141" s="2" t="s">
        <v>599</v>
      </c>
      <c r="J141" s="2" t="s">
        <v>118</v>
      </c>
      <c r="K141" s="2" t="s">
        <v>622</v>
      </c>
      <c r="L141" s="3">
        <v>63.7</v>
      </c>
      <c r="M141" s="3">
        <v>66.88</v>
      </c>
      <c r="N141" s="3">
        <v>129.99</v>
      </c>
      <c r="O141" s="2" t="s">
        <v>97</v>
      </c>
      <c r="P141" s="2" t="s">
        <v>182</v>
      </c>
      <c r="Q141" s="2" t="s">
        <v>99</v>
      </c>
      <c r="R141" s="2" t="s">
        <v>100</v>
      </c>
      <c r="S141" s="2" t="s">
        <v>623</v>
      </c>
      <c r="T141" s="2" t="s">
        <v>100</v>
      </c>
      <c r="U141" s="2" t="s">
        <v>102</v>
      </c>
      <c r="V141" s="2" t="s">
        <v>601</v>
      </c>
      <c r="W141" s="2" t="s">
        <v>602</v>
      </c>
      <c r="X141" s="2" t="s">
        <v>603</v>
      </c>
      <c r="Y141" s="2" t="s">
        <v>624</v>
      </c>
      <c r="Z141" s="4">
        <v>216</v>
      </c>
      <c r="AA141" s="4">
        <f>=ROUNDDOWN(30.8571428571429,0)</f>
      </c>
      <c r="AB141" s="5">
        <v>7</v>
      </c>
      <c r="AC141" s="2" t="s">
        <v>589</v>
      </c>
      <c r="AD141" s="4">
        <v>110</v>
      </c>
      <c r="AE141" s="4">
        <v>110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 t="s">
        <v>100</v>
      </c>
      <c r="BJ141" s="4">
        <v>103</v>
      </c>
      <c r="BK141" s="8">
        <v>7043.18</v>
      </c>
      <c r="BL141" s="2" t="s">
        <v>629</v>
      </c>
      <c r="BM141" s="7"/>
      <c r="BN141" s="7"/>
      <c r="BO141" s="4"/>
      <c r="BP141" s="8"/>
      <c r="BQ141" s="4"/>
      <c r="BR141" s="8"/>
      <c r="BS141" s="7"/>
      <c r="BT141" s="7"/>
      <c r="BU141" s="2" t="s">
        <v>147</v>
      </c>
      <c r="BV141" s="2" t="s">
        <v>97</v>
      </c>
      <c r="BW141" s="2" t="s">
        <v>100</v>
      </c>
      <c r="BX141" s="2" t="s">
        <v>100</v>
      </c>
      <c r="BY141" s="2" t="s">
        <v>112</v>
      </c>
      <c r="BZ141" s="2" t="s">
        <v>100</v>
      </c>
    </row>
    <row r="142">
      <c r="A142" s="2" t="s">
        <v>630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631</v>
      </c>
      <c r="G142" s="2" t="s">
        <v>632</v>
      </c>
      <c r="H142" s="2" t="s">
        <v>633</v>
      </c>
      <c r="I142" s="2" t="s">
        <v>634</v>
      </c>
      <c r="J142" s="2" t="s">
        <v>122</v>
      </c>
      <c r="K142" s="2" t="s">
        <v>635</v>
      </c>
      <c r="L142" s="3">
        <v>49.9</v>
      </c>
      <c r="M142" s="3">
        <v>52.4</v>
      </c>
      <c r="N142" s="3">
        <v>89.99</v>
      </c>
      <c r="O142" s="2" t="s">
        <v>97</v>
      </c>
      <c r="P142" s="2" t="s">
        <v>182</v>
      </c>
      <c r="Q142" s="2" t="s">
        <v>99</v>
      </c>
      <c r="R142" s="2" t="s">
        <v>100</v>
      </c>
      <c r="S142" s="2" t="s">
        <v>636</v>
      </c>
      <c r="T142" s="2" t="s">
        <v>100</v>
      </c>
      <c r="U142" s="2" t="s">
        <v>102</v>
      </c>
      <c r="V142" s="2" t="s">
        <v>637</v>
      </c>
      <c r="W142" s="2" t="s">
        <v>104</v>
      </c>
      <c r="X142" s="2" t="s">
        <v>602</v>
      </c>
      <c r="Y142" s="2" t="s">
        <v>106</v>
      </c>
      <c r="Z142" s="4">
        <v>165</v>
      </c>
      <c r="AA142" s="4">
        <f>=ROUNDDOWN(41.25,0)</f>
      </c>
      <c r="AB142" s="5">
        <v>4</v>
      </c>
      <c r="AC142" s="2" t="s">
        <v>638</v>
      </c>
      <c r="AD142" s="4">
        <v>30</v>
      </c>
      <c r="AE142" s="4">
        <v>50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>
        <v>0</v>
      </c>
      <c r="AP142" s="4">
        <v>2</v>
      </c>
      <c r="AQ142" s="8">
        <v>104.8</v>
      </c>
      <c r="AR142" s="4">
        <v>3</v>
      </c>
      <c r="AS142" s="8">
        <v>168.82</v>
      </c>
      <c r="AT142" s="7">
        <v>-0.3333</v>
      </c>
      <c r="AU142" s="7">
        <v>-0.3792</v>
      </c>
      <c r="AV142" s="4">
        <v>5</v>
      </c>
      <c r="AW142" s="8">
        <v>303.43</v>
      </c>
      <c r="AX142" s="4">
        <v>13</v>
      </c>
      <c r="AY142" s="8">
        <v>794.66</v>
      </c>
      <c r="AZ142" s="7">
        <v>-0.6154</v>
      </c>
      <c r="BA142" s="7">
        <v>-0.6182</v>
      </c>
      <c r="BB142" s="7">
        <v>0.3454</v>
      </c>
      <c r="BC142" s="4">
        <v>13</v>
      </c>
      <c r="BD142" s="8">
        <v>758.16</v>
      </c>
      <c r="BE142" s="4">
        <v>28</v>
      </c>
      <c r="BF142" s="8">
        <v>1745.28</v>
      </c>
      <c r="BG142" s="7">
        <v>-0.5357</v>
      </c>
      <c r="BH142" s="7">
        <v>-0.5656</v>
      </c>
      <c r="BI142" s="7">
        <v>0.4002</v>
      </c>
      <c r="BJ142" s="4">
        <v>65</v>
      </c>
      <c r="BK142" s="8">
        <v>3497.54</v>
      </c>
      <c r="BL142" s="2" t="s">
        <v>639</v>
      </c>
      <c r="BM142" s="7">
        <v>0.0308</v>
      </c>
      <c r="BN142" s="7">
        <v>0.03</v>
      </c>
      <c r="BO142" s="4">
        <v>2</v>
      </c>
      <c r="BP142" s="8">
        <v>104.8</v>
      </c>
      <c r="BQ142" s="4">
        <v>3</v>
      </c>
      <c r="BR142" s="8">
        <v>168.82</v>
      </c>
      <c r="BS142" s="7">
        <v>-0.3333</v>
      </c>
      <c r="BT142" s="7">
        <v>-0.3792</v>
      </c>
      <c r="BU142" s="2" t="s">
        <v>109</v>
      </c>
      <c r="BV142" s="2" t="s">
        <v>97</v>
      </c>
      <c r="BW142" s="2" t="s">
        <v>110</v>
      </c>
      <c r="BX142" s="2" t="s">
        <v>640</v>
      </c>
      <c r="BY142" s="2" t="s">
        <v>112</v>
      </c>
      <c r="BZ142" s="2" t="s">
        <v>100</v>
      </c>
    </row>
    <row r="143">
      <c r="A143" s="2" t="s">
        <v>641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631</v>
      </c>
      <c r="G143" s="2" t="s">
        <v>632</v>
      </c>
      <c r="H143" s="2" t="s">
        <v>633</v>
      </c>
      <c r="I143" s="2" t="s">
        <v>634</v>
      </c>
      <c r="J143" s="2" t="s">
        <v>95</v>
      </c>
      <c r="K143" s="2" t="s">
        <v>635</v>
      </c>
      <c r="L143" s="3">
        <v>53.35</v>
      </c>
      <c r="M143" s="3">
        <v>56.02</v>
      </c>
      <c r="N143" s="3">
        <v>99.99</v>
      </c>
      <c r="O143" s="2" t="s">
        <v>97</v>
      </c>
      <c r="P143" s="2" t="s">
        <v>182</v>
      </c>
      <c r="Q143" s="2" t="s">
        <v>99</v>
      </c>
      <c r="R143" s="2" t="s">
        <v>100</v>
      </c>
      <c r="S143" s="2" t="s">
        <v>636</v>
      </c>
      <c r="T143" s="2" t="s">
        <v>100</v>
      </c>
      <c r="U143" s="2" t="s">
        <v>102</v>
      </c>
      <c r="V143" s="2" t="s">
        <v>637</v>
      </c>
      <c r="W143" s="2" t="s">
        <v>104</v>
      </c>
      <c r="X143" s="2" t="s">
        <v>602</v>
      </c>
      <c r="Y143" s="2" t="s">
        <v>106</v>
      </c>
      <c r="Z143" s="4">
        <v>448</v>
      </c>
      <c r="AA143" s="4">
        <f>=ROUNDDOWN(22.4,0)</f>
      </c>
      <c r="AB143" s="5">
        <v>20</v>
      </c>
      <c r="AC143" s="2" t="s">
        <v>130</v>
      </c>
      <c r="AD143" s="4">
        <v>30</v>
      </c>
      <c r="AE143" s="4">
        <v>380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>
        <v>0</v>
      </c>
      <c r="AP143" s="4"/>
      <c r="AQ143" s="8"/>
      <c r="AR143" s="4">
        <v>6</v>
      </c>
      <c r="AS143" s="8">
        <v>361</v>
      </c>
      <c r="AT143" s="7">
        <v>-1</v>
      </c>
      <c r="AU143" s="7">
        <v>-1</v>
      </c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 t="s">
        <v>100</v>
      </c>
      <c r="BJ143" s="4">
        <v>335</v>
      </c>
      <c r="BK143" s="8">
        <v>19510.34</v>
      </c>
      <c r="BL143" s="2" t="s">
        <v>642</v>
      </c>
      <c r="BM143" s="7"/>
      <c r="BN143" s="7"/>
      <c r="BO143" s="4"/>
      <c r="BP143" s="8"/>
      <c r="BQ143" s="4">
        <v>6</v>
      </c>
      <c r="BR143" s="8">
        <v>361</v>
      </c>
      <c r="BS143" s="7">
        <v>-1</v>
      </c>
      <c r="BT143" s="7">
        <v>-1</v>
      </c>
      <c r="BU143" s="2" t="s">
        <v>109</v>
      </c>
      <c r="BV143" s="2" t="s">
        <v>97</v>
      </c>
      <c r="BW143" s="2" t="s">
        <v>217</v>
      </c>
      <c r="BX143" s="2" t="s">
        <v>218</v>
      </c>
      <c r="BY143" s="2" t="s">
        <v>112</v>
      </c>
      <c r="BZ143" s="2" t="s">
        <v>100</v>
      </c>
    </row>
    <row r="144">
      <c r="A144" s="2" t="s">
        <v>643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631</v>
      </c>
      <c r="G144" s="2" t="s">
        <v>632</v>
      </c>
      <c r="H144" s="2" t="s">
        <v>633</v>
      </c>
      <c r="I144" s="2" t="s">
        <v>634</v>
      </c>
      <c r="J144" s="2" t="s">
        <v>114</v>
      </c>
      <c r="K144" s="2" t="s">
        <v>635</v>
      </c>
      <c r="L144" s="3">
        <v>63.06</v>
      </c>
      <c r="M144" s="3">
        <v>66.21</v>
      </c>
      <c r="N144" s="3">
        <v>119.99</v>
      </c>
      <c r="O144" s="2" t="s">
        <v>97</v>
      </c>
      <c r="P144" s="2" t="s">
        <v>182</v>
      </c>
      <c r="Q144" s="2" t="s">
        <v>99</v>
      </c>
      <c r="R144" s="2" t="s">
        <v>100</v>
      </c>
      <c r="S144" s="2" t="s">
        <v>636</v>
      </c>
      <c r="T144" s="2" t="s">
        <v>100</v>
      </c>
      <c r="U144" s="2" t="s">
        <v>102</v>
      </c>
      <c r="V144" s="2" t="s">
        <v>637</v>
      </c>
      <c r="W144" s="2" t="s">
        <v>104</v>
      </c>
      <c r="X144" s="2" t="s">
        <v>602</v>
      </c>
      <c r="Y144" s="2" t="s">
        <v>106</v>
      </c>
      <c r="Z144" s="4">
        <v>253</v>
      </c>
      <c r="AA144" s="4">
        <f>=ROUNDDOWN(14.8823529411765,0)</f>
      </c>
      <c r="AB144" s="5">
        <v>17</v>
      </c>
      <c r="AC144" s="2" t="s">
        <v>130</v>
      </c>
      <c r="AD144" s="4">
        <v>30</v>
      </c>
      <c r="AE144" s="4">
        <v>560</v>
      </c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>
        <v>0</v>
      </c>
      <c r="AP144" s="4">
        <v>2</v>
      </c>
      <c r="AQ144" s="8">
        <v>132.42</v>
      </c>
      <c r="AR144" s="4">
        <v>4</v>
      </c>
      <c r="AS144" s="8">
        <v>264.84</v>
      </c>
      <c r="AT144" s="7">
        <v>-0.5</v>
      </c>
      <c r="AU144" s="7">
        <v>-0.5</v>
      </c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>
        <v>0.4364</v>
      </c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 t="s">
        <v>100</v>
      </c>
      <c r="BJ144" s="4">
        <v>347</v>
      </c>
      <c r="BK144" s="8">
        <v>24038.75</v>
      </c>
      <c r="BL144" s="2" t="s">
        <v>644</v>
      </c>
      <c r="BM144" s="7">
        <v>0.0058</v>
      </c>
      <c r="BN144" s="7">
        <v>0.0055</v>
      </c>
      <c r="BO144" s="4">
        <v>2</v>
      </c>
      <c r="BP144" s="8">
        <v>132.42</v>
      </c>
      <c r="BQ144" s="4">
        <v>4</v>
      </c>
      <c r="BR144" s="8">
        <v>264.84</v>
      </c>
      <c r="BS144" s="7">
        <v>-0.5</v>
      </c>
      <c r="BT144" s="7">
        <v>-0.5</v>
      </c>
      <c r="BU144" s="2" t="s">
        <v>109</v>
      </c>
      <c r="BV144" s="2" t="s">
        <v>97</v>
      </c>
      <c r="BW144" s="2" t="s">
        <v>110</v>
      </c>
      <c r="BX144" s="2" t="s">
        <v>645</v>
      </c>
      <c r="BY144" s="2" t="s">
        <v>112</v>
      </c>
      <c r="BZ144" s="2" t="s">
        <v>100</v>
      </c>
    </row>
    <row r="145">
      <c r="A145" s="2" t="s">
        <v>646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631</v>
      </c>
      <c r="G145" s="2" t="s">
        <v>632</v>
      </c>
      <c r="H145" s="2" t="s">
        <v>633</v>
      </c>
      <c r="I145" s="2" t="s">
        <v>634</v>
      </c>
      <c r="J145" s="2" t="s">
        <v>118</v>
      </c>
      <c r="K145" s="2" t="s">
        <v>635</v>
      </c>
      <c r="L145" s="3">
        <v>63.06</v>
      </c>
      <c r="M145" s="3">
        <v>66.21</v>
      </c>
      <c r="N145" s="3">
        <v>119.99</v>
      </c>
      <c r="O145" s="2" t="s">
        <v>97</v>
      </c>
      <c r="P145" s="2" t="s">
        <v>182</v>
      </c>
      <c r="Q145" s="2" t="s">
        <v>99</v>
      </c>
      <c r="R145" s="2" t="s">
        <v>100</v>
      </c>
      <c r="S145" s="2" t="s">
        <v>636</v>
      </c>
      <c r="T145" s="2" t="s">
        <v>100</v>
      </c>
      <c r="U145" s="2" t="s">
        <v>102</v>
      </c>
      <c r="V145" s="2" t="s">
        <v>637</v>
      </c>
      <c r="W145" s="2" t="s">
        <v>104</v>
      </c>
      <c r="X145" s="2" t="s">
        <v>602</v>
      </c>
      <c r="Y145" s="2" t="s">
        <v>106</v>
      </c>
      <c r="Z145" s="4">
        <v>196</v>
      </c>
      <c r="AA145" s="4">
        <f>=ROUNDDOWN(19.6,0)</f>
      </c>
      <c r="AB145" s="5">
        <v>10</v>
      </c>
      <c r="AC145" s="2" t="s">
        <v>130</v>
      </c>
      <c r="AD145" s="4">
        <v>30</v>
      </c>
      <c r="AE145" s="4">
        <v>310</v>
      </c>
      <c r="AF145" s="6">
        <v>65</v>
      </c>
      <c r="AG145" s="6">
        <v>48</v>
      </c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>
        <v>0</v>
      </c>
      <c r="AP145" s="4">
        <v>1</v>
      </c>
      <c r="AQ145" s="8">
        <v>66.21</v>
      </c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>
        <v>0.2182</v>
      </c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 t="s">
        <v>100</v>
      </c>
      <c r="BJ145" s="4">
        <v>202</v>
      </c>
      <c r="BK145" s="8">
        <v>14119.91</v>
      </c>
      <c r="BL145" s="2" t="s">
        <v>647</v>
      </c>
      <c r="BM145" s="7">
        <v>0.005</v>
      </c>
      <c r="BN145" s="7">
        <v>0.0047</v>
      </c>
      <c r="BO145" s="4">
        <v>1</v>
      </c>
      <c r="BP145" s="8">
        <v>66.21</v>
      </c>
      <c r="BQ145" s="4"/>
      <c r="BR145" s="8"/>
      <c r="BS145" s="7"/>
      <c r="BT145" s="7"/>
      <c r="BU145" s="2" t="s">
        <v>109</v>
      </c>
      <c r="BV145" s="2" t="s">
        <v>97</v>
      </c>
      <c r="BW145" s="2" t="s">
        <v>110</v>
      </c>
      <c r="BX145" s="2" t="s">
        <v>648</v>
      </c>
      <c r="BY145" s="2" t="s">
        <v>112</v>
      </c>
      <c r="BZ145" s="2" t="s">
        <v>100</v>
      </c>
    </row>
    <row r="146">
      <c r="A146" s="2" t="s">
        <v>649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631</v>
      </c>
      <c r="G146" s="2" t="s">
        <v>632</v>
      </c>
      <c r="H146" s="2" t="s">
        <v>633</v>
      </c>
      <c r="I146" s="2" t="s">
        <v>634</v>
      </c>
      <c r="J146" s="2" t="s">
        <v>122</v>
      </c>
      <c r="K146" s="2" t="s">
        <v>650</v>
      </c>
      <c r="L146" s="3">
        <v>49.9</v>
      </c>
      <c r="M146" s="3">
        <v>52.4</v>
      </c>
      <c r="N146" s="3">
        <v>89.99</v>
      </c>
      <c r="O146" s="2" t="s">
        <v>97</v>
      </c>
      <c r="P146" s="2" t="s">
        <v>182</v>
      </c>
      <c r="Q146" s="2" t="s">
        <v>99</v>
      </c>
      <c r="R146" s="2" t="s">
        <v>100</v>
      </c>
      <c r="S146" s="2" t="s">
        <v>651</v>
      </c>
      <c r="T146" s="2" t="s">
        <v>100</v>
      </c>
      <c r="U146" s="2" t="s">
        <v>102</v>
      </c>
      <c r="V146" s="2" t="s">
        <v>637</v>
      </c>
      <c r="W146" s="2" t="s">
        <v>104</v>
      </c>
      <c r="X146" s="2" t="s">
        <v>602</v>
      </c>
      <c r="Y146" s="2" t="s">
        <v>652</v>
      </c>
      <c r="Z146" s="4">
        <v>90</v>
      </c>
      <c r="AA146" s="4">
        <f>=ROUNDDOWN(9,0)</f>
      </c>
      <c r="AB146" s="5">
        <v>10</v>
      </c>
      <c r="AC146" s="2" t="s">
        <v>126</v>
      </c>
      <c r="AD146" s="4">
        <v>40</v>
      </c>
      <c r="AE146" s="4">
        <v>370</v>
      </c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>
        <v>0</v>
      </c>
      <c r="AP146" s="4">
        <v>1</v>
      </c>
      <c r="AQ146" s="8">
        <v>52.4</v>
      </c>
      <c r="AR146" s="4"/>
      <c r="AS146" s="8"/>
      <c r="AT146" s="7"/>
      <c r="AU146" s="7"/>
      <c r="AV146" s="4">
        <v>4</v>
      </c>
      <c r="AW146" s="8">
        <v>220.46</v>
      </c>
      <c r="AX146" s="4">
        <v>5</v>
      </c>
      <c r="AY146" s="8">
        <v>322.53</v>
      </c>
      <c r="AZ146" s="7">
        <v>-0.2</v>
      </c>
      <c r="BA146" s="7">
        <v>-0.3165</v>
      </c>
      <c r="BB146" s="7">
        <v>0.2377</v>
      </c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>
        <v>0.2908</v>
      </c>
      <c r="BJ146" s="4">
        <v>187</v>
      </c>
      <c r="BK146" s="8">
        <v>10064.12</v>
      </c>
      <c r="BL146" s="2" t="s">
        <v>653</v>
      </c>
      <c r="BM146" s="7">
        <v>0.0053</v>
      </c>
      <c r="BN146" s="7">
        <v>0.0052</v>
      </c>
      <c r="BO146" s="4">
        <v>1</v>
      </c>
      <c r="BP146" s="8">
        <v>52.4</v>
      </c>
      <c r="BQ146" s="4"/>
      <c r="BR146" s="8"/>
      <c r="BS146" s="7"/>
      <c r="BT146" s="7"/>
      <c r="BU146" s="2" t="s">
        <v>109</v>
      </c>
      <c r="BV146" s="2" t="s">
        <v>97</v>
      </c>
      <c r="BW146" s="2" t="s">
        <v>110</v>
      </c>
      <c r="BX146" s="2" t="s">
        <v>654</v>
      </c>
      <c r="BY146" s="2" t="s">
        <v>112</v>
      </c>
      <c r="BZ146" s="2" t="s">
        <v>100</v>
      </c>
    </row>
    <row r="147">
      <c r="A147" s="2" t="s">
        <v>655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631</v>
      </c>
      <c r="G147" s="2" t="s">
        <v>632</v>
      </c>
      <c r="H147" s="2" t="s">
        <v>633</v>
      </c>
      <c r="I147" s="2" t="s">
        <v>634</v>
      </c>
      <c r="J147" s="2" t="s">
        <v>95</v>
      </c>
      <c r="K147" s="2" t="s">
        <v>650</v>
      </c>
      <c r="L147" s="3">
        <v>53.35</v>
      </c>
      <c r="M147" s="3">
        <v>56.02</v>
      </c>
      <c r="N147" s="3">
        <v>99.99</v>
      </c>
      <c r="O147" s="2" t="s">
        <v>97</v>
      </c>
      <c r="P147" s="2" t="s">
        <v>182</v>
      </c>
      <c r="Q147" s="2" t="s">
        <v>99</v>
      </c>
      <c r="R147" s="2" t="s">
        <v>100</v>
      </c>
      <c r="S147" s="2" t="s">
        <v>651</v>
      </c>
      <c r="T147" s="2" t="s">
        <v>100</v>
      </c>
      <c r="U147" s="2" t="s">
        <v>102</v>
      </c>
      <c r="V147" s="2" t="s">
        <v>637</v>
      </c>
      <c r="W147" s="2" t="s">
        <v>104</v>
      </c>
      <c r="X147" s="2" t="s">
        <v>602</v>
      </c>
      <c r="Y147" s="2" t="s">
        <v>656</v>
      </c>
      <c r="Z147" s="4">
        <v>301</v>
      </c>
      <c r="AA147" s="4">
        <f>=ROUNDDOWN(15.8421052631579,0)</f>
      </c>
      <c r="AB147" s="5">
        <v>19</v>
      </c>
      <c r="AC147" s="2" t="s">
        <v>126</v>
      </c>
      <c r="AD147" s="4">
        <v>40</v>
      </c>
      <c r="AE147" s="4">
        <v>530</v>
      </c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>
        <v>0</v>
      </c>
      <c r="AP147" s="4">
        <v>3</v>
      </c>
      <c r="AQ147" s="8">
        <v>168.06</v>
      </c>
      <c r="AR147" s="4">
        <v>4</v>
      </c>
      <c r="AS147" s="8">
        <v>248.96</v>
      </c>
      <c r="AT147" s="7">
        <v>-0.25</v>
      </c>
      <c r="AU147" s="7">
        <v>-0.325</v>
      </c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>
        <v>0.7623</v>
      </c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 t="s">
        <v>100</v>
      </c>
      <c r="BJ147" s="4">
        <v>351</v>
      </c>
      <c r="BK147" s="8">
        <v>20322.49</v>
      </c>
      <c r="BL147" s="2" t="s">
        <v>657</v>
      </c>
      <c r="BM147" s="7">
        <v>0.0085</v>
      </c>
      <c r="BN147" s="7">
        <v>0.0083</v>
      </c>
      <c r="BO147" s="4">
        <v>3</v>
      </c>
      <c r="BP147" s="8">
        <v>168.06</v>
      </c>
      <c r="BQ147" s="4">
        <v>4</v>
      </c>
      <c r="BR147" s="8">
        <v>248.96</v>
      </c>
      <c r="BS147" s="7">
        <v>-0.25</v>
      </c>
      <c r="BT147" s="7">
        <v>-0.325</v>
      </c>
      <c r="BU147" s="2" t="s">
        <v>109</v>
      </c>
      <c r="BV147" s="2" t="s">
        <v>97</v>
      </c>
      <c r="BW147" s="2" t="s">
        <v>110</v>
      </c>
      <c r="BX147" s="2" t="s">
        <v>460</v>
      </c>
      <c r="BY147" s="2" t="s">
        <v>112</v>
      </c>
      <c r="BZ147" s="2" t="s">
        <v>100</v>
      </c>
    </row>
    <row r="148">
      <c r="A148" s="2" t="s">
        <v>658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631</v>
      </c>
      <c r="G148" s="2" t="s">
        <v>632</v>
      </c>
      <c r="H148" s="2" t="s">
        <v>633</v>
      </c>
      <c r="I148" s="2" t="s">
        <v>634</v>
      </c>
      <c r="J148" s="2" t="s">
        <v>114</v>
      </c>
      <c r="K148" s="2" t="s">
        <v>650</v>
      </c>
      <c r="L148" s="3">
        <v>63.06</v>
      </c>
      <c r="M148" s="3">
        <v>66.21</v>
      </c>
      <c r="N148" s="3">
        <v>119.99</v>
      </c>
      <c r="O148" s="2" t="s">
        <v>97</v>
      </c>
      <c r="P148" s="2" t="s">
        <v>182</v>
      </c>
      <c r="Q148" s="2" t="s">
        <v>99</v>
      </c>
      <c r="R148" s="2" t="s">
        <v>100</v>
      </c>
      <c r="S148" s="2" t="s">
        <v>651</v>
      </c>
      <c r="T148" s="2" t="s">
        <v>100</v>
      </c>
      <c r="U148" s="2" t="s">
        <v>102</v>
      </c>
      <c r="V148" s="2" t="s">
        <v>637</v>
      </c>
      <c r="W148" s="2" t="s">
        <v>104</v>
      </c>
      <c r="X148" s="2" t="s">
        <v>602</v>
      </c>
      <c r="Y148" s="2" t="s">
        <v>656</v>
      </c>
      <c r="Z148" s="4">
        <v>177</v>
      </c>
      <c r="AA148" s="4">
        <f>=ROUNDDOWN(25.2857142857143,0)</f>
      </c>
      <c r="AB148" s="5">
        <v>7</v>
      </c>
      <c r="AC148" s="2" t="s">
        <v>659</v>
      </c>
      <c r="AD148" s="4">
        <v>50</v>
      </c>
      <c r="AE148" s="4">
        <v>140</v>
      </c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/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 t="s">
        <v>100</v>
      </c>
      <c r="BJ148" s="4">
        <v>125</v>
      </c>
      <c r="BK148" s="8">
        <v>9008.13</v>
      </c>
      <c r="BL148" s="2" t="s">
        <v>660</v>
      </c>
      <c r="BM148" s="7"/>
      <c r="BN148" s="7"/>
      <c r="BO148" s="4"/>
      <c r="BP148" s="8"/>
      <c r="BQ148" s="4"/>
      <c r="BR148" s="8"/>
      <c r="BS148" s="7"/>
      <c r="BT148" s="7"/>
      <c r="BU148" s="2" t="s">
        <v>147</v>
      </c>
      <c r="BV148" s="2" t="s">
        <v>97</v>
      </c>
      <c r="BW148" s="2" t="s">
        <v>100</v>
      </c>
      <c r="BX148" s="2" t="s">
        <v>100</v>
      </c>
      <c r="BY148" s="2" t="s">
        <v>112</v>
      </c>
      <c r="BZ148" s="2" t="s">
        <v>100</v>
      </c>
    </row>
    <row r="149">
      <c r="A149" s="2" t="s">
        <v>661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631</v>
      </c>
      <c r="G149" s="2" t="s">
        <v>632</v>
      </c>
      <c r="H149" s="2" t="s">
        <v>633</v>
      </c>
      <c r="I149" s="2" t="s">
        <v>634</v>
      </c>
      <c r="J149" s="2" t="s">
        <v>118</v>
      </c>
      <c r="K149" s="2" t="s">
        <v>650</v>
      </c>
      <c r="L149" s="3">
        <v>63.06</v>
      </c>
      <c r="M149" s="3">
        <v>66.21</v>
      </c>
      <c r="N149" s="3">
        <v>119.99</v>
      </c>
      <c r="O149" s="2" t="s">
        <v>97</v>
      </c>
      <c r="P149" s="2" t="s">
        <v>182</v>
      </c>
      <c r="Q149" s="2" t="s">
        <v>99</v>
      </c>
      <c r="R149" s="2" t="s">
        <v>100</v>
      </c>
      <c r="S149" s="2" t="s">
        <v>651</v>
      </c>
      <c r="T149" s="2" t="s">
        <v>100</v>
      </c>
      <c r="U149" s="2" t="s">
        <v>102</v>
      </c>
      <c r="V149" s="2" t="s">
        <v>637</v>
      </c>
      <c r="W149" s="2" t="s">
        <v>104</v>
      </c>
      <c r="X149" s="2" t="s">
        <v>602</v>
      </c>
      <c r="Y149" s="2" t="s">
        <v>662</v>
      </c>
      <c r="Z149" s="4">
        <v>103</v>
      </c>
      <c r="AA149" s="4">
        <f>=ROUNDDOWN(25.75,0)</f>
      </c>
      <c r="AB149" s="5">
        <v>4</v>
      </c>
      <c r="AC149" s="2" t="s">
        <v>589</v>
      </c>
      <c r="AD149" s="4">
        <v>30</v>
      </c>
      <c r="AE149" s="4">
        <v>80</v>
      </c>
      <c r="AF149" s="6">
        <v>65</v>
      </c>
      <c r="AG149" s="6">
        <v>48</v>
      </c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>
        <v>0</v>
      </c>
      <c r="AP149" s="4"/>
      <c r="AQ149" s="8"/>
      <c r="AR149" s="4">
        <v>1</v>
      </c>
      <c r="AS149" s="8">
        <v>73.57</v>
      </c>
      <c r="AT149" s="7">
        <v>-1</v>
      </c>
      <c r="AU149" s="7">
        <v>-1</v>
      </c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/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 t="s">
        <v>100</v>
      </c>
      <c r="BJ149" s="4">
        <v>51</v>
      </c>
      <c r="BK149" s="8">
        <v>3723.77</v>
      </c>
      <c r="BL149" s="2" t="s">
        <v>663</v>
      </c>
      <c r="BM149" s="7"/>
      <c r="BN149" s="7"/>
      <c r="BO149" s="4"/>
      <c r="BP149" s="8"/>
      <c r="BQ149" s="4">
        <v>1</v>
      </c>
      <c r="BR149" s="8">
        <v>73.57</v>
      </c>
      <c r="BS149" s="7">
        <v>-1</v>
      </c>
      <c r="BT149" s="7">
        <v>-1</v>
      </c>
      <c r="BU149" s="2" t="s">
        <v>109</v>
      </c>
      <c r="BV149" s="2" t="s">
        <v>97</v>
      </c>
      <c r="BW149" s="2" t="s">
        <v>110</v>
      </c>
      <c r="BX149" s="2" t="s">
        <v>664</v>
      </c>
      <c r="BY149" s="2" t="s">
        <v>112</v>
      </c>
      <c r="BZ149" s="2" t="s">
        <v>100</v>
      </c>
    </row>
    <row r="150">
      <c r="A150" s="2" t="s">
        <v>665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631</v>
      </c>
      <c r="G150" s="2" t="s">
        <v>632</v>
      </c>
      <c r="H150" s="2" t="s">
        <v>633</v>
      </c>
      <c r="I150" s="2" t="s">
        <v>634</v>
      </c>
      <c r="J150" s="2" t="s">
        <v>122</v>
      </c>
      <c r="K150" s="2" t="s">
        <v>666</v>
      </c>
      <c r="L150" s="3">
        <v>49.9</v>
      </c>
      <c r="M150" s="3">
        <v>52.4</v>
      </c>
      <c r="N150" s="3">
        <v>89.99</v>
      </c>
      <c r="O150" s="2" t="s">
        <v>97</v>
      </c>
      <c r="P150" s="2" t="s">
        <v>182</v>
      </c>
      <c r="Q150" s="2" t="s">
        <v>99</v>
      </c>
      <c r="R150" s="2" t="s">
        <v>100</v>
      </c>
      <c r="S150" s="2" t="s">
        <v>667</v>
      </c>
      <c r="T150" s="2" t="s">
        <v>100</v>
      </c>
      <c r="U150" s="2" t="s">
        <v>102</v>
      </c>
      <c r="V150" s="2" t="s">
        <v>637</v>
      </c>
      <c r="W150" s="2" t="s">
        <v>104</v>
      </c>
      <c r="X150" s="2" t="s">
        <v>602</v>
      </c>
      <c r="Y150" s="2" t="s">
        <v>106</v>
      </c>
      <c r="Z150" s="4">
        <v>116</v>
      </c>
      <c r="AA150" s="4">
        <f>=ROUNDDOWN(16.5714285714286,0)</f>
      </c>
      <c r="AB150" s="5">
        <v>7</v>
      </c>
      <c r="AC150" s="2" t="s">
        <v>589</v>
      </c>
      <c r="AD150" s="4">
        <v>40</v>
      </c>
      <c r="AE150" s="4">
        <v>240</v>
      </c>
      <c r="AF150" s="6">
        <v>65</v>
      </c>
      <c r="AG150" s="6">
        <v>48</v>
      </c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>
        <v>2</v>
      </c>
      <c r="AW150" s="8">
        <v>122.23</v>
      </c>
      <c r="AX150" s="4">
        <v>5</v>
      </c>
      <c r="AY150" s="8">
        <v>323.11</v>
      </c>
      <c r="AZ150" s="7">
        <v>-0.6</v>
      </c>
      <c r="BA150" s="7">
        <v>-0.6217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>
        <v>0.1612</v>
      </c>
      <c r="BJ150" s="4">
        <v>67</v>
      </c>
      <c r="BK150" s="8">
        <v>3563.81</v>
      </c>
      <c r="BL150" s="2" t="s">
        <v>668</v>
      </c>
      <c r="BM150" s="7"/>
      <c r="BN150" s="7"/>
      <c r="BO150" s="4"/>
      <c r="BP150" s="8"/>
      <c r="BQ150" s="4"/>
      <c r="BR150" s="8"/>
      <c r="BS150" s="7"/>
      <c r="BT150" s="7"/>
      <c r="BU150" s="2" t="s">
        <v>147</v>
      </c>
      <c r="BV150" s="2" t="s">
        <v>97</v>
      </c>
      <c r="BW150" s="2" t="s">
        <v>100</v>
      </c>
      <c r="BX150" s="2" t="s">
        <v>100</v>
      </c>
      <c r="BY150" s="2" t="s">
        <v>112</v>
      </c>
      <c r="BZ150" s="2" t="s">
        <v>100</v>
      </c>
    </row>
    <row r="151">
      <c r="A151" s="2" t="s">
        <v>669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631</v>
      </c>
      <c r="G151" s="2" t="s">
        <v>632</v>
      </c>
      <c r="H151" s="2" t="s">
        <v>633</v>
      </c>
      <c r="I151" s="2" t="s">
        <v>634</v>
      </c>
      <c r="J151" s="2" t="s">
        <v>95</v>
      </c>
      <c r="K151" s="2" t="s">
        <v>666</v>
      </c>
      <c r="L151" s="3">
        <v>53.35</v>
      </c>
      <c r="M151" s="3">
        <v>56.02</v>
      </c>
      <c r="N151" s="3">
        <v>99.99</v>
      </c>
      <c r="O151" s="2" t="s">
        <v>97</v>
      </c>
      <c r="P151" s="2" t="s">
        <v>182</v>
      </c>
      <c r="Q151" s="2" t="s">
        <v>99</v>
      </c>
      <c r="R151" s="2" t="s">
        <v>100</v>
      </c>
      <c r="S151" s="2" t="s">
        <v>667</v>
      </c>
      <c r="T151" s="2" t="s">
        <v>100</v>
      </c>
      <c r="U151" s="2" t="s">
        <v>102</v>
      </c>
      <c r="V151" s="2" t="s">
        <v>637</v>
      </c>
      <c r="W151" s="2" t="s">
        <v>104</v>
      </c>
      <c r="X151" s="2" t="s">
        <v>602</v>
      </c>
      <c r="Y151" s="2" t="s">
        <v>106</v>
      </c>
      <c r="Z151" s="4">
        <v>240</v>
      </c>
      <c r="AA151" s="4">
        <f>=ROUNDDOWN(26.6666666666667,0)</f>
      </c>
      <c r="AB151" s="5">
        <v>9</v>
      </c>
      <c r="AC151" s="2" t="s">
        <v>126</v>
      </c>
      <c r="AD151" s="4">
        <v>40</v>
      </c>
      <c r="AE151" s="4">
        <v>350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>
        <v>0</v>
      </c>
      <c r="AP151" s="4">
        <v>1</v>
      </c>
      <c r="AQ151" s="8">
        <v>56.02</v>
      </c>
      <c r="AR151" s="4">
        <v>2</v>
      </c>
      <c r="AS151" s="8">
        <v>124.48</v>
      </c>
      <c r="AT151" s="7">
        <v>-0.5</v>
      </c>
      <c r="AU151" s="7">
        <v>-0.55</v>
      </c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>
        <v>0.4583</v>
      </c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 t="s">
        <v>100</v>
      </c>
      <c r="BJ151" s="4">
        <v>225</v>
      </c>
      <c r="BK151" s="8">
        <v>13099.65</v>
      </c>
      <c r="BL151" s="2" t="s">
        <v>670</v>
      </c>
      <c r="BM151" s="7">
        <v>0.0044</v>
      </c>
      <c r="BN151" s="7">
        <v>0.0043</v>
      </c>
      <c r="BO151" s="4">
        <v>1</v>
      </c>
      <c r="BP151" s="8">
        <v>56.02</v>
      </c>
      <c r="BQ151" s="4">
        <v>2</v>
      </c>
      <c r="BR151" s="8">
        <v>124.48</v>
      </c>
      <c r="BS151" s="7">
        <v>-0.5</v>
      </c>
      <c r="BT151" s="7">
        <v>-0.55</v>
      </c>
      <c r="BU151" s="2" t="s">
        <v>109</v>
      </c>
      <c r="BV151" s="2" t="s">
        <v>97</v>
      </c>
      <c r="BW151" s="2" t="s">
        <v>217</v>
      </c>
      <c r="BX151" s="2" t="s">
        <v>516</v>
      </c>
      <c r="BY151" s="2" t="s">
        <v>112</v>
      </c>
      <c r="BZ151" s="2" t="s">
        <v>100</v>
      </c>
    </row>
    <row r="152">
      <c r="A152" s="2" t="s">
        <v>671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631</v>
      </c>
      <c r="G152" s="2" t="s">
        <v>632</v>
      </c>
      <c r="H152" s="2" t="s">
        <v>633</v>
      </c>
      <c r="I152" s="2" t="s">
        <v>634</v>
      </c>
      <c r="J152" s="2" t="s">
        <v>114</v>
      </c>
      <c r="K152" s="2" t="s">
        <v>666</v>
      </c>
      <c r="L152" s="3">
        <v>63.06</v>
      </c>
      <c r="M152" s="3">
        <v>66.21</v>
      </c>
      <c r="N152" s="3">
        <v>119.99</v>
      </c>
      <c r="O152" s="2" t="s">
        <v>97</v>
      </c>
      <c r="P152" s="2" t="s">
        <v>182</v>
      </c>
      <c r="Q152" s="2" t="s">
        <v>99</v>
      </c>
      <c r="R152" s="2" t="s">
        <v>100</v>
      </c>
      <c r="S152" s="2" t="s">
        <v>667</v>
      </c>
      <c r="T152" s="2" t="s">
        <v>100</v>
      </c>
      <c r="U152" s="2" t="s">
        <v>102</v>
      </c>
      <c r="V152" s="2" t="s">
        <v>637</v>
      </c>
      <c r="W152" s="2" t="s">
        <v>104</v>
      </c>
      <c r="X152" s="2" t="s">
        <v>602</v>
      </c>
      <c r="Y152" s="2" t="s">
        <v>106</v>
      </c>
      <c r="Z152" s="4">
        <v>110</v>
      </c>
      <c r="AA152" s="4">
        <f>=ROUNDDOWN(11,0)</f>
      </c>
      <c r="AB152" s="5">
        <v>10</v>
      </c>
      <c r="AC152" s="2" t="s">
        <v>126</v>
      </c>
      <c r="AD152" s="4">
        <v>30</v>
      </c>
      <c r="AE152" s="4">
        <v>370</v>
      </c>
      <c r="AF152" s="6">
        <v>65</v>
      </c>
      <c r="AG152" s="6">
        <v>48</v>
      </c>
      <c r="AH152" s="7">
        <v>0.8667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>
        <v>0</v>
      </c>
      <c r="AP152" s="4">
        <v>1</v>
      </c>
      <c r="AQ152" s="8">
        <v>66.21</v>
      </c>
      <c r="AR152" s="4">
        <v>3</v>
      </c>
      <c r="AS152" s="8">
        <v>198.63</v>
      </c>
      <c r="AT152" s="7">
        <v>-0.6667</v>
      </c>
      <c r="AU152" s="7">
        <v>-0.6667</v>
      </c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>
        <v>0.5417</v>
      </c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 t="s">
        <v>100</v>
      </c>
      <c r="BJ152" s="4">
        <v>197</v>
      </c>
      <c r="BK152" s="8">
        <v>14051.25</v>
      </c>
      <c r="BL152" s="2" t="s">
        <v>672</v>
      </c>
      <c r="BM152" s="7">
        <v>0.0051</v>
      </c>
      <c r="BN152" s="7">
        <v>0.0047</v>
      </c>
      <c r="BO152" s="4">
        <v>1</v>
      </c>
      <c r="BP152" s="8">
        <v>66.21</v>
      </c>
      <c r="BQ152" s="4">
        <v>3</v>
      </c>
      <c r="BR152" s="8">
        <v>198.63</v>
      </c>
      <c r="BS152" s="7">
        <v>-0.6667</v>
      </c>
      <c r="BT152" s="7">
        <v>-0.6667</v>
      </c>
      <c r="BU152" s="2" t="s">
        <v>109</v>
      </c>
      <c r="BV152" s="2" t="s">
        <v>97</v>
      </c>
      <c r="BW152" s="2" t="s">
        <v>217</v>
      </c>
      <c r="BX152" s="2" t="s">
        <v>516</v>
      </c>
      <c r="BY152" s="2" t="s">
        <v>112</v>
      </c>
      <c r="BZ152" s="2" t="s">
        <v>100</v>
      </c>
    </row>
    <row r="153">
      <c r="A153" s="2" t="s">
        <v>673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631</v>
      </c>
      <c r="G153" s="2" t="s">
        <v>632</v>
      </c>
      <c r="H153" s="2" t="s">
        <v>633</v>
      </c>
      <c r="I153" s="2" t="s">
        <v>634</v>
      </c>
      <c r="J153" s="2" t="s">
        <v>118</v>
      </c>
      <c r="K153" s="2" t="s">
        <v>666</v>
      </c>
      <c r="L153" s="3">
        <v>63.06</v>
      </c>
      <c r="M153" s="3">
        <v>66.21</v>
      </c>
      <c r="N153" s="3">
        <v>119.99</v>
      </c>
      <c r="O153" s="2" t="s">
        <v>97</v>
      </c>
      <c r="P153" s="2" t="s">
        <v>182</v>
      </c>
      <c r="Q153" s="2" t="s">
        <v>99</v>
      </c>
      <c r="R153" s="2" t="s">
        <v>100</v>
      </c>
      <c r="S153" s="2" t="s">
        <v>667</v>
      </c>
      <c r="T153" s="2" t="s">
        <v>100</v>
      </c>
      <c r="U153" s="2" t="s">
        <v>102</v>
      </c>
      <c r="V153" s="2" t="s">
        <v>637</v>
      </c>
      <c r="W153" s="2" t="s">
        <v>104</v>
      </c>
      <c r="X153" s="2" t="s">
        <v>602</v>
      </c>
      <c r="Y153" s="2" t="s">
        <v>106</v>
      </c>
      <c r="Z153" s="4">
        <v>158</v>
      </c>
      <c r="AA153" s="4">
        <f>=ROUNDDOWN(26.3333333333333,0)</f>
      </c>
      <c r="AB153" s="5">
        <v>6</v>
      </c>
      <c r="AC153" s="2" t="s">
        <v>659</v>
      </c>
      <c r="AD153" s="4">
        <v>30</v>
      </c>
      <c r="AE153" s="4">
        <v>170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 t="s">
        <v>100</v>
      </c>
      <c r="BJ153" s="4">
        <v>126</v>
      </c>
      <c r="BK153" s="8">
        <v>8936.5</v>
      </c>
      <c r="BL153" s="2" t="s">
        <v>674</v>
      </c>
      <c r="BM153" s="7"/>
      <c r="BN153" s="7"/>
      <c r="BO153" s="4"/>
      <c r="BP153" s="8"/>
      <c r="BQ153" s="4"/>
      <c r="BR153" s="8"/>
      <c r="BS153" s="7"/>
      <c r="BT153" s="7"/>
      <c r="BU153" s="2" t="s">
        <v>147</v>
      </c>
      <c r="BV153" s="2" t="s">
        <v>97</v>
      </c>
      <c r="BW153" s="2" t="s">
        <v>100</v>
      </c>
      <c r="BX153" s="2" t="s">
        <v>100</v>
      </c>
      <c r="BY153" s="2" t="s">
        <v>112</v>
      </c>
      <c r="BZ153" s="2" t="s">
        <v>100</v>
      </c>
    </row>
    <row r="154">
      <c r="A154" s="2" t="s">
        <v>675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631</v>
      </c>
      <c r="G154" s="2" t="s">
        <v>632</v>
      </c>
      <c r="H154" s="2" t="s">
        <v>633</v>
      </c>
      <c r="I154" s="2" t="s">
        <v>634</v>
      </c>
      <c r="J154" s="2" t="s">
        <v>122</v>
      </c>
      <c r="K154" s="2" t="s">
        <v>676</v>
      </c>
      <c r="L154" s="3">
        <v>49.9</v>
      </c>
      <c r="M154" s="3">
        <v>52.4</v>
      </c>
      <c r="N154" s="3">
        <v>89.99</v>
      </c>
      <c r="O154" s="2" t="s">
        <v>97</v>
      </c>
      <c r="P154" s="2" t="s">
        <v>182</v>
      </c>
      <c r="Q154" s="2" t="s">
        <v>99</v>
      </c>
      <c r="R154" s="2" t="s">
        <v>100</v>
      </c>
      <c r="S154" s="2" t="s">
        <v>677</v>
      </c>
      <c r="T154" s="2" t="s">
        <v>100</v>
      </c>
      <c r="U154" s="2" t="s">
        <v>102</v>
      </c>
      <c r="V154" s="2" t="s">
        <v>637</v>
      </c>
      <c r="W154" s="2" t="s">
        <v>104</v>
      </c>
      <c r="X154" s="2" t="s">
        <v>602</v>
      </c>
      <c r="Y154" s="2" t="s">
        <v>106</v>
      </c>
      <c r="Z154" s="4">
        <v>85</v>
      </c>
      <c r="AA154" s="4">
        <f>=ROUNDDOWN(17,0)</f>
      </c>
      <c r="AB154" s="5">
        <v>5</v>
      </c>
      <c r="AC154" s="2" t="s">
        <v>659</v>
      </c>
      <c r="AD154" s="4">
        <v>30</v>
      </c>
      <c r="AE154" s="4">
        <v>140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>
        <v>2</v>
      </c>
      <c r="AW154" s="8">
        <v>112.04</v>
      </c>
      <c r="AX154" s="4">
        <v>5</v>
      </c>
      <c r="AY154" s="8">
        <v>304.98</v>
      </c>
      <c r="AZ154" s="7">
        <v>-0.6</v>
      </c>
      <c r="BA154" s="7">
        <v>-0.6326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>
        <v>0.1478</v>
      </c>
      <c r="BJ154" s="4">
        <v>80</v>
      </c>
      <c r="BK154" s="8">
        <v>4392.85</v>
      </c>
      <c r="BL154" s="2" t="s">
        <v>678</v>
      </c>
      <c r="BM154" s="7"/>
      <c r="BN154" s="7"/>
      <c r="BO154" s="4"/>
      <c r="BP154" s="8"/>
      <c r="BQ154" s="4"/>
      <c r="BR154" s="8"/>
      <c r="BS154" s="7"/>
      <c r="BT154" s="7"/>
      <c r="BU154" s="2" t="s">
        <v>147</v>
      </c>
      <c r="BV154" s="2" t="s">
        <v>97</v>
      </c>
      <c r="BW154" s="2" t="s">
        <v>100</v>
      </c>
      <c r="BX154" s="2" t="s">
        <v>100</v>
      </c>
      <c r="BY154" s="2" t="s">
        <v>112</v>
      </c>
      <c r="BZ154" s="2" t="s">
        <v>100</v>
      </c>
    </row>
    <row r="155">
      <c r="A155" s="2" t="s">
        <v>679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631</v>
      </c>
      <c r="G155" s="2" t="s">
        <v>632</v>
      </c>
      <c r="H155" s="2" t="s">
        <v>633</v>
      </c>
      <c r="I155" s="2" t="s">
        <v>634</v>
      </c>
      <c r="J155" s="2" t="s">
        <v>95</v>
      </c>
      <c r="K155" s="2" t="s">
        <v>676</v>
      </c>
      <c r="L155" s="3">
        <v>53.35</v>
      </c>
      <c r="M155" s="3">
        <v>56.02</v>
      </c>
      <c r="N155" s="3">
        <v>99.99</v>
      </c>
      <c r="O155" s="2" t="s">
        <v>97</v>
      </c>
      <c r="P155" s="2" t="s">
        <v>182</v>
      </c>
      <c r="Q155" s="2" t="s">
        <v>99</v>
      </c>
      <c r="R155" s="2" t="s">
        <v>100</v>
      </c>
      <c r="S155" s="2" t="s">
        <v>677</v>
      </c>
      <c r="T155" s="2" t="s">
        <v>100</v>
      </c>
      <c r="U155" s="2" t="s">
        <v>102</v>
      </c>
      <c r="V155" s="2" t="s">
        <v>637</v>
      </c>
      <c r="W155" s="2" t="s">
        <v>104</v>
      </c>
      <c r="X155" s="2" t="s">
        <v>602</v>
      </c>
      <c r="Y155" s="2" t="s">
        <v>106</v>
      </c>
      <c r="Z155" s="4">
        <v>432</v>
      </c>
      <c r="AA155" s="4">
        <f>=ROUNDDOWN(22.7368421052632,0)</f>
      </c>
      <c r="AB155" s="5">
        <v>19</v>
      </c>
      <c r="AC155" s="2" t="s">
        <v>130</v>
      </c>
      <c r="AD155" s="4">
        <v>30</v>
      </c>
      <c r="AE155" s="4">
        <v>500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>
        <v>0</v>
      </c>
      <c r="AP155" s="4">
        <v>2</v>
      </c>
      <c r="AQ155" s="8">
        <v>112.04</v>
      </c>
      <c r="AR155" s="4">
        <v>5</v>
      </c>
      <c r="AS155" s="8">
        <v>304.98</v>
      </c>
      <c r="AT155" s="7">
        <v>-0.6</v>
      </c>
      <c r="AU155" s="7">
        <v>-0.6326</v>
      </c>
      <c r="AV155" s="4" t="s">
        <v>100</v>
      </c>
      <c r="AW155" s="8" t="s">
        <v>100</v>
      </c>
      <c r="AX155" s="4" t="s">
        <v>100</v>
      </c>
      <c r="AY155" s="8" t="s">
        <v>100</v>
      </c>
      <c r="AZ155" s="7" t="s">
        <v>100</v>
      </c>
      <c r="BA155" s="7" t="s">
        <v>100</v>
      </c>
      <c r="BB155" s="7">
        <v>1</v>
      </c>
      <c r="BC155" s="4" t="s">
        <v>100</v>
      </c>
      <c r="BD155" s="8" t="s">
        <v>100</v>
      </c>
      <c r="BE155" s="4" t="s">
        <v>100</v>
      </c>
      <c r="BF155" s="8" t="s">
        <v>100</v>
      </c>
      <c r="BG155" s="7" t="s">
        <v>100</v>
      </c>
      <c r="BH155" s="7" t="s">
        <v>100</v>
      </c>
      <c r="BI155" s="7" t="s">
        <v>100</v>
      </c>
      <c r="BJ155" s="4">
        <v>365</v>
      </c>
      <c r="BK155" s="8">
        <v>21759.78</v>
      </c>
      <c r="BL155" s="2" t="s">
        <v>680</v>
      </c>
      <c r="BM155" s="7">
        <v>0.0055</v>
      </c>
      <c r="BN155" s="7">
        <v>0.0051</v>
      </c>
      <c r="BO155" s="4">
        <v>2</v>
      </c>
      <c r="BP155" s="8">
        <v>112.04</v>
      </c>
      <c r="BQ155" s="4">
        <v>5</v>
      </c>
      <c r="BR155" s="8">
        <v>304.98</v>
      </c>
      <c r="BS155" s="7">
        <v>-0.6</v>
      </c>
      <c r="BT155" s="7">
        <v>-0.6326</v>
      </c>
      <c r="BU155" s="2" t="s">
        <v>109</v>
      </c>
      <c r="BV155" s="2" t="s">
        <v>97</v>
      </c>
      <c r="BW155" s="2" t="s">
        <v>217</v>
      </c>
      <c r="BX155" s="2" t="s">
        <v>681</v>
      </c>
      <c r="BY155" s="2" t="s">
        <v>112</v>
      </c>
      <c r="BZ155" s="2" t="s">
        <v>100</v>
      </c>
    </row>
    <row r="156">
      <c r="A156" s="2" t="s">
        <v>682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631</v>
      </c>
      <c r="G156" s="2" t="s">
        <v>632</v>
      </c>
      <c r="H156" s="2" t="s">
        <v>633</v>
      </c>
      <c r="I156" s="2" t="s">
        <v>634</v>
      </c>
      <c r="J156" s="2" t="s">
        <v>114</v>
      </c>
      <c r="K156" s="2" t="s">
        <v>676</v>
      </c>
      <c r="L156" s="3">
        <v>63.06</v>
      </c>
      <c r="M156" s="3">
        <v>66.21</v>
      </c>
      <c r="N156" s="3">
        <v>119.99</v>
      </c>
      <c r="O156" s="2" t="s">
        <v>97</v>
      </c>
      <c r="P156" s="2" t="s">
        <v>182</v>
      </c>
      <c r="Q156" s="2" t="s">
        <v>99</v>
      </c>
      <c r="R156" s="2" t="s">
        <v>100</v>
      </c>
      <c r="S156" s="2" t="s">
        <v>677</v>
      </c>
      <c r="T156" s="2" t="s">
        <v>100</v>
      </c>
      <c r="U156" s="2" t="s">
        <v>102</v>
      </c>
      <c r="V156" s="2" t="s">
        <v>637</v>
      </c>
      <c r="W156" s="2" t="s">
        <v>104</v>
      </c>
      <c r="X156" s="2" t="s">
        <v>602</v>
      </c>
      <c r="Y156" s="2" t="s">
        <v>106</v>
      </c>
      <c r="Z156" s="4">
        <v>363</v>
      </c>
      <c r="AA156" s="4">
        <f>=ROUNDDOWN(22.6875,0)</f>
      </c>
      <c r="AB156" s="5">
        <v>16</v>
      </c>
      <c r="AC156" s="2" t="s">
        <v>335</v>
      </c>
      <c r="AD156" s="4">
        <v>30</v>
      </c>
      <c r="AE156" s="4">
        <v>380</v>
      </c>
      <c r="AF156" s="6">
        <v>65</v>
      </c>
      <c r="AG156" s="6">
        <v>48</v>
      </c>
      <c r="AH156" s="7">
        <v>0.9939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 t="s">
        <v>100</v>
      </c>
      <c r="BJ156" s="4">
        <v>273</v>
      </c>
      <c r="BK156" s="8">
        <v>19610.03</v>
      </c>
      <c r="BL156" s="2" t="s">
        <v>683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97</v>
      </c>
      <c r="BW156" s="2" t="s">
        <v>217</v>
      </c>
      <c r="BX156" s="2" t="s">
        <v>241</v>
      </c>
      <c r="BY156" s="2" t="s">
        <v>112</v>
      </c>
      <c r="BZ156" s="2" t="s">
        <v>100</v>
      </c>
    </row>
    <row r="157">
      <c r="A157" s="2" t="s">
        <v>684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631</v>
      </c>
      <c r="G157" s="2" t="s">
        <v>632</v>
      </c>
      <c r="H157" s="2" t="s">
        <v>633</v>
      </c>
      <c r="I157" s="2" t="s">
        <v>634</v>
      </c>
      <c r="J157" s="2" t="s">
        <v>118</v>
      </c>
      <c r="K157" s="2" t="s">
        <v>676</v>
      </c>
      <c r="L157" s="3">
        <v>63.06</v>
      </c>
      <c r="M157" s="3">
        <v>66.21</v>
      </c>
      <c r="N157" s="3">
        <v>119.99</v>
      </c>
      <c r="O157" s="2" t="s">
        <v>97</v>
      </c>
      <c r="P157" s="2" t="s">
        <v>182</v>
      </c>
      <c r="Q157" s="2" t="s">
        <v>99</v>
      </c>
      <c r="R157" s="2" t="s">
        <v>100</v>
      </c>
      <c r="S157" s="2" t="s">
        <v>677</v>
      </c>
      <c r="T157" s="2" t="s">
        <v>100</v>
      </c>
      <c r="U157" s="2" t="s">
        <v>102</v>
      </c>
      <c r="V157" s="2" t="s">
        <v>637</v>
      </c>
      <c r="W157" s="2" t="s">
        <v>104</v>
      </c>
      <c r="X157" s="2" t="s">
        <v>602</v>
      </c>
      <c r="Y157" s="2" t="s">
        <v>106</v>
      </c>
      <c r="Z157" s="4">
        <v>186</v>
      </c>
      <c r="AA157" s="4">
        <f>=ROUNDDOWN(20.6666666666667,0)</f>
      </c>
      <c r="AB157" s="5">
        <v>9</v>
      </c>
      <c r="AC157" s="2" t="s">
        <v>335</v>
      </c>
      <c r="AD157" s="4">
        <v>30</v>
      </c>
      <c r="AE157" s="4">
        <v>180</v>
      </c>
      <c r="AF157" s="6">
        <v>65</v>
      </c>
      <c r="AG157" s="6">
        <v>48</v>
      </c>
      <c r="AH157" s="7">
        <v>0.9455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 t="s">
        <v>100</v>
      </c>
      <c r="BJ157" s="4">
        <v>171</v>
      </c>
      <c r="BK157" s="8">
        <v>12256.8</v>
      </c>
      <c r="BL157" s="2" t="s">
        <v>685</v>
      </c>
      <c r="BM157" s="7"/>
      <c r="BN157" s="7"/>
      <c r="BO157" s="4"/>
      <c r="BP157" s="8"/>
      <c r="BQ157" s="4"/>
      <c r="BR157" s="8"/>
      <c r="BS157" s="7"/>
      <c r="BT157" s="7"/>
      <c r="BU157" s="2" t="s">
        <v>147</v>
      </c>
      <c r="BV157" s="2" t="s">
        <v>97</v>
      </c>
      <c r="BW157" s="2" t="s">
        <v>100</v>
      </c>
      <c r="BX157" s="2" t="s">
        <v>100</v>
      </c>
      <c r="BY157" s="2" t="s">
        <v>112</v>
      </c>
      <c r="BZ157" s="2" t="s">
        <v>100</v>
      </c>
    </row>
    <row r="158">
      <c r="A158" s="2" t="s">
        <v>686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631</v>
      </c>
      <c r="G158" s="2" t="s">
        <v>632</v>
      </c>
      <c r="H158" s="2" t="s">
        <v>633</v>
      </c>
      <c r="I158" s="2" t="s">
        <v>634</v>
      </c>
      <c r="J158" s="2" t="s">
        <v>95</v>
      </c>
      <c r="K158" s="2" t="s">
        <v>142</v>
      </c>
      <c r="L158" s="3">
        <v>53.35</v>
      </c>
      <c r="M158" s="3">
        <v>56.02</v>
      </c>
      <c r="N158" s="3">
        <v>99.99</v>
      </c>
      <c r="O158" s="2" t="s">
        <v>97</v>
      </c>
      <c r="P158" s="2" t="s">
        <v>182</v>
      </c>
      <c r="Q158" s="2" t="s">
        <v>99</v>
      </c>
      <c r="R158" s="2" t="s">
        <v>100</v>
      </c>
      <c r="S158" s="2" t="s">
        <v>687</v>
      </c>
      <c r="T158" s="2" t="s">
        <v>100</v>
      </c>
      <c r="U158" s="2" t="s">
        <v>102</v>
      </c>
      <c r="V158" s="2" t="s">
        <v>637</v>
      </c>
      <c r="W158" s="2" t="s">
        <v>104</v>
      </c>
      <c r="X158" s="2" t="s">
        <v>602</v>
      </c>
      <c r="Y158" s="2" t="s">
        <v>688</v>
      </c>
      <c r="Z158" s="4">
        <v>274</v>
      </c>
      <c r="AA158" s="4">
        <f>=ROUNDDOWN(9.44827586206896,0)</f>
      </c>
      <c r="AB158" s="5">
        <v>29</v>
      </c>
      <c r="AC158" s="2" t="s">
        <v>689</v>
      </c>
      <c r="AD158" s="4">
        <v>20</v>
      </c>
      <c r="AE158" s="4">
        <v>1020</v>
      </c>
      <c r="AF158" s="6">
        <v>65</v>
      </c>
      <c r="AG158" s="6">
        <v>48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 t="s">
        <v>100</v>
      </c>
      <c r="BJ158" s="4">
        <v>520</v>
      </c>
      <c r="BK158" s="8">
        <v>31138.69</v>
      </c>
      <c r="BL158" s="2" t="s">
        <v>690</v>
      </c>
      <c r="BM158" s="7"/>
      <c r="BN158" s="7"/>
      <c r="BO158" s="4"/>
      <c r="BP158" s="8"/>
      <c r="BQ158" s="4"/>
      <c r="BR158" s="8"/>
      <c r="BS158" s="7"/>
      <c r="BT158" s="7"/>
      <c r="BU158" s="2" t="s">
        <v>147</v>
      </c>
      <c r="BV158" s="2" t="s">
        <v>97</v>
      </c>
      <c r="BW158" s="2" t="s">
        <v>100</v>
      </c>
      <c r="BX158" s="2" t="s">
        <v>100</v>
      </c>
      <c r="BY158" s="2" t="s">
        <v>112</v>
      </c>
      <c r="BZ158" s="2" t="s">
        <v>100</v>
      </c>
    </row>
    <row r="159">
      <c r="A159" s="2" t="s">
        <v>691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631</v>
      </c>
      <c r="G159" s="2" t="s">
        <v>632</v>
      </c>
      <c r="H159" s="2" t="s">
        <v>633</v>
      </c>
      <c r="I159" s="2" t="s">
        <v>634</v>
      </c>
      <c r="J159" s="2" t="s">
        <v>114</v>
      </c>
      <c r="K159" s="2" t="s">
        <v>142</v>
      </c>
      <c r="L159" s="3">
        <v>63.06</v>
      </c>
      <c r="M159" s="3">
        <v>66.21</v>
      </c>
      <c r="N159" s="3">
        <v>119.99</v>
      </c>
      <c r="O159" s="2" t="s">
        <v>97</v>
      </c>
      <c r="P159" s="2" t="s">
        <v>182</v>
      </c>
      <c r="Q159" s="2" t="s">
        <v>99</v>
      </c>
      <c r="R159" s="2" t="s">
        <v>100</v>
      </c>
      <c r="S159" s="2" t="s">
        <v>687</v>
      </c>
      <c r="T159" s="2" t="s">
        <v>100</v>
      </c>
      <c r="U159" s="2" t="s">
        <v>102</v>
      </c>
      <c r="V159" s="2" t="s">
        <v>637</v>
      </c>
      <c r="W159" s="2" t="s">
        <v>104</v>
      </c>
      <c r="X159" s="2" t="s">
        <v>602</v>
      </c>
      <c r="Y159" s="2" t="s">
        <v>688</v>
      </c>
      <c r="Z159" s="4">
        <v>215</v>
      </c>
      <c r="AA159" s="4">
        <f>=ROUNDDOWN(13.4375,0)</f>
      </c>
      <c r="AB159" s="5">
        <v>16</v>
      </c>
      <c r="AC159" s="2" t="s">
        <v>689</v>
      </c>
      <c r="AD159" s="4">
        <v>10</v>
      </c>
      <c r="AE159" s="4">
        <v>450</v>
      </c>
      <c r="AF159" s="6">
        <v>65</v>
      </c>
      <c r="AG159" s="6">
        <v>48</v>
      </c>
      <c r="AH159" s="7">
        <v>0.9758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 t="s">
        <v>100</v>
      </c>
      <c r="BJ159" s="4">
        <v>296</v>
      </c>
      <c r="BK159" s="8">
        <v>20843.92</v>
      </c>
      <c r="BL159" s="2" t="s">
        <v>692</v>
      </c>
      <c r="BM159" s="7"/>
      <c r="BN159" s="7"/>
      <c r="BO159" s="4"/>
      <c r="BP159" s="8"/>
      <c r="BQ159" s="4"/>
      <c r="BR159" s="8"/>
      <c r="BS159" s="7"/>
      <c r="BT159" s="7"/>
      <c r="BU159" s="2" t="s">
        <v>147</v>
      </c>
      <c r="BV159" s="2" t="s">
        <v>97</v>
      </c>
      <c r="BW159" s="2" t="s">
        <v>100</v>
      </c>
      <c r="BX159" s="2" t="s">
        <v>100</v>
      </c>
      <c r="BY159" s="2" t="s">
        <v>112</v>
      </c>
      <c r="BZ159" s="2" t="s">
        <v>100</v>
      </c>
    </row>
    <row r="160">
      <c r="A160" s="2" t="s">
        <v>693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631</v>
      </c>
      <c r="G160" s="2" t="s">
        <v>632</v>
      </c>
      <c r="H160" s="2" t="s">
        <v>633</v>
      </c>
      <c r="I160" s="2" t="s">
        <v>634</v>
      </c>
      <c r="J160" s="2" t="s">
        <v>118</v>
      </c>
      <c r="K160" s="2" t="s">
        <v>142</v>
      </c>
      <c r="L160" s="3">
        <v>63.06</v>
      </c>
      <c r="M160" s="3">
        <v>66.21</v>
      </c>
      <c r="N160" s="3">
        <v>119.99</v>
      </c>
      <c r="O160" s="2" t="s">
        <v>97</v>
      </c>
      <c r="P160" s="2" t="s">
        <v>182</v>
      </c>
      <c r="Q160" s="2" t="s">
        <v>99</v>
      </c>
      <c r="R160" s="2" t="s">
        <v>100</v>
      </c>
      <c r="S160" s="2" t="s">
        <v>687</v>
      </c>
      <c r="T160" s="2" t="s">
        <v>100</v>
      </c>
      <c r="U160" s="2" t="s">
        <v>102</v>
      </c>
      <c r="V160" s="2" t="s">
        <v>637</v>
      </c>
      <c r="W160" s="2" t="s">
        <v>104</v>
      </c>
      <c r="X160" s="2" t="s">
        <v>602</v>
      </c>
      <c r="Y160" s="2" t="s">
        <v>688</v>
      </c>
      <c r="Z160" s="4">
        <v>137</v>
      </c>
      <c r="AA160" s="4">
        <f>=ROUNDDOWN(10.5384615384615,0)</f>
      </c>
      <c r="AB160" s="5">
        <v>13</v>
      </c>
      <c r="AC160" s="2" t="s">
        <v>689</v>
      </c>
      <c r="AD160" s="4">
        <v>10</v>
      </c>
      <c r="AE160" s="4">
        <v>460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 t="s">
        <v>100</v>
      </c>
      <c r="BJ160" s="4">
        <v>204</v>
      </c>
      <c r="BK160" s="8">
        <v>14438.96</v>
      </c>
      <c r="BL160" s="2" t="s">
        <v>694</v>
      </c>
      <c r="BM160" s="7"/>
      <c r="BN160" s="7"/>
      <c r="BO160" s="4"/>
      <c r="BP160" s="8"/>
      <c r="BQ160" s="4"/>
      <c r="BR160" s="8"/>
      <c r="BS160" s="7"/>
      <c r="BT160" s="7"/>
      <c r="BU160" s="2" t="s">
        <v>147</v>
      </c>
      <c r="BV160" s="2" t="s">
        <v>97</v>
      </c>
      <c r="BW160" s="2" t="s">
        <v>100</v>
      </c>
      <c r="BX160" s="2" t="s">
        <v>100</v>
      </c>
      <c r="BY160" s="2" t="s">
        <v>112</v>
      </c>
      <c r="BZ160" s="2" t="s">
        <v>100</v>
      </c>
    </row>
    <row r="161">
      <c r="A161" s="2" t="s">
        <v>695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631</v>
      </c>
      <c r="G161" s="2" t="s">
        <v>632</v>
      </c>
      <c r="H161" s="2" t="s">
        <v>633</v>
      </c>
      <c r="I161" s="2" t="s">
        <v>634</v>
      </c>
      <c r="J161" s="2" t="s">
        <v>122</v>
      </c>
      <c r="K161" s="2" t="s">
        <v>333</v>
      </c>
      <c r="L161" s="3">
        <v>49.9</v>
      </c>
      <c r="M161" s="3">
        <v>52.4</v>
      </c>
      <c r="N161" s="3">
        <v>89.99</v>
      </c>
      <c r="O161" s="2" t="s">
        <v>97</v>
      </c>
      <c r="P161" s="2" t="s">
        <v>182</v>
      </c>
      <c r="Q161" s="2" t="s">
        <v>99</v>
      </c>
      <c r="R161" s="2" t="s">
        <v>100</v>
      </c>
      <c r="S161" s="2" t="s">
        <v>696</v>
      </c>
      <c r="T161" s="2" t="s">
        <v>100</v>
      </c>
      <c r="U161" s="2" t="s">
        <v>102</v>
      </c>
      <c r="V161" s="2" t="s">
        <v>637</v>
      </c>
      <c r="W161" s="2" t="s">
        <v>104</v>
      </c>
      <c r="X161" s="2" t="s">
        <v>602</v>
      </c>
      <c r="Y161" s="2" t="s">
        <v>697</v>
      </c>
      <c r="Z161" s="4">
        <v>103</v>
      </c>
      <c r="AA161" s="4">
        <f>=ROUNDDOWN(14.7142857142857,0)</f>
      </c>
      <c r="AB161" s="5">
        <v>7</v>
      </c>
      <c r="AC161" s="2" t="s">
        <v>659</v>
      </c>
      <c r="AD161" s="4">
        <v>50</v>
      </c>
      <c r="AE161" s="4">
        <v>210</v>
      </c>
      <c r="AF161" s="6">
        <v>65</v>
      </c>
      <c r="AG161" s="6">
        <v>48</v>
      </c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/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 t="s">
        <v>100</v>
      </c>
      <c r="BJ161" s="4">
        <v>87</v>
      </c>
      <c r="BK161" s="8">
        <v>4515.55</v>
      </c>
      <c r="BL161" s="2" t="s">
        <v>698</v>
      </c>
      <c r="BM161" s="7"/>
      <c r="BN161" s="7"/>
      <c r="BO161" s="4"/>
      <c r="BP161" s="8"/>
      <c r="BQ161" s="4"/>
      <c r="BR161" s="8"/>
      <c r="BS161" s="7"/>
      <c r="BT161" s="7"/>
      <c r="BU161" s="2" t="s">
        <v>147</v>
      </c>
      <c r="BV161" s="2" t="s">
        <v>97</v>
      </c>
      <c r="BW161" s="2" t="s">
        <v>100</v>
      </c>
      <c r="BX161" s="2" t="s">
        <v>100</v>
      </c>
      <c r="BY161" s="2" t="s">
        <v>112</v>
      </c>
      <c r="BZ161" s="2" t="s">
        <v>100</v>
      </c>
    </row>
    <row r="162">
      <c r="A162" s="2" t="s">
        <v>699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631</v>
      </c>
      <c r="G162" s="2" t="s">
        <v>632</v>
      </c>
      <c r="H162" s="2" t="s">
        <v>633</v>
      </c>
      <c r="I162" s="2" t="s">
        <v>634</v>
      </c>
      <c r="J162" s="2" t="s">
        <v>95</v>
      </c>
      <c r="K162" s="2" t="s">
        <v>333</v>
      </c>
      <c r="L162" s="3">
        <v>53.35</v>
      </c>
      <c r="M162" s="3">
        <v>56.02</v>
      </c>
      <c r="N162" s="3">
        <v>99.99</v>
      </c>
      <c r="O162" s="2" t="s">
        <v>97</v>
      </c>
      <c r="P162" s="2" t="s">
        <v>182</v>
      </c>
      <c r="Q162" s="2" t="s">
        <v>99</v>
      </c>
      <c r="R162" s="2" t="s">
        <v>100</v>
      </c>
      <c r="S162" s="2" t="s">
        <v>696</v>
      </c>
      <c r="T162" s="2" t="s">
        <v>100</v>
      </c>
      <c r="U162" s="2" t="s">
        <v>102</v>
      </c>
      <c r="V162" s="2" t="s">
        <v>637</v>
      </c>
      <c r="W162" s="2" t="s">
        <v>104</v>
      </c>
      <c r="X162" s="2" t="s">
        <v>602</v>
      </c>
      <c r="Y162" s="2" t="s">
        <v>106</v>
      </c>
      <c r="Z162" s="4">
        <v>240</v>
      </c>
      <c r="AA162" s="4">
        <f>=ROUNDDOWN(13.3333333333333,0)</f>
      </c>
      <c r="AB162" s="5">
        <v>18</v>
      </c>
      <c r="AC162" s="2" t="s">
        <v>335</v>
      </c>
      <c r="AD162" s="4">
        <v>30</v>
      </c>
      <c r="AE162" s="4">
        <v>680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 t="s">
        <v>100</v>
      </c>
      <c r="BJ162" s="4">
        <v>338</v>
      </c>
      <c r="BK162" s="8">
        <v>19389.4</v>
      </c>
      <c r="BL162" s="2" t="s">
        <v>700</v>
      </c>
      <c r="BM162" s="7"/>
      <c r="BN162" s="7"/>
      <c r="BO162" s="4"/>
      <c r="BP162" s="8"/>
      <c r="BQ162" s="4"/>
      <c r="BR162" s="8"/>
      <c r="BS162" s="7"/>
      <c r="BT162" s="7"/>
      <c r="BU162" s="2" t="s">
        <v>147</v>
      </c>
      <c r="BV162" s="2" t="s">
        <v>97</v>
      </c>
      <c r="BW162" s="2" t="s">
        <v>100</v>
      </c>
      <c r="BX162" s="2" t="s">
        <v>100</v>
      </c>
      <c r="BY162" s="2" t="s">
        <v>112</v>
      </c>
      <c r="BZ162" s="2" t="s">
        <v>100</v>
      </c>
    </row>
    <row r="163">
      <c r="A163" s="2" t="s">
        <v>701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631</v>
      </c>
      <c r="G163" s="2" t="s">
        <v>632</v>
      </c>
      <c r="H163" s="2" t="s">
        <v>633</v>
      </c>
      <c r="I163" s="2" t="s">
        <v>634</v>
      </c>
      <c r="J163" s="2" t="s">
        <v>114</v>
      </c>
      <c r="K163" s="2" t="s">
        <v>333</v>
      </c>
      <c r="L163" s="3">
        <v>63.06</v>
      </c>
      <c r="M163" s="3">
        <v>66.21</v>
      </c>
      <c r="N163" s="3">
        <v>119.99</v>
      </c>
      <c r="O163" s="2" t="s">
        <v>97</v>
      </c>
      <c r="P163" s="2" t="s">
        <v>182</v>
      </c>
      <c r="Q163" s="2" t="s">
        <v>99</v>
      </c>
      <c r="R163" s="2" t="s">
        <v>100</v>
      </c>
      <c r="S163" s="2" t="s">
        <v>696</v>
      </c>
      <c r="T163" s="2" t="s">
        <v>100</v>
      </c>
      <c r="U163" s="2" t="s">
        <v>102</v>
      </c>
      <c r="V163" s="2" t="s">
        <v>637</v>
      </c>
      <c r="W163" s="2" t="s">
        <v>104</v>
      </c>
      <c r="X163" s="2" t="s">
        <v>602</v>
      </c>
      <c r="Y163" s="2" t="s">
        <v>106</v>
      </c>
      <c r="Z163" s="4">
        <v>170</v>
      </c>
      <c r="AA163" s="4">
        <f>=ROUNDDOWN(10,0)</f>
      </c>
      <c r="AB163" s="5">
        <v>17</v>
      </c>
      <c r="AC163" s="2" t="s">
        <v>130</v>
      </c>
      <c r="AD163" s="4">
        <v>30</v>
      </c>
      <c r="AE163" s="4">
        <v>590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 t="s">
        <v>100</v>
      </c>
      <c r="BJ163" s="4">
        <v>292</v>
      </c>
      <c r="BK163" s="8">
        <v>19968.35</v>
      </c>
      <c r="BL163" s="2" t="s">
        <v>702</v>
      </c>
      <c r="BM163" s="7"/>
      <c r="BN163" s="7"/>
      <c r="BO163" s="4"/>
      <c r="BP163" s="8"/>
      <c r="BQ163" s="4"/>
      <c r="BR163" s="8"/>
      <c r="BS163" s="7"/>
      <c r="BT163" s="7"/>
      <c r="BU163" s="2" t="s">
        <v>147</v>
      </c>
      <c r="BV163" s="2" t="s">
        <v>97</v>
      </c>
      <c r="BW163" s="2" t="s">
        <v>100</v>
      </c>
      <c r="BX163" s="2" t="s">
        <v>100</v>
      </c>
      <c r="BY163" s="2" t="s">
        <v>112</v>
      </c>
      <c r="BZ163" s="2" t="s">
        <v>100</v>
      </c>
    </row>
    <row r="164">
      <c r="A164" s="2" t="s">
        <v>703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631</v>
      </c>
      <c r="G164" s="2" t="s">
        <v>632</v>
      </c>
      <c r="H164" s="2" t="s">
        <v>633</v>
      </c>
      <c r="I164" s="2" t="s">
        <v>634</v>
      </c>
      <c r="J164" s="2" t="s">
        <v>118</v>
      </c>
      <c r="K164" s="2" t="s">
        <v>333</v>
      </c>
      <c r="L164" s="3">
        <v>63.06</v>
      </c>
      <c r="M164" s="3">
        <v>66.21</v>
      </c>
      <c r="N164" s="3">
        <v>119.99</v>
      </c>
      <c r="O164" s="2" t="s">
        <v>97</v>
      </c>
      <c r="P164" s="2" t="s">
        <v>182</v>
      </c>
      <c r="Q164" s="2" t="s">
        <v>99</v>
      </c>
      <c r="R164" s="2" t="s">
        <v>100</v>
      </c>
      <c r="S164" s="2" t="s">
        <v>696</v>
      </c>
      <c r="T164" s="2" t="s">
        <v>100</v>
      </c>
      <c r="U164" s="2" t="s">
        <v>102</v>
      </c>
      <c r="V164" s="2" t="s">
        <v>637</v>
      </c>
      <c r="W164" s="2" t="s">
        <v>104</v>
      </c>
      <c r="X164" s="2" t="s">
        <v>602</v>
      </c>
      <c r="Y164" s="2" t="s">
        <v>704</v>
      </c>
      <c r="Z164" s="4">
        <v>94</v>
      </c>
      <c r="AA164" s="4">
        <f>=ROUNDDOWN(8.54545454545454,0)</f>
      </c>
      <c r="AB164" s="5">
        <v>11</v>
      </c>
      <c r="AC164" s="2" t="s">
        <v>659</v>
      </c>
      <c r="AD164" s="4">
        <v>50</v>
      </c>
      <c r="AE164" s="4">
        <v>350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 t="s">
        <v>100</v>
      </c>
      <c r="BJ164" s="4">
        <v>162</v>
      </c>
      <c r="BK164" s="8">
        <v>10589.23</v>
      </c>
      <c r="BL164" s="2" t="s">
        <v>292</v>
      </c>
      <c r="BM164" s="7"/>
      <c r="BN164" s="7"/>
      <c r="BO164" s="4"/>
      <c r="BP164" s="8"/>
      <c r="BQ164" s="4"/>
      <c r="BR164" s="8"/>
      <c r="BS164" s="7"/>
      <c r="BT164" s="7"/>
      <c r="BU164" s="2" t="s">
        <v>147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100</v>
      </c>
    </row>
    <row r="165">
      <c r="A165" s="2" t="s">
        <v>705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631</v>
      </c>
      <c r="G165" s="2" t="s">
        <v>632</v>
      </c>
      <c r="H165" s="2" t="s">
        <v>633</v>
      </c>
      <c r="I165" s="2" t="s">
        <v>634</v>
      </c>
      <c r="J165" s="2" t="s">
        <v>95</v>
      </c>
      <c r="K165" s="2" t="s">
        <v>197</v>
      </c>
      <c r="L165" s="3">
        <v>53.35</v>
      </c>
      <c r="M165" s="3">
        <v>56.02</v>
      </c>
      <c r="N165" s="3">
        <v>99.99</v>
      </c>
      <c r="O165" s="2" t="s">
        <v>97</v>
      </c>
      <c r="P165" s="2" t="s">
        <v>182</v>
      </c>
      <c r="Q165" s="2" t="s">
        <v>99</v>
      </c>
      <c r="R165" s="2" t="s">
        <v>100</v>
      </c>
      <c r="S165" s="2" t="s">
        <v>706</v>
      </c>
      <c r="T165" s="2" t="s">
        <v>100</v>
      </c>
      <c r="U165" s="2" t="s">
        <v>102</v>
      </c>
      <c r="V165" s="2" t="s">
        <v>637</v>
      </c>
      <c r="W165" s="2" t="s">
        <v>104</v>
      </c>
      <c r="X165" s="2" t="s">
        <v>602</v>
      </c>
      <c r="Y165" s="2" t="s">
        <v>106</v>
      </c>
      <c r="Z165" s="4">
        <v>258</v>
      </c>
      <c r="AA165" s="4">
        <f>=ROUNDDOWN(28.6666666666667,0)</f>
      </c>
      <c r="AB165" s="5">
        <v>9</v>
      </c>
      <c r="AC165" s="2" t="s">
        <v>659</v>
      </c>
      <c r="AD165" s="4">
        <v>60</v>
      </c>
      <c r="AE165" s="4">
        <v>240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 t="s">
        <v>100</v>
      </c>
      <c r="BJ165" s="4">
        <v>145</v>
      </c>
      <c r="BK165" s="8">
        <v>8250.59</v>
      </c>
      <c r="BL165" s="2" t="s">
        <v>707</v>
      </c>
      <c r="BM165" s="7"/>
      <c r="BN165" s="7"/>
      <c r="BO165" s="4"/>
      <c r="BP165" s="8"/>
      <c r="BQ165" s="4"/>
      <c r="BR165" s="8"/>
      <c r="BS165" s="7"/>
      <c r="BT165" s="7"/>
      <c r="BU165" s="2" t="s">
        <v>147</v>
      </c>
      <c r="BV165" s="2" t="s">
        <v>97</v>
      </c>
      <c r="BW165" s="2" t="s">
        <v>100</v>
      </c>
      <c r="BX165" s="2" t="s">
        <v>100</v>
      </c>
      <c r="BY165" s="2" t="s">
        <v>112</v>
      </c>
      <c r="BZ165" s="2" t="s">
        <v>100</v>
      </c>
    </row>
    <row r="166">
      <c r="A166" s="2" t="s">
        <v>708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631</v>
      </c>
      <c r="G166" s="2" t="s">
        <v>632</v>
      </c>
      <c r="H166" s="2" t="s">
        <v>633</v>
      </c>
      <c r="I166" s="2" t="s">
        <v>634</v>
      </c>
      <c r="J166" s="2" t="s">
        <v>114</v>
      </c>
      <c r="K166" s="2" t="s">
        <v>197</v>
      </c>
      <c r="L166" s="3">
        <v>63.06</v>
      </c>
      <c r="M166" s="3">
        <v>66.21</v>
      </c>
      <c r="N166" s="3">
        <v>119.99</v>
      </c>
      <c r="O166" s="2" t="s">
        <v>97</v>
      </c>
      <c r="P166" s="2" t="s">
        <v>182</v>
      </c>
      <c r="Q166" s="2" t="s">
        <v>99</v>
      </c>
      <c r="R166" s="2" t="s">
        <v>100</v>
      </c>
      <c r="S166" s="2" t="s">
        <v>706</v>
      </c>
      <c r="T166" s="2" t="s">
        <v>100</v>
      </c>
      <c r="U166" s="2" t="s">
        <v>102</v>
      </c>
      <c r="V166" s="2" t="s">
        <v>637</v>
      </c>
      <c r="W166" s="2" t="s">
        <v>104</v>
      </c>
      <c r="X166" s="2" t="s">
        <v>602</v>
      </c>
      <c r="Y166" s="2" t="s">
        <v>106</v>
      </c>
      <c r="Z166" s="4">
        <v>148</v>
      </c>
      <c r="AA166" s="4">
        <f>=ROUNDDOWN(16.4444444444444,0)</f>
      </c>
      <c r="AB166" s="5">
        <v>9</v>
      </c>
      <c r="AC166" s="2" t="s">
        <v>659</v>
      </c>
      <c r="AD166" s="4">
        <v>40</v>
      </c>
      <c r="AE166" s="4">
        <v>140</v>
      </c>
      <c r="AF166" s="6">
        <v>65</v>
      </c>
      <c r="AG166" s="6">
        <v>48</v>
      </c>
      <c r="AH166" s="7">
        <v>0.9091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 t="s">
        <v>100</v>
      </c>
      <c r="BJ166" s="4">
        <v>124</v>
      </c>
      <c r="BK166" s="8">
        <v>8642.86</v>
      </c>
      <c r="BL166" s="2" t="s">
        <v>709</v>
      </c>
      <c r="BM166" s="7"/>
      <c r="BN166" s="7"/>
      <c r="BO166" s="4"/>
      <c r="BP166" s="8"/>
      <c r="BQ166" s="4"/>
      <c r="BR166" s="8"/>
      <c r="BS166" s="7"/>
      <c r="BT166" s="7"/>
      <c r="BU166" s="2" t="s">
        <v>147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710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631</v>
      </c>
      <c r="G167" s="2" t="s">
        <v>632</v>
      </c>
      <c r="H167" s="2" t="s">
        <v>633</v>
      </c>
      <c r="I167" s="2" t="s">
        <v>634</v>
      </c>
      <c r="J167" s="2" t="s">
        <v>118</v>
      </c>
      <c r="K167" s="2" t="s">
        <v>197</v>
      </c>
      <c r="L167" s="3">
        <v>63.06</v>
      </c>
      <c r="M167" s="3">
        <v>66.21</v>
      </c>
      <c r="N167" s="3">
        <v>119.99</v>
      </c>
      <c r="O167" s="2" t="s">
        <v>97</v>
      </c>
      <c r="P167" s="2" t="s">
        <v>182</v>
      </c>
      <c r="Q167" s="2" t="s">
        <v>99</v>
      </c>
      <c r="R167" s="2" t="s">
        <v>100</v>
      </c>
      <c r="S167" s="2" t="s">
        <v>706</v>
      </c>
      <c r="T167" s="2" t="s">
        <v>100</v>
      </c>
      <c r="U167" s="2" t="s">
        <v>102</v>
      </c>
      <c r="V167" s="2" t="s">
        <v>637</v>
      </c>
      <c r="W167" s="2" t="s">
        <v>104</v>
      </c>
      <c r="X167" s="2" t="s">
        <v>602</v>
      </c>
      <c r="Y167" s="2" t="s">
        <v>106</v>
      </c>
      <c r="Z167" s="4">
        <v>82</v>
      </c>
      <c r="AA167" s="4">
        <f>=ROUNDDOWN(11.7142857142857,0)</f>
      </c>
      <c r="AB167" s="5">
        <v>7</v>
      </c>
      <c r="AC167" s="2" t="s">
        <v>689</v>
      </c>
      <c r="AD167" s="4">
        <v>30</v>
      </c>
      <c r="AE167" s="4">
        <v>220</v>
      </c>
      <c r="AF167" s="6">
        <v>65</v>
      </c>
      <c r="AG167" s="6">
        <v>48</v>
      </c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 t="s">
        <v>100</v>
      </c>
      <c r="BJ167" s="4">
        <v>110</v>
      </c>
      <c r="BK167" s="8">
        <v>7823.53</v>
      </c>
      <c r="BL167" s="2" t="s">
        <v>711</v>
      </c>
      <c r="BM167" s="7"/>
      <c r="BN167" s="7"/>
      <c r="BO167" s="4"/>
      <c r="BP167" s="8"/>
      <c r="BQ167" s="4"/>
      <c r="BR167" s="8"/>
      <c r="BS167" s="7"/>
      <c r="BT167" s="7"/>
      <c r="BU167" s="2" t="s">
        <v>147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712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631</v>
      </c>
      <c r="G168" s="2" t="s">
        <v>632</v>
      </c>
      <c r="H168" s="2" t="s">
        <v>633</v>
      </c>
      <c r="I168" s="2" t="s">
        <v>634</v>
      </c>
      <c r="J168" s="2" t="s">
        <v>95</v>
      </c>
      <c r="K168" s="2" t="s">
        <v>713</v>
      </c>
      <c r="L168" s="3">
        <v>53.35</v>
      </c>
      <c r="M168" s="3">
        <v>56.02</v>
      </c>
      <c r="N168" s="3">
        <v>99.99</v>
      </c>
      <c r="O168" s="2" t="s">
        <v>97</v>
      </c>
      <c r="P168" s="2" t="s">
        <v>182</v>
      </c>
      <c r="Q168" s="2" t="s">
        <v>99</v>
      </c>
      <c r="R168" s="2" t="s">
        <v>100</v>
      </c>
      <c r="S168" s="2" t="s">
        <v>714</v>
      </c>
      <c r="T168" s="2" t="s">
        <v>100</v>
      </c>
      <c r="U168" s="2" t="s">
        <v>102</v>
      </c>
      <c r="V168" s="2" t="s">
        <v>637</v>
      </c>
      <c r="W168" s="2" t="s">
        <v>104</v>
      </c>
      <c r="X168" s="2" t="s">
        <v>602</v>
      </c>
      <c r="Y168" s="2" t="s">
        <v>106</v>
      </c>
      <c r="Z168" s="4">
        <v>123</v>
      </c>
      <c r="AA168" s="4">
        <f>=ROUNDDOWN(6.83333333333333,0)</f>
      </c>
      <c r="AB168" s="5">
        <v>18</v>
      </c>
      <c r="AC168" s="2" t="s">
        <v>689</v>
      </c>
      <c r="AD168" s="4">
        <v>20</v>
      </c>
      <c r="AE168" s="4">
        <v>770</v>
      </c>
      <c r="AF168" s="6">
        <v>65</v>
      </c>
      <c r="AG168" s="6">
        <v>48</v>
      </c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 t="s">
        <v>100</v>
      </c>
      <c r="BJ168" s="4">
        <v>268</v>
      </c>
      <c r="BK168" s="8">
        <v>15605.92</v>
      </c>
      <c r="BL168" s="2" t="s">
        <v>715</v>
      </c>
      <c r="BM168" s="7"/>
      <c r="BN168" s="7"/>
      <c r="BO168" s="4"/>
      <c r="BP168" s="8"/>
      <c r="BQ168" s="4"/>
      <c r="BR168" s="8"/>
      <c r="BS168" s="7"/>
      <c r="BT168" s="7"/>
      <c r="BU168" s="2" t="s">
        <v>147</v>
      </c>
      <c r="BV168" s="2" t="s">
        <v>97</v>
      </c>
      <c r="BW168" s="2" t="s">
        <v>100</v>
      </c>
      <c r="BX168" s="2" t="s">
        <v>100</v>
      </c>
      <c r="BY168" s="2" t="s">
        <v>112</v>
      </c>
      <c r="BZ168" s="2" t="s">
        <v>100</v>
      </c>
    </row>
    <row r="169">
      <c r="A169" s="2" t="s">
        <v>716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631</v>
      </c>
      <c r="G169" s="2" t="s">
        <v>632</v>
      </c>
      <c r="H169" s="2" t="s">
        <v>633</v>
      </c>
      <c r="I169" s="2" t="s">
        <v>634</v>
      </c>
      <c r="J169" s="2" t="s">
        <v>114</v>
      </c>
      <c r="K169" s="2" t="s">
        <v>713</v>
      </c>
      <c r="L169" s="3">
        <v>63.06</v>
      </c>
      <c r="M169" s="3">
        <v>66.21</v>
      </c>
      <c r="N169" s="3">
        <v>119.99</v>
      </c>
      <c r="O169" s="2" t="s">
        <v>97</v>
      </c>
      <c r="P169" s="2" t="s">
        <v>182</v>
      </c>
      <c r="Q169" s="2" t="s">
        <v>99</v>
      </c>
      <c r="R169" s="2" t="s">
        <v>100</v>
      </c>
      <c r="S169" s="2" t="s">
        <v>714</v>
      </c>
      <c r="T169" s="2" t="s">
        <v>100</v>
      </c>
      <c r="U169" s="2" t="s">
        <v>102</v>
      </c>
      <c r="V169" s="2" t="s">
        <v>637</v>
      </c>
      <c r="W169" s="2" t="s">
        <v>104</v>
      </c>
      <c r="X169" s="2" t="s">
        <v>602</v>
      </c>
      <c r="Y169" s="2" t="s">
        <v>106</v>
      </c>
      <c r="Z169" s="4">
        <v>193</v>
      </c>
      <c r="AA169" s="4">
        <f>=ROUNDDOWN(16.0833333333333,0)</f>
      </c>
      <c r="AB169" s="5">
        <v>12</v>
      </c>
      <c r="AC169" s="2" t="s">
        <v>335</v>
      </c>
      <c r="AD169" s="4">
        <v>40</v>
      </c>
      <c r="AE169" s="4">
        <v>300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 t="s">
        <v>100</v>
      </c>
      <c r="BJ169" s="4">
        <v>166</v>
      </c>
      <c r="BK169" s="8">
        <v>11778.57</v>
      </c>
      <c r="BL169" s="2" t="s">
        <v>717</v>
      </c>
      <c r="BM169" s="7"/>
      <c r="BN169" s="7"/>
      <c r="BO169" s="4"/>
      <c r="BP169" s="8"/>
      <c r="BQ169" s="4"/>
      <c r="BR169" s="8"/>
      <c r="BS169" s="7"/>
      <c r="BT169" s="7"/>
      <c r="BU169" s="2" t="s">
        <v>147</v>
      </c>
      <c r="BV169" s="2" t="s">
        <v>97</v>
      </c>
      <c r="BW169" s="2" t="s">
        <v>100</v>
      </c>
      <c r="BX169" s="2" t="s">
        <v>100</v>
      </c>
      <c r="BY169" s="2" t="s">
        <v>112</v>
      </c>
      <c r="BZ169" s="2" t="s">
        <v>100</v>
      </c>
    </row>
    <row r="170">
      <c r="A170" s="2" t="s">
        <v>718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631</v>
      </c>
      <c r="G170" s="2" t="s">
        <v>632</v>
      </c>
      <c r="H170" s="2" t="s">
        <v>633</v>
      </c>
      <c r="I170" s="2" t="s">
        <v>634</v>
      </c>
      <c r="J170" s="2" t="s">
        <v>118</v>
      </c>
      <c r="K170" s="2" t="s">
        <v>713</v>
      </c>
      <c r="L170" s="3">
        <v>63.06</v>
      </c>
      <c r="M170" s="3">
        <v>66.21</v>
      </c>
      <c r="N170" s="3">
        <v>119.99</v>
      </c>
      <c r="O170" s="2" t="s">
        <v>97</v>
      </c>
      <c r="P170" s="2" t="s">
        <v>182</v>
      </c>
      <c r="Q170" s="2" t="s">
        <v>99</v>
      </c>
      <c r="R170" s="2" t="s">
        <v>100</v>
      </c>
      <c r="S170" s="2" t="s">
        <v>714</v>
      </c>
      <c r="T170" s="2" t="s">
        <v>100</v>
      </c>
      <c r="U170" s="2" t="s">
        <v>102</v>
      </c>
      <c r="V170" s="2" t="s">
        <v>637</v>
      </c>
      <c r="W170" s="2" t="s">
        <v>104</v>
      </c>
      <c r="X170" s="2" t="s">
        <v>602</v>
      </c>
      <c r="Y170" s="2" t="s">
        <v>106</v>
      </c>
      <c r="Z170" s="4">
        <v>144</v>
      </c>
      <c r="AA170" s="4">
        <f>=ROUNDDOWN(24,0)</f>
      </c>
      <c r="AB170" s="5">
        <v>6</v>
      </c>
      <c r="AC170" s="2" t="s">
        <v>638</v>
      </c>
      <c r="AD170" s="4">
        <v>30</v>
      </c>
      <c r="AE170" s="4">
        <v>120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 t="s">
        <v>100</v>
      </c>
      <c r="BJ170" s="4">
        <v>76</v>
      </c>
      <c r="BK170" s="8">
        <v>5195.66</v>
      </c>
      <c r="BL170" s="2" t="s">
        <v>388</v>
      </c>
      <c r="BM170" s="7"/>
      <c r="BN170" s="7"/>
      <c r="BO170" s="4"/>
      <c r="BP170" s="8"/>
      <c r="BQ170" s="4"/>
      <c r="BR170" s="8"/>
      <c r="BS170" s="7"/>
      <c r="BT170" s="7"/>
      <c r="BU170" s="2" t="s">
        <v>147</v>
      </c>
      <c r="BV170" s="2" t="s">
        <v>97</v>
      </c>
      <c r="BW170" s="2" t="s">
        <v>100</v>
      </c>
      <c r="BX170" s="2" t="s">
        <v>100</v>
      </c>
      <c r="BY170" s="2" t="s">
        <v>112</v>
      </c>
      <c r="BZ170" s="2" t="s">
        <v>100</v>
      </c>
    </row>
    <row r="171">
      <c r="A171" s="2" t="s">
        <v>719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631</v>
      </c>
      <c r="G171" s="2" t="s">
        <v>632</v>
      </c>
      <c r="H171" s="2" t="s">
        <v>633</v>
      </c>
      <c r="I171" s="2" t="s">
        <v>634</v>
      </c>
      <c r="J171" s="2" t="s">
        <v>95</v>
      </c>
      <c r="K171" s="2" t="s">
        <v>622</v>
      </c>
      <c r="L171" s="3">
        <v>53.35</v>
      </c>
      <c r="M171" s="3">
        <v>56.02</v>
      </c>
      <c r="N171" s="3">
        <v>99.99</v>
      </c>
      <c r="O171" s="2" t="s">
        <v>97</v>
      </c>
      <c r="P171" s="2" t="s">
        <v>182</v>
      </c>
      <c r="Q171" s="2" t="s">
        <v>99</v>
      </c>
      <c r="R171" s="2" t="s">
        <v>100</v>
      </c>
      <c r="S171" s="2" t="s">
        <v>720</v>
      </c>
      <c r="T171" s="2" t="s">
        <v>100</v>
      </c>
      <c r="U171" s="2" t="s">
        <v>102</v>
      </c>
      <c r="V171" s="2" t="s">
        <v>637</v>
      </c>
      <c r="W171" s="2" t="s">
        <v>104</v>
      </c>
      <c r="X171" s="2" t="s">
        <v>602</v>
      </c>
      <c r="Y171" s="2" t="s">
        <v>106</v>
      </c>
      <c r="Z171" s="4">
        <v>280</v>
      </c>
      <c r="AA171" s="4">
        <f>=ROUNDDOWN(14.7368421052632,0)</f>
      </c>
      <c r="AB171" s="5">
        <v>19</v>
      </c>
      <c r="AC171" s="2" t="s">
        <v>126</v>
      </c>
      <c r="AD171" s="4">
        <v>50</v>
      </c>
      <c r="AE171" s="4">
        <v>510</v>
      </c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 t="s">
        <v>100</v>
      </c>
      <c r="BJ171" s="4">
        <v>398</v>
      </c>
      <c r="BK171" s="8">
        <v>22964.72</v>
      </c>
      <c r="BL171" s="2" t="s">
        <v>721</v>
      </c>
      <c r="BM171" s="7"/>
      <c r="BN171" s="7"/>
      <c r="BO171" s="4"/>
      <c r="BP171" s="8"/>
      <c r="BQ171" s="4"/>
      <c r="BR171" s="8"/>
      <c r="BS171" s="7"/>
      <c r="BT171" s="7"/>
      <c r="BU171" s="2" t="s">
        <v>147</v>
      </c>
      <c r="BV171" s="2" t="s">
        <v>97</v>
      </c>
      <c r="BW171" s="2" t="s">
        <v>100</v>
      </c>
      <c r="BX171" s="2" t="s">
        <v>100</v>
      </c>
      <c r="BY171" s="2" t="s">
        <v>112</v>
      </c>
      <c r="BZ171" s="2" t="s">
        <v>100</v>
      </c>
    </row>
    <row r="172">
      <c r="A172" s="2" t="s">
        <v>722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631</v>
      </c>
      <c r="G172" s="2" t="s">
        <v>632</v>
      </c>
      <c r="H172" s="2" t="s">
        <v>633</v>
      </c>
      <c r="I172" s="2" t="s">
        <v>634</v>
      </c>
      <c r="J172" s="2" t="s">
        <v>114</v>
      </c>
      <c r="K172" s="2" t="s">
        <v>622</v>
      </c>
      <c r="L172" s="3">
        <v>63.06</v>
      </c>
      <c r="M172" s="3">
        <v>66.21</v>
      </c>
      <c r="N172" s="3">
        <v>119.99</v>
      </c>
      <c r="O172" s="2" t="s">
        <v>97</v>
      </c>
      <c r="P172" s="2" t="s">
        <v>182</v>
      </c>
      <c r="Q172" s="2" t="s">
        <v>99</v>
      </c>
      <c r="R172" s="2" t="s">
        <v>100</v>
      </c>
      <c r="S172" s="2" t="s">
        <v>720</v>
      </c>
      <c r="T172" s="2" t="s">
        <v>100</v>
      </c>
      <c r="U172" s="2" t="s">
        <v>102</v>
      </c>
      <c r="V172" s="2" t="s">
        <v>637</v>
      </c>
      <c r="W172" s="2" t="s">
        <v>104</v>
      </c>
      <c r="X172" s="2" t="s">
        <v>602</v>
      </c>
      <c r="Y172" s="2" t="s">
        <v>106</v>
      </c>
      <c r="Z172" s="4">
        <v>252</v>
      </c>
      <c r="AA172" s="4">
        <f>=ROUNDDOWN(19.3846153846154,0)</f>
      </c>
      <c r="AB172" s="5">
        <v>13</v>
      </c>
      <c r="AC172" s="2" t="s">
        <v>659</v>
      </c>
      <c r="AD172" s="4">
        <v>30</v>
      </c>
      <c r="AE172" s="4">
        <v>240</v>
      </c>
      <c r="AF172" s="6">
        <v>65</v>
      </c>
      <c r="AG172" s="6">
        <v>48</v>
      </c>
      <c r="AH172" s="7">
        <v>0.9273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 t="s">
        <v>100</v>
      </c>
      <c r="BJ172" s="4">
        <v>243</v>
      </c>
      <c r="BK172" s="8">
        <v>17511.87</v>
      </c>
      <c r="BL172" s="2" t="s">
        <v>723</v>
      </c>
      <c r="BM172" s="7"/>
      <c r="BN172" s="7"/>
      <c r="BO172" s="4"/>
      <c r="BP172" s="8"/>
      <c r="BQ172" s="4"/>
      <c r="BR172" s="8"/>
      <c r="BS172" s="7"/>
      <c r="BT172" s="7"/>
      <c r="BU172" s="2" t="s">
        <v>147</v>
      </c>
      <c r="BV172" s="2" t="s">
        <v>97</v>
      </c>
      <c r="BW172" s="2" t="s">
        <v>100</v>
      </c>
      <c r="BX172" s="2" t="s">
        <v>100</v>
      </c>
      <c r="BY172" s="2" t="s">
        <v>112</v>
      </c>
      <c r="BZ172" s="2" t="s">
        <v>100</v>
      </c>
    </row>
    <row r="173">
      <c r="A173" s="2" t="s">
        <v>724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631</v>
      </c>
      <c r="G173" s="2" t="s">
        <v>632</v>
      </c>
      <c r="H173" s="2" t="s">
        <v>633</v>
      </c>
      <c r="I173" s="2" t="s">
        <v>634</v>
      </c>
      <c r="J173" s="2" t="s">
        <v>118</v>
      </c>
      <c r="K173" s="2" t="s">
        <v>622</v>
      </c>
      <c r="L173" s="3">
        <v>63.06</v>
      </c>
      <c r="M173" s="3">
        <v>66.21</v>
      </c>
      <c r="N173" s="3">
        <v>119.99</v>
      </c>
      <c r="O173" s="2" t="s">
        <v>97</v>
      </c>
      <c r="P173" s="2" t="s">
        <v>182</v>
      </c>
      <c r="Q173" s="2" t="s">
        <v>99</v>
      </c>
      <c r="R173" s="2" t="s">
        <v>100</v>
      </c>
      <c r="S173" s="2" t="s">
        <v>720</v>
      </c>
      <c r="T173" s="2" t="s">
        <v>100</v>
      </c>
      <c r="U173" s="2" t="s">
        <v>102</v>
      </c>
      <c r="V173" s="2" t="s">
        <v>637</v>
      </c>
      <c r="W173" s="2" t="s">
        <v>104</v>
      </c>
      <c r="X173" s="2" t="s">
        <v>602</v>
      </c>
      <c r="Y173" s="2" t="s">
        <v>106</v>
      </c>
      <c r="Z173" s="4">
        <v>60</v>
      </c>
      <c r="AA173" s="4">
        <f>=ROUNDDOWN(6.66666666666667,0)</f>
      </c>
      <c r="AB173" s="5">
        <v>9</v>
      </c>
      <c r="AC173" s="2" t="s">
        <v>126</v>
      </c>
      <c r="AD173" s="4">
        <v>40</v>
      </c>
      <c r="AE173" s="4">
        <v>380</v>
      </c>
      <c r="AF173" s="6">
        <v>65</v>
      </c>
      <c r="AG173" s="6">
        <v>48</v>
      </c>
      <c r="AH173" s="7">
        <v>0.9273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 t="s">
        <v>100</v>
      </c>
      <c r="BJ173" s="4">
        <v>118</v>
      </c>
      <c r="BK173" s="8">
        <v>8457.32</v>
      </c>
      <c r="BL173" s="2" t="s">
        <v>725</v>
      </c>
      <c r="BM173" s="7"/>
      <c r="BN173" s="7"/>
      <c r="BO173" s="4"/>
      <c r="BP173" s="8"/>
      <c r="BQ173" s="4"/>
      <c r="BR173" s="8"/>
      <c r="BS173" s="7"/>
      <c r="BT173" s="7"/>
      <c r="BU173" s="2" t="s">
        <v>147</v>
      </c>
      <c r="BV173" s="2" t="s">
        <v>97</v>
      </c>
      <c r="BW173" s="2" t="s">
        <v>100</v>
      </c>
      <c r="BX173" s="2" t="s">
        <v>100</v>
      </c>
      <c r="BY173" s="2" t="s">
        <v>112</v>
      </c>
      <c r="BZ173" s="2" t="s">
        <v>100</v>
      </c>
    </row>
    <row r="174">
      <c r="A174" s="2" t="s">
        <v>726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727</v>
      </c>
      <c r="G174" s="2" t="s">
        <v>728</v>
      </c>
      <c r="H174" s="2" t="s">
        <v>729</v>
      </c>
      <c r="I174" s="2" t="s">
        <v>730</v>
      </c>
      <c r="J174" s="2" t="s">
        <v>95</v>
      </c>
      <c r="K174" s="2" t="s">
        <v>650</v>
      </c>
      <c r="L174" s="3">
        <v>82.71</v>
      </c>
      <c r="M174" s="3">
        <v>86.85</v>
      </c>
      <c r="N174" s="3">
        <v>174.99</v>
      </c>
      <c r="O174" s="2" t="s">
        <v>97</v>
      </c>
      <c r="P174" s="2" t="s">
        <v>124</v>
      </c>
      <c r="Q174" s="2" t="s">
        <v>99</v>
      </c>
      <c r="R174" s="2" t="s">
        <v>100</v>
      </c>
      <c r="S174" s="2" t="s">
        <v>731</v>
      </c>
      <c r="T174" s="2" t="s">
        <v>732</v>
      </c>
      <c r="U174" s="2" t="s">
        <v>403</v>
      </c>
      <c r="V174" s="2" t="s">
        <v>491</v>
      </c>
      <c r="W174" s="2" t="s">
        <v>733</v>
      </c>
      <c r="X174" s="2" t="s">
        <v>284</v>
      </c>
      <c r="Y174" s="2" t="s">
        <v>734</v>
      </c>
      <c r="Z174" s="4">
        <v>632</v>
      </c>
      <c r="AA174" s="4">
        <f>=ROUNDDOWN(10.5333333333333,0)</f>
      </c>
      <c r="AB174" s="5">
        <v>60</v>
      </c>
      <c r="AC174" s="2" t="s">
        <v>735</v>
      </c>
      <c r="AD174" s="4">
        <v>150</v>
      </c>
      <c r="AE174" s="4">
        <v>1710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>
        <v>0</v>
      </c>
      <c r="AP174" s="4">
        <v>3</v>
      </c>
      <c r="AQ174" s="8">
        <v>260.55</v>
      </c>
      <c r="AR174" s="4">
        <v>3</v>
      </c>
      <c r="AS174" s="8">
        <v>260.55</v>
      </c>
      <c r="AT174" s="7"/>
      <c r="AU174" s="7"/>
      <c r="AV174" s="4">
        <v>8</v>
      </c>
      <c r="AW174" s="8">
        <v>749.05</v>
      </c>
      <c r="AX174" s="4">
        <v>9</v>
      </c>
      <c r="AY174" s="8">
        <v>846.75</v>
      </c>
      <c r="AZ174" s="7">
        <v>-0.1111</v>
      </c>
      <c r="BA174" s="7">
        <v>-0.1154</v>
      </c>
      <c r="BB174" s="7">
        <v>0.3478</v>
      </c>
      <c r="BC174" s="4">
        <v>8</v>
      </c>
      <c r="BD174" s="8">
        <v>749.05</v>
      </c>
      <c r="BE174" s="4">
        <v>9</v>
      </c>
      <c r="BF174" s="8">
        <v>846.75</v>
      </c>
      <c r="BG174" s="7">
        <v>-0.1111</v>
      </c>
      <c r="BH174" s="7">
        <v>-0.1154</v>
      </c>
      <c r="BI174" s="7">
        <v>1</v>
      </c>
      <c r="BJ174" s="4">
        <v>1166</v>
      </c>
      <c r="BK174" s="8">
        <v>104609.47</v>
      </c>
      <c r="BL174" s="2" t="s">
        <v>736</v>
      </c>
      <c r="BM174" s="7">
        <v>0.0026</v>
      </c>
      <c r="BN174" s="7">
        <v>0.0025</v>
      </c>
      <c r="BO174" s="4">
        <v>3</v>
      </c>
      <c r="BP174" s="8">
        <v>260.55</v>
      </c>
      <c r="BQ174" s="4">
        <v>3</v>
      </c>
      <c r="BR174" s="8">
        <v>260.55</v>
      </c>
      <c r="BS174" s="7"/>
      <c r="BT174" s="7"/>
      <c r="BU174" s="2" t="s">
        <v>109</v>
      </c>
      <c r="BV174" s="2" t="s">
        <v>97</v>
      </c>
      <c r="BW174" s="2" t="s">
        <v>737</v>
      </c>
      <c r="BX174" s="2" t="s">
        <v>738</v>
      </c>
      <c r="BY174" s="2" t="s">
        <v>112</v>
      </c>
      <c r="BZ174" s="2" t="s">
        <v>100</v>
      </c>
    </row>
    <row r="175">
      <c r="A175" s="2" t="s">
        <v>739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727</v>
      </c>
      <c r="G175" s="2" t="s">
        <v>728</v>
      </c>
      <c r="H175" s="2" t="s">
        <v>729</v>
      </c>
      <c r="I175" s="2" t="s">
        <v>730</v>
      </c>
      <c r="J175" s="2" t="s">
        <v>114</v>
      </c>
      <c r="K175" s="2" t="s">
        <v>650</v>
      </c>
      <c r="L175" s="3">
        <v>93.05</v>
      </c>
      <c r="M175" s="3">
        <v>97.7</v>
      </c>
      <c r="N175" s="3">
        <v>194.99</v>
      </c>
      <c r="O175" s="2" t="s">
        <v>97</v>
      </c>
      <c r="P175" s="2" t="s">
        <v>124</v>
      </c>
      <c r="Q175" s="2" t="s">
        <v>99</v>
      </c>
      <c r="R175" s="2" t="s">
        <v>100</v>
      </c>
      <c r="S175" s="2" t="s">
        <v>731</v>
      </c>
      <c r="T175" s="2" t="s">
        <v>732</v>
      </c>
      <c r="U175" s="2" t="s">
        <v>403</v>
      </c>
      <c r="V175" s="2" t="s">
        <v>491</v>
      </c>
      <c r="W175" s="2" t="s">
        <v>733</v>
      </c>
      <c r="X175" s="2" t="s">
        <v>284</v>
      </c>
      <c r="Y175" s="2" t="s">
        <v>734</v>
      </c>
      <c r="Z175" s="4">
        <v>375</v>
      </c>
      <c r="AA175" s="4">
        <f>=ROUNDDOWN(10.1351351351351,0)</f>
      </c>
      <c r="AB175" s="5">
        <v>37</v>
      </c>
      <c r="AC175" s="2" t="s">
        <v>735</v>
      </c>
      <c r="AD175" s="4">
        <v>100</v>
      </c>
      <c r="AE175" s="4">
        <v>1140</v>
      </c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>
        <v>0</v>
      </c>
      <c r="AP175" s="4">
        <v>4</v>
      </c>
      <c r="AQ175" s="8">
        <v>390.8</v>
      </c>
      <c r="AR175" s="4">
        <v>6</v>
      </c>
      <c r="AS175" s="8">
        <v>586.2</v>
      </c>
      <c r="AT175" s="7">
        <v>-0.3333</v>
      </c>
      <c r="AU175" s="7">
        <v>-0.3333</v>
      </c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>
        <v>0.5217</v>
      </c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 t="s">
        <v>100</v>
      </c>
      <c r="BJ175" s="4">
        <v>783</v>
      </c>
      <c r="BK175" s="8">
        <v>80187.26</v>
      </c>
      <c r="BL175" s="2" t="s">
        <v>740</v>
      </c>
      <c r="BM175" s="7">
        <v>0.0051</v>
      </c>
      <c r="BN175" s="7">
        <v>0.0049</v>
      </c>
      <c r="BO175" s="4">
        <v>4</v>
      </c>
      <c r="BP175" s="8">
        <v>390.8</v>
      </c>
      <c r="BQ175" s="4">
        <v>6</v>
      </c>
      <c r="BR175" s="8">
        <v>586.2</v>
      </c>
      <c r="BS175" s="7">
        <v>-0.3333</v>
      </c>
      <c r="BT175" s="7">
        <v>-0.3333</v>
      </c>
      <c r="BU175" s="2" t="s">
        <v>109</v>
      </c>
      <c r="BV175" s="2" t="s">
        <v>97</v>
      </c>
      <c r="BW175" s="2" t="s">
        <v>110</v>
      </c>
      <c r="BX175" s="2" t="s">
        <v>645</v>
      </c>
      <c r="BY175" s="2" t="s">
        <v>112</v>
      </c>
      <c r="BZ175" s="2" t="s">
        <v>100</v>
      </c>
    </row>
    <row r="176">
      <c r="A176" s="2" t="s">
        <v>741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727</v>
      </c>
      <c r="G176" s="2" t="s">
        <v>728</v>
      </c>
      <c r="H176" s="2" t="s">
        <v>729</v>
      </c>
      <c r="I176" s="2" t="s">
        <v>730</v>
      </c>
      <c r="J176" s="2" t="s">
        <v>118</v>
      </c>
      <c r="K176" s="2" t="s">
        <v>650</v>
      </c>
      <c r="L176" s="3">
        <v>93.05</v>
      </c>
      <c r="M176" s="3">
        <v>97.7</v>
      </c>
      <c r="N176" s="3">
        <v>194.99</v>
      </c>
      <c r="O176" s="2" t="s">
        <v>97</v>
      </c>
      <c r="P176" s="2" t="s">
        <v>124</v>
      </c>
      <c r="Q176" s="2" t="s">
        <v>99</v>
      </c>
      <c r="R176" s="2" t="s">
        <v>100</v>
      </c>
      <c r="S176" s="2" t="s">
        <v>731</v>
      </c>
      <c r="T176" s="2" t="s">
        <v>732</v>
      </c>
      <c r="U176" s="2" t="s">
        <v>403</v>
      </c>
      <c r="V176" s="2" t="s">
        <v>491</v>
      </c>
      <c r="W176" s="2" t="s">
        <v>733</v>
      </c>
      <c r="X176" s="2" t="s">
        <v>284</v>
      </c>
      <c r="Y176" s="2" t="s">
        <v>734</v>
      </c>
      <c r="Z176" s="4">
        <v>257</v>
      </c>
      <c r="AA176" s="4">
        <f>=ROUNDDOWN(9.88461538461539,0)</f>
      </c>
      <c r="AB176" s="5">
        <v>26</v>
      </c>
      <c r="AC176" s="2" t="s">
        <v>735</v>
      </c>
      <c r="AD176" s="4">
        <v>240</v>
      </c>
      <c r="AE176" s="4">
        <v>980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>
        <v>0</v>
      </c>
      <c r="AP176" s="4">
        <v>1</v>
      </c>
      <c r="AQ176" s="8">
        <v>97.7</v>
      </c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>
        <v>0.1304</v>
      </c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 t="s">
        <v>100</v>
      </c>
      <c r="BJ176" s="4">
        <v>440</v>
      </c>
      <c r="BK176" s="8">
        <v>45469.61</v>
      </c>
      <c r="BL176" s="2" t="s">
        <v>742</v>
      </c>
      <c r="BM176" s="7">
        <v>0.0023</v>
      </c>
      <c r="BN176" s="7">
        <v>0.0021</v>
      </c>
      <c r="BO176" s="4">
        <v>1</v>
      </c>
      <c r="BP176" s="8">
        <v>97.7</v>
      </c>
      <c r="BQ176" s="4"/>
      <c r="BR176" s="8"/>
      <c r="BS176" s="7"/>
      <c r="BT176" s="7"/>
      <c r="BU176" s="2" t="s">
        <v>109</v>
      </c>
      <c r="BV176" s="2" t="s">
        <v>97</v>
      </c>
      <c r="BW176" s="2" t="s">
        <v>110</v>
      </c>
      <c r="BX176" s="2" t="s">
        <v>738</v>
      </c>
      <c r="BY176" s="2" t="s">
        <v>112</v>
      </c>
      <c r="BZ176" s="2" t="s">
        <v>100</v>
      </c>
    </row>
    <row r="177">
      <c r="A177" s="2" t="s">
        <v>743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727</v>
      </c>
      <c r="G177" s="2" t="s">
        <v>728</v>
      </c>
      <c r="H177" s="2" t="s">
        <v>729</v>
      </c>
      <c r="I177" s="2" t="s">
        <v>730</v>
      </c>
      <c r="J177" s="2" t="s">
        <v>95</v>
      </c>
      <c r="K177" s="2" t="s">
        <v>158</v>
      </c>
      <c r="L177" s="3">
        <v>82.71</v>
      </c>
      <c r="M177" s="3">
        <v>86.85</v>
      </c>
      <c r="N177" s="3">
        <v>174.99</v>
      </c>
      <c r="O177" s="2" t="s">
        <v>97</v>
      </c>
      <c r="P177" s="2" t="s">
        <v>182</v>
      </c>
      <c r="Q177" s="2" t="s">
        <v>99</v>
      </c>
      <c r="R177" s="2" t="s">
        <v>100</v>
      </c>
      <c r="S177" s="2" t="s">
        <v>744</v>
      </c>
      <c r="T177" s="2" t="s">
        <v>732</v>
      </c>
      <c r="U177" s="2" t="s">
        <v>403</v>
      </c>
      <c r="V177" s="2" t="s">
        <v>491</v>
      </c>
      <c r="W177" s="2" t="s">
        <v>733</v>
      </c>
      <c r="X177" s="2" t="s">
        <v>201</v>
      </c>
      <c r="Y177" s="2" t="s">
        <v>745</v>
      </c>
      <c r="Z177" s="4">
        <v>266</v>
      </c>
      <c r="AA177" s="4">
        <f>=ROUNDDOWN(20.4615384615385,0)</f>
      </c>
      <c r="AB177" s="5">
        <v>13</v>
      </c>
      <c r="AC177" s="2" t="s">
        <v>746</v>
      </c>
      <c r="AD177" s="4">
        <v>80</v>
      </c>
      <c r="AE177" s="4">
        <v>350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 t="s">
        <v>100</v>
      </c>
      <c r="BJ177" s="4">
        <v>203</v>
      </c>
      <c r="BK177" s="8">
        <v>18181.84</v>
      </c>
      <c r="BL177" s="2" t="s">
        <v>747</v>
      </c>
      <c r="BM177" s="7"/>
      <c r="BN177" s="7"/>
      <c r="BO177" s="4"/>
      <c r="BP177" s="8"/>
      <c r="BQ177" s="4"/>
      <c r="BR177" s="8"/>
      <c r="BS177" s="7"/>
      <c r="BT177" s="7"/>
      <c r="BU177" s="2" t="s">
        <v>147</v>
      </c>
      <c r="BV177" s="2" t="s">
        <v>97</v>
      </c>
      <c r="BW177" s="2" t="s">
        <v>100</v>
      </c>
      <c r="BX177" s="2" t="s">
        <v>100</v>
      </c>
      <c r="BY177" s="2" t="s">
        <v>112</v>
      </c>
      <c r="BZ177" s="2" t="s">
        <v>100</v>
      </c>
    </row>
    <row r="178">
      <c r="A178" s="2" t="s">
        <v>748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727</v>
      </c>
      <c r="G178" s="2" t="s">
        <v>728</v>
      </c>
      <c r="H178" s="2" t="s">
        <v>729</v>
      </c>
      <c r="I178" s="2" t="s">
        <v>730</v>
      </c>
      <c r="J178" s="2" t="s">
        <v>114</v>
      </c>
      <c r="K178" s="2" t="s">
        <v>158</v>
      </c>
      <c r="L178" s="3">
        <v>93.05</v>
      </c>
      <c r="M178" s="3">
        <v>97.7</v>
      </c>
      <c r="N178" s="3">
        <v>194.99</v>
      </c>
      <c r="O178" s="2" t="s">
        <v>97</v>
      </c>
      <c r="P178" s="2" t="s">
        <v>182</v>
      </c>
      <c r="Q178" s="2" t="s">
        <v>99</v>
      </c>
      <c r="R178" s="2" t="s">
        <v>100</v>
      </c>
      <c r="S178" s="2" t="s">
        <v>744</v>
      </c>
      <c r="T178" s="2" t="s">
        <v>732</v>
      </c>
      <c r="U178" s="2" t="s">
        <v>403</v>
      </c>
      <c r="V178" s="2" t="s">
        <v>491</v>
      </c>
      <c r="W178" s="2" t="s">
        <v>733</v>
      </c>
      <c r="X178" s="2" t="s">
        <v>201</v>
      </c>
      <c r="Y178" s="2" t="s">
        <v>745</v>
      </c>
      <c r="Z178" s="4">
        <v>192</v>
      </c>
      <c r="AA178" s="4">
        <f>=ROUNDDOWN(19.2,0)</f>
      </c>
      <c r="AB178" s="5">
        <v>10</v>
      </c>
      <c r="AC178" s="2" t="s">
        <v>746</v>
      </c>
      <c r="AD178" s="4">
        <v>84</v>
      </c>
      <c r="AE178" s="4">
        <v>314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 t="s">
        <v>100</v>
      </c>
      <c r="BJ178" s="4">
        <v>120</v>
      </c>
      <c r="BK178" s="8">
        <v>12116.37</v>
      </c>
      <c r="BL178" s="2" t="s">
        <v>749</v>
      </c>
      <c r="BM178" s="7"/>
      <c r="BN178" s="7"/>
      <c r="BO178" s="4"/>
      <c r="BP178" s="8"/>
      <c r="BQ178" s="4"/>
      <c r="BR178" s="8"/>
      <c r="BS178" s="7"/>
      <c r="BT178" s="7"/>
      <c r="BU178" s="2" t="s">
        <v>147</v>
      </c>
      <c r="BV178" s="2" t="s">
        <v>97</v>
      </c>
      <c r="BW178" s="2" t="s">
        <v>100</v>
      </c>
      <c r="BX178" s="2" t="s">
        <v>100</v>
      </c>
      <c r="BY178" s="2" t="s">
        <v>112</v>
      </c>
      <c r="BZ178" s="2" t="s">
        <v>100</v>
      </c>
    </row>
    <row r="179">
      <c r="A179" s="2" t="s">
        <v>750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727</v>
      </c>
      <c r="G179" s="2" t="s">
        <v>728</v>
      </c>
      <c r="H179" s="2" t="s">
        <v>729</v>
      </c>
      <c r="I179" s="2" t="s">
        <v>730</v>
      </c>
      <c r="J179" s="2" t="s">
        <v>118</v>
      </c>
      <c r="K179" s="2" t="s">
        <v>158</v>
      </c>
      <c r="L179" s="3">
        <v>93.05</v>
      </c>
      <c r="M179" s="3">
        <v>97.7</v>
      </c>
      <c r="N179" s="3">
        <v>194.99</v>
      </c>
      <c r="O179" s="2" t="s">
        <v>97</v>
      </c>
      <c r="P179" s="2" t="s">
        <v>182</v>
      </c>
      <c r="Q179" s="2" t="s">
        <v>99</v>
      </c>
      <c r="R179" s="2" t="s">
        <v>100</v>
      </c>
      <c r="S179" s="2" t="s">
        <v>744</v>
      </c>
      <c r="T179" s="2" t="s">
        <v>732</v>
      </c>
      <c r="U179" s="2" t="s">
        <v>403</v>
      </c>
      <c r="V179" s="2" t="s">
        <v>491</v>
      </c>
      <c r="W179" s="2" t="s">
        <v>733</v>
      </c>
      <c r="X179" s="2" t="s">
        <v>201</v>
      </c>
      <c r="Y179" s="2" t="s">
        <v>745</v>
      </c>
      <c r="Z179" s="4">
        <v>90</v>
      </c>
      <c r="AA179" s="4">
        <f>=ROUNDDOWN(22.5,0)</f>
      </c>
      <c r="AB179" s="5">
        <v>4</v>
      </c>
      <c r="AC179" s="2" t="s">
        <v>751</v>
      </c>
      <c r="AD179" s="4">
        <v>110</v>
      </c>
      <c r="AE179" s="4">
        <v>110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 t="s">
        <v>100</v>
      </c>
      <c r="BJ179" s="4">
        <v>64</v>
      </c>
      <c r="BK179" s="8">
        <v>6391.62</v>
      </c>
      <c r="BL179" s="2" t="s">
        <v>752</v>
      </c>
      <c r="BM179" s="7"/>
      <c r="BN179" s="7"/>
      <c r="BO179" s="4"/>
      <c r="BP179" s="8"/>
      <c r="BQ179" s="4"/>
      <c r="BR179" s="8"/>
      <c r="BS179" s="7"/>
      <c r="BT179" s="7"/>
      <c r="BU179" s="2" t="s">
        <v>147</v>
      </c>
      <c r="BV179" s="2" t="s">
        <v>97</v>
      </c>
      <c r="BW179" s="2" t="s">
        <v>100</v>
      </c>
      <c r="BX179" s="2" t="s">
        <v>100</v>
      </c>
      <c r="BY179" s="2" t="s">
        <v>112</v>
      </c>
      <c r="BZ179" s="2" t="s">
        <v>100</v>
      </c>
    </row>
    <row r="180">
      <c r="A180" s="2" t="s">
        <v>753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754</v>
      </c>
      <c r="G180" s="2" t="s">
        <v>755</v>
      </c>
      <c r="H180" s="2" t="s">
        <v>756</v>
      </c>
      <c r="I180" s="2" t="s">
        <v>757</v>
      </c>
      <c r="J180" s="2" t="s">
        <v>95</v>
      </c>
      <c r="K180" s="2" t="s">
        <v>197</v>
      </c>
      <c r="L180" s="3">
        <v>64.4</v>
      </c>
      <c r="M180" s="3">
        <v>67.62</v>
      </c>
      <c r="N180" s="3">
        <v>139.99</v>
      </c>
      <c r="O180" s="2" t="s">
        <v>97</v>
      </c>
      <c r="P180" s="2" t="s">
        <v>182</v>
      </c>
      <c r="Q180" s="2" t="s">
        <v>99</v>
      </c>
      <c r="R180" s="2" t="s">
        <v>100</v>
      </c>
      <c r="S180" s="2" t="s">
        <v>758</v>
      </c>
      <c r="T180" s="2" t="s">
        <v>100</v>
      </c>
      <c r="U180" s="2" t="s">
        <v>102</v>
      </c>
      <c r="V180" s="2" t="s">
        <v>103</v>
      </c>
      <c r="W180" s="2" t="s">
        <v>759</v>
      </c>
      <c r="X180" s="2" t="s">
        <v>104</v>
      </c>
      <c r="Y180" s="2" t="s">
        <v>106</v>
      </c>
      <c r="Z180" s="4">
        <v>624</v>
      </c>
      <c r="AA180" s="4">
        <f>=ROUNDDOWN(34.6666666666667,0)</f>
      </c>
      <c r="AB180" s="5">
        <v>18</v>
      </c>
      <c r="AC180" s="2" t="s">
        <v>269</v>
      </c>
      <c r="AD180" s="4">
        <v>110</v>
      </c>
      <c r="AE180" s="4">
        <v>320</v>
      </c>
      <c r="AF180" s="6">
        <v>65</v>
      </c>
      <c r="AG180" s="6">
        <v>48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>
        <v>0</v>
      </c>
      <c r="AP180" s="4">
        <v>7</v>
      </c>
      <c r="AQ180" s="8">
        <v>473.34</v>
      </c>
      <c r="AR180" s="4">
        <v>8</v>
      </c>
      <c r="AS180" s="8">
        <v>540.96</v>
      </c>
      <c r="AT180" s="7">
        <v>-0.125</v>
      </c>
      <c r="AU180" s="7">
        <v>-0.125</v>
      </c>
      <c r="AV180" s="4">
        <v>10</v>
      </c>
      <c r="AW180" s="8">
        <v>710.22</v>
      </c>
      <c r="AX180" s="4">
        <v>18</v>
      </c>
      <c r="AY180" s="8">
        <v>1330.56</v>
      </c>
      <c r="AZ180" s="7">
        <v>-0.4444</v>
      </c>
      <c r="BA180" s="7">
        <v>-0.4662</v>
      </c>
      <c r="BB180" s="7">
        <v>0.6665</v>
      </c>
      <c r="BC180" s="4">
        <v>10</v>
      </c>
      <c r="BD180" s="8">
        <v>710.22</v>
      </c>
      <c r="BE180" s="4">
        <v>18</v>
      </c>
      <c r="BF180" s="8">
        <v>1330.56</v>
      </c>
      <c r="BG180" s="7">
        <v>-0.4444</v>
      </c>
      <c r="BH180" s="7">
        <v>-0.4662</v>
      </c>
      <c r="BI180" s="7">
        <v>1</v>
      </c>
      <c r="BJ180" s="4">
        <v>368</v>
      </c>
      <c r="BK180" s="8">
        <v>24829.49</v>
      </c>
      <c r="BL180" s="2" t="s">
        <v>760</v>
      </c>
      <c r="BM180" s="7">
        <v>0.019</v>
      </c>
      <c r="BN180" s="7">
        <v>0.0191</v>
      </c>
      <c r="BO180" s="4">
        <v>7</v>
      </c>
      <c r="BP180" s="8">
        <v>473.34</v>
      </c>
      <c r="BQ180" s="4">
        <v>8</v>
      </c>
      <c r="BR180" s="8">
        <v>540.96</v>
      </c>
      <c r="BS180" s="7">
        <v>-0.125</v>
      </c>
      <c r="BT180" s="7">
        <v>-0.125</v>
      </c>
      <c r="BU180" s="2" t="s">
        <v>109</v>
      </c>
      <c r="BV180" s="2" t="s">
        <v>97</v>
      </c>
      <c r="BW180" s="2" t="s">
        <v>569</v>
      </c>
      <c r="BX180" s="2" t="s">
        <v>761</v>
      </c>
      <c r="BY180" s="2" t="s">
        <v>112</v>
      </c>
      <c r="BZ180" s="2" t="s">
        <v>100</v>
      </c>
    </row>
    <row r="181">
      <c r="A181" s="2" t="s">
        <v>762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754</v>
      </c>
      <c r="G181" s="2" t="s">
        <v>755</v>
      </c>
      <c r="H181" s="2" t="s">
        <v>756</v>
      </c>
      <c r="I181" s="2" t="s">
        <v>757</v>
      </c>
      <c r="J181" s="2" t="s">
        <v>114</v>
      </c>
      <c r="K181" s="2" t="s">
        <v>197</v>
      </c>
      <c r="L181" s="3">
        <v>75.2</v>
      </c>
      <c r="M181" s="3">
        <v>78.96</v>
      </c>
      <c r="N181" s="3">
        <v>159.99</v>
      </c>
      <c r="O181" s="2" t="s">
        <v>97</v>
      </c>
      <c r="P181" s="2" t="s">
        <v>182</v>
      </c>
      <c r="Q181" s="2" t="s">
        <v>99</v>
      </c>
      <c r="R181" s="2" t="s">
        <v>100</v>
      </c>
      <c r="S181" s="2" t="s">
        <v>758</v>
      </c>
      <c r="T181" s="2" t="s">
        <v>100</v>
      </c>
      <c r="U181" s="2" t="s">
        <v>102</v>
      </c>
      <c r="V181" s="2" t="s">
        <v>103</v>
      </c>
      <c r="W181" s="2" t="s">
        <v>759</v>
      </c>
      <c r="X181" s="2" t="s">
        <v>104</v>
      </c>
      <c r="Y181" s="2" t="s">
        <v>106</v>
      </c>
      <c r="Z181" s="4">
        <v>407</v>
      </c>
      <c r="AA181" s="4">
        <f>=ROUNDDOWN(22.6111111111111,0)</f>
      </c>
      <c r="AB181" s="5">
        <v>18</v>
      </c>
      <c r="AC181" s="2" t="s">
        <v>269</v>
      </c>
      <c r="AD181" s="4">
        <v>50</v>
      </c>
      <c r="AE181" s="4">
        <v>200</v>
      </c>
      <c r="AF181" s="6">
        <v>65</v>
      </c>
      <c r="AG181" s="6">
        <v>48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>
        <v>0</v>
      </c>
      <c r="AP181" s="4">
        <v>3</v>
      </c>
      <c r="AQ181" s="8">
        <v>236.88</v>
      </c>
      <c r="AR181" s="4">
        <v>9</v>
      </c>
      <c r="AS181" s="8">
        <v>710.64</v>
      </c>
      <c r="AT181" s="7">
        <v>-0.6667</v>
      </c>
      <c r="AU181" s="7">
        <v>-0.6667</v>
      </c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>
        <v>0.3335</v>
      </c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 t="s">
        <v>100</v>
      </c>
      <c r="BJ181" s="4">
        <v>341</v>
      </c>
      <c r="BK181" s="8">
        <v>25476.03</v>
      </c>
      <c r="BL181" s="2" t="s">
        <v>763</v>
      </c>
      <c r="BM181" s="7">
        <v>0.0088</v>
      </c>
      <c r="BN181" s="7">
        <v>0.0093</v>
      </c>
      <c r="BO181" s="4">
        <v>3</v>
      </c>
      <c r="BP181" s="8">
        <v>236.88</v>
      </c>
      <c r="BQ181" s="4">
        <v>9</v>
      </c>
      <c r="BR181" s="8">
        <v>710.64</v>
      </c>
      <c r="BS181" s="7">
        <v>-0.6667</v>
      </c>
      <c r="BT181" s="7">
        <v>-0.6667</v>
      </c>
      <c r="BU181" s="2" t="s">
        <v>109</v>
      </c>
      <c r="BV181" s="2" t="s">
        <v>97</v>
      </c>
      <c r="BW181" s="2" t="s">
        <v>132</v>
      </c>
      <c r="BX181" s="2" t="s">
        <v>764</v>
      </c>
      <c r="BY181" s="2" t="s">
        <v>112</v>
      </c>
      <c r="BZ181" s="2" t="s">
        <v>100</v>
      </c>
    </row>
    <row r="182">
      <c r="A182" s="2" t="s">
        <v>765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754</v>
      </c>
      <c r="G182" s="2" t="s">
        <v>755</v>
      </c>
      <c r="H182" s="2" t="s">
        <v>756</v>
      </c>
      <c r="I182" s="2" t="s">
        <v>757</v>
      </c>
      <c r="J182" s="2" t="s">
        <v>118</v>
      </c>
      <c r="K182" s="2" t="s">
        <v>197</v>
      </c>
      <c r="L182" s="3">
        <v>75.2</v>
      </c>
      <c r="M182" s="3">
        <v>78.96</v>
      </c>
      <c r="N182" s="3">
        <v>159.99</v>
      </c>
      <c r="O182" s="2" t="s">
        <v>97</v>
      </c>
      <c r="P182" s="2" t="s">
        <v>182</v>
      </c>
      <c r="Q182" s="2" t="s">
        <v>99</v>
      </c>
      <c r="R182" s="2" t="s">
        <v>100</v>
      </c>
      <c r="S182" s="2" t="s">
        <v>758</v>
      </c>
      <c r="T182" s="2" t="s">
        <v>100</v>
      </c>
      <c r="U182" s="2" t="s">
        <v>102</v>
      </c>
      <c r="V182" s="2" t="s">
        <v>103</v>
      </c>
      <c r="W182" s="2" t="s">
        <v>759</v>
      </c>
      <c r="X182" s="2" t="s">
        <v>104</v>
      </c>
      <c r="Y182" s="2" t="s">
        <v>106</v>
      </c>
      <c r="Z182" s="4">
        <v>173</v>
      </c>
      <c r="AA182" s="4">
        <f>=ROUNDDOWN(28.8333333333333,0)</f>
      </c>
      <c r="AB182" s="5">
        <v>6</v>
      </c>
      <c r="AC182" s="2" t="s">
        <v>766</v>
      </c>
      <c r="AD182" s="4">
        <v>50</v>
      </c>
      <c r="AE182" s="4">
        <v>50</v>
      </c>
      <c r="AF182" s="6">
        <v>65</v>
      </c>
      <c r="AG182" s="6">
        <v>48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>
        <v>0</v>
      </c>
      <c r="AP182" s="4"/>
      <c r="AQ182" s="8"/>
      <c r="AR182" s="4">
        <v>1</v>
      </c>
      <c r="AS182" s="8">
        <v>78.96</v>
      </c>
      <c r="AT182" s="7">
        <v>-1</v>
      </c>
      <c r="AU182" s="7">
        <v>-1</v>
      </c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 t="s">
        <v>100</v>
      </c>
      <c r="BJ182" s="4">
        <v>96</v>
      </c>
      <c r="BK182" s="8">
        <v>7473.88</v>
      </c>
      <c r="BL182" s="2" t="s">
        <v>767</v>
      </c>
      <c r="BM182" s="7"/>
      <c r="BN182" s="7"/>
      <c r="BO182" s="4"/>
      <c r="BP182" s="8"/>
      <c r="BQ182" s="4">
        <v>1</v>
      </c>
      <c r="BR182" s="8">
        <v>78.96</v>
      </c>
      <c r="BS182" s="7">
        <v>-1</v>
      </c>
      <c r="BT182" s="7">
        <v>-1</v>
      </c>
      <c r="BU182" s="2" t="s">
        <v>109</v>
      </c>
      <c r="BV182" s="2" t="s">
        <v>97</v>
      </c>
      <c r="BW182" s="2" t="s">
        <v>768</v>
      </c>
      <c r="BX182" s="2" t="s">
        <v>769</v>
      </c>
      <c r="BY182" s="2" t="s">
        <v>112</v>
      </c>
      <c r="BZ182" s="2" t="s">
        <v>100</v>
      </c>
    </row>
    <row r="183">
      <c r="A183" s="2" t="s">
        <v>770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771</v>
      </c>
      <c r="G183" s="2" t="s">
        <v>772</v>
      </c>
      <c r="H183" s="2" t="s">
        <v>773</v>
      </c>
      <c r="I183" s="2" t="s">
        <v>400</v>
      </c>
      <c r="J183" s="2" t="s">
        <v>95</v>
      </c>
      <c r="K183" s="2" t="s">
        <v>197</v>
      </c>
      <c r="L183" s="3">
        <v>68.6</v>
      </c>
      <c r="M183" s="3">
        <v>72.02</v>
      </c>
      <c r="N183" s="3">
        <v>139.99</v>
      </c>
      <c r="O183" s="2" t="s">
        <v>97</v>
      </c>
      <c r="P183" s="2" t="s">
        <v>182</v>
      </c>
      <c r="Q183" s="2" t="s">
        <v>99</v>
      </c>
      <c r="R183" s="2" t="s">
        <v>100</v>
      </c>
      <c r="S183" s="2" t="s">
        <v>774</v>
      </c>
      <c r="T183" s="2" t="s">
        <v>100</v>
      </c>
      <c r="U183" s="2" t="s">
        <v>403</v>
      </c>
      <c r="V183" s="2" t="s">
        <v>455</v>
      </c>
      <c r="W183" s="2" t="s">
        <v>405</v>
      </c>
      <c r="X183" s="2" t="s">
        <v>456</v>
      </c>
      <c r="Y183" s="2" t="s">
        <v>106</v>
      </c>
      <c r="Z183" s="4">
        <v>347</v>
      </c>
      <c r="AA183" s="4">
        <f>=ROUNDDOWN(43.375,0)</f>
      </c>
      <c r="AB183" s="5">
        <v>8</v>
      </c>
      <c r="AC183" s="2" t="s">
        <v>589</v>
      </c>
      <c r="AD183" s="4">
        <v>150</v>
      </c>
      <c r="AE183" s="4">
        <v>150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>
        <v>0</v>
      </c>
      <c r="AP183" s="4">
        <v>4</v>
      </c>
      <c r="AQ183" s="8">
        <v>288.08</v>
      </c>
      <c r="AR183" s="4">
        <v>19</v>
      </c>
      <c r="AS183" s="8">
        <v>1368.38</v>
      </c>
      <c r="AT183" s="7">
        <v>-0.7895</v>
      </c>
      <c r="AU183" s="7">
        <v>-0.7895</v>
      </c>
      <c r="AV183" s="4">
        <v>8</v>
      </c>
      <c r="AW183" s="8">
        <v>617.32</v>
      </c>
      <c r="AX183" s="4">
        <v>50</v>
      </c>
      <c r="AY183" s="8">
        <v>3919.99</v>
      </c>
      <c r="AZ183" s="7">
        <v>-0.84</v>
      </c>
      <c r="BA183" s="7">
        <v>-0.8425</v>
      </c>
      <c r="BB183" s="7">
        <v>0.4667</v>
      </c>
      <c r="BC183" s="4">
        <v>8</v>
      </c>
      <c r="BD183" s="8">
        <v>617.32</v>
      </c>
      <c r="BE183" s="4">
        <v>50</v>
      </c>
      <c r="BF183" s="8">
        <v>3919.99</v>
      </c>
      <c r="BG183" s="7">
        <v>-0.84</v>
      </c>
      <c r="BH183" s="7">
        <v>-0.8425</v>
      </c>
      <c r="BI183" s="7">
        <v>1</v>
      </c>
      <c r="BJ183" s="4">
        <v>179</v>
      </c>
      <c r="BK183" s="8">
        <v>12828.46</v>
      </c>
      <c r="BL183" s="2" t="s">
        <v>775</v>
      </c>
      <c r="BM183" s="7">
        <v>0.0223</v>
      </c>
      <c r="BN183" s="7">
        <v>0.0225</v>
      </c>
      <c r="BO183" s="4">
        <v>4</v>
      </c>
      <c r="BP183" s="8">
        <v>288.08</v>
      </c>
      <c r="BQ183" s="4">
        <v>19</v>
      </c>
      <c r="BR183" s="8">
        <v>1368.38</v>
      </c>
      <c r="BS183" s="7">
        <v>-0.7895</v>
      </c>
      <c r="BT183" s="7">
        <v>-0.7895</v>
      </c>
      <c r="BU183" s="2" t="s">
        <v>109</v>
      </c>
      <c r="BV183" s="2" t="s">
        <v>97</v>
      </c>
      <c r="BW183" s="2" t="s">
        <v>776</v>
      </c>
      <c r="BX183" s="2" t="s">
        <v>777</v>
      </c>
      <c r="BY183" s="2" t="s">
        <v>112</v>
      </c>
      <c r="BZ183" s="2" t="s">
        <v>100</v>
      </c>
    </row>
    <row r="184">
      <c r="A184" s="2" t="s">
        <v>778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771</v>
      </c>
      <c r="G184" s="2" t="s">
        <v>772</v>
      </c>
      <c r="H184" s="2" t="s">
        <v>773</v>
      </c>
      <c r="I184" s="2" t="s">
        <v>400</v>
      </c>
      <c r="J184" s="2" t="s">
        <v>114</v>
      </c>
      <c r="K184" s="2" t="s">
        <v>197</v>
      </c>
      <c r="L184" s="3">
        <v>78.4</v>
      </c>
      <c r="M184" s="3">
        <v>82.31</v>
      </c>
      <c r="N184" s="3">
        <v>159.99</v>
      </c>
      <c r="O184" s="2" t="s">
        <v>97</v>
      </c>
      <c r="P184" s="2" t="s">
        <v>182</v>
      </c>
      <c r="Q184" s="2" t="s">
        <v>99</v>
      </c>
      <c r="R184" s="2" t="s">
        <v>100</v>
      </c>
      <c r="S184" s="2" t="s">
        <v>774</v>
      </c>
      <c r="T184" s="2" t="s">
        <v>100</v>
      </c>
      <c r="U184" s="2" t="s">
        <v>403</v>
      </c>
      <c r="V184" s="2" t="s">
        <v>455</v>
      </c>
      <c r="W184" s="2" t="s">
        <v>405</v>
      </c>
      <c r="X184" s="2" t="s">
        <v>456</v>
      </c>
      <c r="Y184" s="2" t="s">
        <v>106</v>
      </c>
      <c r="Z184" s="4">
        <v>522</v>
      </c>
      <c r="AA184" s="4">
        <f>=ROUNDDOWN(52.2,0)</f>
      </c>
      <c r="AB184" s="5">
        <v>10</v>
      </c>
      <c r="AC184" s="2" t="s">
        <v>589</v>
      </c>
      <c r="AD184" s="4">
        <v>190</v>
      </c>
      <c r="AE184" s="4">
        <v>190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>
        <v>0</v>
      </c>
      <c r="AP184" s="4">
        <v>3</v>
      </c>
      <c r="AQ184" s="8">
        <v>246.93</v>
      </c>
      <c r="AR184" s="4">
        <v>25</v>
      </c>
      <c r="AS184" s="8">
        <v>2057.75</v>
      </c>
      <c r="AT184" s="7">
        <v>-0.88</v>
      </c>
      <c r="AU184" s="7">
        <v>-0.88</v>
      </c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>
        <v>0.4</v>
      </c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 t="s">
        <v>100</v>
      </c>
      <c r="BJ184" s="4">
        <v>199</v>
      </c>
      <c r="BK184" s="8">
        <v>16226.74</v>
      </c>
      <c r="BL184" s="2" t="s">
        <v>779</v>
      </c>
      <c r="BM184" s="7">
        <v>0.0151</v>
      </c>
      <c r="BN184" s="7">
        <v>0.0152</v>
      </c>
      <c r="BO184" s="4">
        <v>3</v>
      </c>
      <c r="BP184" s="8">
        <v>246.93</v>
      </c>
      <c r="BQ184" s="4">
        <v>25</v>
      </c>
      <c r="BR184" s="8">
        <v>2057.75</v>
      </c>
      <c r="BS184" s="7">
        <v>-0.88</v>
      </c>
      <c r="BT184" s="7">
        <v>-0.88</v>
      </c>
      <c r="BU184" s="2" t="s">
        <v>109</v>
      </c>
      <c r="BV184" s="2" t="s">
        <v>97</v>
      </c>
      <c r="BW184" s="2" t="s">
        <v>776</v>
      </c>
      <c r="BX184" s="2" t="s">
        <v>133</v>
      </c>
      <c r="BY184" s="2" t="s">
        <v>112</v>
      </c>
      <c r="BZ184" s="2" t="s">
        <v>100</v>
      </c>
    </row>
    <row r="185">
      <c r="A185" s="2" t="s">
        <v>780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771</v>
      </c>
      <c r="G185" s="2" t="s">
        <v>772</v>
      </c>
      <c r="H185" s="2" t="s">
        <v>773</v>
      </c>
      <c r="I185" s="2" t="s">
        <v>400</v>
      </c>
      <c r="J185" s="2" t="s">
        <v>118</v>
      </c>
      <c r="K185" s="2" t="s">
        <v>197</v>
      </c>
      <c r="L185" s="3">
        <v>78.4</v>
      </c>
      <c r="M185" s="3">
        <v>82.31</v>
      </c>
      <c r="N185" s="3">
        <v>159.99</v>
      </c>
      <c r="O185" s="2" t="s">
        <v>97</v>
      </c>
      <c r="P185" s="2" t="s">
        <v>182</v>
      </c>
      <c r="Q185" s="2" t="s">
        <v>99</v>
      </c>
      <c r="R185" s="2" t="s">
        <v>100</v>
      </c>
      <c r="S185" s="2" t="s">
        <v>774</v>
      </c>
      <c r="T185" s="2" t="s">
        <v>100</v>
      </c>
      <c r="U185" s="2" t="s">
        <v>403</v>
      </c>
      <c r="V185" s="2" t="s">
        <v>455</v>
      </c>
      <c r="W185" s="2" t="s">
        <v>405</v>
      </c>
      <c r="X185" s="2" t="s">
        <v>456</v>
      </c>
      <c r="Y185" s="2" t="s">
        <v>106</v>
      </c>
      <c r="Z185" s="4">
        <v>288</v>
      </c>
      <c r="AA185" s="4">
        <f>=ROUNDDOWN(48,0)</f>
      </c>
      <c r="AB185" s="5">
        <v>6</v>
      </c>
      <c r="AC185" s="2" t="s">
        <v>589</v>
      </c>
      <c r="AD185" s="4">
        <v>100</v>
      </c>
      <c r="AE185" s="4">
        <v>100</v>
      </c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>
        <v>0</v>
      </c>
      <c r="AP185" s="4">
        <v>1</v>
      </c>
      <c r="AQ185" s="8">
        <v>82.31</v>
      </c>
      <c r="AR185" s="4">
        <v>6</v>
      </c>
      <c r="AS185" s="8">
        <v>493.86</v>
      </c>
      <c r="AT185" s="7">
        <v>-0.8333</v>
      </c>
      <c r="AU185" s="7">
        <v>-0.8333</v>
      </c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>
        <v>0.1333</v>
      </c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 t="s">
        <v>100</v>
      </c>
      <c r="BJ185" s="4">
        <v>92</v>
      </c>
      <c r="BK185" s="8">
        <v>7436.07</v>
      </c>
      <c r="BL185" s="2" t="s">
        <v>781</v>
      </c>
      <c r="BM185" s="7">
        <v>0.0109</v>
      </c>
      <c r="BN185" s="7">
        <v>0.0111</v>
      </c>
      <c r="BO185" s="4">
        <v>1</v>
      </c>
      <c r="BP185" s="8">
        <v>82.31</v>
      </c>
      <c r="BQ185" s="4">
        <v>6</v>
      </c>
      <c r="BR185" s="8">
        <v>493.86</v>
      </c>
      <c r="BS185" s="7">
        <v>-0.8333</v>
      </c>
      <c r="BT185" s="7">
        <v>-0.8333</v>
      </c>
      <c r="BU185" s="2" t="s">
        <v>109</v>
      </c>
      <c r="BV185" s="2" t="s">
        <v>97</v>
      </c>
      <c r="BW185" s="2" t="s">
        <v>782</v>
      </c>
      <c r="BX185" s="2" t="s">
        <v>783</v>
      </c>
      <c r="BY185" s="2" t="s">
        <v>112</v>
      </c>
      <c r="BZ185" s="2" t="s">
        <v>100</v>
      </c>
    </row>
    <row r="186">
      <c r="A186" s="2" t="s">
        <v>784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785</v>
      </c>
      <c r="G186" s="2" t="s">
        <v>786</v>
      </c>
      <c r="H186" s="2" t="s">
        <v>787</v>
      </c>
      <c r="I186" s="2" t="s">
        <v>788</v>
      </c>
      <c r="J186" s="2" t="s">
        <v>95</v>
      </c>
      <c r="K186" s="2" t="s">
        <v>666</v>
      </c>
      <c r="L186" s="3">
        <v>58.8</v>
      </c>
      <c r="M186" s="3">
        <v>61.73</v>
      </c>
      <c r="N186" s="3">
        <v>119.99</v>
      </c>
      <c r="O186" s="2" t="s">
        <v>97</v>
      </c>
      <c r="P186" s="2" t="s">
        <v>182</v>
      </c>
      <c r="Q186" s="2" t="s">
        <v>99</v>
      </c>
      <c r="R186" s="2" t="s">
        <v>100</v>
      </c>
      <c r="S186" s="2" t="s">
        <v>789</v>
      </c>
      <c r="T186" s="2" t="s">
        <v>100</v>
      </c>
      <c r="U186" s="2" t="s">
        <v>790</v>
      </c>
      <c r="V186" s="2" t="s">
        <v>601</v>
      </c>
      <c r="W186" s="2" t="s">
        <v>733</v>
      </c>
      <c r="X186" s="2" t="s">
        <v>791</v>
      </c>
      <c r="Y186" s="2" t="s">
        <v>106</v>
      </c>
      <c r="Z186" s="4">
        <v>376</v>
      </c>
      <c r="AA186" s="4">
        <f>=ROUNDDOWN(17.0909090909091,0)</f>
      </c>
      <c r="AB186" s="5">
        <v>22</v>
      </c>
      <c r="AC186" s="2" t="s">
        <v>792</v>
      </c>
      <c r="AD186" s="4">
        <v>110</v>
      </c>
      <c r="AE186" s="4">
        <v>230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>
        <v>0</v>
      </c>
      <c r="AP186" s="4">
        <v>4</v>
      </c>
      <c r="AQ186" s="8">
        <v>246.92</v>
      </c>
      <c r="AR186" s="4">
        <v>12</v>
      </c>
      <c r="AS186" s="8">
        <v>740.76</v>
      </c>
      <c r="AT186" s="7">
        <v>-0.6667</v>
      </c>
      <c r="AU186" s="7">
        <v>-0.6667</v>
      </c>
      <c r="AV186" s="4">
        <v>9</v>
      </c>
      <c r="AW186" s="8">
        <v>607.02</v>
      </c>
      <c r="AX186" s="4">
        <v>30</v>
      </c>
      <c r="AY186" s="8">
        <v>2037.12</v>
      </c>
      <c r="AZ186" s="7">
        <v>-0.7</v>
      </c>
      <c r="BA186" s="7">
        <v>-0.702</v>
      </c>
      <c r="BB186" s="7">
        <v>0.4068</v>
      </c>
      <c r="BC186" s="4">
        <v>9</v>
      </c>
      <c r="BD186" s="8">
        <v>607.02</v>
      </c>
      <c r="BE186" s="4">
        <v>30</v>
      </c>
      <c r="BF186" s="8">
        <v>2037.12</v>
      </c>
      <c r="BG186" s="7">
        <v>-0.7</v>
      </c>
      <c r="BH186" s="7">
        <v>-0.702</v>
      </c>
      <c r="BI186" s="7">
        <v>1</v>
      </c>
      <c r="BJ186" s="4">
        <v>363</v>
      </c>
      <c r="BK186" s="8">
        <v>20651.36</v>
      </c>
      <c r="BL186" s="2" t="s">
        <v>793</v>
      </c>
      <c r="BM186" s="7">
        <v>0.011</v>
      </c>
      <c r="BN186" s="7">
        <v>0.012</v>
      </c>
      <c r="BO186" s="4">
        <v>4</v>
      </c>
      <c r="BP186" s="8">
        <v>246.92</v>
      </c>
      <c r="BQ186" s="4">
        <v>12</v>
      </c>
      <c r="BR186" s="8">
        <v>740.76</v>
      </c>
      <c r="BS186" s="7">
        <v>-0.6667</v>
      </c>
      <c r="BT186" s="7">
        <v>-0.6667</v>
      </c>
      <c r="BU186" s="2" t="s">
        <v>109</v>
      </c>
      <c r="BV186" s="2" t="s">
        <v>97</v>
      </c>
      <c r="BW186" s="2" t="s">
        <v>132</v>
      </c>
      <c r="BX186" s="2" t="s">
        <v>794</v>
      </c>
      <c r="BY186" s="2" t="s">
        <v>112</v>
      </c>
      <c r="BZ186" s="2" t="s">
        <v>100</v>
      </c>
    </row>
    <row r="187">
      <c r="A187" s="2" t="s">
        <v>795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785</v>
      </c>
      <c r="G187" s="2" t="s">
        <v>786</v>
      </c>
      <c r="H187" s="2" t="s">
        <v>787</v>
      </c>
      <c r="I187" s="2" t="s">
        <v>788</v>
      </c>
      <c r="J187" s="2" t="s">
        <v>114</v>
      </c>
      <c r="K187" s="2" t="s">
        <v>666</v>
      </c>
      <c r="L187" s="3">
        <v>68.6</v>
      </c>
      <c r="M187" s="3">
        <v>72.02</v>
      </c>
      <c r="N187" s="3">
        <v>139.99</v>
      </c>
      <c r="O187" s="2" t="s">
        <v>97</v>
      </c>
      <c r="P187" s="2" t="s">
        <v>182</v>
      </c>
      <c r="Q187" s="2" t="s">
        <v>99</v>
      </c>
      <c r="R187" s="2" t="s">
        <v>100</v>
      </c>
      <c r="S187" s="2" t="s">
        <v>789</v>
      </c>
      <c r="T187" s="2" t="s">
        <v>100</v>
      </c>
      <c r="U187" s="2" t="s">
        <v>790</v>
      </c>
      <c r="V187" s="2" t="s">
        <v>601</v>
      </c>
      <c r="W187" s="2" t="s">
        <v>733</v>
      </c>
      <c r="X187" s="2" t="s">
        <v>791</v>
      </c>
      <c r="Y187" s="2" t="s">
        <v>106</v>
      </c>
      <c r="Z187" s="4">
        <v>373</v>
      </c>
      <c r="AA187" s="4">
        <f>=ROUNDDOWN(33.9090909090909,0)</f>
      </c>
      <c r="AB187" s="5">
        <v>11</v>
      </c>
      <c r="AC187" s="2" t="s">
        <v>589</v>
      </c>
      <c r="AD187" s="4">
        <v>100</v>
      </c>
      <c r="AE187" s="4">
        <v>230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>
        <v>0</v>
      </c>
      <c r="AP187" s="4">
        <v>2</v>
      </c>
      <c r="AQ187" s="8">
        <v>144.04</v>
      </c>
      <c r="AR187" s="4">
        <v>14</v>
      </c>
      <c r="AS187" s="8">
        <v>1008.28</v>
      </c>
      <c r="AT187" s="7">
        <v>-0.8571</v>
      </c>
      <c r="AU187" s="7">
        <v>-0.8571</v>
      </c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>
        <v>0.2373</v>
      </c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 t="s">
        <v>100</v>
      </c>
      <c r="BJ187" s="4">
        <v>196</v>
      </c>
      <c r="BK187" s="8">
        <v>13405.11</v>
      </c>
      <c r="BL187" s="2" t="s">
        <v>796</v>
      </c>
      <c r="BM187" s="7">
        <v>0.0102</v>
      </c>
      <c r="BN187" s="7">
        <v>0.0107</v>
      </c>
      <c r="BO187" s="4">
        <v>2</v>
      </c>
      <c r="BP187" s="8">
        <v>144.04</v>
      </c>
      <c r="BQ187" s="4">
        <v>14</v>
      </c>
      <c r="BR187" s="8">
        <v>1008.28</v>
      </c>
      <c r="BS187" s="7">
        <v>-0.8571</v>
      </c>
      <c r="BT187" s="7">
        <v>-0.8571</v>
      </c>
      <c r="BU187" s="2" t="s">
        <v>109</v>
      </c>
      <c r="BV187" s="2" t="s">
        <v>97</v>
      </c>
      <c r="BW187" s="2" t="s">
        <v>132</v>
      </c>
      <c r="BX187" s="2" t="s">
        <v>176</v>
      </c>
      <c r="BY187" s="2" t="s">
        <v>112</v>
      </c>
      <c r="BZ187" s="2" t="s">
        <v>100</v>
      </c>
    </row>
    <row r="188">
      <c r="A188" s="2" t="s">
        <v>797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785</v>
      </c>
      <c r="G188" s="2" t="s">
        <v>786</v>
      </c>
      <c r="H188" s="2" t="s">
        <v>787</v>
      </c>
      <c r="I188" s="2" t="s">
        <v>788</v>
      </c>
      <c r="J188" s="2" t="s">
        <v>118</v>
      </c>
      <c r="K188" s="2" t="s">
        <v>666</v>
      </c>
      <c r="L188" s="3">
        <v>68.6</v>
      </c>
      <c r="M188" s="3">
        <v>72.02</v>
      </c>
      <c r="N188" s="3">
        <v>139.99</v>
      </c>
      <c r="O188" s="2" t="s">
        <v>97</v>
      </c>
      <c r="P188" s="2" t="s">
        <v>182</v>
      </c>
      <c r="Q188" s="2" t="s">
        <v>99</v>
      </c>
      <c r="R188" s="2" t="s">
        <v>100</v>
      </c>
      <c r="S188" s="2" t="s">
        <v>789</v>
      </c>
      <c r="T188" s="2" t="s">
        <v>100</v>
      </c>
      <c r="U188" s="2" t="s">
        <v>790</v>
      </c>
      <c r="V188" s="2" t="s">
        <v>601</v>
      </c>
      <c r="W188" s="2" t="s">
        <v>733</v>
      </c>
      <c r="X188" s="2" t="s">
        <v>791</v>
      </c>
      <c r="Y188" s="2" t="s">
        <v>106</v>
      </c>
      <c r="Z188" s="4">
        <v>198</v>
      </c>
      <c r="AA188" s="4">
        <f>=ROUNDDOWN(24.75,0)</f>
      </c>
      <c r="AB188" s="5">
        <v>8</v>
      </c>
      <c r="AC188" s="2" t="s">
        <v>589</v>
      </c>
      <c r="AD188" s="4">
        <v>50</v>
      </c>
      <c r="AE188" s="4">
        <v>110</v>
      </c>
      <c r="AF188" s="6">
        <v>65</v>
      </c>
      <c r="AG188" s="6">
        <v>48</v>
      </c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>
        <v>0</v>
      </c>
      <c r="AP188" s="4">
        <v>3</v>
      </c>
      <c r="AQ188" s="8">
        <v>216.06</v>
      </c>
      <c r="AR188" s="4">
        <v>4</v>
      </c>
      <c r="AS188" s="8">
        <v>288.08</v>
      </c>
      <c r="AT188" s="7">
        <v>-0.25</v>
      </c>
      <c r="AU188" s="7">
        <v>-0.25</v>
      </c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>
        <v>0.3559</v>
      </c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 t="s">
        <v>100</v>
      </c>
      <c r="BJ188" s="4">
        <v>151</v>
      </c>
      <c r="BK188" s="8">
        <v>10317.79</v>
      </c>
      <c r="BL188" s="2" t="s">
        <v>798</v>
      </c>
      <c r="BM188" s="7">
        <v>0.0199</v>
      </c>
      <c r="BN188" s="7">
        <v>0.0209</v>
      </c>
      <c r="BO188" s="4">
        <v>3</v>
      </c>
      <c r="BP188" s="8">
        <v>216.06</v>
      </c>
      <c r="BQ188" s="4">
        <v>4</v>
      </c>
      <c r="BR188" s="8">
        <v>288.08</v>
      </c>
      <c r="BS188" s="7">
        <v>-0.25</v>
      </c>
      <c r="BT188" s="7">
        <v>-0.25</v>
      </c>
      <c r="BU188" s="2" t="s">
        <v>109</v>
      </c>
      <c r="BV188" s="2" t="s">
        <v>97</v>
      </c>
      <c r="BW188" s="2" t="s">
        <v>132</v>
      </c>
      <c r="BX188" s="2" t="s">
        <v>799</v>
      </c>
      <c r="BY188" s="2" t="s">
        <v>112</v>
      </c>
      <c r="BZ188" s="2" t="s">
        <v>100</v>
      </c>
    </row>
    <row r="189">
      <c r="A189" s="2" t="s">
        <v>800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801</v>
      </c>
      <c r="G189" s="2" t="s">
        <v>802</v>
      </c>
      <c r="H189" s="2" t="s">
        <v>803</v>
      </c>
      <c r="I189" s="2" t="s">
        <v>804</v>
      </c>
      <c r="J189" s="2" t="s">
        <v>95</v>
      </c>
      <c r="K189" s="2" t="s">
        <v>267</v>
      </c>
      <c r="L189" s="3">
        <v>85.47</v>
      </c>
      <c r="M189" s="3">
        <v>89.74</v>
      </c>
      <c r="N189" s="3">
        <v>149.99</v>
      </c>
      <c r="O189" s="2" t="s">
        <v>97</v>
      </c>
      <c r="P189" s="2" t="s">
        <v>805</v>
      </c>
      <c r="Q189" s="2" t="s">
        <v>99</v>
      </c>
      <c r="R189" s="2" t="s">
        <v>100</v>
      </c>
      <c r="S189" s="2" t="s">
        <v>806</v>
      </c>
      <c r="T189" s="2" t="s">
        <v>100</v>
      </c>
      <c r="U189" s="2" t="s">
        <v>807</v>
      </c>
      <c r="V189" s="2" t="s">
        <v>103</v>
      </c>
      <c r="W189" s="2" t="s">
        <v>808</v>
      </c>
      <c r="X189" s="2" t="s">
        <v>809</v>
      </c>
      <c r="Y189" s="2" t="s">
        <v>106</v>
      </c>
      <c r="Z189" s="4">
        <v>1392</v>
      </c>
      <c r="AA189" s="4">
        <f>=ROUNDDOWN(19.8857142857143,0)</f>
      </c>
      <c r="AB189" s="5">
        <v>70</v>
      </c>
      <c r="AC189" s="2" t="s">
        <v>130</v>
      </c>
      <c r="AD189" s="4">
        <v>180</v>
      </c>
      <c r="AE189" s="4">
        <v>1710</v>
      </c>
      <c r="AF189" s="6">
        <v>65</v>
      </c>
      <c r="AG189" s="6">
        <v>73</v>
      </c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>
        <v>0</v>
      </c>
      <c r="AP189" s="4"/>
      <c r="AQ189" s="8"/>
      <c r="AR189" s="4">
        <v>13</v>
      </c>
      <c r="AS189" s="8">
        <v>1209.14</v>
      </c>
      <c r="AT189" s="7">
        <v>-1</v>
      </c>
      <c r="AU189" s="7">
        <v>-1</v>
      </c>
      <c r="AV189" s="4">
        <v>5</v>
      </c>
      <c r="AW189" s="8">
        <v>501.4</v>
      </c>
      <c r="AX189" s="4">
        <v>22</v>
      </c>
      <c r="AY189" s="8">
        <v>2143.4</v>
      </c>
      <c r="AZ189" s="7">
        <v>-0.7727</v>
      </c>
      <c r="BA189" s="7">
        <v>-0.7661</v>
      </c>
      <c r="BB189" s="7"/>
      <c r="BC189" s="4">
        <v>5</v>
      </c>
      <c r="BD189" s="8">
        <v>501.4</v>
      </c>
      <c r="BE189" s="4">
        <v>22</v>
      </c>
      <c r="BF189" s="8">
        <v>2143.4</v>
      </c>
      <c r="BG189" s="7">
        <v>-0.7727</v>
      </c>
      <c r="BH189" s="7">
        <v>-0.7661</v>
      </c>
      <c r="BI189" s="7">
        <v>1</v>
      </c>
      <c r="BJ189" s="4">
        <v>1561</v>
      </c>
      <c r="BK189" s="8">
        <v>143523.08</v>
      </c>
      <c r="BL189" s="2" t="s">
        <v>810</v>
      </c>
      <c r="BM189" s="7"/>
      <c r="BN189" s="7"/>
      <c r="BO189" s="4"/>
      <c r="BP189" s="8"/>
      <c r="BQ189" s="4">
        <v>13</v>
      </c>
      <c r="BR189" s="8">
        <v>1209.14</v>
      </c>
      <c r="BS189" s="7">
        <v>-1</v>
      </c>
      <c r="BT189" s="7">
        <v>-1</v>
      </c>
      <c r="BU189" s="2" t="s">
        <v>109</v>
      </c>
      <c r="BV189" s="2" t="s">
        <v>97</v>
      </c>
      <c r="BW189" s="2" t="s">
        <v>132</v>
      </c>
      <c r="BX189" s="2" t="s">
        <v>811</v>
      </c>
      <c r="BY189" s="2" t="s">
        <v>112</v>
      </c>
      <c r="BZ189" s="2" t="s">
        <v>100</v>
      </c>
    </row>
    <row r="190">
      <c r="A190" s="2" t="s">
        <v>812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801</v>
      </c>
      <c r="G190" s="2" t="s">
        <v>802</v>
      </c>
      <c r="H190" s="2" t="s">
        <v>803</v>
      </c>
      <c r="I190" s="2" t="s">
        <v>804</v>
      </c>
      <c r="J190" s="2" t="s">
        <v>114</v>
      </c>
      <c r="K190" s="2" t="s">
        <v>267</v>
      </c>
      <c r="L190" s="3">
        <v>95.51</v>
      </c>
      <c r="M190" s="3">
        <v>100.29</v>
      </c>
      <c r="N190" s="3">
        <v>169.99</v>
      </c>
      <c r="O190" s="2" t="s">
        <v>97</v>
      </c>
      <c r="P190" s="2" t="s">
        <v>805</v>
      </c>
      <c r="Q190" s="2" t="s">
        <v>99</v>
      </c>
      <c r="R190" s="2" t="s">
        <v>100</v>
      </c>
      <c r="S190" s="2" t="s">
        <v>806</v>
      </c>
      <c r="T190" s="2" t="s">
        <v>100</v>
      </c>
      <c r="U190" s="2" t="s">
        <v>807</v>
      </c>
      <c r="V190" s="2" t="s">
        <v>103</v>
      </c>
      <c r="W190" s="2" t="s">
        <v>808</v>
      </c>
      <c r="X190" s="2" t="s">
        <v>809</v>
      </c>
      <c r="Y190" s="2" t="s">
        <v>106</v>
      </c>
      <c r="Z190" s="4">
        <v>768</v>
      </c>
      <c r="AA190" s="4">
        <f>=ROUNDDOWN(13.9636363636364,0)</f>
      </c>
      <c r="AB190" s="5">
        <v>55</v>
      </c>
      <c r="AC190" s="2" t="s">
        <v>130</v>
      </c>
      <c r="AD190" s="4">
        <v>60</v>
      </c>
      <c r="AE190" s="4">
        <v>1310</v>
      </c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>
        <v>0</v>
      </c>
      <c r="AP190" s="4">
        <v>4</v>
      </c>
      <c r="AQ190" s="8">
        <v>401.12</v>
      </c>
      <c r="AR190" s="4">
        <v>6</v>
      </c>
      <c r="AS190" s="8">
        <v>617.55</v>
      </c>
      <c r="AT190" s="7">
        <v>-0.3333</v>
      </c>
      <c r="AU190" s="7">
        <v>-0.3505</v>
      </c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>
        <v>0.8</v>
      </c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 t="s">
        <v>100</v>
      </c>
      <c r="BJ190" s="4">
        <v>1149</v>
      </c>
      <c r="BK190" s="8">
        <v>121294.75</v>
      </c>
      <c r="BL190" s="2" t="s">
        <v>813</v>
      </c>
      <c r="BM190" s="7">
        <v>0.0035</v>
      </c>
      <c r="BN190" s="7">
        <v>0.0033</v>
      </c>
      <c r="BO190" s="4">
        <v>4</v>
      </c>
      <c r="BP190" s="8">
        <v>401.12</v>
      </c>
      <c r="BQ190" s="4">
        <v>6</v>
      </c>
      <c r="BR190" s="8">
        <v>617.55</v>
      </c>
      <c r="BS190" s="7">
        <v>-0.3333</v>
      </c>
      <c r="BT190" s="7">
        <v>-0.3505</v>
      </c>
      <c r="BU190" s="2" t="s">
        <v>109</v>
      </c>
      <c r="BV190" s="2" t="s">
        <v>97</v>
      </c>
      <c r="BW190" s="2" t="s">
        <v>132</v>
      </c>
      <c r="BX190" s="2" t="s">
        <v>570</v>
      </c>
      <c r="BY190" s="2" t="s">
        <v>112</v>
      </c>
      <c r="BZ190" s="2" t="s">
        <v>100</v>
      </c>
    </row>
    <row r="191">
      <c r="A191" s="2" t="s">
        <v>814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801</v>
      </c>
      <c r="G191" s="2" t="s">
        <v>802</v>
      </c>
      <c r="H191" s="2" t="s">
        <v>803</v>
      </c>
      <c r="I191" s="2" t="s">
        <v>804</v>
      </c>
      <c r="J191" s="2" t="s">
        <v>118</v>
      </c>
      <c r="K191" s="2" t="s">
        <v>267</v>
      </c>
      <c r="L191" s="3">
        <v>95.51</v>
      </c>
      <c r="M191" s="3">
        <v>100.29</v>
      </c>
      <c r="N191" s="3">
        <v>169.99</v>
      </c>
      <c r="O191" s="2" t="s">
        <v>97</v>
      </c>
      <c r="P191" s="2" t="s">
        <v>805</v>
      </c>
      <c r="Q191" s="2" t="s">
        <v>99</v>
      </c>
      <c r="R191" s="2" t="s">
        <v>100</v>
      </c>
      <c r="S191" s="2" t="s">
        <v>806</v>
      </c>
      <c r="T191" s="2" t="s">
        <v>100</v>
      </c>
      <c r="U191" s="2" t="s">
        <v>807</v>
      </c>
      <c r="V191" s="2" t="s">
        <v>103</v>
      </c>
      <c r="W191" s="2" t="s">
        <v>808</v>
      </c>
      <c r="X191" s="2" t="s">
        <v>809</v>
      </c>
      <c r="Y191" s="2" t="s">
        <v>106</v>
      </c>
      <c r="Z191" s="4">
        <v>372</v>
      </c>
      <c r="AA191" s="4">
        <f>=ROUNDDOWN(16.1739130434783,0)</f>
      </c>
      <c r="AB191" s="5">
        <v>23</v>
      </c>
      <c r="AC191" s="2" t="s">
        <v>130</v>
      </c>
      <c r="AD191" s="4">
        <v>50</v>
      </c>
      <c r="AE191" s="4">
        <v>620</v>
      </c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>
        <v>0</v>
      </c>
      <c r="AP191" s="4">
        <v>1</v>
      </c>
      <c r="AQ191" s="8">
        <v>100.28</v>
      </c>
      <c r="AR191" s="4">
        <v>3</v>
      </c>
      <c r="AS191" s="8">
        <v>316.71</v>
      </c>
      <c r="AT191" s="7">
        <v>-0.6667</v>
      </c>
      <c r="AU191" s="7">
        <v>-0.6834</v>
      </c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>
        <v>0.2</v>
      </c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 t="s">
        <v>100</v>
      </c>
      <c r="BJ191" s="4">
        <v>426</v>
      </c>
      <c r="BK191" s="8">
        <v>44735.02</v>
      </c>
      <c r="BL191" s="2" t="s">
        <v>815</v>
      </c>
      <c r="BM191" s="7">
        <v>0.0023</v>
      </c>
      <c r="BN191" s="7">
        <v>0.0022</v>
      </c>
      <c r="BO191" s="4">
        <v>1</v>
      </c>
      <c r="BP191" s="8">
        <v>100.28</v>
      </c>
      <c r="BQ191" s="4">
        <v>3</v>
      </c>
      <c r="BR191" s="8">
        <v>316.71</v>
      </c>
      <c r="BS191" s="7">
        <v>-0.6667</v>
      </c>
      <c r="BT191" s="7">
        <v>-0.6834</v>
      </c>
      <c r="BU191" s="2" t="s">
        <v>109</v>
      </c>
      <c r="BV191" s="2" t="s">
        <v>97</v>
      </c>
      <c r="BW191" s="2" t="s">
        <v>132</v>
      </c>
      <c r="BX191" s="2" t="s">
        <v>816</v>
      </c>
      <c r="BY191" s="2" t="s">
        <v>112</v>
      </c>
      <c r="BZ191" s="2" t="s">
        <v>100</v>
      </c>
    </row>
    <row r="192">
      <c r="A192" s="2" t="s">
        <v>817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801</v>
      </c>
      <c r="G192" s="2" t="s">
        <v>802</v>
      </c>
      <c r="H192" s="2" t="s">
        <v>803</v>
      </c>
      <c r="I192" s="2" t="s">
        <v>804</v>
      </c>
      <c r="J192" s="2" t="s">
        <v>95</v>
      </c>
      <c r="K192" s="2" t="s">
        <v>650</v>
      </c>
      <c r="L192" s="3">
        <v>85.47</v>
      </c>
      <c r="M192" s="3">
        <v>89.74</v>
      </c>
      <c r="N192" s="3">
        <v>149.99</v>
      </c>
      <c r="O192" s="2" t="s">
        <v>97</v>
      </c>
      <c r="P192" s="2" t="s">
        <v>98</v>
      </c>
      <c r="Q192" s="2" t="s">
        <v>99</v>
      </c>
      <c r="R192" s="2" t="s">
        <v>100</v>
      </c>
      <c r="S192" s="2" t="s">
        <v>818</v>
      </c>
      <c r="T192" s="2" t="s">
        <v>100</v>
      </c>
      <c r="U192" s="2" t="s">
        <v>807</v>
      </c>
      <c r="V192" s="2" t="s">
        <v>103</v>
      </c>
      <c r="W192" s="2" t="s">
        <v>808</v>
      </c>
      <c r="X192" s="2" t="s">
        <v>809</v>
      </c>
      <c r="Y192" s="2" t="s">
        <v>819</v>
      </c>
      <c r="Z192" s="4">
        <v>229</v>
      </c>
      <c r="AA192" s="4">
        <f>=ROUNDDOWN(7.38709677419355,0)</f>
      </c>
      <c r="AB192" s="5">
        <v>31</v>
      </c>
      <c r="AC192" s="2" t="s">
        <v>130</v>
      </c>
      <c r="AD192" s="4">
        <v>30</v>
      </c>
      <c r="AE192" s="4">
        <v>1140</v>
      </c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 t="s">
        <v>100</v>
      </c>
      <c r="BJ192" s="4">
        <v>527</v>
      </c>
      <c r="BK192" s="8">
        <v>48601.6</v>
      </c>
      <c r="BL192" s="2" t="s">
        <v>820</v>
      </c>
      <c r="BM192" s="7"/>
      <c r="BN192" s="7"/>
      <c r="BO192" s="4"/>
      <c r="BP192" s="8"/>
      <c r="BQ192" s="4"/>
      <c r="BR192" s="8"/>
      <c r="BS192" s="7"/>
      <c r="BT192" s="7"/>
      <c r="BU192" s="2" t="s">
        <v>147</v>
      </c>
      <c r="BV192" s="2" t="s">
        <v>97</v>
      </c>
      <c r="BW192" s="2" t="s">
        <v>100</v>
      </c>
      <c r="BX192" s="2" t="s">
        <v>100</v>
      </c>
      <c r="BY192" s="2" t="s">
        <v>112</v>
      </c>
      <c r="BZ192" s="2" t="s">
        <v>100</v>
      </c>
    </row>
    <row r="193">
      <c r="A193" s="2" t="s">
        <v>821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801</v>
      </c>
      <c r="G193" s="2" t="s">
        <v>802</v>
      </c>
      <c r="H193" s="2" t="s">
        <v>803</v>
      </c>
      <c r="I193" s="2" t="s">
        <v>804</v>
      </c>
      <c r="J193" s="2" t="s">
        <v>114</v>
      </c>
      <c r="K193" s="2" t="s">
        <v>650</v>
      </c>
      <c r="L193" s="3">
        <v>95.51</v>
      </c>
      <c r="M193" s="3">
        <v>100.29</v>
      </c>
      <c r="N193" s="3">
        <v>169.99</v>
      </c>
      <c r="O193" s="2" t="s">
        <v>97</v>
      </c>
      <c r="P193" s="2" t="s">
        <v>98</v>
      </c>
      <c r="Q193" s="2" t="s">
        <v>99</v>
      </c>
      <c r="R193" s="2" t="s">
        <v>100</v>
      </c>
      <c r="S193" s="2" t="s">
        <v>818</v>
      </c>
      <c r="T193" s="2" t="s">
        <v>100</v>
      </c>
      <c r="U193" s="2" t="s">
        <v>807</v>
      </c>
      <c r="V193" s="2" t="s">
        <v>103</v>
      </c>
      <c r="W193" s="2" t="s">
        <v>808</v>
      </c>
      <c r="X193" s="2" t="s">
        <v>809</v>
      </c>
      <c r="Y193" s="2" t="s">
        <v>819</v>
      </c>
      <c r="Z193" s="4">
        <v>180</v>
      </c>
      <c r="AA193" s="4">
        <f>=ROUNDDOWN(10.5882352941176,0)</f>
      </c>
      <c r="AB193" s="5">
        <v>17</v>
      </c>
      <c r="AC193" s="2" t="s">
        <v>130</v>
      </c>
      <c r="AD193" s="4">
        <v>30</v>
      </c>
      <c r="AE193" s="4">
        <v>630</v>
      </c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 t="s">
        <v>100</v>
      </c>
      <c r="BJ193" s="4">
        <v>257</v>
      </c>
      <c r="BK193" s="8">
        <v>27505.8</v>
      </c>
      <c r="BL193" s="2" t="s">
        <v>822</v>
      </c>
      <c r="BM193" s="7"/>
      <c r="BN193" s="7"/>
      <c r="BO193" s="4"/>
      <c r="BP193" s="8"/>
      <c r="BQ193" s="4"/>
      <c r="BR193" s="8"/>
      <c r="BS193" s="7"/>
      <c r="BT193" s="7"/>
      <c r="BU193" s="2" t="s">
        <v>147</v>
      </c>
      <c r="BV193" s="2" t="s">
        <v>97</v>
      </c>
      <c r="BW193" s="2" t="s">
        <v>100</v>
      </c>
      <c r="BX193" s="2" t="s">
        <v>100</v>
      </c>
      <c r="BY193" s="2" t="s">
        <v>112</v>
      </c>
      <c r="BZ193" s="2" t="s">
        <v>100</v>
      </c>
    </row>
    <row r="194">
      <c r="A194" s="2" t="s">
        <v>823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801</v>
      </c>
      <c r="G194" s="2" t="s">
        <v>802</v>
      </c>
      <c r="H194" s="2" t="s">
        <v>803</v>
      </c>
      <c r="I194" s="2" t="s">
        <v>804</v>
      </c>
      <c r="J194" s="2" t="s">
        <v>118</v>
      </c>
      <c r="K194" s="2" t="s">
        <v>650</v>
      </c>
      <c r="L194" s="3">
        <v>95.51</v>
      </c>
      <c r="M194" s="3">
        <v>100.29</v>
      </c>
      <c r="N194" s="3">
        <v>169.99</v>
      </c>
      <c r="O194" s="2" t="s">
        <v>97</v>
      </c>
      <c r="P194" s="2" t="s">
        <v>98</v>
      </c>
      <c r="Q194" s="2" t="s">
        <v>99</v>
      </c>
      <c r="R194" s="2" t="s">
        <v>100</v>
      </c>
      <c r="S194" s="2" t="s">
        <v>818</v>
      </c>
      <c r="T194" s="2" t="s">
        <v>100</v>
      </c>
      <c r="U194" s="2" t="s">
        <v>807</v>
      </c>
      <c r="V194" s="2" t="s">
        <v>103</v>
      </c>
      <c r="W194" s="2" t="s">
        <v>808</v>
      </c>
      <c r="X194" s="2" t="s">
        <v>809</v>
      </c>
      <c r="Y194" s="2" t="s">
        <v>819</v>
      </c>
      <c r="Z194" s="4">
        <v>55</v>
      </c>
      <c r="AA194" s="4">
        <f>=ROUNDDOWN(7.85714285714286,0)</f>
      </c>
      <c r="AB194" s="5">
        <v>7</v>
      </c>
      <c r="AC194" s="2" t="s">
        <v>430</v>
      </c>
      <c r="AD194" s="4">
        <v>70</v>
      </c>
      <c r="AE194" s="4">
        <v>240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 t="s">
        <v>100</v>
      </c>
      <c r="BJ194" s="4">
        <v>113</v>
      </c>
      <c r="BK194" s="8">
        <v>11317.76</v>
      </c>
      <c r="BL194" s="2" t="s">
        <v>824</v>
      </c>
      <c r="BM194" s="7"/>
      <c r="BN194" s="7"/>
      <c r="BO194" s="4"/>
      <c r="BP194" s="8"/>
      <c r="BQ194" s="4"/>
      <c r="BR194" s="8"/>
      <c r="BS194" s="7"/>
      <c r="BT194" s="7"/>
      <c r="BU194" s="2" t="s">
        <v>147</v>
      </c>
      <c r="BV194" s="2" t="s">
        <v>97</v>
      </c>
      <c r="BW194" s="2" t="s">
        <v>100</v>
      </c>
      <c r="BX194" s="2" t="s">
        <v>100</v>
      </c>
      <c r="BY194" s="2" t="s">
        <v>112</v>
      </c>
      <c r="BZ194" s="2" t="s">
        <v>100</v>
      </c>
    </row>
    <row r="195">
      <c r="A195" s="2" t="s">
        <v>825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801</v>
      </c>
      <c r="G195" s="2" t="s">
        <v>802</v>
      </c>
      <c r="H195" s="2" t="s">
        <v>803</v>
      </c>
      <c r="I195" s="2" t="s">
        <v>804</v>
      </c>
      <c r="J195" s="2" t="s">
        <v>95</v>
      </c>
      <c r="K195" s="2" t="s">
        <v>247</v>
      </c>
      <c r="L195" s="3">
        <v>85.47</v>
      </c>
      <c r="M195" s="3">
        <v>89.74</v>
      </c>
      <c r="N195" s="3">
        <v>149.99</v>
      </c>
      <c r="O195" s="2" t="s">
        <v>97</v>
      </c>
      <c r="P195" s="2" t="s">
        <v>182</v>
      </c>
      <c r="Q195" s="2" t="s">
        <v>99</v>
      </c>
      <c r="R195" s="2" t="s">
        <v>100</v>
      </c>
      <c r="S195" s="2" t="s">
        <v>826</v>
      </c>
      <c r="T195" s="2" t="s">
        <v>100</v>
      </c>
      <c r="U195" s="2" t="s">
        <v>807</v>
      </c>
      <c r="V195" s="2" t="s">
        <v>103</v>
      </c>
      <c r="W195" s="2" t="s">
        <v>808</v>
      </c>
      <c r="X195" s="2" t="s">
        <v>809</v>
      </c>
      <c r="Y195" s="2" t="s">
        <v>106</v>
      </c>
      <c r="Z195" s="4">
        <v>142</v>
      </c>
      <c r="AA195" s="4">
        <f>=ROUNDDOWN(7.88888888888889,0)</f>
      </c>
      <c r="AB195" s="5">
        <v>18</v>
      </c>
      <c r="AC195" s="2" t="s">
        <v>130</v>
      </c>
      <c r="AD195" s="4">
        <v>30</v>
      </c>
      <c r="AE195" s="4">
        <v>500</v>
      </c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 t="s">
        <v>100</v>
      </c>
      <c r="BJ195" s="4">
        <v>319</v>
      </c>
      <c r="BK195" s="8">
        <v>29369.31</v>
      </c>
      <c r="BL195" s="2" t="s">
        <v>827</v>
      </c>
      <c r="BM195" s="7"/>
      <c r="BN195" s="7"/>
      <c r="BO195" s="4"/>
      <c r="BP195" s="8"/>
      <c r="BQ195" s="4"/>
      <c r="BR195" s="8"/>
      <c r="BS195" s="7"/>
      <c r="BT195" s="7"/>
      <c r="BU195" s="2" t="s">
        <v>147</v>
      </c>
      <c r="BV195" s="2" t="s">
        <v>97</v>
      </c>
      <c r="BW195" s="2" t="s">
        <v>100</v>
      </c>
      <c r="BX195" s="2" t="s">
        <v>100</v>
      </c>
      <c r="BY195" s="2" t="s">
        <v>112</v>
      </c>
      <c r="BZ195" s="2" t="s">
        <v>100</v>
      </c>
    </row>
    <row r="196">
      <c r="A196" s="2" t="s">
        <v>828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801</v>
      </c>
      <c r="G196" s="2" t="s">
        <v>802</v>
      </c>
      <c r="H196" s="2" t="s">
        <v>803</v>
      </c>
      <c r="I196" s="2" t="s">
        <v>804</v>
      </c>
      <c r="J196" s="2" t="s">
        <v>114</v>
      </c>
      <c r="K196" s="2" t="s">
        <v>247</v>
      </c>
      <c r="L196" s="3">
        <v>95.51</v>
      </c>
      <c r="M196" s="3">
        <v>100.29</v>
      </c>
      <c r="N196" s="3">
        <v>169.99</v>
      </c>
      <c r="O196" s="2" t="s">
        <v>97</v>
      </c>
      <c r="P196" s="2" t="s">
        <v>182</v>
      </c>
      <c r="Q196" s="2" t="s">
        <v>99</v>
      </c>
      <c r="R196" s="2" t="s">
        <v>100</v>
      </c>
      <c r="S196" s="2" t="s">
        <v>826</v>
      </c>
      <c r="T196" s="2" t="s">
        <v>100</v>
      </c>
      <c r="U196" s="2" t="s">
        <v>807</v>
      </c>
      <c r="V196" s="2" t="s">
        <v>103</v>
      </c>
      <c r="W196" s="2" t="s">
        <v>808</v>
      </c>
      <c r="X196" s="2" t="s">
        <v>809</v>
      </c>
      <c r="Y196" s="2" t="s">
        <v>106</v>
      </c>
      <c r="Z196" s="4">
        <v>224</v>
      </c>
      <c r="AA196" s="4">
        <f>=ROUNDDOWN(17.2307692307692,0)</f>
      </c>
      <c r="AB196" s="5">
        <v>13</v>
      </c>
      <c r="AC196" s="2" t="s">
        <v>130</v>
      </c>
      <c r="AD196" s="4">
        <v>30</v>
      </c>
      <c r="AE196" s="4">
        <v>240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 t="s">
        <v>100</v>
      </c>
      <c r="BJ196" s="4">
        <v>185</v>
      </c>
      <c r="BK196" s="8">
        <v>19466.35</v>
      </c>
      <c r="BL196" s="2" t="s">
        <v>829</v>
      </c>
      <c r="BM196" s="7"/>
      <c r="BN196" s="7"/>
      <c r="BO196" s="4"/>
      <c r="BP196" s="8"/>
      <c r="BQ196" s="4"/>
      <c r="BR196" s="8"/>
      <c r="BS196" s="7"/>
      <c r="BT196" s="7"/>
      <c r="BU196" s="2" t="s">
        <v>147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830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801</v>
      </c>
      <c r="G197" s="2" t="s">
        <v>802</v>
      </c>
      <c r="H197" s="2" t="s">
        <v>803</v>
      </c>
      <c r="I197" s="2" t="s">
        <v>804</v>
      </c>
      <c r="J197" s="2" t="s">
        <v>118</v>
      </c>
      <c r="K197" s="2" t="s">
        <v>247</v>
      </c>
      <c r="L197" s="3">
        <v>95.51</v>
      </c>
      <c r="M197" s="3">
        <v>100.29</v>
      </c>
      <c r="N197" s="3">
        <v>169.99</v>
      </c>
      <c r="O197" s="2" t="s">
        <v>97</v>
      </c>
      <c r="P197" s="2" t="s">
        <v>182</v>
      </c>
      <c r="Q197" s="2" t="s">
        <v>99</v>
      </c>
      <c r="R197" s="2" t="s">
        <v>100</v>
      </c>
      <c r="S197" s="2" t="s">
        <v>826</v>
      </c>
      <c r="T197" s="2" t="s">
        <v>100</v>
      </c>
      <c r="U197" s="2" t="s">
        <v>807</v>
      </c>
      <c r="V197" s="2" t="s">
        <v>103</v>
      </c>
      <c r="W197" s="2" t="s">
        <v>808</v>
      </c>
      <c r="X197" s="2" t="s">
        <v>809</v>
      </c>
      <c r="Y197" s="2" t="s">
        <v>106</v>
      </c>
      <c r="Z197" s="4">
        <v>65</v>
      </c>
      <c r="AA197" s="4">
        <f>=ROUNDDOWN(16.25,0)</f>
      </c>
      <c r="AB197" s="5">
        <v>4</v>
      </c>
      <c r="AC197" s="2" t="s">
        <v>430</v>
      </c>
      <c r="AD197" s="4">
        <v>30</v>
      </c>
      <c r="AE197" s="4">
        <v>90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 t="s">
        <v>100</v>
      </c>
      <c r="BJ197" s="4">
        <v>77</v>
      </c>
      <c r="BK197" s="8">
        <v>7915.7</v>
      </c>
      <c r="BL197" s="2" t="s">
        <v>831</v>
      </c>
      <c r="BM197" s="7"/>
      <c r="BN197" s="7"/>
      <c r="BO197" s="4"/>
      <c r="BP197" s="8"/>
      <c r="BQ197" s="4"/>
      <c r="BR197" s="8"/>
      <c r="BS197" s="7"/>
      <c r="BT197" s="7"/>
      <c r="BU197" s="2" t="s">
        <v>147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832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801</v>
      </c>
      <c r="G198" s="2" t="s">
        <v>802</v>
      </c>
      <c r="H198" s="2" t="s">
        <v>803</v>
      </c>
      <c r="I198" s="2" t="s">
        <v>804</v>
      </c>
      <c r="J198" s="2" t="s">
        <v>95</v>
      </c>
      <c r="K198" s="2" t="s">
        <v>298</v>
      </c>
      <c r="L198" s="3">
        <v>85.47</v>
      </c>
      <c r="M198" s="3">
        <v>89.74</v>
      </c>
      <c r="N198" s="3">
        <v>149.99</v>
      </c>
      <c r="O198" s="2" t="s">
        <v>97</v>
      </c>
      <c r="P198" s="2" t="s">
        <v>182</v>
      </c>
      <c r="Q198" s="2" t="s">
        <v>99</v>
      </c>
      <c r="R198" s="2" t="s">
        <v>100</v>
      </c>
      <c r="S198" s="2" t="s">
        <v>833</v>
      </c>
      <c r="T198" s="2" t="s">
        <v>732</v>
      </c>
      <c r="U198" s="2" t="s">
        <v>807</v>
      </c>
      <c r="V198" s="2" t="s">
        <v>103</v>
      </c>
      <c r="W198" s="2" t="s">
        <v>808</v>
      </c>
      <c r="X198" s="2" t="s">
        <v>809</v>
      </c>
      <c r="Y198" s="2" t="s">
        <v>834</v>
      </c>
      <c r="Z198" s="4">
        <v>300</v>
      </c>
      <c r="AA198" s="4">
        <f>=ROUNDDOWN(9.09090909090909,0)</f>
      </c>
      <c r="AB198" s="5">
        <v>33</v>
      </c>
      <c r="AC198" s="2" t="s">
        <v>130</v>
      </c>
      <c r="AD198" s="4">
        <v>240</v>
      </c>
      <c r="AE198" s="4">
        <v>1140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 t="s">
        <v>100</v>
      </c>
      <c r="BJ198" s="4">
        <v>539</v>
      </c>
      <c r="BK198" s="8">
        <v>50352.63</v>
      </c>
      <c r="BL198" s="2" t="s">
        <v>395</v>
      </c>
      <c r="BM198" s="7"/>
      <c r="BN198" s="7"/>
      <c r="BO198" s="4"/>
      <c r="BP198" s="8"/>
      <c r="BQ198" s="4"/>
      <c r="BR198" s="8"/>
      <c r="BS198" s="7"/>
      <c r="BT198" s="7"/>
      <c r="BU198" s="2" t="s">
        <v>147</v>
      </c>
      <c r="BV198" s="2" t="s">
        <v>97</v>
      </c>
      <c r="BW198" s="2" t="s">
        <v>100</v>
      </c>
      <c r="BX198" s="2" t="s">
        <v>100</v>
      </c>
      <c r="BY198" s="2" t="s">
        <v>112</v>
      </c>
      <c r="BZ198" s="2" t="s">
        <v>100</v>
      </c>
    </row>
    <row r="199">
      <c r="A199" s="2" t="s">
        <v>835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801</v>
      </c>
      <c r="G199" s="2" t="s">
        <v>802</v>
      </c>
      <c r="H199" s="2" t="s">
        <v>803</v>
      </c>
      <c r="I199" s="2" t="s">
        <v>804</v>
      </c>
      <c r="J199" s="2" t="s">
        <v>114</v>
      </c>
      <c r="K199" s="2" t="s">
        <v>298</v>
      </c>
      <c r="L199" s="3">
        <v>95.51</v>
      </c>
      <c r="M199" s="3">
        <v>100.29</v>
      </c>
      <c r="N199" s="3">
        <v>169.99</v>
      </c>
      <c r="O199" s="2" t="s">
        <v>97</v>
      </c>
      <c r="P199" s="2" t="s">
        <v>182</v>
      </c>
      <c r="Q199" s="2" t="s">
        <v>99</v>
      </c>
      <c r="R199" s="2" t="s">
        <v>100</v>
      </c>
      <c r="S199" s="2" t="s">
        <v>833</v>
      </c>
      <c r="T199" s="2" t="s">
        <v>732</v>
      </c>
      <c r="U199" s="2" t="s">
        <v>807</v>
      </c>
      <c r="V199" s="2" t="s">
        <v>103</v>
      </c>
      <c r="W199" s="2" t="s">
        <v>808</v>
      </c>
      <c r="X199" s="2" t="s">
        <v>809</v>
      </c>
      <c r="Y199" s="2" t="s">
        <v>834</v>
      </c>
      <c r="Z199" s="4">
        <v>371</v>
      </c>
      <c r="AA199" s="4">
        <f>=ROUNDDOWN(23.1875,0)</f>
      </c>
      <c r="AB199" s="5">
        <v>16</v>
      </c>
      <c r="AC199" s="2" t="s">
        <v>130</v>
      </c>
      <c r="AD199" s="4">
        <v>150</v>
      </c>
      <c r="AE199" s="4">
        <v>410</v>
      </c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 t="s">
        <v>100</v>
      </c>
      <c r="BJ199" s="4">
        <v>230</v>
      </c>
      <c r="BK199" s="8">
        <v>23909.54</v>
      </c>
      <c r="BL199" s="2" t="s">
        <v>836</v>
      </c>
      <c r="BM199" s="7"/>
      <c r="BN199" s="7"/>
      <c r="BO199" s="4"/>
      <c r="BP199" s="8"/>
      <c r="BQ199" s="4"/>
      <c r="BR199" s="8"/>
      <c r="BS199" s="7"/>
      <c r="BT199" s="7"/>
      <c r="BU199" s="2" t="s">
        <v>147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837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801</v>
      </c>
      <c r="G200" s="2" t="s">
        <v>802</v>
      </c>
      <c r="H200" s="2" t="s">
        <v>803</v>
      </c>
      <c r="I200" s="2" t="s">
        <v>804</v>
      </c>
      <c r="J200" s="2" t="s">
        <v>118</v>
      </c>
      <c r="K200" s="2" t="s">
        <v>298</v>
      </c>
      <c r="L200" s="3">
        <v>95.51</v>
      </c>
      <c r="M200" s="3">
        <v>100.29</v>
      </c>
      <c r="N200" s="3">
        <v>169.99</v>
      </c>
      <c r="O200" s="2" t="s">
        <v>97</v>
      </c>
      <c r="P200" s="2" t="s">
        <v>182</v>
      </c>
      <c r="Q200" s="2" t="s">
        <v>99</v>
      </c>
      <c r="R200" s="2" t="s">
        <v>100</v>
      </c>
      <c r="S200" s="2" t="s">
        <v>833</v>
      </c>
      <c r="T200" s="2" t="s">
        <v>732</v>
      </c>
      <c r="U200" s="2" t="s">
        <v>807</v>
      </c>
      <c r="V200" s="2" t="s">
        <v>103</v>
      </c>
      <c r="W200" s="2" t="s">
        <v>808</v>
      </c>
      <c r="X200" s="2" t="s">
        <v>809</v>
      </c>
      <c r="Y200" s="2" t="s">
        <v>834</v>
      </c>
      <c r="Z200" s="4">
        <v>52</v>
      </c>
      <c r="AA200" s="4">
        <f>=ROUNDDOWN(5.2,0)</f>
      </c>
      <c r="AB200" s="5">
        <v>10</v>
      </c>
      <c r="AC200" s="2" t="s">
        <v>746</v>
      </c>
      <c r="AD200" s="4">
        <v>40</v>
      </c>
      <c r="AE200" s="4">
        <v>330</v>
      </c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 t="s">
        <v>100</v>
      </c>
      <c r="BJ200" s="4">
        <v>128</v>
      </c>
      <c r="BK200" s="8">
        <v>13754.32</v>
      </c>
      <c r="BL200" s="2" t="s">
        <v>838</v>
      </c>
      <c r="BM200" s="7"/>
      <c r="BN200" s="7"/>
      <c r="BO200" s="4"/>
      <c r="BP200" s="8"/>
      <c r="BQ200" s="4"/>
      <c r="BR200" s="8"/>
      <c r="BS200" s="7"/>
      <c r="BT200" s="7"/>
      <c r="BU200" s="2" t="s">
        <v>147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839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840</v>
      </c>
      <c r="G201" s="2" t="s">
        <v>841</v>
      </c>
      <c r="H201" s="2" t="s">
        <v>842</v>
      </c>
      <c r="I201" s="2" t="s">
        <v>843</v>
      </c>
      <c r="J201" s="2" t="s">
        <v>844</v>
      </c>
      <c r="K201" s="2" t="s">
        <v>197</v>
      </c>
      <c r="L201" s="3">
        <v>57.6</v>
      </c>
      <c r="M201" s="3">
        <v>60.47</v>
      </c>
      <c r="N201" s="3">
        <v>119.99</v>
      </c>
      <c r="O201" s="2" t="s">
        <v>97</v>
      </c>
      <c r="P201" s="2" t="s">
        <v>182</v>
      </c>
      <c r="Q201" s="2" t="s">
        <v>99</v>
      </c>
      <c r="R201" s="2" t="s">
        <v>100</v>
      </c>
      <c r="S201" s="2" t="s">
        <v>845</v>
      </c>
      <c r="T201" s="2" t="s">
        <v>100</v>
      </c>
      <c r="U201" s="2" t="s">
        <v>403</v>
      </c>
      <c r="V201" s="2" t="s">
        <v>637</v>
      </c>
      <c r="W201" s="2" t="s">
        <v>104</v>
      </c>
      <c r="X201" s="2" t="s">
        <v>201</v>
      </c>
      <c r="Y201" s="2" t="s">
        <v>846</v>
      </c>
      <c r="Z201" s="4">
        <v>844</v>
      </c>
      <c r="AA201" s="4">
        <f>=ROUNDDOWN(26.375,0)</f>
      </c>
      <c r="AB201" s="5">
        <v>32</v>
      </c>
      <c r="AC201" s="2" t="s">
        <v>847</v>
      </c>
      <c r="AD201" s="4">
        <v>350</v>
      </c>
      <c r="AE201" s="4">
        <v>350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>
        <v>0</v>
      </c>
      <c r="AP201" s="4">
        <v>6</v>
      </c>
      <c r="AQ201" s="8">
        <v>362.82</v>
      </c>
      <c r="AR201" s="4">
        <v>3</v>
      </c>
      <c r="AS201" s="8">
        <v>181.41</v>
      </c>
      <c r="AT201" s="7">
        <v>1</v>
      </c>
      <c r="AU201" s="7">
        <v>1</v>
      </c>
      <c r="AV201" s="4">
        <v>7</v>
      </c>
      <c r="AW201" s="8">
        <v>433.37</v>
      </c>
      <c r="AX201" s="4">
        <v>5</v>
      </c>
      <c r="AY201" s="8">
        <v>322.51</v>
      </c>
      <c r="AZ201" s="7">
        <v>0.4</v>
      </c>
      <c r="BA201" s="7">
        <v>0.3437</v>
      </c>
      <c r="BB201" s="7">
        <v>0.8372</v>
      </c>
      <c r="BC201" s="4">
        <v>7</v>
      </c>
      <c r="BD201" s="8">
        <v>433.37</v>
      </c>
      <c r="BE201" s="4">
        <v>5</v>
      </c>
      <c r="BF201" s="8">
        <v>322.51</v>
      </c>
      <c r="BG201" s="7">
        <v>0.4</v>
      </c>
      <c r="BH201" s="7">
        <v>0.3437</v>
      </c>
      <c r="BI201" s="7">
        <v>1</v>
      </c>
      <c r="BJ201" s="4">
        <v>640</v>
      </c>
      <c r="BK201" s="8">
        <v>37233.13</v>
      </c>
      <c r="BL201" s="2" t="s">
        <v>848</v>
      </c>
      <c r="BM201" s="7">
        <v>0.0094</v>
      </c>
      <c r="BN201" s="7">
        <v>0.0097</v>
      </c>
      <c r="BO201" s="4">
        <v>6</v>
      </c>
      <c r="BP201" s="8">
        <v>362.82</v>
      </c>
      <c r="BQ201" s="4">
        <v>3</v>
      </c>
      <c r="BR201" s="8">
        <v>181.41</v>
      </c>
      <c r="BS201" s="7">
        <v>1</v>
      </c>
      <c r="BT201" s="7">
        <v>1</v>
      </c>
      <c r="BU201" s="2" t="s">
        <v>109</v>
      </c>
      <c r="BV201" s="2" t="s">
        <v>97</v>
      </c>
      <c r="BW201" s="2" t="s">
        <v>132</v>
      </c>
      <c r="BX201" s="2" t="s">
        <v>136</v>
      </c>
      <c r="BY201" s="2" t="s">
        <v>112</v>
      </c>
      <c r="BZ201" s="2" t="s">
        <v>100</v>
      </c>
    </row>
    <row r="202">
      <c r="A202" s="2" t="s">
        <v>849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840</v>
      </c>
      <c r="G202" s="2" t="s">
        <v>841</v>
      </c>
      <c r="H202" s="2" t="s">
        <v>842</v>
      </c>
      <c r="I202" s="2" t="s">
        <v>843</v>
      </c>
      <c r="J202" s="2" t="s">
        <v>850</v>
      </c>
      <c r="K202" s="2" t="s">
        <v>197</v>
      </c>
      <c r="L202" s="3">
        <v>67.2</v>
      </c>
      <c r="M202" s="3">
        <v>70.55</v>
      </c>
      <c r="N202" s="3">
        <v>139.99</v>
      </c>
      <c r="O202" s="2" t="s">
        <v>97</v>
      </c>
      <c r="P202" s="2" t="s">
        <v>182</v>
      </c>
      <c r="Q202" s="2" t="s">
        <v>99</v>
      </c>
      <c r="R202" s="2" t="s">
        <v>100</v>
      </c>
      <c r="S202" s="2" t="s">
        <v>845</v>
      </c>
      <c r="T202" s="2" t="s">
        <v>100</v>
      </c>
      <c r="U202" s="2" t="s">
        <v>403</v>
      </c>
      <c r="V202" s="2" t="s">
        <v>637</v>
      </c>
      <c r="W202" s="2" t="s">
        <v>104</v>
      </c>
      <c r="X202" s="2" t="s">
        <v>201</v>
      </c>
      <c r="Y202" s="2" t="s">
        <v>846</v>
      </c>
      <c r="Z202" s="4">
        <v>607</v>
      </c>
      <c r="AA202" s="4">
        <f>=ROUNDDOWN(22.4814814814815,0)</f>
      </c>
      <c r="AB202" s="5">
        <v>27</v>
      </c>
      <c r="AC202" s="2" t="s">
        <v>847</v>
      </c>
      <c r="AD202" s="4">
        <v>450</v>
      </c>
      <c r="AE202" s="4">
        <v>450</v>
      </c>
      <c r="AF202" s="6">
        <v>65</v>
      </c>
      <c r="AG202" s="6">
        <v>48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>
        <v>0</v>
      </c>
      <c r="AP202" s="4">
        <v>1</v>
      </c>
      <c r="AQ202" s="8">
        <v>70.55</v>
      </c>
      <c r="AR202" s="4">
        <v>2</v>
      </c>
      <c r="AS202" s="8">
        <v>141.1</v>
      </c>
      <c r="AT202" s="7">
        <v>-0.5</v>
      </c>
      <c r="AU202" s="7">
        <v>-0.5</v>
      </c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>
        <v>0.1628</v>
      </c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 t="s">
        <v>100</v>
      </c>
      <c r="BJ202" s="4">
        <v>551</v>
      </c>
      <c r="BK202" s="8">
        <v>38165.97</v>
      </c>
      <c r="BL202" s="2" t="s">
        <v>851</v>
      </c>
      <c r="BM202" s="7">
        <v>0.0018</v>
      </c>
      <c r="BN202" s="7">
        <v>0.0018</v>
      </c>
      <c r="BO202" s="4">
        <v>1</v>
      </c>
      <c r="BP202" s="8">
        <v>70.55</v>
      </c>
      <c r="BQ202" s="4">
        <v>2</v>
      </c>
      <c r="BR202" s="8">
        <v>141.1</v>
      </c>
      <c r="BS202" s="7">
        <v>-0.5</v>
      </c>
      <c r="BT202" s="7">
        <v>-0.5</v>
      </c>
      <c r="BU202" s="2" t="s">
        <v>109</v>
      </c>
      <c r="BV202" s="2" t="s">
        <v>97</v>
      </c>
      <c r="BW202" s="2" t="s">
        <v>132</v>
      </c>
      <c r="BX202" s="2" t="s">
        <v>852</v>
      </c>
      <c r="BY202" s="2" t="s">
        <v>112</v>
      </c>
      <c r="BZ202" s="2" t="s">
        <v>100</v>
      </c>
    </row>
    <row r="203">
      <c r="A203" s="2" t="s">
        <v>853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840</v>
      </c>
      <c r="G203" s="2" t="s">
        <v>841</v>
      </c>
      <c r="H203" s="2" t="s">
        <v>842</v>
      </c>
      <c r="I203" s="2" t="s">
        <v>843</v>
      </c>
      <c r="J203" s="2" t="s">
        <v>844</v>
      </c>
      <c r="K203" s="2" t="s">
        <v>333</v>
      </c>
      <c r="L203" s="3">
        <v>57.6</v>
      </c>
      <c r="M203" s="3">
        <v>60.47</v>
      </c>
      <c r="N203" s="3">
        <v>119.99</v>
      </c>
      <c r="O203" s="2" t="s">
        <v>97</v>
      </c>
      <c r="P203" s="2" t="s">
        <v>98</v>
      </c>
      <c r="Q203" s="2" t="s">
        <v>99</v>
      </c>
      <c r="R203" s="2" t="s">
        <v>100</v>
      </c>
      <c r="S203" s="2" t="s">
        <v>854</v>
      </c>
      <c r="T203" s="2" t="s">
        <v>100</v>
      </c>
      <c r="U203" s="2" t="s">
        <v>403</v>
      </c>
      <c r="V203" s="2" t="s">
        <v>637</v>
      </c>
      <c r="W203" s="2" t="s">
        <v>104</v>
      </c>
      <c r="X203" s="2" t="s">
        <v>201</v>
      </c>
      <c r="Y203" s="2" t="s">
        <v>846</v>
      </c>
      <c r="Z203" s="4">
        <v>1474</v>
      </c>
      <c r="AA203" s="4">
        <f>=ROUNDDOWN(52.6428571428571,0)</f>
      </c>
      <c r="AB203" s="5">
        <v>28</v>
      </c>
      <c r="AC203" s="2" t="s">
        <v>855</v>
      </c>
      <c r="AD203" s="4">
        <v>280</v>
      </c>
      <c r="AE203" s="4">
        <v>410</v>
      </c>
      <c r="AF203" s="6">
        <v>69</v>
      </c>
      <c r="AG203" s="6">
        <v>77</v>
      </c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 t="s">
        <v>100</v>
      </c>
      <c r="BJ203" s="4">
        <v>607</v>
      </c>
      <c r="BK203" s="8">
        <v>36888.83</v>
      </c>
      <c r="BL203" s="2" t="s">
        <v>856</v>
      </c>
      <c r="BM203" s="7"/>
      <c r="BN203" s="7"/>
      <c r="BO203" s="4"/>
      <c r="BP203" s="8"/>
      <c r="BQ203" s="4"/>
      <c r="BR203" s="8"/>
      <c r="BS203" s="7"/>
      <c r="BT203" s="7"/>
      <c r="BU203" s="2" t="s">
        <v>109</v>
      </c>
      <c r="BV203" s="2" t="s">
        <v>97</v>
      </c>
      <c r="BW203" s="2" t="s">
        <v>580</v>
      </c>
      <c r="BX203" s="2" t="s">
        <v>100</v>
      </c>
      <c r="BY203" s="2" t="s">
        <v>112</v>
      </c>
      <c r="BZ203" s="2" t="s">
        <v>100</v>
      </c>
    </row>
    <row r="204">
      <c r="A204" s="2" t="s">
        <v>857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840</v>
      </c>
      <c r="G204" s="2" t="s">
        <v>841</v>
      </c>
      <c r="H204" s="2" t="s">
        <v>842</v>
      </c>
      <c r="I204" s="2" t="s">
        <v>843</v>
      </c>
      <c r="J204" s="2" t="s">
        <v>850</v>
      </c>
      <c r="K204" s="2" t="s">
        <v>333</v>
      </c>
      <c r="L204" s="3">
        <v>67.2</v>
      </c>
      <c r="M204" s="3">
        <v>70.55</v>
      </c>
      <c r="N204" s="3">
        <v>139.99</v>
      </c>
      <c r="O204" s="2" t="s">
        <v>97</v>
      </c>
      <c r="P204" s="2" t="s">
        <v>98</v>
      </c>
      <c r="Q204" s="2" t="s">
        <v>99</v>
      </c>
      <c r="R204" s="2" t="s">
        <v>100</v>
      </c>
      <c r="S204" s="2" t="s">
        <v>854</v>
      </c>
      <c r="T204" s="2" t="s">
        <v>100</v>
      </c>
      <c r="U204" s="2" t="s">
        <v>403</v>
      </c>
      <c r="V204" s="2" t="s">
        <v>637</v>
      </c>
      <c r="W204" s="2" t="s">
        <v>104</v>
      </c>
      <c r="X204" s="2" t="s">
        <v>201</v>
      </c>
      <c r="Y204" s="2" t="s">
        <v>858</v>
      </c>
      <c r="Z204" s="4">
        <v>1642</v>
      </c>
      <c r="AA204" s="4">
        <f>=ROUNDDOWN(43.2105263157895,0)</f>
      </c>
      <c r="AB204" s="5">
        <v>38</v>
      </c>
      <c r="AC204" s="2" t="s">
        <v>855</v>
      </c>
      <c r="AD204" s="4">
        <v>240</v>
      </c>
      <c r="AE204" s="4">
        <v>420</v>
      </c>
      <c r="AF204" s="6">
        <v>69</v>
      </c>
      <c r="AG204" s="6">
        <v>77</v>
      </c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 t="s">
        <v>100</v>
      </c>
      <c r="BJ204" s="4">
        <v>817</v>
      </c>
      <c r="BK204" s="8">
        <v>60068.45</v>
      </c>
      <c r="BL204" s="2" t="s">
        <v>859</v>
      </c>
      <c r="BM204" s="7"/>
      <c r="BN204" s="7"/>
      <c r="BO204" s="4"/>
      <c r="BP204" s="8"/>
      <c r="BQ204" s="4"/>
      <c r="BR204" s="8"/>
      <c r="BS204" s="7"/>
      <c r="BT204" s="7"/>
      <c r="BU204" s="2" t="s">
        <v>109</v>
      </c>
      <c r="BV204" s="2" t="s">
        <v>97</v>
      </c>
      <c r="BW204" s="2" t="s">
        <v>580</v>
      </c>
      <c r="BX204" s="2" t="s">
        <v>100</v>
      </c>
      <c r="BY204" s="2" t="s">
        <v>112</v>
      </c>
      <c r="BZ204" s="2" t="s">
        <v>100</v>
      </c>
    </row>
    <row r="205">
      <c r="A205" s="2" t="s">
        <v>860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840</v>
      </c>
      <c r="G205" s="2" t="s">
        <v>841</v>
      </c>
      <c r="H205" s="2" t="s">
        <v>842</v>
      </c>
      <c r="I205" s="2" t="s">
        <v>843</v>
      </c>
      <c r="J205" s="2" t="s">
        <v>844</v>
      </c>
      <c r="K205" s="2" t="s">
        <v>622</v>
      </c>
      <c r="L205" s="3">
        <v>57.6</v>
      </c>
      <c r="M205" s="3">
        <v>60.47</v>
      </c>
      <c r="N205" s="3">
        <v>119.99</v>
      </c>
      <c r="O205" s="2" t="s">
        <v>97</v>
      </c>
      <c r="P205" s="2" t="s">
        <v>198</v>
      </c>
      <c r="Q205" s="2" t="s">
        <v>99</v>
      </c>
      <c r="R205" s="2" t="s">
        <v>100</v>
      </c>
      <c r="S205" s="2" t="s">
        <v>861</v>
      </c>
      <c r="T205" s="2" t="s">
        <v>184</v>
      </c>
      <c r="U205" s="2" t="s">
        <v>403</v>
      </c>
      <c r="V205" s="2" t="s">
        <v>637</v>
      </c>
      <c r="W205" s="2" t="s">
        <v>104</v>
      </c>
      <c r="X205" s="2" t="s">
        <v>602</v>
      </c>
      <c r="Y205" s="2" t="s">
        <v>862</v>
      </c>
      <c r="Z205" s="4">
        <v>526</v>
      </c>
      <c r="AA205" s="4">
        <f>=ROUNDDOWN(37.5714285714286,0)</f>
      </c>
      <c r="AB205" s="5">
        <v>14</v>
      </c>
      <c r="AC205" s="2" t="s">
        <v>325</v>
      </c>
      <c r="AD205" s="4">
        <v>170</v>
      </c>
      <c r="AE205" s="4">
        <v>170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100</v>
      </c>
      <c r="AW205" s="8" t="s">
        <v>100</v>
      </c>
      <c r="AX205" s="4" t="s">
        <v>100</v>
      </c>
      <c r="AY205" s="8" t="s">
        <v>100</v>
      </c>
      <c r="AZ205" s="7" t="s">
        <v>100</v>
      </c>
      <c r="BA205" s="7" t="s">
        <v>100</v>
      </c>
      <c r="BB205" s="7"/>
      <c r="BC205" s="4" t="s">
        <v>100</v>
      </c>
      <c r="BD205" s="8" t="s">
        <v>100</v>
      </c>
      <c r="BE205" s="4" t="s">
        <v>100</v>
      </c>
      <c r="BF205" s="8" t="s">
        <v>100</v>
      </c>
      <c r="BG205" s="7" t="s">
        <v>100</v>
      </c>
      <c r="BH205" s="7" t="s">
        <v>100</v>
      </c>
      <c r="BI205" s="7" t="s">
        <v>100</v>
      </c>
      <c r="BJ205" s="4">
        <v>218</v>
      </c>
      <c r="BK205" s="8">
        <v>13455.43</v>
      </c>
      <c r="BL205" s="2" t="s">
        <v>863</v>
      </c>
      <c r="BM205" s="7"/>
      <c r="BN205" s="7"/>
      <c r="BO205" s="4"/>
      <c r="BP205" s="8"/>
      <c r="BQ205" s="4"/>
      <c r="BR205" s="8"/>
      <c r="BS205" s="7"/>
      <c r="BT205" s="7"/>
      <c r="BU205" s="2" t="s">
        <v>147</v>
      </c>
      <c r="BV205" s="2" t="s">
        <v>97</v>
      </c>
      <c r="BW205" s="2" t="s">
        <v>100</v>
      </c>
      <c r="BX205" s="2" t="s">
        <v>100</v>
      </c>
      <c r="BY205" s="2" t="s">
        <v>112</v>
      </c>
      <c r="BZ205" s="2" t="s">
        <v>100</v>
      </c>
    </row>
    <row r="206">
      <c r="A206" s="2" t="s">
        <v>864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840</v>
      </c>
      <c r="G206" s="2" t="s">
        <v>841</v>
      </c>
      <c r="H206" s="2" t="s">
        <v>842</v>
      </c>
      <c r="I206" s="2" t="s">
        <v>843</v>
      </c>
      <c r="J206" s="2" t="s">
        <v>850</v>
      </c>
      <c r="K206" s="2" t="s">
        <v>622</v>
      </c>
      <c r="L206" s="3">
        <v>67.2</v>
      </c>
      <c r="M206" s="3">
        <v>70.55</v>
      </c>
      <c r="N206" s="3">
        <v>139.99</v>
      </c>
      <c r="O206" s="2" t="s">
        <v>97</v>
      </c>
      <c r="P206" s="2" t="s">
        <v>198</v>
      </c>
      <c r="Q206" s="2" t="s">
        <v>99</v>
      </c>
      <c r="R206" s="2" t="s">
        <v>100</v>
      </c>
      <c r="S206" s="2" t="s">
        <v>861</v>
      </c>
      <c r="T206" s="2" t="s">
        <v>184</v>
      </c>
      <c r="U206" s="2" t="s">
        <v>403</v>
      </c>
      <c r="V206" s="2" t="s">
        <v>637</v>
      </c>
      <c r="W206" s="2" t="s">
        <v>104</v>
      </c>
      <c r="X206" s="2" t="s">
        <v>602</v>
      </c>
      <c r="Y206" s="2" t="s">
        <v>862</v>
      </c>
      <c r="Z206" s="4">
        <v>453</v>
      </c>
      <c r="AA206" s="4">
        <f>=ROUNDDOWN(37.75,0)</f>
      </c>
      <c r="AB206" s="5">
        <v>12</v>
      </c>
      <c r="AC206" s="2" t="s">
        <v>325</v>
      </c>
      <c r="AD206" s="4">
        <v>160</v>
      </c>
      <c r="AE206" s="4">
        <v>160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 t="s">
        <v>100</v>
      </c>
      <c r="BJ206" s="4">
        <v>237</v>
      </c>
      <c r="BK206" s="8">
        <v>16910.52</v>
      </c>
      <c r="BL206" s="2" t="s">
        <v>865</v>
      </c>
      <c r="BM206" s="7"/>
      <c r="BN206" s="7"/>
      <c r="BO206" s="4"/>
      <c r="BP206" s="8"/>
      <c r="BQ206" s="4"/>
      <c r="BR206" s="8"/>
      <c r="BS206" s="7"/>
      <c r="BT206" s="7"/>
      <c r="BU206" s="2" t="s">
        <v>147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866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867</v>
      </c>
      <c r="G207" s="2" t="s">
        <v>868</v>
      </c>
      <c r="H207" s="2" t="s">
        <v>869</v>
      </c>
      <c r="I207" s="2" t="s">
        <v>870</v>
      </c>
      <c r="J207" s="2" t="s">
        <v>95</v>
      </c>
      <c r="K207" s="2" t="s">
        <v>871</v>
      </c>
      <c r="L207" s="3">
        <v>61.73</v>
      </c>
      <c r="M207" s="3">
        <v>64.82</v>
      </c>
      <c r="N207" s="3">
        <v>129.99</v>
      </c>
      <c r="O207" s="2" t="s">
        <v>97</v>
      </c>
      <c r="P207" s="2" t="s">
        <v>124</v>
      </c>
      <c r="Q207" s="2" t="s">
        <v>99</v>
      </c>
      <c r="R207" s="2" t="s">
        <v>100</v>
      </c>
      <c r="S207" s="2" t="s">
        <v>872</v>
      </c>
      <c r="T207" s="2" t="s">
        <v>100</v>
      </c>
      <c r="U207" s="2" t="s">
        <v>102</v>
      </c>
      <c r="V207" s="2" t="s">
        <v>404</v>
      </c>
      <c r="W207" s="2" t="s">
        <v>104</v>
      </c>
      <c r="X207" s="2" t="s">
        <v>105</v>
      </c>
      <c r="Y207" s="2" t="s">
        <v>873</v>
      </c>
      <c r="Z207" s="4">
        <v>736</v>
      </c>
      <c r="AA207" s="4">
        <f>=ROUNDDOWN(17.9512195121951,0)</f>
      </c>
      <c r="AB207" s="5">
        <v>41</v>
      </c>
      <c r="AC207" s="2" t="s">
        <v>874</v>
      </c>
      <c r="AD207" s="4">
        <v>100</v>
      </c>
      <c r="AE207" s="4">
        <v>840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>
        <v>0</v>
      </c>
      <c r="AP207" s="4">
        <v>1</v>
      </c>
      <c r="AQ207" s="8">
        <v>64.82</v>
      </c>
      <c r="AR207" s="4">
        <v>3</v>
      </c>
      <c r="AS207" s="8">
        <v>194.46</v>
      </c>
      <c r="AT207" s="7">
        <v>-0.6667</v>
      </c>
      <c r="AU207" s="7">
        <v>-0.6667</v>
      </c>
      <c r="AV207" s="4">
        <v>4</v>
      </c>
      <c r="AW207" s="8">
        <v>287.06</v>
      </c>
      <c r="AX207" s="4">
        <v>8</v>
      </c>
      <c r="AY207" s="8">
        <v>589.58</v>
      </c>
      <c r="AZ207" s="7">
        <v>-0.5</v>
      </c>
      <c r="BA207" s="7">
        <v>-0.5131</v>
      </c>
      <c r="BB207" s="7">
        <v>0.2258</v>
      </c>
      <c r="BC207" s="4">
        <v>6</v>
      </c>
      <c r="BD207" s="8">
        <v>425.96</v>
      </c>
      <c r="BE207" s="4">
        <v>9</v>
      </c>
      <c r="BF207" s="8">
        <v>663.28</v>
      </c>
      <c r="BG207" s="7">
        <v>-0.3333</v>
      </c>
      <c r="BH207" s="7">
        <v>-0.3578</v>
      </c>
      <c r="BI207" s="7">
        <v>0.6739</v>
      </c>
      <c r="BJ207" s="4">
        <v>898</v>
      </c>
      <c r="BK207" s="8">
        <v>63921.89</v>
      </c>
      <c r="BL207" s="2" t="s">
        <v>875</v>
      </c>
      <c r="BM207" s="7">
        <v>0.0011</v>
      </c>
      <c r="BN207" s="7">
        <v>0.001</v>
      </c>
      <c r="BO207" s="4">
        <v>1</v>
      </c>
      <c r="BP207" s="8">
        <v>64.82</v>
      </c>
      <c r="BQ207" s="4">
        <v>3</v>
      </c>
      <c r="BR207" s="8">
        <v>194.46</v>
      </c>
      <c r="BS207" s="7">
        <v>-0.6667</v>
      </c>
      <c r="BT207" s="7">
        <v>-0.6667</v>
      </c>
      <c r="BU207" s="2" t="s">
        <v>109</v>
      </c>
      <c r="BV207" s="2" t="s">
        <v>97</v>
      </c>
      <c r="BW207" s="2" t="s">
        <v>606</v>
      </c>
      <c r="BX207" s="2" t="s">
        <v>876</v>
      </c>
      <c r="BY207" s="2" t="s">
        <v>112</v>
      </c>
      <c r="BZ207" s="2" t="s">
        <v>100</v>
      </c>
    </row>
    <row r="208">
      <c r="A208" s="2" t="s">
        <v>877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867</v>
      </c>
      <c r="G208" s="2" t="s">
        <v>868</v>
      </c>
      <c r="H208" s="2" t="s">
        <v>869</v>
      </c>
      <c r="I208" s="2" t="s">
        <v>870</v>
      </c>
      <c r="J208" s="2" t="s">
        <v>114</v>
      </c>
      <c r="K208" s="2" t="s">
        <v>871</v>
      </c>
      <c r="L208" s="3">
        <v>70.55</v>
      </c>
      <c r="M208" s="3">
        <v>74.08</v>
      </c>
      <c r="N208" s="3">
        <v>149.99</v>
      </c>
      <c r="O208" s="2" t="s">
        <v>97</v>
      </c>
      <c r="P208" s="2" t="s">
        <v>124</v>
      </c>
      <c r="Q208" s="2" t="s">
        <v>99</v>
      </c>
      <c r="R208" s="2" t="s">
        <v>100</v>
      </c>
      <c r="S208" s="2" t="s">
        <v>872</v>
      </c>
      <c r="T208" s="2" t="s">
        <v>100</v>
      </c>
      <c r="U208" s="2" t="s">
        <v>102</v>
      </c>
      <c r="V208" s="2" t="s">
        <v>404</v>
      </c>
      <c r="W208" s="2" t="s">
        <v>104</v>
      </c>
      <c r="X208" s="2" t="s">
        <v>105</v>
      </c>
      <c r="Y208" s="2" t="s">
        <v>878</v>
      </c>
      <c r="Z208" s="4">
        <v>519</v>
      </c>
      <c r="AA208" s="4">
        <f>=ROUNDDOWN(10.1764705882353,0)</f>
      </c>
      <c r="AB208" s="5">
        <v>51</v>
      </c>
      <c r="AC208" s="2" t="s">
        <v>746</v>
      </c>
      <c r="AD208" s="4">
        <v>200</v>
      </c>
      <c r="AE208" s="4">
        <v>1500</v>
      </c>
      <c r="AF208" s="6">
        <v>65</v>
      </c>
      <c r="AG208" s="6">
        <v>73</v>
      </c>
      <c r="AH208" s="7">
        <v>0.8788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>
        <v>0</v>
      </c>
      <c r="AP208" s="4">
        <v>2</v>
      </c>
      <c r="AQ208" s="8">
        <v>148.16</v>
      </c>
      <c r="AR208" s="4">
        <v>3</v>
      </c>
      <c r="AS208" s="8">
        <v>230.48</v>
      </c>
      <c r="AT208" s="7">
        <v>-0.3333</v>
      </c>
      <c r="AU208" s="7">
        <v>-0.3572</v>
      </c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>
        <v>0.5161</v>
      </c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 t="s">
        <v>100</v>
      </c>
      <c r="BJ208" s="4">
        <v>842</v>
      </c>
      <c r="BK208" s="8">
        <v>69859.32</v>
      </c>
      <c r="BL208" s="2" t="s">
        <v>879</v>
      </c>
      <c r="BM208" s="7">
        <v>0.0024</v>
      </c>
      <c r="BN208" s="7">
        <v>0.0021</v>
      </c>
      <c r="BO208" s="4">
        <v>2</v>
      </c>
      <c r="BP208" s="8">
        <v>148.16</v>
      </c>
      <c r="BQ208" s="4">
        <v>3</v>
      </c>
      <c r="BR208" s="8">
        <v>230.48</v>
      </c>
      <c r="BS208" s="7">
        <v>-0.3333</v>
      </c>
      <c r="BT208" s="7">
        <v>-0.3572</v>
      </c>
      <c r="BU208" s="2" t="s">
        <v>109</v>
      </c>
      <c r="BV208" s="2" t="s">
        <v>97</v>
      </c>
      <c r="BW208" s="2" t="s">
        <v>606</v>
      </c>
      <c r="BX208" s="2" t="s">
        <v>880</v>
      </c>
      <c r="BY208" s="2" t="s">
        <v>112</v>
      </c>
      <c r="BZ208" s="2" t="s">
        <v>100</v>
      </c>
    </row>
    <row r="209">
      <c r="A209" s="2" t="s">
        <v>881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867</v>
      </c>
      <c r="G209" s="2" t="s">
        <v>868</v>
      </c>
      <c r="H209" s="2" t="s">
        <v>869</v>
      </c>
      <c r="I209" s="2" t="s">
        <v>870</v>
      </c>
      <c r="J209" s="2" t="s">
        <v>118</v>
      </c>
      <c r="K209" s="2" t="s">
        <v>871</v>
      </c>
      <c r="L209" s="3">
        <v>70.55</v>
      </c>
      <c r="M209" s="3">
        <v>74.08</v>
      </c>
      <c r="N209" s="3">
        <v>149.99</v>
      </c>
      <c r="O209" s="2" t="s">
        <v>97</v>
      </c>
      <c r="P209" s="2" t="s">
        <v>124</v>
      </c>
      <c r="Q209" s="2" t="s">
        <v>99</v>
      </c>
      <c r="R209" s="2" t="s">
        <v>100</v>
      </c>
      <c r="S209" s="2" t="s">
        <v>872</v>
      </c>
      <c r="T209" s="2" t="s">
        <v>100</v>
      </c>
      <c r="U209" s="2" t="s">
        <v>102</v>
      </c>
      <c r="V209" s="2" t="s">
        <v>404</v>
      </c>
      <c r="W209" s="2" t="s">
        <v>104</v>
      </c>
      <c r="X209" s="2" t="s">
        <v>105</v>
      </c>
      <c r="Y209" s="2" t="s">
        <v>106</v>
      </c>
      <c r="Z209" s="4">
        <v>228</v>
      </c>
      <c r="AA209" s="4">
        <f>=ROUNDDOWN(6.90909090909091,0)</f>
      </c>
      <c r="AB209" s="5">
        <v>33</v>
      </c>
      <c r="AC209" s="2" t="s">
        <v>746</v>
      </c>
      <c r="AD209" s="4">
        <v>120</v>
      </c>
      <c r="AE209" s="4">
        <v>890</v>
      </c>
      <c r="AF209" s="6">
        <v>65</v>
      </c>
      <c r="AG209" s="6">
        <v>73</v>
      </c>
      <c r="AH209" s="7">
        <v>0.897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>
        <v>0</v>
      </c>
      <c r="AP209" s="4">
        <v>1</v>
      </c>
      <c r="AQ209" s="8">
        <v>74.08</v>
      </c>
      <c r="AR209" s="4">
        <v>2</v>
      </c>
      <c r="AS209" s="8">
        <v>164.64</v>
      </c>
      <c r="AT209" s="7">
        <v>-0.5</v>
      </c>
      <c r="AU209" s="7">
        <v>-0.55</v>
      </c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>
        <v>0.2581</v>
      </c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 t="s">
        <v>100</v>
      </c>
      <c r="BJ209" s="4">
        <v>558</v>
      </c>
      <c r="BK209" s="8">
        <v>46240.71</v>
      </c>
      <c r="BL209" s="2" t="s">
        <v>882</v>
      </c>
      <c r="BM209" s="7">
        <v>0.0018</v>
      </c>
      <c r="BN209" s="7">
        <v>0.0016</v>
      </c>
      <c r="BO209" s="4">
        <v>1</v>
      </c>
      <c r="BP209" s="8">
        <v>74.08</v>
      </c>
      <c r="BQ209" s="4">
        <v>2</v>
      </c>
      <c r="BR209" s="8">
        <v>164.64</v>
      </c>
      <c r="BS209" s="7">
        <v>-0.5</v>
      </c>
      <c r="BT209" s="7">
        <v>-0.55</v>
      </c>
      <c r="BU209" s="2" t="s">
        <v>109</v>
      </c>
      <c r="BV209" s="2" t="s">
        <v>97</v>
      </c>
      <c r="BW209" s="2" t="s">
        <v>606</v>
      </c>
      <c r="BX209" s="2" t="s">
        <v>883</v>
      </c>
      <c r="BY209" s="2" t="s">
        <v>112</v>
      </c>
      <c r="BZ209" s="2" t="s">
        <v>100</v>
      </c>
    </row>
    <row r="210">
      <c r="A210" s="2" t="s">
        <v>884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867</v>
      </c>
      <c r="G210" s="2" t="s">
        <v>868</v>
      </c>
      <c r="H210" s="2" t="s">
        <v>869</v>
      </c>
      <c r="I210" s="2" t="s">
        <v>870</v>
      </c>
      <c r="J210" s="2" t="s">
        <v>95</v>
      </c>
      <c r="K210" s="2" t="s">
        <v>333</v>
      </c>
      <c r="L210" s="3">
        <v>61.73</v>
      </c>
      <c r="M210" s="3">
        <v>64.82</v>
      </c>
      <c r="N210" s="3">
        <v>129.99</v>
      </c>
      <c r="O210" s="2" t="s">
        <v>97</v>
      </c>
      <c r="P210" s="2" t="s">
        <v>182</v>
      </c>
      <c r="Q210" s="2" t="s">
        <v>99</v>
      </c>
      <c r="R210" s="2" t="s">
        <v>100</v>
      </c>
      <c r="S210" s="2" t="s">
        <v>885</v>
      </c>
      <c r="T210" s="2" t="s">
        <v>100</v>
      </c>
      <c r="U210" s="2" t="s">
        <v>102</v>
      </c>
      <c r="V210" s="2" t="s">
        <v>404</v>
      </c>
      <c r="W210" s="2" t="s">
        <v>104</v>
      </c>
      <c r="X210" s="2" t="s">
        <v>105</v>
      </c>
      <c r="Y210" s="2" t="s">
        <v>106</v>
      </c>
      <c r="Z210" s="4">
        <v>376</v>
      </c>
      <c r="AA210" s="4">
        <f>=ROUNDDOWN(31.3333333333333,0)</f>
      </c>
      <c r="AB210" s="5">
        <v>12</v>
      </c>
      <c r="AC210" s="2" t="s">
        <v>527</v>
      </c>
      <c r="AD210" s="4">
        <v>30</v>
      </c>
      <c r="AE210" s="4">
        <v>170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>
        <v>0</v>
      </c>
      <c r="AP210" s="4">
        <v>1</v>
      </c>
      <c r="AQ210" s="8">
        <v>64.82</v>
      </c>
      <c r="AR210" s="4">
        <v>1</v>
      </c>
      <c r="AS210" s="8">
        <v>73.7</v>
      </c>
      <c r="AT210" s="7"/>
      <c r="AU210" s="7">
        <v>-0.1205</v>
      </c>
      <c r="AV210" s="4">
        <v>2</v>
      </c>
      <c r="AW210" s="8">
        <v>138.9</v>
      </c>
      <c r="AX210" s="4">
        <v>1</v>
      </c>
      <c r="AY210" s="8">
        <v>73.7</v>
      </c>
      <c r="AZ210" s="7">
        <v>1</v>
      </c>
      <c r="BA210" s="7">
        <v>0.8847</v>
      </c>
      <c r="BB210" s="7">
        <v>0.4667</v>
      </c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>
        <v>0.3261</v>
      </c>
      <c r="BJ210" s="4">
        <v>181</v>
      </c>
      <c r="BK210" s="8">
        <v>13105.27</v>
      </c>
      <c r="BL210" s="2" t="s">
        <v>886</v>
      </c>
      <c r="BM210" s="7">
        <v>0.0055</v>
      </c>
      <c r="BN210" s="7">
        <v>0.0049</v>
      </c>
      <c r="BO210" s="4">
        <v>1</v>
      </c>
      <c r="BP210" s="8">
        <v>64.82</v>
      </c>
      <c r="BQ210" s="4">
        <v>1</v>
      </c>
      <c r="BR210" s="8">
        <v>73.7</v>
      </c>
      <c r="BS210" s="7"/>
      <c r="BT210" s="7">
        <v>-0.1205</v>
      </c>
      <c r="BU210" s="2" t="s">
        <v>109</v>
      </c>
      <c r="BV210" s="2" t="s">
        <v>97</v>
      </c>
      <c r="BW210" s="2" t="s">
        <v>217</v>
      </c>
      <c r="BX210" s="2" t="s">
        <v>347</v>
      </c>
      <c r="BY210" s="2" t="s">
        <v>112</v>
      </c>
      <c r="BZ210" s="2" t="s">
        <v>100</v>
      </c>
    </row>
    <row r="211">
      <c r="A211" s="2" t="s">
        <v>887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867</v>
      </c>
      <c r="G211" s="2" t="s">
        <v>868</v>
      </c>
      <c r="H211" s="2" t="s">
        <v>869</v>
      </c>
      <c r="I211" s="2" t="s">
        <v>870</v>
      </c>
      <c r="J211" s="2" t="s">
        <v>114</v>
      </c>
      <c r="K211" s="2" t="s">
        <v>333</v>
      </c>
      <c r="L211" s="3">
        <v>70.55</v>
      </c>
      <c r="M211" s="3">
        <v>74.08</v>
      </c>
      <c r="N211" s="3">
        <v>149.99</v>
      </c>
      <c r="O211" s="2" t="s">
        <v>97</v>
      </c>
      <c r="P211" s="2" t="s">
        <v>182</v>
      </c>
      <c r="Q211" s="2" t="s">
        <v>99</v>
      </c>
      <c r="R211" s="2" t="s">
        <v>100</v>
      </c>
      <c r="S211" s="2" t="s">
        <v>885</v>
      </c>
      <c r="T211" s="2" t="s">
        <v>100</v>
      </c>
      <c r="U211" s="2" t="s">
        <v>102</v>
      </c>
      <c r="V211" s="2" t="s">
        <v>404</v>
      </c>
      <c r="W211" s="2" t="s">
        <v>104</v>
      </c>
      <c r="X211" s="2" t="s">
        <v>105</v>
      </c>
      <c r="Y211" s="2" t="s">
        <v>106</v>
      </c>
      <c r="Z211" s="4">
        <v>160</v>
      </c>
      <c r="AA211" s="4">
        <f>=ROUNDDOWN(14.5454545454545,0)</f>
      </c>
      <c r="AB211" s="5">
        <v>11</v>
      </c>
      <c r="AC211" s="2" t="s">
        <v>527</v>
      </c>
      <c r="AD211" s="4">
        <v>30</v>
      </c>
      <c r="AE211" s="4">
        <v>470</v>
      </c>
      <c r="AF211" s="6">
        <v>65</v>
      </c>
      <c r="AG211" s="6">
        <v>73</v>
      </c>
      <c r="AH211" s="7">
        <v>0.8061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>
        <v>0</v>
      </c>
      <c r="AP211" s="4">
        <v>1</v>
      </c>
      <c r="AQ211" s="8">
        <v>74.08</v>
      </c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>
        <v>0.5333</v>
      </c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 t="s">
        <v>100</v>
      </c>
      <c r="BJ211" s="4">
        <v>156</v>
      </c>
      <c r="BK211" s="8">
        <v>13260.9</v>
      </c>
      <c r="BL211" s="2" t="s">
        <v>888</v>
      </c>
      <c r="BM211" s="7">
        <v>0.0064</v>
      </c>
      <c r="BN211" s="7">
        <v>0.0056</v>
      </c>
      <c r="BO211" s="4">
        <v>1</v>
      </c>
      <c r="BP211" s="8">
        <v>74.08</v>
      </c>
      <c r="BQ211" s="4"/>
      <c r="BR211" s="8"/>
      <c r="BS211" s="7"/>
      <c r="BT211" s="7"/>
      <c r="BU211" s="2" t="s">
        <v>109</v>
      </c>
      <c r="BV211" s="2" t="s">
        <v>97</v>
      </c>
      <c r="BW211" s="2" t="s">
        <v>217</v>
      </c>
      <c r="BX211" s="2" t="s">
        <v>889</v>
      </c>
      <c r="BY211" s="2" t="s">
        <v>112</v>
      </c>
      <c r="BZ211" s="2" t="s">
        <v>100</v>
      </c>
    </row>
    <row r="212">
      <c r="A212" s="2" t="s">
        <v>890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867</v>
      </c>
      <c r="G212" s="2" t="s">
        <v>868</v>
      </c>
      <c r="H212" s="2" t="s">
        <v>869</v>
      </c>
      <c r="I212" s="2" t="s">
        <v>870</v>
      </c>
      <c r="J212" s="2" t="s">
        <v>118</v>
      </c>
      <c r="K212" s="2" t="s">
        <v>333</v>
      </c>
      <c r="L212" s="3">
        <v>70.55</v>
      </c>
      <c r="M212" s="3">
        <v>74.08</v>
      </c>
      <c r="N212" s="3">
        <v>149.99</v>
      </c>
      <c r="O212" s="2" t="s">
        <v>97</v>
      </c>
      <c r="P212" s="2" t="s">
        <v>182</v>
      </c>
      <c r="Q212" s="2" t="s">
        <v>99</v>
      </c>
      <c r="R212" s="2" t="s">
        <v>100</v>
      </c>
      <c r="S212" s="2" t="s">
        <v>885</v>
      </c>
      <c r="T212" s="2" t="s">
        <v>100</v>
      </c>
      <c r="U212" s="2" t="s">
        <v>102</v>
      </c>
      <c r="V212" s="2" t="s">
        <v>404</v>
      </c>
      <c r="W212" s="2" t="s">
        <v>104</v>
      </c>
      <c r="X212" s="2" t="s">
        <v>105</v>
      </c>
      <c r="Y212" s="2" t="s">
        <v>106</v>
      </c>
      <c r="Z212" s="4">
        <v>194</v>
      </c>
      <c r="AA212" s="4">
        <f>=ROUNDDOWN(17.6363636363636,0)</f>
      </c>
      <c r="AB212" s="5">
        <v>11</v>
      </c>
      <c r="AC212" s="2" t="s">
        <v>527</v>
      </c>
      <c r="AD212" s="4">
        <v>30</v>
      </c>
      <c r="AE212" s="4">
        <v>250</v>
      </c>
      <c r="AF212" s="6">
        <v>65</v>
      </c>
      <c r="AG212" s="6">
        <v>73</v>
      </c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 t="s">
        <v>100</v>
      </c>
      <c r="BJ212" s="4">
        <v>139</v>
      </c>
      <c r="BK212" s="8">
        <v>11826.33</v>
      </c>
      <c r="BL212" s="2" t="s">
        <v>891</v>
      </c>
      <c r="BM212" s="7"/>
      <c r="BN212" s="7"/>
      <c r="BO212" s="4"/>
      <c r="BP212" s="8"/>
      <c r="BQ212" s="4"/>
      <c r="BR212" s="8"/>
      <c r="BS212" s="7"/>
      <c r="BT212" s="7"/>
      <c r="BU212" s="2" t="s">
        <v>147</v>
      </c>
      <c r="BV212" s="2" t="s">
        <v>97</v>
      </c>
      <c r="BW212" s="2" t="s">
        <v>100</v>
      </c>
      <c r="BX212" s="2" t="s">
        <v>100</v>
      </c>
      <c r="BY212" s="2" t="s">
        <v>112</v>
      </c>
      <c r="BZ212" s="2" t="s">
        <v>100</v>
      </c>
    </row>
    <row r="213">
      <c r="A213" s="2" t="s">
        <v>892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867</v>
      </c>
      <c r="G213" s="2" t="s">
        <v>868</v>
      </c>
      <c r="H213" s="2" t="s">
        <v>869</v>
      </c>
      <c r="I213" s="2" t="s">
        <v>870</v>
      </c>
      <c r="J213" s="2" t="s">
        <v>95</v>
      </c>
      <c r="K213" s="2" t="s">
        <v>142</v>
      </c>
      <c r="L213" s="3">
        <v>61.73</v>
      </c>
      <c r="M213" s="3">
        <v>64.82</v>
      </c>
      <c r="N213" s="3">
        <v>129.99</v>
      </c>
      <c r="O213" s="2" t="s">
        <v>97</v>
      </c>
      <c r="P213" s="2" t="s">
        <v>182</v>
      </c>
      <c r="Q213" s="2" t="s">
        <v>99</v>
      </c>
      <c r="R213" s="2" t="s">
        <v>100</v>
      </c>
      <c r="S213" s="2" t="s">
        <v>893</v>
      </c>
      <c r="T213" s="2" t="s">
        <v>732</v>
      </c>
      <c r="U213" s="2" t="s">
        <v>102</v>
      </c>
      <c r="V213" s="2" t="s">
        <v>404</v>
      </c>
      <c r="W213" s="2" t="s">
        <v>104</v>
      </c>
      <c r="X213" s="2" t="s">
        <v>380</v>
      </c>
      <c r="Y213" s="2" t="s">
        <v>894</v>
      </c>
      <c r="Z213" s="4">
        <v>122</v>
      </c>
      <c r="AA213" s="4">
        <f>=ROUNDDOWN(8.13333333333333,0)</f>
      </c>
      <c r="AB213" s="5">
        <v>15</v>
      </c>
      <c r="AC213" s="2" t="s">
        <v>746</v>
      </c>
      <c r="AD213" s="4">
        <v>120</v>
      </c>
      <c r="AE213" s="4">
        <v>500</v>
      </c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 t="s">
        <v>100</v>
      </c>
      <c r="BJ213" s="4">
        <v>272</v>
      </c>
      <c r="BK213" s="8">
        <v>19441.78</v>
      </c>
      <c r="BL213" s="2" t="s">
        <v>895</v>
      </c>
      <c r="BM213" s="7"/>
      <c r="BN213" s="7"/>
      <c r="BO213" s="4"/>
      <c r="BP213" s="8"/>
      <c r="BQ213" s="4"/>
      <c r="BR213" s="8"/>
      <c r="BS213" s="7"/>
      <c r="BT213" s="7"/>
      <c r="BU213" s="2" t="s">
        <v>147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896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867</v>
      </c>
      <c r="G214" s="2" t="s">
        <v>868</v>
      </c>
      <c r="H214" s="2" t="s">
        <v>869</v>
      </c>
      <c r="I214" s="2" t="s">
        <v>870</v>
      </c>
      <c r="J214" s="2" t="s">
        <v>114</v>
      </c>
      <c r="K214" s="2" t="s">
        <v>142</v>
      </c>
      <c r="L214" s="3">
        <v>70.55</v>
      </c>
      <c r="M214" s="3">
        <v>74.08</v>
      </c>
      <c r="N214" s="3">
        <v>149.99</v>
      </c>
      <c r="O214" s="2" t="s">
        <v>97</v>
      </c>
      <c r="P214" s="2" t="s">
        <v>182</v>
      </c>
      <c r="Q214" s="2" t="s">
        <v>99</v>
      </c>
      <c r="R214" s="2" t="s">
        <v>100</v>
      </c>
      <c r="S214" s="2" t="s">
        <v>893</v>
      </c>
      <c r="T214" s="2" t="s">
        <v>732</v>
      </c>
      <c r="U214" s="2" t="s">
        <v>102</v>
      </c>
      <c r="V214" s="2" t="s">
        <v>404</v>
      </c>
      <c r="W214" s="2" t="s">
        <v>104</v>
      </c>
      <c r="X214" s="2" t="s">
        <v>380</v>
      </c>
      <c r="Y214" s="2" t="s">
        <v>894</v>
      </c>
      <c r="Z214" s="4">
        <v>74</v>
      </c>
      <c r="AA214" s="4">
        <f>=ROUNDDOWN(4.93333333333333,0)</f>
      </c>
      <c r="AB214" s="5">
        <v>15</v>
      </c>
      <c r="AC214" s="2" t="s">
        <v>746</v>
      </c>
      <c r="AD214" s="4">
        <v>160</v>
      </c>
      <c r="AE214" s="4">
        <v>560</v>
      </c>
      <c r="AF214" s="6">
        <v>65</v>
      </c>
      <c r="AG214" s="6"/>
      <c r="AH214" s="7">
        <v>0.8606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 t="s">
        <v>100</v>
      </c>
      <c r="BJ214" s="4">
        <v>248</v>
      </c>
      <c r="BK214" s="8">
        <v>20745.58</v>
      </c>
      <c r="BL214" s="2" t="s">
        <v>897</v>
      </c>
      <c r="BM214" s="7"/>
      <c r="BN214" s="7"/>
      <c r="BO214" s="4"/>
      <c r="BP214" s="8"/>
      <c r="BQ214" s="4"/>
      <c r="BR214" s="8"/>
      <c r="BS214" s="7"/>
      <c r="BT214" s="7"/>
      <c r="BU214" s="2" t="s">
        <v>147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898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867</v>
      </c>
      <c r="G215" s="2" t="s">
        <v>868</v>
      </c>
      <c r="H215" s="2" t="s">
        <v>869</v>
      </c>
      <c r="I215" s="2" t="s">
        <v>870</v>
      </c>
      <c r="J215" s="2" t="s">
        <v>118</v>
      </c>
      <c r="K215" s="2" t="s">
        <v>142</v>
      </c>
      <c r="L215" s="3">
        <v>70.55</v>
      </c>
      <c r="M215" s="3">
        <v>74.08</v>
      </c>
      <c r="N215" s="3">
        <v>149.99</v>
      </c>
      <c r="O215" s="2" t="s">
        <v>97</v>
      </c>
      <c r="P215" s="2" t="s">
        <v>182</v>
      </c>
      <c r="Q215" s="2" t="s">
        <v>99</v>
      </c>
      <c r="R215" s="2" t="s">
        <v>100</v>
      </c>
      <c r="S215" s="2" t="s">
        <v>893</v>
      </c>
      <c r="T215" s="2" t="s">
        <v>732</v>
      </c>
      <c r="U215" s="2" t="s">
        <v>102</v>
      </c>
      <c r="V215" s="2" t="s">
        <v>404</v>
      </c>
      <c r="W215" s="2" t="s">
        <v>104</v>
      </c>
      <c r="X215" s="2" t="s">
        <v>380</v>
      </c>
      <c r="Y215" s="2" t="s">
        <v>894</v>
      </c>
      <c r="Z215" s="4">
        <v>78</v>
      </c>
      <c r="AA215" s="4">
        <f>=ROUNDDOWN(6,0)</f>
      </c>
      <c r="AB215" s="5">
        <v>13</v>
      </c>
      <c r="AC215" s="2" t="s">
        <v>746</v>
      </c>
      <c r="AD215" s="4">
        <v>120</v>
      </c>
      <c r="AE215" s="4">
        <v>380</v>
      </c>
      <c r="AF215" s="6">
        <v>65</v>
      </c>
      <c r="AG215" s="6"/>
      <c r="AH215" s="7">
        <v>0.9515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 t="s">
        <v>100</v>
      </c>
      <c r="BJ215" s="4">
        <v>168</v>
      </c>
      <c r="BK215" s="8">
        <v>13714.89</v>
      </c>
      <c r="BL215" s="2" t="s">
        <v>899</v>
      </c>
      <c r="BM215" s="7"/>
      <c r="BN215" s="7"/>
      <c r="BO215" s="4"/>
      <c r="BP215" s="8"/>
      <c r="BQ215" s="4"/>
      <c r="BR215" s="8"/>
      <c r="BS215" s="7"/>
      <c r="BT215" s="7"/>
      <c r="BU215" s="2" t="s">
        <v>147</v>
      </c>
      <c r="BV215" s="2" t="s">
        <v>97</v>
      </c>
      <c r="BW215" s="2" t="s">
        <v>100</v>
      </c>
      <c r="BX215" s="2" t="s">
        <v>100</v>
      </c>
      <c r="BY215" s="2" t="s">
        <v>112</v>
      </c>
      <c r="BZ215" s="2" t="s">
        <v>100</v>
      </c>
    </row>
    <row r="216">
      <c r="A216" s="2" t="s">
        <v>900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901</v>
      </c>
      <c r="G216" s="2" t="s">
        <v>902</v>
      </c>
      <c r="H216" s="2" t="s">
        <v>903</v>
      </c>
      <c r="I216" s="2" t="s">
        <v>904</v>
      </c>
      <c r="J216" s="2" t="s">
        <v>844</v>
      </c>
      <c r="K216" s="2" t="s">
        <v>158</v>
      </c>
      <c r="L216" s="3">
        <v>63.35</v>
      </c>
      <c r="M216" s="3">
        <v>66.52</v>
      </c>
      <c r="N216" s="3">
        <v>129.99</v>
      </c>
      <c r="O216" s="2" t="s">
        <v>97</v>
      </c>
      <c r="P216" s="2" t="s">
        <v>143</v>
      </c>
      <c r="Q216" s="2" t="s">
        <v>99</v>
      </c>
      <c r="R216" s="2" t="s">
        <v>100</v>
      </c>
      <c r="S216" s="2" t="s">
        <v>905</v>
      </c>
      <c r="T216" s="2" t="s">
        <v>184</v>
      </c>
      <c r="U216" s="2" t="s">
        <v>403</v>
      </c>
      <c r="V216" s="2" t="s">
        <v>561</v>
      </c>
      <c r="W216" s="2" t="s">
        <v>906</v>
      </c>
      <c r="X216" s="2" t="s">
        <v>907</v>
      </c>
      <c r="Y216" s="2" t="s">
        <v>908</v>
      </c>
      <c r="Z216" s="4">
        <v>1659</v>
      </c>
      <c r="AA216" s="4">
        <f>=ROUNDDOWN(36.0652173913043,0)</f>
      </c>
      <c r="AB216" s="5">
        <v>46</v>
      </c>
      <c r="AC216" s="2" t="s">
        <v>909</v>
      </c>
      <c r="AD216" s="4">
        <v>30</v>
      </c>
      <c r="AE216" s="4">
        <v>80</v>
      </c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>
        <v>0</v>
      </c>
      <c r="AP216" s="4">
        <v>4</v>
      </c>
      <c r="AQ216" s="8">
        <v>266.08</v>
      </c>
      <c r="AR216" s="4">
        <v>2</v>
      </c>
      <c r="AS216" s="8">
        <v>133.04</v>
      </c>
      <c r="AT216" s="7">
        <v>1</v>
      </c>
      <c r="AU216" s="7">
        <v>1</v>
      </c>
      <c r="AV216" s="4">
        <v>5</v>
      </c>
      <c r="AW216" s="8">
        <v>343.69</v>
      </c>
      <c r="AX216" s="4">
        <v>8</v>
      </c>
      <c r="AY216" s="8">
        <v>598.7</v>
      </c>
      <c r="AZ216" s="7">
        <v>-0.375</v>
      </c>
      <c r="BA216" s="7">
        <v>-0.4259</v>
      </c>
      <c r="BB216" s="7">
        <v>0.7742</v>
      </c>
      <c r="BC216" s="4">
        <v>5</v>
      </c>
      <c r="BD216" s="8">
        <v>343.69</v>
      </c>
      <c r="BE216" s="4">
        <v>8</v>
      </c>
      <c r="BF216" s="8">
        <v>598.7</v>
      </c>
      <c r="BG216" s="7">
        <v>-0.375</v>
      </c>
      <c r="BH216" s="7">
        <v>-0.4259</v>
      </c>
      <c r="BI216" s="7">
        <v>1</v>
      </c>
      <c r="BJ216" s="4">
        <v>899</v>
      </c>
      <c r="BK216" s="8">
        <v>60252.33</v>
      </c>
      <c r="BL216" s="2" t="s">
        <v>910</v>
      </c>
      <c r="BM216" s="7">
        <v>0.0044</v>
      </c>
      <c r="BN216" s="7">
        <v>0.0044</v>
      </c>
      <c r="BO216" s="4">
        <v>4</v>
      </c>
      <c r="BP216" s="8">
        <v>266.08</v>
      </c>
      <c r="BQ216" s="4">
        <v>2</v>
      </c>
      <c r="BR216" s="8">
        <v>133.04</v>
      </c>
      <c r="BS216" s="7">
        <v>1</v>
      </c>
      <c r="BT216" s="7">
        <v>1</v>
      </c>
      <c r="BU216" s="2" t="s">
        <v>109</v>
      </c>
      <c r="BV216" s="2" t="s">
        <v>97</v>
      </c>
      <c r="BW216" s="2" t="s">
        <v>911</v>
      </c>
      <c r="BX216" s="2" t="s">
        <v>912</v>
      </c>
      <c r="BY216" s="2" t="s">
        <v>112</v>
      </c>
      <c r="BZ216" s="2" t="s">
        <v>100</v>
      </c>
    </row>
    <row r="217">
      <c r="A217" s="2" t="s">
        <v>913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901</v>
      </c>
      <c r="G217" s="2" t="s">
        <v>902</v>
      </c>
      <c r="H217" s="2" t="s">
        <v>903</v>
      </c>
      <c r="I217" s="2" t="s">
        <v>904</v>
      </c>
      <c r="J217" s="2" t="s">
        <v>850</v>
      </c>
      <c r="K217" s="2" t="s">
        <v>158</v>
      </c>
      <c r="L217" s="3">
        <v>73.91</v>
      </c>
      <c r="M217" s="3">
        <v>77.61</v>
      </c>
      <c r="N217" s="3">
        <v>149.99</v>
      </c>
      <c r="O217" s="2" t="s">
        <v>97</v>
      </c>
      <c r="P217" s="2" t="s">
        <v>143</v>
      </c>
      <c r="Q217" s="2" t="s">
        <v>99</v>
      </c>
      <c r="R217" s="2" t="s">
        <v>100</v>
      </c>
      <c r="S217" s="2" t="s">
        <v>905</v>
      </c>
      <c r="T217" s="2" t="s">
        <v>184</v>
      </c>
      <c r="U217" s="2" t="s">
        <v>403</v>
      </c>
      <c r="V217" s="2" t="s">
        <v>561</v>
      </c>
      <c r="W217" s="2" t="s">
        <v>906</v>
      </c>
      <c r="X217" s="2" t="s">
        <v>907</v>
      </c>
      <c r="Y217" s="2" t="s">
        <v>908</v>
      </c>
      <c r="Z217" s="4">
        <v>1719</v>
      </c>
      <c r="AA217" s="4">
        <f>=ROUNDDOWN(26.859375,0)</f>
      </c>
      <c r="AB217" s="5">
        <v>64</v>
      </c>
      <c r="AC217" s="2" t="s">
        <v>909</v>
      </c>
      <c r="AD217" s="4">
        <v>30</v>
      </c>
      <c r="AE217" s="4">
        <v>610</v>
      </c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>
        <v>0</v>
      </c>
      <c r="AP217" s="4">
        <v>1</v>
      </c>
      <c r="AQ217" s="8">
        <v>77.61</v>
      </c>
      <c r="AR217" s="4">
        <v>6</v>
      </c>
      <c r="AS217" s="8">
        <v>465.66</v>
      </c>
      <c r="AT217" s="7">
        <v>-0.8333</v>
      </c>
      <c r="AU217" s="7">
        <v>-0.8333</v>
      </c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>
        <v>0.2258</v>
      </c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 t="s">
        <v>100</v>
      </c>
      <c r="BJ217" s="4">
        <v>1143</v>
      </c>
      <c r="BK217" s="8">
        <v>93096.45</v>
      </c>
      <c r="BL217" s="2" t="s">
        <v>914</v>
      </c>
      <c r="BM217" s="7">
        <v>0.0009</v>
      </c>
      <c r="BN217" s="7">
        <v>0.0008</v>
      </c>
      <c r="BO217" s="4">
        <v>1</v>
      </c>
      <c r="BP217" s="8">
        <v>77.61</v>
      </c>
      <c r="BQ217" s="4">
        <v>6</v>
      </c>
      <c r="BR217" s="8">
        <v>465.66</v>
      </c>
      <c r="BS217" s="7">
        <v>-0.8333</v>
      </c>
      <c r="BT217" s="7">
        <v>-0.8333</v>
      </c>
      <c r="BU217" s="2" t="s">
        <v>109</v>
      </c>
      <c r="BV217" s="2" t="s">
        <v>97</v>
      </c>
      <c r="BW217" s="2" t="s">
        <v>110</v>
      </c>
      <c r="BX217" s="2" t="s">
        <v>915</v>
      </c>
      <c r="BY217" s="2" t="s">
        <v>112</v>
      </c>
      <c r="BZ217" s="2" t="s">
        <v>100</v>
      </c>
    </row>
    <row r="218">
      <c r="A218" s="2" t="s">
        <v>916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901</v>
      </c>
      <c r="G218" s="2" t="s">
        <v>902</v>
      </c>
      <c r="H218" s="2" t="s">
        <v>903</v>
      </c>
      <c r="I218" s="2" t="s">
        <v>904</v>
      </c>
      <c r="J218" s="2" t="s">
        <v>844</v>
      </c>
      <c r="K218" s="2" t="s">
        <v>267</v>
      </c>
      <c r="L218" s="3">
        <v>63.35</v>
      </c>
      <c r="M218" s="3">
        <v>66.52</v>
      </c>
      <c r="N218" s="3">
        <v>129.99</v>
      </c>
      <c r="O218" s="2" t="s">
        <v>97</v>
      </c>
      <c r="P218" s="2" t="s">
        <v>182</v>
      </c>
      <c r="Q218" s="2" t="s">
        <v>99</v>
      </c>
      <c r="R218" s="2" t="s">
        <v>100</v>
      </c>
      <c r="S218" s="2" t="s">
        <v>917</v>
      </c>
      <c r="T218" s="2" t="s">
        <v>184</v>
      </c>
      <c r="U218" s="2" t="s">
        <v>403</v>
      </c>
      <c r="V218" s="2" t="s">
        <v>561</v>
      </c>
      <c r="W218" s="2" t="s">
        <v>906</v>
      </c>
      <c r="X218" s="2" t="s">
        <v>284</v>
      </c>
      <c r="Y218" s="2" t="s">
        <v>918</v>
      </c>
      <c r="Z218" s="4">
        <v>585</v>
      </c>
      <c r="AA218" s="4">
        <f>=ROUNDDOWN(48.75,0)</f>
      </c>
      <c r="AB218" s="5">
        <v>12</v>
      </c>
      <c r="AC218" s="2" t="s">
        <v>919</v>
      </c>
      <c r="AD218" s="4">
        <v>136</v>
      </c>
      <c r="AE218" s="4">
        <v>136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100</v>
      </c>
      <c r="AW218" s="8" t="s">
        <v>100</v>
      </c>
      <c r="AX218" s="4" t="s">
        <v>100</v>
      </c>
      <c r="AY218" s="8" t="s">
        <v>100</v>
      </c>
      <c r="AZ218" s="7" t="s">
        <v>100</v>
      </c>
      <c r="BA218" s="7" t="s">
        <v>100</v>
      </c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 t="s">
        <v>100</v>
      </c>
      <c r="BJ218" s="4">
        <v>224</v>
      </c>
      <c r="BK218" s="8">
        <v>15259.47</v>
      </c>
      <c r="BL218" s="2" t="s">
        <v>920</v>
      </c>
      <c r="BM218" s="7"/>
      <c r="BN218" s="7"/>
      <c r="BO218" s="4"/>
      <c r="BP218" s="8"/>
      <c r="BQ218" s="4"/>
      <c r="BR218" s="8"/>
      <c r="BS218" s="7"/>
      <c r="BT218" s="7"/>
      <c r="BU218" s="2" t="s">
        <v>147</v>
      </c>
      <c r="BV218" s="2" t="s">
        <v>97</v>
      </c>
      <c r="BW218" s="2" t="s">
        <v>100</v>
      </c>
      <c r="BX218" s="2" t="s">
        <v>100</v>
      </c>
      <c r="BY218" s="2" t="s">
        <v>112</v>
      </c>
      <c r="BZ218" s="2" t="s">
        <v>100</v>
      </c>
    </row>
    <row r="219">
      <c r="A219" s="2" t="s">
        <v>921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901</v>
      </c>
      <c r="G219" s="2" t="s">
        <v>902</v>
      </c>
      <c r="H219" s="2" t="s">
        <v>903</v>
      </c>
      <c r="I219" s="2" t="s">
        <v>904</v>
      </c>
      <c r="J219" s="2" t="s">
        <v>850</v>
      </c>
      <c r="K219" s="2" t="s">
        <v>267</v>
      </c>
      <c r="L219" s="3">
        <v>73.91</v>
      </c>
      <c r="M219" s="3">
        <v>77.61</v>
      </c>
      <c r="N219" s="3">
        <v>149.99</v>
      </c>
      <c r="O219" s="2" t="s">
        <v>97</v>
      </c>
      <c r="P219" s="2" t="s">
        <v>182</v>
      </c>
      <c r="Q219" s="2" t="s">
        <v>99</v>
      </c>
      <c r="R219" s="2" t="s">
        <v>100</v>
      </c>
      <c r="S219" s="2" t="s">
        <v>917</v>
      </c>
      <c r="T219" s="2" t="s">
        <v>184</v>
      </c>
      <c r="U219" s="2" t="s">
        <v>403</v>
      </c>
      <c r="V219" s="2" t="s">
        <v>561</v>
      </c>
      <c r="W219" s="2" t="s">
        <v>906</v>
      </c>
      <c r="X219" s="2" t="s">
        <v>284</v>
      </c>
      <c r="Y219" s="2" t="s">
        <v>922</v>
      </c>
      <c r="Z219" s="4">
        <v>536</v>
      </c>
      <c r="AA219" s="4">
        <f>=ROUNDDOWN(38.2857142857143,0)</f>
      </c>
      <c r="AB219" s="5">
        <v>14</v>
      </c>
      <c r="AC219" s="2" t="s">
        <v>919</v>
      </c>
      <c r="AD219" s="4">
        <v>132</v>
      </c>
      <c r="AE219" s="4">
        <v>132</v>
      </c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 t="s">
        <v>100</v>
      </c>
      <c r="AY219" s="8" t="s">
        <v>100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 t="s">
        <v>100</v>
      </c>
      <c r="BF219" s="8" t="s">
        <v>100</v>
      </c>
      <c r="BG219" s="7" t="s">
        <v>100</v>
      </c>
      <c r="BH219" s="7" t="s">
        <v>100</v>
      </c>
      <c r="BI219" s="7" t="s">
        <v>100</v>
      </c>
      <c r="BJ219" s="4">
        <v>222</v>
      </c>
      <c r="BK219" s="8">
        <v>17631.95</v>
      </c>
      <c r="BL219" s="2" t="s">
        <v>923</v>
      </c>
      <c r="BM219" s="7"/>
      <c r="BN219" s="7"/>
      <c r="BO219" s="4"/>
      <c r="BP219" s="8"/>
      <c r="BQ219" s="4"/>
      <c r="BR219" s="8"/>
      <c r="BS219" s="7"/>
      <c r="BT219" s="7"/>
      <c r="BU219" s="2" t="s">
        <v>147</v>
      </c>
      <c r="BV219" s="2" t="s">
        <v>97</v>
      </c>
      <c r="BW219" s="2" t="s">
        <v>100</v>
      </c>
      <c r="BX219" s="2" t="s">
        <v>100</v>
      </c>
      <c r="BY219" s="2" t="s">
        <v>112</v>
      </c>
      <c r="BZ219" s="2" t="s">
        <v>100</v>
      </c>
    </row>
    <row r="220">
      <c r="A220" s="2" t="s">
        <v>924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901</v>
      </c>
      <c r="G220" s="2" t="s">
        <v>902</v>
      </c>
      <c r="H220" s="2" t="s">
        <v>903</v>
      </c>
      <c r="I220" s="2" t="s">
        <v>904</v>
      </c>
      <c r="J220" s="2" t="s">
        <v>844</v>
      </c>
      <c r="K220" s="2" t="s">
        <v>298</v>
      </c>
      <c r="L220" s="3">
        <v>63.35</v>
      </c>
      <c r="M220" s="3">
        <v>66.52</v>
      </c>
      <c r="N220" s="3">
        <v>129.99</v>
      </c>
      <c r="O220" s="2" t="s">
        <v>97</v>
      </c>
      <c r="P220" s="2" t="s">
        <v>182</v>
      </c>
      <c r="Q220" s="2" t="s">
        <v>99</v>
      </c>
      <c r="R220" s="2" t="s">
        <v>100</v>
      </c>
      <c r="S220" s="2" t="s">
        <v>925</v>
      </c>
      <c r="T220" s="2" t="s">
        <v>184</v>
      </c>
      <c r="U220" s="2" t="s">
        <v>403</v>
      </c>
      <c r="V220" s="2" t="s">
        <v>561</v>
      </c>
      <c r="W220" s="2" t="s">
        <v>906</v>
      </c>
      <c r="X220" s="2" t="s">
        <v>284</v>
      </c>
      <c r="Y220" s="2" t="s">
        <v>918</v>
      </c>
      <c r="Z220" s="4">
        <v>471</v>
      </c>
      <c r="AA220" s="4">
        <f>=ROUNDDOWN(52.3333333333333,0)</f>
      </c>
      <c r="AB220" s="5">
        <v>9</v>
      </c>
      <c r="AC220" s="2" t="s">
        <v>100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 t="s">
        <v>100</v>
      </c>
      <c r="BJ220" s="4">
        <v>149</v>
      </c>
      <c r="BK220" s="8">
        <v>10338.67</v>
      </c>
      <c r="BL220" s="2" t="s">
        <v>926</v>
      </c>
      <c r="BM220" s="7"/>
      <c r="BN220" s="7"/>
      <c r="BO220" s="4"/>
      <c r="BP220" s="8"/>
      <c r="BQ220" s="4"/>
      <c r="BR220" s="8"/>
      <c r="BS220" s="7"/>
      <c r="BT220" s="7"/>
      <c r="BU220" s="2" t="s">
        <v>147</v>
      </c>
      <c r="BV220" s="2" t="s">
        <v>97</v>
      </c>
      <c r="BW220" s="2" t="s">
        <v>100</v>
      </c>
      <c r="BX220" s="2" t="s">
        <v>100</v>
      </c>
      <c r="BY220" s="2" t="s">
        <v>112</v>
      </c>
      <c r="BZ220" s="2" t="s">
        <v>100</v>
      </c>
    </row>
    <row r="221">
      <c r="A221" s="2" t="s">
        <v>927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901</v>
      </c>
      <c r="G221" s="2" t="s">
        <v>902</v>
      </c>
      <c r="H221" s="2" t="s">
        <v>903</v>
      </c>
      <c r="I221" s="2" t="s">
        <v>904</v>
      </c>
      <c r="J221" s="2" t="s">
        <v>850</v>
      </c>
      <c r="K221" s="2" t="s">
        <v>298</v>
      </c>
      <c r="L221" s="3">
        <v>73.91</v>
      </c>
      <c r="M221" s="3">
        <v>77.61</v>
      </c>
      <c r="N221" s="3">
        <v>149.99</v>
      </c>
      <c r="O221" s="2" t="s">
        <v>97</v>
      </c>
      <c r="P221" s="2" t="s">
        <v>182</v>
      </c>
      <c r="Q221" s="2" t="s">
        <v>99</v>
      </c>
      <c r="R221" s="2" t="s">
        <v>100</v>
      </c>
      <c r="S221" s="2" t="s">
        <v>925</v>
      </c>
      <c r="T221" s="2" t="s">
        <v>184</v>
      </c>
      <c r="U221" s="2" t="s">
        <v>403</v>
      </c>
      <c r="V221" s="2" t="s">
        <v>561</v>
      </c>
      <c r="W221" s="2" t="s">
        <v>906</v>
      </c>
      <c r="X221" s="2" t="s">
        <v>284</v>
      </c>
      <c r="Y221" s="2" t="s">
        <v>918</v>
      </c>
      <c r="Z221" s="4">
        <v>444</v>
      </c>
      <c r="AA221" s="4">
        <f>=ROUNDDOWN(63.4285714285714,0)</f>
      </c>
      <c r="AB221" s="5">
        <v>7</v>
      </c>
      <c r="AC221" s="2" t="s">
        <v>100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 t="s">
        <v>100</v>
      </c>
      <c r="BJ221" s="4">
        <v>90</v>
      </c>
      <c r="BK221" s="8">
        <v>7203.68</v>
      </c>
      <c r="BL221" s="2" t="s">
        <v>928</v>
      </c>
      <c r="BM221" s="7"/>
      <c r="BN221" s="7"/>
      <c r="BO221" s="4"/>
      <c r="BP221" s="8"/>
      <c r="BQ221" s="4"/>
      <c r="BR221" s="8"/>
      <c r="BS221" s="7"/>
      <c r="BT221" s="7"/>
      <c r="BU221" s="2" t="s">
        <v>147</v>
      </c>
      <c r="BV221" s="2" t="s">
        <v>97</v>
      </c>
      <c r="BW221" s="2" t="s">
        <v>100</v>
      </c>
      <c r="BX221" s="2" t="s">
        <v>100</v>
      </c>
      <c r="BY221" s="2" t="s">
        <v>112</v>
      </c>
      <c r="BZ221" s="2" t="s">
        <v>100</v>
      </c>
    </row>
    <row r="222">
      <c r="A222" s="2" t="s">
        <v>929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930</v>
      </c>
      <c r="G222" s="2" t="s">
        <v>931</v>
      </c>
      <c r="H222" s="2" t="s">
        <v>932</v>
      </c>
      <c r="I222" s="2" t="s">
        <v>558</v>
      </c>
      <c r="J222" s="2" t="s">
        <v>95</v>
      </c>
      <c r="K222" s="2" t="s">
        <v>933</v>
      </c>
      <c r="L222" s="3">
        <v>67.2</v>
      </c>
      <c r="M222" s="3">
        <v>70.55</v>
      </c>
      <c r="N222" s="3">
        <v>139.99</v>
      </c>
      <c r="O222" s="2" t="s">
        <v>97</v>
      </c>
      <c r="P222" s="2" t="s">
        <v>143</v>
      </c>
      <c r="Q222" s="2" t="s">
        <v>99</v>
      </c>
      <c r="R222" s="2" t="s">
        <v>100</v>
      </c>
      <c r="S222" s="2" t="s">
        <v>934</v>
      </c>
      <c r="T222" s="2" t="s">
        <v>100</v>
      </c>
      <c r="U222" s="2" t="s">
        <v>102</v>
      </c>
      <c r="V222" s="2" t="s">
        <v>455</v>
      </c>
      <c r="W222" s="2" t="s">
        <v>405</v>
      </c>
      <c r="X222" s="2" t="s">
        <v>456</v>
      </c>
      <c r="Y222" s="2" t="s">
        <v>935</v>
      </c>
      <c r="Z222" s="4">
        <v>489</v>
      </c>
      <c r="AA222" s="4">
        <f>=ROUNDDOWN(11.9268292682927,0)</f>
      </c>
      <c r="AB222" s="5">
        <v>41</v>
      </c>
      <c r="AC222" s="2" t="s">
        <v>936</v>
      </c>
      <c r="AD222" s="4">
        <v>150</v>
      </c>
      <c r="AE222" s="4">
        <v>900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>
        <v>0</v>
      </c>
      <c r="AP222" s="4">
        <v>1</v>
      </c>
      <c r="AQ222" s="8">
        <v>70.56</v>
      </c>
      <c r="AR222" s="4">
        <v>3</v>
      </c>
      <c r="AS222" s="8">
        <v>211.68</v>
      </c>
      <c r="AT222" s="7">
        <v>-0.6667</v>
      </c>
      <c r="AU222" s="7">
        <v>-0.6667</v>
      </c>
      <c r="AV222" s="4">
        <v>4</v>
      </c>
      <c r="AW222" s="8">
        <v>312.48</v>
      </c>
      <c r="AX222" s="4">
        <v>9</v>
      </c>
      <c r="AY222" s="8">
        <v>695.52</v>
      </c>
      <c r="AZ222" s="7">
        <v>-0.5556</v>
      </c>
      <c r="BA222" s="7">
        <v>-0.5507</v>
      </c>
      <c r="BB222" s="7">
        <v>0.2258</v>
      </c>
      <c r="BC222" s="4">
        <v>4</v>
      </c>
      <c r="BD222" s="8">
        <v>312.48</v>
      </c>
      <c r="BE222" s="4">
        <v>9</v>
      </c>
      <c r="BF222" s="8">
        <v>695.52</v>
      </c>
      <c r="BG222" s="7">
        <v>-0.5556</v>
      </c>
      <c r="BH222" s="7">
        <v>-0.5507</v>
      </c>
      <c r="BI222" s="7">
        <v>1</v>
      </c>
      <c r="BJ222" s="4">
        <v>807</v>
      </c>
      <c r="BK222" s="8">
        <v>52701.47</v>
      </c>
      <c r="BL222" s="2" t="s">
        <v>937</v>
      </c>
      <c r="BM222" s="7">
        <v>0.0012</v>
      </c>
      <c r="BN222" s="7">
        <v>0.0013</v>
      </c>
      <c r="BO222" s="4">
        <v>1</v>
      </c>
      <c r="BP222" s="8">
        <v>70.56</v>
      </c>
      <c r="BQ222" s="4">
        <v>3</v>
      </c>
      <c r="BR222" s="8">
        <v>211.68</v>
      </c>
      <c r="BS222" s="7">
        <v>-0.6667</v>
      </c>
      <c r="BT222" s="7">
        <v>-0.6667</v>
      </c>
      <c r="BU222" s="2" t="s">
        <v>109</v>
      </c>
      <c r="BV222" s="2" t="s">
        <v>97</v>
      </c>
      <c r="BW222" s="2" t="s">
        <v>110</v>
      </c>
      <c r="BX222" s="2" t="s">
        <v>938</v>
      </c>
      <c r="BY222" s="2" t="s">
        <v>112</v>
      </c>
      <c r="BZ222" s="2" t="s">
        <v>100</v>
      </c>
    </row>
    <row r="223">
      <c r="A223" s="2" t="s">
        <v>939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930</v>
      </c>
      <c r="G223" s="2" t="s">
        <v>931</v>
      </c>
      <c r="H223" s="2" t="s">
        <v>932</v>
      </c>
      <c r="I223" s="2" t="s">
        <v>558</v>
      </c>
      <c r="J223" s="2" t="s">
        <v>114</v>
      </c>
      <c r="K223" s="2" t="s">
        <v>933</v>
      </c>
      <c r="L223" s="3">
        <v>76.8</v>
      </c>
      <c r="M223" s="3">
        <v>80.63</v>
      </c>
      <c r="N223" s="3">
        <v>159.99</v>
      </c>
      <c r="O223" s="2" t="s">
        <v>97</v>
      </c>
      <c r="P223" s="2" t="s">
        <v>143</v>
      </c>
      <c r="Q223" s="2" t="s">
        <v>99</v>
      </c>
      <c r="R223" s="2" t="s">
        <v>100</v>
      </c>
      <c r="S223" s="2" t="s">
        <v>934</v>
      </c>
      <c r="T223" s="2" t="s">
        <v>100</v>
      </c>
      <c r="U223" s="2" t="s">
        <v>102</v>
      </c>
      <c r="V223" s="2" t="s">
        <v>455</v>
      </c>
      <c r="W223" s="2" t="s">
        <v>405</v>
      </c>
      <c r="X223" s="2" t="s">
        <v>456</v>
      </c>
      <c r="Y223" s="2" t="s">
        <v>935</v>
      </c>
      <c r="Z223" s="4">
        <v>529</v>
      </c>
      <c r="AA223" s="4">
        <f>=ROUNDDOWN(16.030303030303,0)</f>
      </c>
      <c r="AB223" s="5">
        <v>33</v>
      </c>
      <c r="AC223" s="2" t="s">
        <v>936</v>
      </c>
      <c r="AD223" s="4">
        <v>130</v>
      </c>
      <c r="AE223" s="4">
        <v>480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>
        <v>0</v>
      </c>
      <c r="AP223" s="4">
        <v>2</v>
      </c>
      <c r="AQ223" s="8">
        <v>161.28</v>
      </c>
      <c r="AR223" s="4">
        <v>6</v>
      </c>
      <c r="AS223" s="8">
        <v>483.84</v>
      </c>
      <c r="AT223" s="7">
        <v>-0.6667</v>
      </c>
      <c r="AU223" s="7">
        <v>-0.6667</v>
      </c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>
        <v>0.5161</v>
      </c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 t="s">
        <v>100</v>
      </c>
      <c r="BJ223" s="4">
        <v>580</v>
      </c>
      <c r="BK223" s="8">
        <v>44761.54</v>
      </c>
      <c r="BL223" s="2" t="s">
        <v>940</v>
      </c>
      <c r="BM223" s="7">
        <v>0.0034</v>
      </c>
      <c r="BN223" s="7">
        <v>0.0036</v>
      </c>
      <c r="BO223" s="4">
        <v>2</v>
      </c>
      <c r="BP223" s="8">
        <v>161.28</v>
      </c>
      <c r="BQ223" s="4">
        <v>6</v>
      </c>
      <c r="BR223" s="8">
        <v>483.84</v>
      </c>
      <c r="BS223" s="7">
        <v>-0.6667</v>
      </c>
      <c r="BT223" s="7">
        <v>-0.6667</v>
      </c>
      <c r="BU223" s="2" t="s">
        <v>109</v>
      </c>
      <c r="BV223" s="2" t="s">
        <v>97</v>
      </c>
      <c r="BW223" s="2" t="s">
        <v>110</v>
      </c>
      <c r="BX223" s="2" t="s">
        <v>553</v>
      </c>
      <c r="BY223" s="2" t="s">
        <v>112</v>
      </c>
      <c r="BZ223" s="2" t="s">
        <v>100</v>
      </c>
    </row>
    <row r="224">
      <c r="A224" s="2" t="s">
        <v>941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930</v>
      </c>
      <c r="G224" s="2" t="s">
        <v>931</v>
      </c>
      <c r="H224" s="2" t="s">
        <v>932</v>
      </c>
      <c r="I224" s="2" t="s">
        <v>558</v>
      </c>
      <c r="J224" s="2" t="s">
        <v>118</v>
      </c>
      <c r="K224" s="2" t="s">
        <v>933</v>
      </c>
      <c r="L224" s="3">
        <v>76.8</v>
      </c>
      <c r="M224" s="3">
        <v>80.63</v>
      </c>
      <c r="N224" s="3">
        <v>159.99</v>
      </c>
      <c r="O224" s="2" t="s">
        <v>97</v>
      </c>
      <c r="P224" s="2" t="s">
        <v>143</v>
      </c>
      <c r="Q224" s="2" t="s">
        <v>99</v>
      </c>
      <c r="R224" s="2" t="s">
        <v>100</v>
      </c>
      <c r="S224" s="2" t="s">
        <v>934</v>
      </c>
      <c r="T224" s="2" t="s">
        <v>100</v>
      </c>
      <c r="U224" s="2" t="s">
        <v>102</v>
      </c>
      <c r="V224" s="2" t="s">
        <v>455</v>
      </c>
      <c r="W224" s="2" t="s">
        <v>405</v>
      </c>
      <c r="X224" s="2" t="s">
        <v>456</v>
      </c>
      <c r="Y224" s="2" t="s">
        <v>935</v>
      </c>
      <c r="Z224" s="4">
        <v>277</v>
      </c>
      <c r="AA224" s="4">
        <f>=ROUNDDOWN(14.5789473684211,0)</f>
      </c>
      <c r="AB224" s="5">
        <v>19</v>
      </c>
      <c r="AC224" s="2" t="s">
        <v>936</v>
      </c>
      <c r="AD224" s="4">
        <v>80</v>
      </c>
      <c r="AE224" s="4">
        <v>400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>
        <v>0</v>
      </c>
      <c r="AP224" s="4">
        <v>1</v>
      </c>
      <c r="AQ224" s="8">
        <v>80.64</v>
      </c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>
        <v>0.2581</v>
      </c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 t="s">
        <v>100</v>
      </c>
      <c r="BJ224" s="4">
        <v>310</v>
      </c>
      <c r="BK224" s="8">
        <v>24269.66</v>
      </c>
      <c r="BL224" s="2" t="s">
        <v>942</v>
      </c>
      <c r="BM224" s="7">
        <v>0.0032</v>
      </c>
      <c r="BN224" s="7">
        <v>0.0033</v>
      </c>
      <c r="BO224" s="4">
        <v>1</v>
      </c>
      <c r="BP224" s="8">
        <v>80.64</v>
      </c>
      <c r="BQ224" s="4"/>
      <c r="BR224" s="8"/>
      <c r="BS224" s="7"/>
      <c r="BT224" s="7"/>
      <c r="BU224" s="2" t="s">
        <v>109</v>
      </c>
      <c r="BV224" s="2" t="s">
        <v>97</v>
      </c>
      <c r="BW224" s="2" t="s">
        <v>110</v>
      </c>
      <c r="BX224" s="2" t="s">
        <v>943</v>
      </c>
      <c r="BY224" s="2" t="s">
        <v>112</v>
      </c>
      <c r="BZ224" s="2" t="s">
        <v>100</v>
      </c>
    </row>
    <row r="225">
      <c r="A225" s="2" t="s">
        <v>944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930</v>
      </c>
      <c r="G225" s="2" t="s">
        <v>931</v>
      </c>
      <c r="H225" s="2" t="s">
        <v>932</v>
      </c>
      <c r="I225" s="2" t="s">
        <v>558</v>
      </c>
      <c r="J225" s="2" t="s">
        <v>95</v>
      </c>
      <c r="K225" s="2" t="s">
        <v>333</v>
      </c>
      <c r="L225" s="3">
        <v>67.2</v>
      </c>
      <c r="M225" s="3">
        <v>70.55</v>
      </c>
      <c r="N225" s="3">
        <v>139.99</v>
      </c>
      <c r="O225" s="2" t="s">
        <v>97</v>
      </c>
      <c r="P225" s="2" t="s">
        <v>182</v>
      </c>
      <c r="Q225" s="2" t="s">
        <v>99</v>
      </c>
      <c r="R225" s="2" t="s">
        <v>100</v>
      </c>
      <c r="S225" s="2" t="s">
        <v>945</v>
      </c>
      <c r="T225" s="2" t="s">
        <v>100</v>
      </c>
      <c r="U225" s="2" t="s">
        <v>102</v>
      </c>
      <c r="V225" s="2" t="s">
        <v>455</v>
      </c>
      <c r="W225" s="2" t="s">
        <v>405</v>
      </c>
      <c r="X225" s="2" t="s">
        <v>456</v>
      </c>
      <c r="Y225" s="2" t="s">
        <v>946</v>
      </c>
      <c r="Z225" s="4">
        <v>187</v>
      </c>
      <c r="AA225" s="4">
        <f>=ROUNDDOWN(12.4666666666667,0)</f>
      </c>
      <c r="AB225" s="5">
        <v>15</v>
      </c>
      <c r="AC225" s="2" t="s">
        <v>382</v>
      </c>
      <c r="AD225" s="4">
        <v>70</v>
      </c>
      <c r="AE225" s="4">
        <v>400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100</v>
      </c>
      <c r="AW225" s="8" t="s">
        <v>100</v>
      </c>
      <c r="AX225" s="4" t="s">
        <v>100</v>
      </c>
      <c r="AY225" s="8" t="s">
        <v>100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 t="s">
        <v>100</v>
      </c>
      <c r="BF225" s="8" t="s">
        <v>100</v>
      </c>
      <c r="BG225" s="7" t="s">
        <v>100</v>
      </c>
      <c r="BH225" s="7" t="s">
        <v>100</v>
      </c>
      <c r="BI225" s="7" t="s">
        <v>100</v>
      </c>
      <c r="BJ225" s="4">
        <v>294</v>
      </c>
      <c r="BK225" s="8">
        <v>19561.49</v>
      </c>
      <c r="BL225" s="2" t="s">
        <v>947</v>
      </c>
      <c r="BM225" s="7"/>
      <c r="BN225" s="7"/>
      <c r="BO225" s="4"/>
      <c r="BP225" s="8"/>
      <c r="BQ225" s="4"/>
      <c r="BR225" s="8"/>
      <c r="BS225" s="7"/>
      <c r="BT225" s="7"/>
      <c r="BU225" s="2" t="s">
        <v>147</v>
      </c>
      <c r="BV225" s="2" t="s">
        <v>97</v>
      </c>
      <c r="BW225" s="2" t="s">
        <v>100</v>
      </c>
      <c r="BX225" s="2" t="s">
        <v>100</v>
      </c>
      <c r="BY225" s="2" t="s">
        <v>112</v>
      </c>
      <c r="BZ225" s="2" t="s">
        <v>100</v>
      </c>
    </row>
    <row r="226">
      <c r="A226" s="2" t="s">
        <v>948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930</v>
      </c>
      <c r="G226" s="2" t="s">
        <v>931</v>
      </c>
      <c r="H226" s="2" t="s">
        <v>932</v>
      </c>
      <c r="I226" s="2" t="s">
        <v>558</v>
      </c>
      <c r="J226" s="2" t="s">
        <v>114</v>
      </c>
      <c r="K226" s="2" t="s">
        <v>333</v>
      </c>
      <c r="L226" s="3">
        <v>76.8</v>
      </c>
      <c r="M226" s="3">
        <v>80.63</v>
      </c>
      <c r="N226" s="3">
        <v>159.99</v>
      </c>
      <c r="O226" s="2" t="s">
        <v>97</v>
      </c>
      <c r="P226" s="2" t="s">
        <v>182</v>
      </c>
      <c r="Q226" s="2" t="s">
        <v>99</v>
      </c>
      <c r="R226" s="2" t="s">
        <v>100</v>
      </c>
      <c r="S226" s="2" t="s">
        <v>945</v>
      </c>
      <c r="T226" s="2" t="s">
        <v>100</v>
      </c>
      <c r="U226" s="2" t="s">
        <v>102</v>
      </c>
      <c r="V226" s="2" t="s">
        <v>455</v>
      </c>
      <c r="W226" s="2" t="s">
        <v>405</v>
      </c>
      <c r="X226" s="2" t="s">
        <v>456</v>
      </c>
      <c r="Y226" s="2" t="s">
        <v>946</v>
      </c>
      <c r="Z226" s="4">
        <v>471</v>
      </c>
      <c r="AA226" s="4">
        <f>=ROUNDDOWN(29.4375,0)</f>
      </c>
      <c r="AB226" s="5">
        <v>16</v>
      </c>
      <c r="AC226" s="2" t="s">
        <v>382</v>
      </c>
      <c r="AD226" s="4">
        <v>96</v>
      </c>
      <c r="AE226" s="4">
        <v>256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 t="s">
        <v>100</v>
      </c>
      <c r="BJ226" s="4">
        <v>272</v>
      </c>
      <c r="BK226" s="8">
        <v>20974.25</v>
      </c>
      <c r="BL226" s="2" t="s">
        <v>949</v>
      </c>
      <c r="BM226" s="7"/>
      <c r="BN226" s="7"/>
      <c r="BO226" s="4"/>
      <c r="BP226" s="8"/>
      <c r="BQ226" s="4"/>
      <c r="BR226" s="8"/>
      <c r="BS226" s="7"/>
      <c r="BT226" s="7"/>
      <c r="BU226" s="2" t="s">
        <v>147</v>
      </c>
      <c r="BV226" s="2" t="s">
        <v>97</v>
      </c>
      <c r="BW226" s="2" t="s">
        <v>100</v>
      </c>
      <c r="BX226" s="2" t="s">
        <v>100</v>
      </c>
      <c r="BY226" s="2" t="s">
        <v>112</v>
      </c>
      <c r="BZ226" s="2" t="s">
        <v>100</v>
      </c>
    </row>
    <row r="227">
      <c r="A227" s="2" t="s">
        <v>950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930</v>
      </c>
      <c r="G227" s="2" t="s">
        <v>931</v>
      </c>
      <c r="H227" s="2" t="s">
        <v>932</v>
      </c>
      <c r="I227" s="2" t="s">
        <v>558</v>
      </c>
      <c r="J227" s="2" t="s">
        <v>118</v>
      </c>
      <c r="K227" s="2" t="s">
        <v>333</v>
      </c>
      <c r="L227" s="3">
        <v>76.8</v>
      </c>
      <c r="M227" s="3">
        <v>80.63</v>
      </c>
      <c r="N227" s="3">
        <v>159.99</v>
      </c>
      <c r="O227" s="2" t="s">
        <v>97</v>
      </c>
      <c r="P227" s="2" t="s">
        <v>182</v>
      </c>
      <c r="Q227" s="2" t="s">
        <v>99</v>
      </c>
      <c r="R227" s="2" t="s">
        <v>100</v>
      </c>
      <c r="S227" s="2" t="s">
        <v>945</v>
      </c>
      <c r="T227" s="2" t="s">
        <v>100</v>
      </c>
      <c r="U227" s="2" t="s">
        <v>102</v>
      </c>
      <c r="V227" s="2" t="s">
        <v>455</v>
      </c>
      <c r="W227" s="2" t="s">
        <v>405</v>
      </c>
      <c r="X227" s="2" t="s">
        <v>456</v>
      </c>
      <c r="Y227" s="2" t="s">
        <v>946</v>
      </c>
      <c r="Z227" s="4">
        <v>132</v>
      </c>
      <c r="AA227" s="4">
        <f>=ROUNDDOWN(18.8571428571429,0)</f>
      </c>
      <c r="AB227" s="5">
        <v>7</v>
      </c>
      <c r="AC227" s="2" t="s">
        <v>382</v>
      </c>
      <c r="AD227" s="4">
        <v>50</v>
      </c>
      <c r="AE227" s="4">
        <v>160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 t="s">
        <v>100</v>
      </c>
      <c r="BJ227" s="4">
        <v>126</v>
      </c>
      <c r="BK227" s="8">
        <v>9600.83</v>
      </c>
      <c r="BL227" s="2" t="s">
        <v>951</v>
      </c>
      <c r="BM227" s="7"/>
      <c r="BN227" s="7"/>
      <c r="BO227" s="4"/>
      <c r="BP227" s="8"/>
      <c r="BQ227" s="4"/>
      <c r="BR227" s="8"/>
      <c r="BS227" s="7"/>
      <c r="BT227" s="7"/>
      <c r="BU227" s="2" t="s">
        <v>147</v>
      </c>
      <c r="BV227" s="2" t="s">
        <v>97</v>
      </c>
      <c r="BW227" s="2" t="s">
        <v>100</v>
      </c>
      <c r="BX227" s="2" t="s">
        <v>100</v>
      </c>
      <c r="BY227" s="2" t="s">
        <v>112</v>
      </c>
      <c r="BZ227" s="2" t="s">
        <v>100</v>
      </c>
    </row>
    <row r="228">
      <c r="A228" s="2" t="s">
        <v>952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953</v>
      </c>
      <c r="G228" s="2" t="s">
        <v>954</v>
      </c>
      <c r="H228" s="2" t="s">
        <v>955</v>
      </c>
      <c r="I228" s="2" t="s">
        <v>956</v>
      </c>
      <c r="J228" s="2" t="s">
        <v>95</v>
      </c>
      <c r="K228" s="2" t="s">
        <v>676</v>
      </c>
      <c r="L228" s="3">
        <v>67.2</v>
      </c>
      <c r="M228" s="3">
        <v>70.55</v>
      </c>
      <c r="N228" s="3">
        <v>139.99</v>
      </c>
      <c r="O228" s="2" t="s">
        <v>97</v>
      </c>
      <c r="P228" s="2" t="s">
        <v>198</v>
      </c>
      <c r="Q228" s="2" t="s">
        <v>99</v>
      </c>
      <c r="R228" s="2" t="s">
        <v>100</v>
      </c>
      <c r="S228" s="2" t="s">
        <v>957</v>
      </c>
      <c r="T228" s="2" t="s">
        <v>100</v>
      </c>
      <c r="U228" s="2" t="s">
        <v>102</v>
      </c>
      <c r="V228" s="2" t="s">
        <v>601</v>
      </c>
      <c r="W228" s="2" t="s">
        <v>104</v>
      </c>
      <c r="X228" s="2" t="s">
        <v>201</v>
      </c>
      <c r="Y228" s="2" t="s">
        <v>106</v>
      </c>
      <c r="Z228" s="4">
        <v>561</v>
      </c>
      <c r="AA228" s="4">
        <f>=ROUNDDOWN(56.1,0)</f>
      </c>
      <c r="AB228" s="5">
        <v>10</v>
      </c>
      <c r="AC228" s="2" t="s">
        <v>100</v>
      </c>
      <c r="AD228" s="4"/>
      <c r="AE228" s="4"/>
      <c r="AF228" s="6">
        <v>65</v>
      </c>
      <c r="AG228" s="6">
        <v>48</v>
      </c>
      <c r="AH228" s="7">
        <v>0.9818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>
        <v>0</v>
      </c>
      <c r="AP228" s="4">
        <v>1</v>
      </c>
      <c r="AQ228" s="8">
        <v>70.55</v>
      </c>
      <c r="AR228" s="4">
        <v>6</v>
      </c>
      <c r="AS228" s="8">
        <v>423.3</v>
      </c>
      <c r="AT228" s="7">
        <v>-0.8333</v>
      </c>
      <c r="AU228" s="7">
        <v>-0.8333</v>
      </c>
      <c r="AV228" s="4">
        <v>4</v>
      </c>
      <c r="AW228" s="8">
        <v>312.44</v>
      </c>
      <c r="AX228" s="4">
        <v>12</v>
      </c>
      <c r="AY228" s="8">
        <v>907.08</v>
      </c>
      <c r="AZ228" s="7">
        <v>-0.6667</v>
      </c>
      <c r="BA228" s="7">
        <v>-0.6556</v>
      </c>
      <c r="BB228" s="7">
        <v>0.2258</v>
      </c>
      <c r="BC228" s="4">
        <v>4</v>
      </c>
      <c r="BD228" s="8">
        <v>312.44</v>
      </c>
      <c r="BE228" s="4">
        <v>12</v>
      </c>
      <c r="BF228" s="8">
        <v>907.08</v>
      </c>
      <c r="BG228" s="7">
        <v>-0.6667</v>
      </c>
      <c r="BH228" s="7">
        <v>-0.6556</v>
      </c>
      <c r="BI228" s="7">
        <v>1</v>
      </c>
      <c r="BJ228" s="4">
        <v>211</v>
      </c>
      <c r="BK228" s="8">
        <v>14465.97</v>
      </c>
      <c r="BL228" s="2" t="s">
        <v>958</v>
      </c>
      <c r="BM228" s="7">
        <v>0.0047</v>
      </c>
      <c r="BN228" s="7">
        <v>0.0049</v>
      </c>
      <c r="BO228" s="4">
        <v>1</v>
      </c>
      <c r="BP228" s="8">
        <v>70.55</v>
      </c>
      <c r="BQ228" s="4">
        <v>6</v>
      </c>
      <c r="BR228" s="8">
        <v>423.3</v>
      </c>
      <c r="BS228" s="7">
        <v>-0.8333</v>
      </c>
      <c r="BT228" s="7">
        <v>-0.8333</v>
      </c>
      <c r="BU228" s="2" t="s">
        <v>109</v>
      </c>
      <c r="BV228" s="2" t="s">
        <v>97</v>
      </c>
      <c r="BW228" s="2" t="s">
        <v>132</v>
      </c>
      <c r="BX228" s="2" t="s">
        <v>959</v>
      </c>
      <c r="BY228" s="2" t="s">
        <v>112</v>
      </c>
      <c r="BZ228" s="2" t="s">
        <v>100</v>
      </c>
    </row>
    <row r="229">
      <c r="A229" s="2" t="s">
        <v>960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953</v>
      </c>
      <c r="G229" s="2" t="s">
        <v>954</v>
      </c>
      <c r="H229" s="2" t="s">
        <v>955</v>
      </c>
      <c r="I229" s="2" t="s">
        <v>956</v>
      </c>
      <c r="J229" s="2" t="s">
        <v>114</v>
      </c>
      <c r="K229" s="2" t="s">
        <v>676</v>
      </c>
      <c r="L229" s="3">
        <v>76.8</v>
      </c>
      <c r="M229" s="3">
        <v>80.63</v>
      </c>
      <c r="N229" s="3">
        <v>159.99</v>
      </c>
      <c r="O229" s="2" t="s">
        <v>97</v>
      </c>
      <c r="P229" s="2" t="s">
        <v>198</v>
      </c>
      <c r="Q229" s="2" t="s">
        <v>99</v>
      </c>
      <c r="R229" s="2" t="s">
        <v>100</v>
      </c>
      <c r="S229" s="2" t="s">
        <v>957</v>
      </c>
      <c r="T229" s="2" t="s">
        <v>100</v>
      </c>
      <c r="U229" s="2" t="s">
        <v>102</v>
      </c>
      <c r="V229" s="2" t="s">
        <v>601</v>
      </c>
      <c r="W229" s="2" t="s">
        <v>104</v>
      </c>
      <c r="X229" s="2" t="s">
        <v>201</v>
      </c>
      <c r="Y229" s="2" t="s">
        <v>106</v>
      </c>
      <c r="Z229" s="4">
        <v>436</v>
      </c>
      <c r="AA229" s="4">
        <f>=ROUNDDOWN(54.5,0)</f>
      </c>
      <c r="AB229" s="5">
        <v>8</v>
      </c>
      <c r="AC229" s="2" t="s">
        <v>100</v>
      </c>
      <c r="AD229" s="4"/>
      <c r="AE229" s="4"/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>
        <v>0</v>
      </c>
      <c r="AP229" s="4">
        <v>2</v>
      </c>
      <c r="AQ229" s="8">
        <v>161.26</v>
      </c>
      <c r="AR229" s="4">
        <v>6</v>
      </c>
      <c r="AS229" s="8">
        <v>483.78</v>
      </c>
      <c r="AT229" s="7">
        <v>-0.6667</v>
      </c>
      <c r="AU229" s="7">
        <v>-0.6667</v>
      </c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>
        <v>0.5161</v>
      </c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 t="s">
        <v>100</v>
      </c>
      <c r="BJ229" s="4">
        <v>172</v>
      </c>
      <c r="BK229" s="8">
        <v>13402.42</v>
      </c>
      <c r="BL229" s="2" t="s">
        <v>961</v>
      </c>
      <c r="BM229" s="7">
        <v>0.0116</v>
      </c>
      <c r="BN229" s="7">
        <v>0.012</v>
      </c>
      <c r="BO229" s="4">
        <v>2</v>
      </c>
      <c r="BP229" s="8">
        <v>161.26</v>
      </c>
      <c r="BQ229" s="4">
        <v>6</v>
      </c>
      <c r="BR229" s="8">
        <v>483.78</v>
      </c>
      <c r="BS229" s="7">
        <v>-0.6667</v>
      </c>
      <c r="BT229" s="7">
        <v>-0.6667</v>
      </c>
      <c r="BU229" s="2" t="s">
        <v>109</v>
      </c>
      <c r="BV229" s="2" t="s">
        <v>97</v>
      </c>
      <c r="BW229" s="2" t="s">
        <v>962</v>
      </c>
      <c r="BX229" s="2" t="s">
        <v>963</v>
      </c>
      <c r="BY229" s="2" t="s">
        <v>112</v>
      </c>
      <c r="BZ229" s="2" t="s">
        <v>100</v>
      </c>
    </row>
    <row r="230">
      <c r="A230" s="2" t="s">
        <v>964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953</v>
      </c>
      <c r="G230" s="2" t="s">
        <v>954</v>
      </c>
      <c r="H230" s="2" t="s">
        <v>955</v>
      </c>
      <c r="I230" s="2" t="s">
        <v>956</v>
      </c>
      <c r="J230" s="2" t="s">
        <v>118</v>
      </c>
      <c r="K230" s="2" t="s">
        <v>676</v>
      </c>
      <c r="L230" s="3">
        <v>76.8</v>
      </c>
      <c r="M230" s="3">
        <v>80.63</v>
      </c>
      <c r="N230" s="3">
        <v>159.99</v>
      </c>
      <c r="O230" s="2" t="s">
        <v>97</v>
      </c>
      <c r="P230" s="2" t="s">
        <v>198</v>
      </c>
      <c r="Q230" s="2" t="s">
        <v>99</v>
      </c>
      <c r="R230" s="2" t="s">
        <v>100</v>
      </c>
      <c r="S230" s="2" t="s">
        <v>957</v>
      </c>
      <c r="T230" s="2" t="s">
        <v>100</v>
      </c>
      <c r="U230" s="2" t="s">
        <v>102</v>
      </c>
      <c r="V230" s="2" t="s">
        <v>601</v>
      </c>
      <c r="W230" s="2" t="s">
        <v>104</v>
      </c>
      <c r="X230" s="2" t="s">
        <v>201</v>
      </c>
      <c r="Y230" s="2" t="s">
        <v>106</v>
      </c>
      <c r="Z230" s="4">
        <v>212</v>
      </c>
      <c r="AA230" s="4">
        <f>=ROUNDDOWN(53,0)</f>
      </c>
      <c r="AB230" s="5">
        <v>4</v>
      </c>
      <c r="AC230" s="2" t="s">
        <v>100</v>
      </c>
      <c r="AD230" s="4"/>
      <c r="AE230" s="4"/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>
        <v>0</v>
      </c>
      <c r="AP230" s="4">
        <v>1</v>
      </c>
      <c r="AQ230" s="8">
        <v>80.63</v>
      </c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>
        <v>0.2581</v>
      </c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 t="s">
        <v>100</v>
      </c>
      <c r="BJ230" s="4">
        <v>88</v>
      </c>
      <c r="BK230" s="8">
        <v>7138.65</v>
      </c>
      <c r="BL230" s="2" t="s">
        <v>965</v>
      </c>
      <c r="BM230" s="7">
        <v>0.0114</v>
      </c>
      <c r="BN230" s="7">
        <v>0.0113</v>
      </c>
      <c r="BO230" s="4">
        <v>1</v>
      </c>
      <c r="BP230" s="8">
        <v>80.63</v>
      </c>
      <c r="BQ230" s="4"/>
      <c r="BR230" s="8"/>
      <c r="BS230" s="7"/>
      <c r="BT230" s="7"/>
      <c r="BU230" s="2" t="s">
        <v>109</v>
      </c>
      <c r="BV230" s="2" t="s">
        <v>97</v>
      </c>
      <c r="BW230" s="2" t="s">
        <v>966</v>
      </c>
      <c r="BX230" s="2" t="s">
        <v>967</v>
      </c>
      <c r="BY230" s="2" t="s">
        <v>112</v>
      </c>
      <c r="BZ230" s="2" t="s">
        <v>100</v>
      </c>
    </row>
    <row r="231">
      <c r="A231" s="2" t="s">
        <v>968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953</v>
      </c>
      <c r="G231" s="2" t="s">
        <v>954</v>
      </c>
      <c r="H231" s="2" t="s">
        <v>955</v>
      </c>
      <c r="I231" s="2" t="s">
        <v>956</v>
      </c>
      <c r="J231" s="2" t="s">
        <v>95</v>
      </c>
      <c r="K231" s="2" t="s">
        <v>666</v>
      </c>
      <c r="L231" s="3">
        <v>67.2</v>
      </c>
      <c r="M231" s="3">
        <v>70.55</v>
      </c>
      <c r="N231" s="3">
        <v>139.99</v>
      </c>
      <c r="O231" s="2" t="s">
        <v>229</v>
      </c>
      <c r="P231" s="2" t="s">
        <v>198</v>
      </c>
      <c r="Q231" s="2" t="s">
        <v>99</v>
      </c>
      <c r="R231" s="2" t="s">
        <v>100</v>
      </c>
      <c r="S231" s="2" t="s">
        <v>969</v>
      </c>
      <c r="T231" s="2" t="s">
        <v>100</v>
      </c>
      <c r="U231" s="2" t="s">
        <v>102</v>
      </c>
      <c r="V231" s="2" t="s">
        <v>601</v>
      </c>
      <c r="W231" s="2" t="s">
        <v>104</v>
      </c>
      <c r="X231" s="2" t="s">
        <v>201</v>
      </c>
      <c r="Y231" s="2" t="s">
        <v>106</v>
      </c>
      <c r="Z231" s="4">
        <v>79</v>
      </c>
      <c r="AA231" s="4">
        <f>=ROUNDDOWN(19.75,0)</f>
      </c>
      <c r="AB231" s="5">
        <v>4</v>
      </c>
      <c r="AC231" s="2" t="s">
        <v>100</v>
      </c>
      <c r="AD231" s="4"/>
      <c r="AE231" s="4"/>
      <c r="AF231" s="6">
        <v>65</v>
      </c>
      <c r="AG231" s="6">
        <v>48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 t="s">
        <v>100</v>
      </c>
      <c r="BJ231" s="4">
        <v>120</v>
      </c>
      <c r="BK231" s="8">
        <v>8118.27</v>
      </c>
      <c r="BL231" s="2" t="s">
        <v>970</v>
      </c>
      <c r="BM231" s="7"/>
      <c r="BN231" s="7"/>
      <c r="BO231" s="4"/>
      <c r="BP231" s="8"/>
      <c r="BQ231" s="4"/>
      <c r="BR231" s="8"/>
      <c r="BS231" s="7"/>
      <c r="BT231" s="7"/>
      <c r="BU231" s="2" t="s">
        <v>147</v>
      </c>
      <c r="BV231" s="2" t="s">
        <v>97</v>
      </c>
      <c r="BW231" s="2" t="s">
        <v>100</v>
      </c>
      <c r="BX231" s="2" t="s">
        <v>100</v>
      </c>
      <c r="BY231" s="2" t="s">
        <v>112</v>
      </c>
      <c r="BZ231" s="2" t="s">
        <v>100</v>
      </c>
    </row>
    <row r="232">
      <c r="A232" s="2" t="s">
        <v>971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953</v>
      </c>
      <c r="G232" s="2" t="s">
        <v>954</v>
      </c>
      <c r="H232" s="2" t="s">
        <v>955</v>
      </c>
      <c r="I232" s="2" t="s">
        <v>956</v>
      </c>
      <c r="J232" s="2" t="s">
        <v>118</v>
      </c>
      <c r="K232" s="2" t="s">
        <v>666</v>
      </c>
      <c r="L232" s="3">
        <v>76.8</v>
      </c>
      <c r="M232" s="3">
        <v>80.63</v>
      </c>
      <c r="N232" s="3">
        <v>159.99</v>
      </c>
      <c r="O232" s="2" t="s">
        <v>229</v>
      </c>
      <c r="P232" s="2" t="s">
        <v>198</v>
      </c>
      <c r="Q232" s="2" t="s">
        <v>99</v>
      </c>
      <c r="R232" s="2" t="s">
        <v>100</v>
      </c>
      <c r="S232" s="2" t="s">
        <v>969</v>
      </c>
      <c r="T232" s="2" t="s">
        <v>100</v>
      </c>
      <c r="U232" s="2" t="s">
        <v>102</v>
      </c>
      <c r="V232" s="2" t="s">
        <v>601</v>
      </c>
      <c r="W232" s="2" t="s">
        <v>104</v>
      </c>
      <c r="X232" s="2" t="s">
        <v>201</v>
      </c>
      <c r="Y232" s="2" t="s">
        <v>106</v>
      </c>
      <c r="Z232" s="4">
        <v>59</v>
      </c>
      <c r="AA232" s="4">
        <f>=ROUNDDOWN(9.83333333333333,0)</f>
      </c>
      <c r="AB232" s="5">
        <v>6</v>
      </c>
      <c r="AC232" s="2" t="s">
        <v>100</v>
      </c>
      <c r="AD232" s="4"/>
      <c r="AE232" s="4"/>
      <c r="AF232" s="6">
        <v>65</v>
      </c>
      <c r="AG232" s="6">
        <v>48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 t="s">
        <v>100</v>
      </c>
      <c r="BJ232" s="4">
        <v>89</v>
      </c>
      <c r="BK232" s="8">
        <v>6772.49</v>
      </c>
      <c r="BL232" s="2" t="s">
        <v>972</v>
      </c>
      <c r="BM232" s="7"/>
      <c r="BN232" s="7"/>
      <c r="BO232" s="4"/>
      <c r="BP232" s="8"/>
      <c r="BQ232" s="4"/>
      <c r="BR232" s="8"/>
      <c r="BS232" s="7"/>
      <c r="BT232" s="7"/>
      <c r="BU232" s="2" t="s">
        <v>147</v>
      </c>
      <c r="BV232" s="2" t="s">
        <v>97</v>
      </c>
      <c r="BW232" s="2" t="s">
        <v>100</v>
      </c>
      <c r="BX232" s="2" t="s">
        <v>100</v>
      </c>
      <c r="BY232" s="2" t="s">
        <v>112</v>
      </c>
      <c r="BZ232" s="2" t="s">
        <v>100</v>
      </c>
    </row>
    <row r="233">
      <c r="A233" s="2" t="s">
        <v>973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974</v>
      </c>
      <c r="G233" s="2" t="s">
        <v>975</v>
      </c>
      <c r="H233" s="2" t="s">
        <v>976</v>
      </c>
      <c r="I233" s="2" t="s">
        <v>977</v>
      </c>
      <c r="J233" s="2" t="s">
        <v>95</v>
      </c>
      <c r="K233" s="2" t="s">
        <v>158</v>
      </c>
      <c r="L233" s="3">
        <v>72</v>
      </c>
      <c r="M233" s="3">
        <v>75.59</v>
      </c>
      <c r="N233" s="3">
        <v>149.99</v>
      </c>
      <c r="O233" s="2" t="s">
        <v>97</v>
      </c>
      <c r="P233" s="2" t="s">
        <v>182</v>
      </c>
      <c r="Q233" s="2" t="s">
        <v>99</v>
      </c>
      <c r="R233" s="2" t="s">
        <v>100</v>
      </c>
      <c r="S233" s="2" t="s">
        <v>978</v>
      </c>
      <c r="T233" s="2" t="s">
        <v>100</v>
      </c>
      <c r="U233" s="2" t="s">
        <v>102</v>
      </c>
      <c r="V233" s="2" t="s">
        <v>906</v>
      </c>
      <c r="W233" s="2" t="s">
        <v>906</v>
      </c>
      <c r="X233" s="2" t="s">
        <v>185</v>
      </c>
      <c r="Y233" s="2" t="s">
        <v>106</v>
      </c>
      <c r="Z233" s="4">
        <v>663</v>
      </c>
      <c r="AA233" s="4">
        <f>=ROUNDDOWN(47.3571428571429,0)</f>
      </c>
      <c r="AB233" s="5">
        <v>14</v>
      </c>
      <c r="AC233" s="2" t="s">
        <v>100</v>
      </c>
      <c r="AD233" s="4"/>
      <c r="AE233" s="4"/>
      <c r="AF233" s="6">
        <v>65</v>
      </c>
      <c r="AG233" s="6">
        <v>73</v>
      </c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>
        <v>0</v>
      </c>
      <c r="AP233" s="4">
        <v>4</v>
      </c>
      <c r="AQ233" s="8">
        <v>302.36</v>
      </c>
      <c r="AR233" s="4">
        <v>6</v>
      </c>
      <c r="AS233" s="8">
        <v>453.54</v>
      </c>
      <c r="AT233" s="7">
        <v>-0.3333</v>
      </c>
      <c r="AU233" s="7">
        <v>-0.3333</v>
      </c>
      <c r="AV233" s="4">
        <v>4</v>
      </c>
      <c r="AW233" s="8">
        <v>302.36</v>
      </c>
      <c r="AX233" s="4">
        <v>12</v>
      </c>
      <c r="AY233" s="8">
        <v>967.56</v>
      </c>
      <c r="AZ233" s="7">
        <v>-0.6667</v>
      </c>
      <c r="BA233" s="7">
        <v>-0.6875</v>
      </c>
      <c r="BB233" s="7">
        <v>1</v>
      </c>
      <c r="BC233" s="4">
        <v>4</v>
      </c>
      <c r="BD233" s="8">
        <v>302.36</v>
      </c>
      <c r="BE233" s="4">
        <v>12</v>
      </c>
      <c r="BF233" s="8">
        <v>967.56</v>
      </c>
      <c r="BG233" s="7">
        <v>-0.6667</v>
      </c>
      <c r="BH233" s="7">
        <v>-0.6875</v>
      </c>
      <c r="BI233" s="7">
        <v>1</v>
      </c>
      <c r="BJ233" s="4">
        <v>276</v>
      </c>
      <c r="BK233" s="8">
        <v>20649.46</v>
      </c>
      <c r="BL233" s="2" t="s">
        <v>979</v>
      </c>
      <c r="BM233" s="7">
        <v>0.0145</v>
      </c>
      <c r="BN233" s="7">
        <v>0.0146</v>
      </c>
      <c r="BO233" s="4">
        <v>4</v>
      </c>
      <c r="BP233" s="8">
        <v>302.36</v>
      </c>
      <c r="BQ233" s="4">
        <v>6</v>
      </c>
      <c r="BR233" s="8">
        <v>453.54</v>
      </c>
      <c r="BS233" s="7">
        <v>-0.3333</v>
      </c>
      <c r="BT233" s="7">
        <v>-0.3333</v>
      </c>
      <c r="BU233" s="2" t="s">
        <v>109</v>
      </c>
      <c r="BV233" s="2" t="s">
        <v>97</v>
      </c>
      <c r="BW233" s="2" t="s">
        <v>217</v>
      </c>
      <c r="BX233" s="2" t="s">
        <v>980</v>
      </c>
      <c r="BY233" s="2" t="s">
        <v>112</v>
      </c>
      <c r="BZ233" s="2" t="s">
        <v>100</v>
      </c>
    </row>
    <row r="234">
      <c r="A234" s="2" t="s">
        <v>981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974</v>
      </c>
      <c r="G234" s="2" t="s">
        <v>975</v>
      </c>
      <c r="H234" s="2" t="s">
        <v>976</v>
      </c>
      <c r="I234" s="2" t="s">
        <v>977</v>
      </c>
      <c r="J234" s="2" t="s">
        <v>114</v>
      </c>
      <c r="K234" s="2" t="s">
        <v>158</v>
      </c>
      <c r="L234" s="3">
        <v>81.6</v>
      </c>
      <c r="M234" s="3">
        <v>85.67</v>
      </c>
      <c r="N234" s="3">
        <v>169.99</v>
      </c>
      <c r="O234" s="2" t="s">
        <v>97</v>
      </c>
      <c r="P234" s="2" t="s">
        <v>182</v>
      </c>
      <c r="Q234" s="2" t="s">
        <v>99</v>
      </c>
      <c r="R234" s="2" t="s">
        <v>100</v>
      </c>
      <c r="S234" s="2" t="s">
        <v>978</v>
      </c>
      <c r="T234" s="2" t="s">
        <v>100</v>
      </c>
      <c r="U234" s="2" t="s">
        <v>102</v>
      </c>
      <c r="V234" s="2" t="s">
        <v>906</v>
      </c>
      <c r="W234" s="2" t="s">
        <v>906</v>
      </c>
      <c r="X234" s="2" t="s">
        <v>185</v>
      </c>
      <c r="Y234" s="2" t="s">
        <v>106</v>
      </c>
      <c r="Z234" s="4">
        <v>380</v>
      </c>
      <c r="AA234" s="4">
        <f>=ROUNDDOWN(38,0)</f>
      </c>
      <c r="AB234" s="5">
        <v>10</v>
      </c>
      <c r="AC234" s="2" t="s">
        <v>100</v>
      </c>
      <c r="AD234" s="4"/>
      <c r="AE234" s="4"/>
      <c r="AF234" s="6">
        <v>65</v>
      </c>
      <c r="AG234" s="6">
        <v>73</v>
      </c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>
        <v>0</v>
      </c>
      <c r="AP234" s="4"/>
      <c r="AQ234" s="8"/>
      <c r="AR234" s="4">
        <v>6</v>
      </c>
      <c r="AS234" s="8">
        <v>514.02</v>
      </c>
      <c r="AT234" s="7">
        <v>-1</v>
      </c>
      <c r="AU234" s="7">
        <v>-1</v>
      </c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 t="s">
        <v>100</v>
      </c>
      <c r="BJ234" s="4">
        <v>179</v>
      </c>
      <c r="BK234" s="8">
        <v>15335.4</v>
      </c>
      <c r="BL234" s="2" t="s">
        <v>982</v>
      </c>
      <c r="BM234" s="7"/>
      <c r="BN234" s="7"/>
      <c r="BO234" s="4"/>
      <c r="BP234" s="8"/>
      <c r="BQ234" s="4">
        <v>6</v>
      </c>
      <c r="BR234" s="8">
        <v>514.02</v>
      </c>
      <c r="BS234" s="7">
        <v>-1</v>
      </c>
      <c r="BT234" s="7">
        <v>-1</v>
      </c>
      <c r="BU234" s="2" t="s">
        <v>109</v>
      </c>
      <c r="BV234" s="2" t="s">
        <v>97</v>
      </c>
      <c r="BW234" s="2" t="s">
        <v>217</v>
      </c>
      <c r="BX234" s="2" t="s">
        <v>516</v>
      </c>
      <c r="BY234" s="2" t="s">
        <v>112</v>
      </c>
      <c r="BZ234" s="2" t="s">
        <v>100</v>
      </c>
    </row>
    <row r="235">
      <c r="A235" s="2" t="s">
        <v>983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974</v>
      </c>
      <c r="G235" s="2" t="s">
        <v>975</v>
      </c>
      <c r="H235" s="2" t="s">
        <v>976</v>
      </c>
      <c r="I235" s="2" t="s">
        <v>977</v>
      </c>
      <c r="J235" s="2" t="s">
        <v>118</v>
      </c>
      <c r="K235" s="2" t="s">
        <v>158</v>
      </c>
      <c r="L235" s="3">
        <v>81.6</v>
      </c>
      <c r="M235" s="3">
        <v>85.67</v>
      </c>
      <c r="N235" s="3">
        <v>169.99</v>
      </c>
      <c r="O235" s="2" t="s">
        <v>97</v>
      </c>
      <c r="P235" s="2" t="s">
        <v>182</v>
      </c>
      <c r="Q235" s="2" t="s">
        <v>99</v>
      </c>
      <c r="R235" s="2" t="s">
        <v>100</v>
      </c>
      <c r="S235" s="2" t="s">
        <v>978</v>
      </c>
      <c r="T235" s="2" t="s">
        <v>100</v>
      </c>
      <c r="U235" s="2" t="s">
        <v>102</v>
      </c>
      <c r="V235" s="2" t="s">
        <v>906</v>
      </c>
      <c r="W235" s="2" t="s">
        <v>906</v>
      </c>
      <c r="X235" s="2" t="s">
        <v>185</v>
      </c>
      <c r="Y235" s="2" t="s">
        <v>106</v>
      </c>
      <c r="Z235" s="4">
        <v>272</v>
      </c>
      <c r="AA235" s="4">
        <f>=ROUNDDOWN(68,0)</f>
      </c>
      <c r="AB235" s="5">
        <v>4</v>
      </c>
      <c r="AC235" s="2" t="s">
        <v>100</v>
      </c>
      <c r="AD235" s="4"/>
      <c r="AE235" s="4"/>
      <c r="AF235" s="6">
        <v>65</v>
      </c>
      <c r="AG235" s="6">
        <v>73</v>
      </c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 t="s">
        <v>100</v>
      </c>
      <c r="BJ235" s="4">
        <v>86</v>
      </c>
      <c r="BK235" s="8">
        <v>7408.52</v>
      </c>
      <c r="BL235" s="2" t="s">
        <v>984</v>
      </c>
      <c r="BM235" s="7"/>
      <c r="BN235" s="7"/>
      <c r="BO235" s="4"/>
      <c r="BP235" s="8"/>
      <c r="BQ235" s="4"/>
      <c r="BR235" s="8"/>
      <c r="BS235" s="7"/>
      <c r="BT235" s="7"/>
      <c r="BU235" s="2" t="s">
        <v>147</v>
      </c>
      <c r="BV235" s="2" t="s">
        <v>97</v>
      </c>
      <c r="BW235" s="2" t="s">
        <v>100</v>
      </c>
      <c r="BX235" s="2" t="s">
        <v>100</v>
      </c>
      <c r="BY235" s="2" t="s">
        <v>112</v>
      </c>
      <c r="BZ235" s="2" t="s">
        <v>100</v>
      </c>
    </row>
    <row r="236">
      <c r="A236" s="2" t="s">
        <v>985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986</v>
      </c>
      <c r="G236" s="2" t="s">
        <v>987</v>
      </c>
      <c r="H236" s="2" t="s">
        <v>988</v>
      </c>
      <c r="I236" s="2" t="s">
        <v>956</v>
      </c>
      <c r="J236" s="2" t="s">
        <v>95</v>
      </c>
      <c r="K236" s="2" t="s">
        <v>989</v>
      </c>
      <c r="L236" s="3">
        <v>67.2</v>
      </c>
      <c r="M236" s="3">
        <v>70.55</v>
      </c>
      <c r="N236" s="3">
        <v>139.99</v>
      </c>
      <c r="O236" s="2" t="s">
        <v>97</v>
      </c>
      <c r="P236" s="2" t="s">
        <v>182</v>
      </c>
      <c r="Q236" s="2" t="s">
        <v>99</v>
      </c>
      <c r="R236" s="2" t="s">
        <v>100</v>
      </c>
      <c r="S236" s="2" t="s">
        <v>990</v>
      </c>
      <c r="T236" s="2" t="s">
        <v>100</v>
      </c>
      <c r="U236" s="2" t="s">
        <v>102</v>
      </c>
      <c r="V236" s="2" t="s">
        <v>991</v>
      </c>
      <c r="W236" s="2" t="s">
        <v>104</v>
      </c>
      <c r="X236" s="2" t="s">
        <v>992</v>
      </c>
      <c r="Y236" s="2" t="s">
        <v>106</v>
      </c>
      <c r="Z236" s="4">
        <v>327</v>
      </c>
      <c r="AA236" s="4">
        <f>=ROUNDDOWN(27.25,0)</f>
      </c>
      <c r="AB236" s="5">
        <v>12</v>
      </c>
      <c r="AC236" s="2" t="s">
        <v>847</v>
      </c>
      <c r="AD236" s="4">
        <v>300</v>
      </c>
      <c r="AE236" s="4">
        <v>300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>
        <v>3</v>
      </c>
      <c r="AW236" s="8">
        <v>241.89</v>
      </c>
      <c r="AX236" s="4">
        <v>7</v>
      </c>
      <c r="AY236" s="8">
        <v>564.41</v>
      </c>
      <c r="AZ236" s="7">
        <v>-0.5714</v>
      </c>
      <c r="BA236" s="7">
        <v>-0.5714</v>
      </c>
      <c r="BB236" s="7"/>
      <c r="BC236" s="4">
        <v>3</v>
      </c>
      <c r="BD236" s="8">
        <v>241.89</v>
      </c>
      <c r="BE236" s="4">
        <v>7</v>
      </c>
      <c r="BF236" s="8">
        <v>564.41</v>
      </c>
      <c r="BG236" s="7">
        <v>-0.5714</v>
      </c>
      <c r="BH236" s="7">
        <v>-0.5714</v>
      </c>
      <c r="BI236" s="7">
        <v>1</v>
      </c>
      <c r="BJ236" s="4">
        <v>305</v>
      </c>
      <c r="BK236" s="8">
        <v>20826.38</v>
      </c>
      <c r="BL236" s="2" t="s">
        <v>993</v>
      </c>
      <c r="BM236" s="7"/>
      <c r="BN236" s="7"/>
      <c r="BO236" s="4"/>
      <c r="BP236" s="8"/>
      <c r="BQ236" s="4"/>
      <c r="BR236" s="8"/>
      <c r="BS236" s="7"/>
      <c r="BT236" s="7"/>
      <c r="BU236" s="2" t="s">
        <v>147</v>
      </c>
      <c r="BV236" s="2" t="s">
        <v>97</v>
      </c>
      <c r="BW236" s="2" t="s">
        <v>100</v>
      </c>
      <c r="BX236" s="2" t="s">
        <v>100</v>
      </c>
      <c r="BY236" s="2" t="s">
        <v>112</v>
      </c>
      <c r="BZ236" s="2" t="s">
        <v>100</v>
      </c>
    </row>
    <row r="237">
      <c r="A237" s="2" t="s">
        <v>994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986</v>
      </c>
      <c r="G237" s="2" t="s">
        <v>987</v>
      </c>
      <c r="H237" s="2" t="s">
        <v>988</v>
      </c>
      <c r="I237" s="2" t="s">
        <v>956</v>
      </c>
      <c r="J237" s="2" t="s">
        <v>114</v>
      </c>
      <c r="K237" s="2" t="s">
        <v>989</v>
      </c>
      <c r="L237" s="3">
        <v>76.8</v>
      </c>
      <c r="M237" s="3">
        <v>80.63</v>
      </c>
      <c r="N237" s="3">
        <v>159.99</v>
      </c>
      <c r="O237" s="2" t="s">
        <v>97</v>
      </c>
      <c r="P237" s="2" t="s">
        <v>182</v>
      </c>
      <c r="Q237" s="2" t="s">
        <v>99</v>
      </c>
      <c r="R237" s="2" t="s">
        <v>100</v>
      </c>
      <c r="S237" s="2" t="s">
        <v>990</v>
      </c>
      <c r="T237" s="2" t="s">
        <v>100</v>
      </c>
      <c r="U237" s="2" t="s">
        <v>102</v>
      </c>
      <c r="V237" s="2" t="s">
        <v>991</v>
      </c>
      <c r="W237" s="2" t="s">
        <v>104</v>
      </c>
      <c r="X237" s="2" t="s">
        <v>992</v>
      </c>
      <c r="Y237" s="2" t="s">
        <v>106</v>
      </c>
      <c r="Z237" s="4">
        <v>220</v>
      </c>
      <c r="AA237" s="4">
        <f>=ROUNDDOWN(22,0)</f>
      </c>
      <c r="AB237" s="5">
        <v>10</v>
      </c>
      <c r="AC237" s="2" t="s">
        <v>847</v>
      </c>
      <c r="AD237" s="4">
        <v>300</v>
      </c>
      <c r="AE237" s="4">
        <v>300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>
        <v>0</v>
      </c>
      <c r="AP237" s="4">
        <v>3</v>
      </c>
      <c r="AQ237" s="8">
        <v>241.89</v>
      </c>
      <c r="AR237" s="4">
        <v>7</v>
      </c>
      <c r="AS237" s="8">
        <v>564.41</v>
      </c>
      <c r="AT237" s="7">
        <v>-0.5714</v>
      </c>
      <c r="AU237" s="7">
        <v>-0.5714</v>
      </c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>
        <v>1</v>
      </c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 t="s">
        <v>100</v>
      </c>
      <c r="BJ237" s="4">
        <v>250</v>
      </c>
      <c r="BK237" s="8">
        <v>19726.73</v>
      </c>
      <c r="BL237" s="2" t="s">
        <v>995</v>
      </c>
      <c r="BM237" s="7">
        <v>0.012</v>
      </c>
      <c r="BN237" s="7">
        <v>0.0123</v>
      </c>
      <c r="BO237" s="4">
        <v>3</v>
      </c>
      <c r="BP237" s="8">
        <v>241.89</v>
      </c>
      <c r="BQ237" s="4">
        <v>7</v>
      </c>
      <c r="BR237" s="8">
        <v>564.41</v>
      </c>
      <c r="BS237" s="7">
        <v>-0.5714</v>
      </c>
      <c r="BT237" s="7">
        <v>-0.5714</v>
      </c>
      <c r="BU237" s="2" t="s">
        <v>109</v>
      </c>
      <c r="BV237" s="2" t="s">
        <v>97</v>
      </c>
      <c r="BW237" s="2" t="s">
        <v>217</v>
      </c>
      <c r="BX237" s="2" t="s">
        <v>996</v>
      </c>
      <c r="BY237" s="2" t="s">
        <v>112</v>
      </c>
      <c r="BZ237" s="2" t="s">
        <v>100</v>
      </c>
    </row>
    <row r="238">
      <c r="A238" s="2" t="s">
        <v>997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986</v>
      </c>
      <c r="G238" s="2" t="s">
        <v>987</v>
      </c>
      <c r="H238" s="2" t="s">
        <v>988</v>
      </c>
      <c r="I238" s="2" t="s">
        <v>956</v>
      </c>
      <c r="J238" s="2" t="s">
        <v>118</v>
      </c>
      <c r="K238" s="2" t="s">
        <v>989</v>
      </c>
      <c r="L238" s="3">
        <v>76.8</v>
      </c>
      <c r="M238" s="3">
        <v>80.63</v>
      </c>
      <c r="N238" s="3">
        <v>159.99</v>
      </c>
      <c r="O238" s="2" t="s">
        <v>97</v>
      </c>
      <c r="P238" s="2" t="s">
        <v>182</v>
      </c>
      <c r="Q238" s="2" t="s">
        <v>99</v>
      </c>
      <c r="R238" s="2" t="s">
        <v>100</v>
      </c>
      <c r="S238" s="2" t="s">
        <v>990</v>
      </c>
      <c r="T238" s="2" t="s">
        <v>100</v>
      </c>
      <c r="U238" s="2" t="s">
        <v>102</v>
      </c>
      <c r="V238" s="2" t="s">
        <v>991</v>
      </c>
      <c r="W238" s="2" t="s">
        <v>104</v>
      </c>
      <c r="X238" s="2" t="s">
        <v>992</v>
      </c>
      <c r="Y238" s="2" t="s">
        <v>106</v>
      </c>
      <c r="Z238" s="4">
        <v>228</v>
      </c>
      <c r="AA238" s="4">
        <f>=ROUNDDOWN(45.6,0)</f>
      </c>
      <c r="AB238" s="5">
        <v>5</v>
      </c>
      <c r="AC238" s="2" t="s">
        <v>589</v>
      </c>
      <c r="AD238" s="4">
        <v>100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 t="s">
        <v>100</v>
      </c>
      <c r="BJ238" s="4">
        <v>104</v>
      </c>
      <c r="BK238" s="8">
        <v>7659.12</v>
      </c>
      <c r="BL238" s="2" t="s">
        <v>998</v>
      </c>
      <c r="BM238" s="7"/>
      <c r="BN238" s="7"/>
      <c r="BO238" s="4"/>
      <c r="BP238" s="8"/>
      <c r="BQ238" s="4"/>
      <c r="BR238" s="8"/>
      <c r="BS238" s="7"/>
      <c r="BT238" s="7"/>
      <c r="BU238" s="2" t="s">
        <v>147</v>
      </c>
      <c r="BV238" s="2" t="s">
        <v>97</v>
      </c>
      <c r="BW238" s="2" t="s">
        <v>100</v>
      </c>
      <c r="BX238" s="2" t="s">
        <v>100</v>
      </c>
      <c r="BY238" s="2" t="s">
        <v>112</v>
      </c>
      <c r="BZ238" s="2" t="s">
        <v>100</v>
      </c>
    </row>
    <row r="239">
      <c r="A239" s="2" t="s">
        <v>999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1000</v>
      </c>
      <c r="G239" s="2" t="s">
        <v>1001</v>
      </c>
      <c r="H239" s="2" t="s">
        <v>1002</v>
      </c>
      <c r="I239" s="2" t="s">
        <v>1003</v>
      </c>
      <c r="J239" s="2" t="s">
        <v>95</v>
      </c>
      <c r="K239" s="2" t="s">
        <v>1004</v>
      </c>
      <c r="L239" s="3">
        <v>75.2</v>
      </c>
      <c r="M239" s="3">
        <v>78.96</v>
      </c>
      <c r="N239" s="3">
        <v>159.99</v>
      </c>
      <c r="O239" s="2" t="s">
        <v>229</v>
      </c>
      <c r="P239" s="2" t="s">
        <v>198</v>
      </c>
      <c r="Q239" s="2" t="s">
        <v>99</v>
      </c>
      <c r="R239" s="2" t="s">
        <v>100</v>
      </c>
      <c r="S239" s="2" t="s">
        <v>1005</v>
      </c>
      <c r="T239" s="2" t="s">
        <v>100</v>
      </c>
      <c r="U239" s="2" t="s">
        <v>403</v>
      </c>
      <c r="V239" s="2" t="s">
        <v>491</v>
      </c>
      <c r="W239" s="2" t="s">
        <v>733</v>
      </c>
      <c r="X239" s="2" t="s">
        <v>284</v>
      </c>
      <c r="Y239" s="2" t="s">
        <v>1006</v>
      </c>
      <c r="Z239" s="4"/>
      <c r="AA239" s="4">
        <f>=ROUNDDOWN({0},0)</f>
      </c>
      <c r="AB239" s="5">
        <v>6</v>
      </c>
      <c r="AC239" s="2" t="s">
        <v>100</v>
      </c>
      <c r="AD239" s="4"/>
      <c r="AE239" s="4"/>
      <c r="AF239" s="6">
        <v>65</v>
      </c>
      <c r="AG239" s="6"/>
      <c r="AH239" s="7">
        <v>0.2727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>
        <v>0</v>
      </c>
      <c r="AP239" s="4">
        <v>1</v>
      </c>
      <c r="AQ239" s="8">
        <v>78.96</v>
      </c>
      <c r="AR239" s="4">
        <v>4</v>
      </c>
      <c r="AS239" s="8">
        <v>315.84</v>
      </c>
      <c r="AT239" s="7">
        <v>-0.75</v>
      </c>
      <c r="AU239" s="7">
        <v>-0.75</v>
      </c>
      <c r="AV239" s="4">
        <v>2</v>
      </c>
      <c r="AW239" s="8">
        <v>169.68</v>
      </c>
      <c r="AX239" s="4">
        <v>8</v>
      </c>
      <c r="AY239" s="8">
        <v>678.72</v>
      </c>
      <c r="AZ239" s="7">
        <v>-0.75</v>
      </c>
      <c r="BA239" s="7">
        <v>-0.75</v>
      </c>
      <c r="BB239" s="7">
        <v>0.4653</v>
      </c>
      <c r="BC239" s="4">
        <v>2</v>
      </c>
      <c r="BD239" s="8">
        <v>169.68</v>
      </c>
      <c r="BE239" s="4">
        <v>8</v>
      </c>
      <c r="BF239" s="8">
        <v>678.72</v>
      </c>
      <c r="BG239" s="7">
        <v>-0.75</v>
      </c>
      <c r="BH239" s="7">
        <v>-0.75</v>
      </c>
      <c r="BI239" s="7">
        <v>1</v>
      </c>
      <c r="BJ239" s="4">
        <v>32</v>
      </c>
      <c r="BK239" s="8">
        <v>2268.43</v>
      </c>
      <c r="BL239" s="2" t="s">
        <v>1007</v>
      </c>
      <c r="BM239" s="7">
        <v>0.0312</v>
      </c>
      <c r="BN239" s="7">
        <v>0.0348</v>
      </c>
      <c r="BO239" s="4">
        <v>1</v>
      </c>
      <c r="BP239" s="8">
        <v>78.96</v>
      </c>
      <c r="BQ239" s="4">
        <v>4</v>
      </c>
      <c r="BR239" s="8">
        <v>315.84</v>
      </c>
      <c r="BS239" s="7">
        <v>-0.75</v>
      </c>
      <c r="BT239" s="7">
        <v>-0.75</v>
      </c>
      <c r="BU239" s="2" t="s">
        <v>109</v>
      </c>
      <c r="BV239" s="2" t="s">
        <v>552</v>
      </c>
      <c r="BW239" s="2" t="s">
        <v>110</v>
      </c>
      <c r="BX239" s="2" t="s">
        <v>1008</v>
      </c>
      <c r="BY239" s="2" t="s">
        <v>112</v>
      </c>
      <c r="BZ239" s="2" t="s">
        <v>100</v>
      </c>
    </row>
    <row r="240">
      <c r="A240" s="2" t="s">
        <v>1009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1000</v>
      </c>
      <c r="G240" s="2" t="s">
        <v>1001</v>
      </c>
      <c r="H240" s="2" t="s">
        <v>1002</v>
      </c>
      <c r="I240" s="2" t="s">
        <v>1003</v>
      </c>
      <c r="J240" s="2" t="s">
        <v>114</v>
      </c>
      <c r="K240" s="2" t="s">
        <v>1004</v>
      </c>
      <c r="L240" s="3">
        <v>86.4</v>
      </c>
      <c r="M240" s="3">
        <v>90.71</v>
      </c>
      <c r="N240" s="3">
        <v>179.99</v>
      </c>
      <c r="O240" s="2" t="s">
        <v>229</v>
      </c>
      <c r="P240" s="2" t="s">
        <v>198</v>
      </c>
      <c r="Q240" s="2" t="s">
        <v>99</v>
      </c>
      <c r="R240" s="2" t="s">
        <v>100</v>
      </c>
      <c r="S240" s="2" t="s">
        <v>1005</v>
      </c>
      <c r="T240" s="2" t="s">
        <v>100</v>
      </c>
      <c r="U240" s="2" t="s">
        <v>403</v>
      </c>
      <c r="V240" s="2" t="s">
        <v>491</v>
      </c>
      <c r="W240" s="2" t="s">
        <v>733</v>
      </c>
      <c r="X240" s="2" t="s">
        <v>284</v>
      </c>
      <c r="Y240" s="2" t="s">
        <v>1006</v>
      </c>
      <c r="Z240" s="4"/>
      <c r="AA240" s="4">
        <f>=ROUNDDOWN({0},0)</f>
      </c>
      <c r="AB240" s="5">
        <v>1.2</v>
      </c>
      <c r="AC240" s="2" t="s">
        <v>100</v>
      </c>
      <c r="AD240" s="4"/>
      <c r="AE240" s="4"/>
      <c r="AF240" s="6">
        <v>65</v>
      </c>
      <c r="AG240" s="6"/>
      <c r="AH240" s="7">
        <v>0.3394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>
        <v>0</v>
      </c>
      <c r="AP240" s="4"/>
      <c r="AQ240" s="8"/>
      <c r="AR240" s="4">
        <v>4</v>
      </c>
      <c r="AS240" s="8">
        <v>362.88</v>
      </c>
      <c r="AT240" s="7">
        <v>-1</v>
      </c>
      <c r="AU240" s="7">
        <v>-1</v>
      </c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 t="s">
        <v>100</v>
      </c>
      <c r="BJ240" s="4">
        <v>51</v>
      </c>
      <c r="BK240" s="8">
        <v>4030.01</v>
      </c>
      <c r="BL240" s="2" t="s">
        <v>1010</v>
      </c>
      <c r="BM240" s="7"/>
      <c r="BN240" s="7"/>
      <c r="BO240" s="4"/>
      <c r="BP240" s="8"/>
      <c r="BQ240" s="4">
        <v>4</v>
      </c>
      <c r="BR240" s="8">
        <v>362.88</v>
      </c>
      <c r="BS240" s="7">
        <v>-1</v>
      </c>
      <c r="BT240" s="7">
        <v>-1</v>
      </c>
      <c r="BU240" s="2" t="s">
        <v>109</v>
      </c>
      <c r="BV240" s="2" t="s">
        <v>552</v>
      </c>
      <c r="BW240" s="2" t="s">
        <v>110</v>
      </c>
      <c r="BX240" s="2" t="s">
        <v>111</v>
      </c>
      <c r="BY240" s="2" t="s">
        <v>112</v>
      </c>
      <c r="BZ240" s="2" t="s">
        <v>100</v>
      </c>
    </row>
    <row r="241">
      <c r="A241" s="2" t="s">
        <v>1011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1000</v>
      </c>
      <c r="G241" s="2" t="s">
        <v>1001</v>
      </c>
      <c r="H241" s="2" t="s">
        <v>1002</v>
      </c>
      <c r="I241" s="2" t="s">
        <v>1003</v>
      </c>
      <c r="J241" s="2" t="s">
        <v>118</v>
      </c>
      <c r="K241" s="2" t="s">
        <v>1004</v>
      </c>
      <c r="L241" s="3">
        <v>86.4</v>
      </c>
      <c r="M241" s="3">
        <v>90.71</v>
      </c>
      <c r="N241" s="3">
        <v>179.99</v>
      </c>
      <c r="O241" s="2" t="s">
        <v>229</v>
      </c>
      <c r="P241" s="2" t="s">
        <v>198</v>
      </c>
      <c r="Q241" s="2" t="s">
        <v>99</v>
      </c>
      <c r="R241" s="2" t="s">
        <v>100</v>
      </c>
      <c r="S241" s="2" t="s">
        <v>1005</v>
      </c>
      <c r="T241" s="2" t="s">
        <v>100</v>
      </c>
      <c r="U241" s="2" t="s">
        <v>403</v>
      </c>
      <c r="V241" s="2" t="s">
        <v>491</v>
      </c>
      <c r="W241" s="2" t="s">
        <v>733</v>
      </c>
      <c r="X241" s="2" t="s">
        <v>284</v>
      </c>
      <c r="Y241" s="2" t="s">
        <v>1006</v>
      </c>
      <c r="Z241" s="4"/>
      <c r="AA241" s="4">
        <f>=ROUNDDOWN({0},0)</f>
      </c>
      <c r="AB241" s="5"/>
      <c r="AC241" s="2" t="s">
        <v>100</v>
      </c>
      <c r="AD241" s="4"/>
      <c r="AE241" s="4"/>
      <c r="AF241" s="6">
        <v>65</v>
      </c>
      <c r="AG241" s="6"/>
      <c r="AH241" s="7">
        <v>0.7636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>
        <v>0</v>
      </c>
      <c r="AP241" s="4">
        <v>1</v>
      </c>
      <c r="AQ241" s="8">
        <v>90.72</v>
      </c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>
        <v>0.5347</v>
      </c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 t="s">
        <v>100</v>
      </c>
      <c r="BJ241" s="4">
        <v>107</v>
      </c>
      <c r="BK241" s="8">
        <v>8283.89</v>
      </c>
      <c r="BL241" s="2" t="s">
        <v>1010</v>
      </c>
      <c r="BM241" s="7">
        <v>0.0093</v>
      </c>
      <c r="BN241" s="7">
        <v>0.011</v>
      </c>
      <c r="BO241" s="4">
        <v>1</v>
      </c>
      <c r="BP241" s="8">
        <v>90.72</v>
      </c>
      <c r="BQ241" s="4"/>
      <c r="BR241" s="8"/>
      <c r="BS241" s="7"/>
      <c r="BT241" s="7"/>
      <c r="BU241" s="2" t="s">
        <v>109</v>
      </c>
      <c r="BV241" s="2" t="s">
        <v>552</v>
      </c>
      <c r="BW241" s="2" t="s">
        <v>110</v>
      </c>
      <c r="BX241" s="2" t="s">
        <v>1012</v>
      </c>
      <c r="BY241" s="2" t="s">
        <v>112</v>
      </c>
      <c r="BZ241" s="2" t="s">
        <v>100</v>
      </c>
    </row>
    <row r="242">
      <c r="A242" s="2" t="s">
        <v>1013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1014</v>
      </c>
      <c r="G242" s="2" t="s">
        <v>1015</v>
      </c>
      <c r="H242" s="2" t="s">
        <v>1016</v>
      </c>
      <c r="I242" s="2" t="s">
        <v>1017</v>
      </c>
      <c r="J242" s="2" t="s">
        <v>95</v>
      </c>
      <c r="K242" s="2" t="s">
        <v>1018</v>
      </c>
      <c r="L242" s="3">
        <v>78.53</v>
      </c>
      <c r="M242" s="3">
        <v>82.46</v>
      </c>
      <c r="N242" s="3">
        <v>154.99</v>
      </c>
      <c r="O242" s="2" t="s">
        <v>97</v>
      </c>
      <c r="P242" s="2" t="s">
        <v>98</v>
      </c>
      <c r="Q242" s="2" t="s">
        <v>99</v>
      </c>
      <c r="R242" s="2" t="s">
        <v>100</v>
      </c>
      <c r="S242" s="2" t="s">
        <v>1019</v>
      </c>
      <c r="T242" s="2" t="s">
        <v>100</v>
      </c>
      <c r="U242" s="2" t="s">
        <v>102</v>
      </c>
      <c r="V242" s="2" t="s">
        <v>1020</v>
      </c>
      <c r="W242" s="2" t="s">
        <v>808</v>
      </c>
      <c r="X242" s="2" t="s">
        <v>809</v>
      </c>
      <c r="Y242" s="2" t="s">
        <v>106</v>
      </c>
      <c r="Z242" s="4">
        <v>96</v>
      </c>
      <c r="AA242" s="4">
        <f>=ROUNDDOWN(3.2,0)</f>
      </c>
      <c r="AB242" s="5">
        <v>30</v>
      </c>
      <c r="AC242" s="2" t="s">
        <v>746</v>
      </c>
      <c r="AD242" s="4">
        <v>67</v>
      </c>
      <c r="AE242" s="4">
        <v>850</v>
      </c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>
        <v>0</v>
      </c>
      <c r="AP242" s="4">
        <v>2</v>
      </c>
      <c r="AQ242" s="8">
        <v>164.92</v>
      </c>
      <c r="AR242" s="4"/>
      <c r="AS242" s="8"/>
      <c r="AT242" s="7"/>
      <c r="AU242" s="7"/>
      <c r="AV242" s="4">
        <v>2</v>
      </c>
      <c r="AW242" s="8">
        <v>164.92</v>
      </c>
      <c r="AX242" s="4">
        <v>2</v>
      </c>
      <c r="AY242" s="8">
        <v>188.48</v>
      </c>
      <c r="AZ242" s="7" t="s">
        <v>100</v>
      </c>
      <c r="BA242" s="7">
        <v>-0.125</v>
      </c>
      <c r="BB242" s="7">
        <v>1</v>
      </c>
      <c r="BC242" s="4">
        <v>2</v>
      </c>
      <c r="BD242" s="8">
        <v>164.92</v>
      </c>
      <c r="BE242" s="4">
        <v>2</v>
      </c>
      <c r="BF242" s="8">
        <v>188.48</v>
      </c>
      <c r="BG242" s="7" t="s">
        <v>100</v>
      </c>
      <c r="BH242" s="7">
        <v>-0.125</v>
      </c>
      <c r="BI242" s="7">
        <v>1</v>
      </c>
      <c r="BJ242" s="4">
        <v>574</v>
      </c>
      <c r="BK242" s="8">
        <v>47617.44</v>
      </c>
      <c r="BL242" s="2" t="s">
        <v>1021</v>
      </c>
      <c r="BM242" s="7">
        <v>0.0035</v>
      </c>
      <c r="BN242" s="7">
        <v>0.0035</v>
      </c>
      <c r="BO242" s="4">
        <v>2</v>
      </c>
      <c r="BP242" s="8">
        <v>164.92</v>
      </c>
      <c r="BQ242" s="4"/>
      <c r="BR242" s="8"/>
      <c r="BS242" s="7"/>
      <c r="BT242" s="7"/>
      <c r="BU242" s="2" t="s">
        <v>109</v>
      </c>
      <c r="BV242" s="2" t="s">
        <v>97</v>
      </c>
      <c r="BW242" s="2" t="s">
        <v>606</v>
      </c>
      <c r="BX242" s="2" t="s">
        <v>1022</v>
      </c>
      <c r="BY242" s="2" t="s">
        <v>112</v>
      </c>
      <c r="BZ242" s="2" t="s">
        <v>100</v>
      </c>
    </row>
    <row r="243">
      <c r="A243" s="2" t="s">
        <v>1023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1014</v>
      </c>
      <c r="G243" s="2" t="s">
        <v>1015</v>
      </c>
      <c r="H243" s="2" t="s">
        <v>1016</v>
      </c>
      <c r="I243" s="2" t="s">
        <v>1017</v>
      </c>
      <c r="J243" s="2" t="s">
        <v>114</v>
      </c>
      <c r="K243" s="2" t="s">
        <v>1018</v>
      </c>
      <c r="L243" s="3">
        <v>89.75</v>
      </c>
      <c r="M243" s="3">
        <v>94.24</v>
      </c>
      <c r="N243" s="3">
        <v>174.99</v>
      </c>
      <c r="O243" s="2" t="s">
        <v>97</v>
      </c>
      <c r="P243" s="2" t="s">
        <v>98</v>
      </c>
      <c r="Q243" s="2" t="s">
        <v>99</v>
      </c>
      <c r="R243" s="2" t="s">
        <v>100</v>
      </c>
      <c r="S243" s="2" t="s">
        <v>1019</v>
      </c>
      <c r="T243" s="2" t="s">
        <v>100</v>
      </c>
      <c r="U243" s="2" t="s">
        <v>102</v>
      </c>
      <c r="V243" s="2" t="s">
        <v>1020</v>
      </c>
      <c r="W243" s="2" t="s">
        <v>808</v>
      </c>
      <c r="X243" s="2" t="s">
        <v>809</v>
      </c>
      <c r="Y243" s="2" t="s">
        <v>106</v>
      </c>
      <c r="Z243" s="4">
        <v>68</v>
      </c>
      <c r="AA243" s="4">
        <f>=ROUNDDOWN(3.09090909090909,0)</f>
      </c>
      <c r="AB243" s="5">
        <v>22</v>
      </c>
      <c r="AC243" s="2" t="s">
        <v>746</v>
      </c>
      <c r="AD243" s="4">
        <v>61</v>
      </c>
      <c r="AE243" s="4">
        <v>640</v>
      </c>
      <c r="AF243" s="6">
        <v>65</v>
      </c>
      <c r="AG243" s="6">
        <v>73</v>
      </c>
      <c r="AH243" s="7">
        <v>1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/>
      <c r="AQ243" s="8"/>
      <c r="AR243" s="4">
        <v>2</v>
      </c>
      <c r="AS243" s="8">
        <v>188.48</v>
      </c>
      <c r="AT243" s="7">
        <v>-1</v>
      </c>
      <c r="AU243" s="7">
        <v>-1</v>
      </c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 t="s">
        <v>100</v>
      </c>
      <c r="BJ243" s="4">
        <v>421</v>
      </c>
      <c r="BK243" s="8">
        <v>39875.11</v>
      </c>
      <c r="BL243" s="2" t="s">
        <v>1024</v>
      </c>
      <c r="BM243" s="7"/>
      <c r="BN243" s="7"/>
      <c r="BO243" s="4"/>
      <c r="BP243" s="8"/>
      <c r="BQ243" s="4">
        <v>2</v>
      </c>
      <c r="BR243" s="8">
        <v>188.48</v>
      </c>
      <c r="BS243" s="7">
        <v>-1</v>
      </c>
      <c r="BT243" s="7">
        <v>-1</v>
      </c>
      <c r="BU243" s="2" t="s">
        <v>109</v>
      </c>
      <c r="BV243" s="2" t="s">
        <v>97</v>
      </c>
      <c r="BW243" s="2" t="s">
        <v>606</v>
      </c>
      <c r="BX243" s="2" t="s">
        <v>1025</v>
      </c>
      <c r="BY243" s="2" t="s">
        <v>112</v>
      </c>
      <c r="BZ243" s="2" t="s">
        <v>100</v>
      </c>
    </row>
    <row r="244">
      <c r="A244" s="2" t="s">
        <v>1026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1014</v>
      </c>
      <c r="G244" s="2" t="s">
        <v>1015</v>
      </c>
      <c r="H244" s="2" t="s">
        <v>1016</v>
      </c>
      <c r="I244" s="2" t="s">
        <v>1017</v>
      </c>
      <c r="J244" s="2" t="s">
        <v>118</v>
      </c>
      <c r="K244" s="2" t="s">
        <v>1018</v>
      </c>
      <c r="L244" s="3">
        <v>89.75</v>
      </c>
      <c r="M244" s="3">
        <v>94.24</v>
      </c>
      <c r="N244" s="3">
        <v>174.99</v>
      </c>
      <c r="O244" s="2" t="s">
        <v>97</v>
      </c>
      <c r="P244" s="2" t="s">
        <v>98</v>
      </c>
      <c r="Q244" s="2" t="s">
        <v>99</v>
      </c>
      <c r="R244" s="2" t="s">
        <v>100</v>
      </c>
      <c r="S244" s="2" t="s">
        <v>1027</v>
      </c>
      <c r="T244" s="2" t="s">
        <v>100</v>
      </c>
      <c r="U244" s="2" t="s">
        <v>102</v>
      </c>
      <c r="V244" s="2" t="s">
        <v>1020</v>
      </c>
      <c r="W244" s="2" t="s">
        <v>808</v>
      </c>
      <c r="X244" s="2" t="s">
        <v>809</v>
      </c>
      <c r="Y244" s="2" t="s">
        <v>106</v>
      </c>
      <c r="Z244" s="4">
        <v>103</v>
      </c>
      <c r="AA244" s="4">
        <f>=ROUNDDOWN(9.36363636363636,0)</f>
      </c>
      <c r="AB244" s="5">
        <v>11</v>
      </c>
      <c r="AC244" s="2" t="s">
        <v>746</v>
      </c>
      <c r="AD244" s="4">
        <v>6</v>
      </c>
      <c r="AE244" s="4">
        <v>270</v>
      </c>
      <c r="AF244" s="6">
        <v>65</v>
      </c>
      <c r="AG244" s="6">
        <v>73</v>
      </c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 t="s">
        <v>100</v>
      </c>
      <c r="BJ244" s="4">
        <v>188</v>
      </c>
      <c r="BK244" s="8">
        <v>17386.4</v>
      </c>
      <c r="BL244" s="2" t="s">
        <v>1028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97</v>
      </c>
      <c r="BW244" s="2" t="s">
        <v>606</v>
      </c>
      <c r="BX244" s="2" t="s">
        <v>100</v>
      </c>
      <c r="BY244" s="2" t="s">
        <v>112</v>
      </c>
      <c r="BZ244" s="2" t="s">
        <v>100</v>
      </c>
    </row>
    <row r="245">
      <c r="A245" s="2" t="s">
        <v>1029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1030</v>
      </c>
      <c r="G245" s="2" t="s">
        <v>1031</v>
      </c>
      <c r="H245" s="2" t="s">
        <v>1032</v>
      </c>
      <c r="I245" s="2" t="s">
        <v>196</v>
      </c>
      <c r="J245" s="2" t="s">
        <v>95</v>
      </c>
      <c r="K245" s="2" t="s">
        <v>333</v>
      </c>
      <c r="L245" s="3">
        <v>71.39</v>
      </c>
      <c r="M245" s="3">
        <v>74.96</v>
      </c>
      <c r="N245" s="3">
        <v>139.99</v>
      </c>
      <c r="O245" s="2" t="s">
        <v>97</v>
      </c>
      <c r="P245" s="2" t="s">
        <v>198</v>
      </c>
      <c r="Q245" s="2" t="s">
        <v>99</v>
      </c>
      <c r="R245" s="2" t="s">
        <v>100</v>
      </c>
      <c r="S245" s="2" t="s">
        <v>1033</v>
      </c>
      <c r="T245" s="2" t="s">
        <v>100</v>
      </c>
      <c r="U245" s="2" t="s">
        <v>102</v>
      </c>
      <c r="V245" s="2" t="s">
        <v>491</v>
      </c>
      <c r="W245" s="2" t="s">
        <v>104</v>
      </c>
      <c r="X245" s="2" t="s">
        <v>201</v>
      </c>
      <c r="Y245" s="2" t="s">
        <v>106</v>
      </c>
      <c r="Z245" s="4">
        <v>328</v>
      </c>
      <c r="AA245" s="4">
        <f>=ROUNDDOWN(61.8867924528302,0)</f>
      </c>
      <c r="AB245" s="5">
        <v>5.3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>
        <v>0</v>
      </c>
      <c r="AP245" s="4">
        <v>1</v>
      </c>
      <c r="AQ245" s="8">
        <v>74.96</v>
      </c>
      <c r="AR245" s="4">
        <v>3</v>
      </c>
      <c r="AS245" s="8">
        <v>224.88</v>
      </c>
      <c r="AT245" s="7">
        <v>-0.6667</v>
      </c>
      <c r="AU245" s="7">
        <v>-0.6667</v>
      </c>
      <c r="AV245" s="4">
        <v>2</v>
      </c>
      <c r="AW245" s="8">
        <v>160.63</v>
      </c>
      <c r="AX245" s="4">
        <v>4</v>
      </c>
      <c r="AY245" s="8">
        <v>310.55</v>
      </c>
      <c r="AZ245" s="7">
        <v>-0.5</v>
      </c>
      <c r="BA245" s="7">
        <v>-0.4828</v>
      </c>
      <c r="BB245" s="7">
        <v>0.4667</v>
      </c>
      <c r="BC245" s="4">
        <v>2</v>
      </c>
      <c r="BD245" s="8">
        <v>160.63</v>
      </c>
      <c r="BE245" s="4">
        <v>4</v>
      </c>
      <c r="BF245" s="8">
        <v>310.55</v>
      </c>
      <c r="BG245" s="7">
        <v>-0.5</v>
      </c>
      <c r="BH245" s="7">
        <v>-0.4828</v>
      </c>
      <c r="BI245" s="7">
        <v>1</v>
      </c>
      <c r="BJ245" s="4">
        <v>187</v>
      </c>
      <c r="BK245" s="8">
        <v>13598.86</v>
      </c>
      <c r="BL245" s="2" t="s">
        <v>1034</v>
      </c>
      <c r="BM245" s="7">
        <v>0.0053</v>
      </c>
      <c r="BN245" s="7">
        <v>0.0055</v>
      </c>
      <c r="BO245" s="4">
        <v>1</v>
      </c>
      <c r="BP245" s="8">
        <v>74.96</v>
      </c>
      <c r="BQ245" s="4">
        <v>3</v>
      </c>
      <c r="BR245" s="8">
        <v>224.88</v>
      </c>
      <c r="BS245" s="7">
        <v>-0.6667</v>
      </c>
      <c r="BT245" s="7">
        <v>-0.6667</v>
      </c>
      <c r="BU245" s="2" t="s">
        <v>109</v>
      </c>
      <c r="BV245" s="2" t="s">
        <v>97</v>
      </c>
      <c r="BW245" s="2" t="s">
        <v>217</v>
      </c>
      <c r="BX245" s="2" t="s">
        <v>1035</v>
      </c>
      <c r="BY245" s="2" t="s">
        <v>112</v>
      </c>
      <c r="BZ245" s="2" t="s">
        <v>100</v>
      </c>
    </row>
    <row r="246">
      <c r="A246" s="2" t="s">
        <v>1036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1030</v>
      </c>
      <c r="G246" s="2" t="s">
        <v>1031</v>
      </c>
      <c r="H246" s="2" t="s">
        <v>1032</v>
      </c>
      <c r="I246" s="2" t="s">
        <v>196</v>
      </c>
      <c r="J246" s="2" t="s">
        <v>114</v>
      </c>
      <c r="K246" s="2" t="s">
        <v>333</v>
      </c>
      <c r="L246" s="3">
        <v>81.59</v>
      </c>
      <c r="M246" s="3">
        <v>85.67</v>
      </c>
      <c r="N246" s="3">
        <v>159.99</v>
      </c>
      <c r="O246" s="2" t="s">
        <v>97</v>
      </c>
      <c r="P246" s="2" t="s">
        <v>198</v>
      </c>
      <c r="Q246" s="2" t="s">
        <v>99</v>
      </c>
      <c r="R246" s="2" t="s">
        <v>100</v>
      </c>
      <c r="S246" s="2" t="s">
        <v>1033</v>
      </c>
      <c r="T246" s="2" t="s">
        <v>100</v>
      </c>
      <c r="U246" s="2" t="s">
        <v>102</v>
      </c>
      <c r="V246" s="2" t="s">
        <v>491</v>
      </c>
      <c r="W246" s="2" t="s">
        <v>104</v>
      </c>
      <c r="X246" s="2" t="s">
        <v>201</v>
      </c>
      <c r="Y246" s="2" t="s">
        <v>106</v>
      </c>
      <c r="Z246" s="4">
        <v>237</v>
      </c>
      <c r="AA246" s="4">
        <f>=ROUNDDOWN(65.8333333333333,0)</f>
      </c>
      <c r="AB246" s="5">
        <v>3.6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>
        <v>0</v>
      </c>
      <c r="AP246" s="4">
        <v>1</v>
      </c>
      <c r="AQ246" s="8">
        <v>85.67</v>
      </c>
      <c r="AR246" s="4">
        <v>1</v>
      </c>
      <c r="AS246" s="8">
        <v>85.67</v>
      </c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>
        <v>0.5333</v>
      </c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 t="s">
        <v>100</v>
      </c>
      <c r="BJ246" s="4">
        <v>103</v>
      </c>
      <c r="BK246" s="8">
        <v>8616.2</v>
      </c>
      <c r="BL246" s="2" t="s">
        <v>1037</v>
      </c>
      <c r="BM246" s="7">
        <v>0.0097</v>
      </c>
      <c r="BN246" s="7">
        <v>0.0099</v>
      </c>
      <c r="BO246" s="4">
        <v>1</v>
      </c>
      <c r="BP246" s="8">
        <v>85.67</v>
      </c>
      <c r="BQ246" s="4">
        <v>1</v>
      </c>
      <c r="BR246" s="8">
        <v>85.67</v>
      </c>
      <c r="BS246" s="7"/>
      <c r="BT246" s="7"/>
      <c r="BU246" s="2" t="s">
        <v>109</v>
      </c>
      <c r="BV246" s="2" t="s">
        <v>97</v>
      </c>
      <c r="BW246" s="2" t="s">
        <v>217</v>
      </c>
      <c r="BX246" s="2" t="s">
        <v>1038</v>
      </c>
      <c r="BY246" s="2" t="s">
        <v>112</v>
      </c>
      <c r="BZ246" s="2" t="s">
        <v>100</v>
      </c>
    </row>
    <row r="247">
      <c r="A247" s="2" t="s">
        <v>1039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1030</v>
      </c>
      <c r="G247" s="2" t="s">
        <v>1031</v>
      </c>
      <c r="H247" s="2" t="s">
        <v>1032</v>
      </c>
      <c r="I247" s="2" t="s">
        <v>196</v>
      </c>
      <c r="J247" s="2" t="s">
        <v>118</v>
      </c>
      <c r="K247" s="2" t="s">
        <v>333</v>
      </c>
      <c r="L247" s="3">
        <v>81.59</v>
      </c>
      <c r="M247" s="3">
        <v>85.67</v>
      </c>
      <c r="N247" s="3">
        <v>159.99</v>
      </c>
      <c r="O247" s="2" t="s">
        <v>97</v>
      </c>
      <c r="P247" s="2" t="s">
        <v>198</v>
      </c>
      <c r="Q247" s="2" t="s">
        <v>99</v>
      </c>
      <c r="R247" s="2" t="s">
        <v>100</v>
      </c>
      <c r="S247" s="2" t="s">
        <v>1033</v>
      </c>
      <c r="T247" s="2" t="s">
        <v>100</v>
      </c>
      <c r="U247" s="2" t="s">
        <v>102</v>
      </c>
      <c r="V247" s="2" t="s">
        <v>491</v>
      </c>
      <c r="W247" s="2" t="s">
        <v>104</v>
      </c>
      <c r="X247" s="2" t="s">
        <v>201</v>
      </c>
      <c r="Y247" s="2" t="s">
        <v>106</v>
      </c>
      <c r="Z247" s="4">
        <v>202</v>
      </c>
      <c r="AA247" s="4">
        <f>=ROUNDDOWN(101,0)</f>
      </c>
      <c r="AB247" s="5">
        <v>2</v>
      </c>
      <c r="AC247" s="2" t="s">
        <v>100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 t="s">
        <v>100</v>
      </c>
      <c r="BJ247" s="4">
        <v>80</v>
      </c>
      <c r="BK247" s="8">
        <v>6671.15</v>
      </c>
      <c r="BL247" s="2" t="s">
        <v>1040</v>
      </c>
      <c r="BM247" s="7"/>
      <c r="BN247" s="7"/>
      <c r="BO247" s="4"/>
      <c r="BP247" s="8"/>
      <c r="BQ247" s="4"/>
      <c r="BR247" s="8"/>
      <c r="BS247" s="7"/>
      <c r="BT247" s="7"/>
      <c r="BU247" s="2" t="s">
        <v>147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1041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1042</v>
      </c>
      <c r="G248" s="2" t="s">
        <v>1043</v>
      </c>
      <c r="H248" s="2" t="s">
        <v>1044</v>
      </c>
      <c r="I248" s="2" t="s">
        <v>977</v>
      </c>
      <c r="J248" s="2" t="s">
        <v>95</v>
      </c>
      <c r="K248" s="2" t="s">
        <v>247</v>
      </c>
      <c r="L248" s="3">
        <v>75</v>
      </c>
      <c r="M248" s="3">
        <v>78.74</v>
      </c>
      <c r="N248" s="3">
        <v>149.99</v>
      </c>
      <c r="O248" s="2" t="s">
        <v>97</v>
      </c>
      <c r="P248" s="2" t="s">
        <v>182</v>
      </c>
      <c r="Q248" s="2" t="s">
        <v>99</v>
      </c>
      <c r="R248" s="2" t="s">
        <v>100</v>
      </c>
      <c r="S248" s="2" t="s">
        <v>1045</v>
      </c>
      <c r="T248" s="2" t="s">
        <v>732</v>
      </c>
      <c r="U248" s="2" t="s">
        <v>102</v>
      </c>
      <c r="V248" s="2" t="s">
        <v>906</v>
      </c>
      <c r="W248" s="2" t="s">
        <v>906</v>
      </c>
      <c r="X248" s="2" t="s">
        <v>907</v>
      </c>
      <c r="Y248" s="2" t="s">
        <v>106</v>
      </c>
      <c r="Z248" s="4">
        <v>545</v>
      </c>
      <c r="AA248" s="4">
        <f>=ROUNDDOWN(31.3218390804598,0)</f>
      </c>
      <c r="AB248" s="5">
        <v>17.4</v>
      </c>
      <c r="AC248" s="2" t="s">
        <v>563</v>
      </c>
      <c r="AD248" s="4">
        <v>60</v>
      </c>
      <c r="AE248" s="4">
        <v>130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>
        <v>0</v>
      </c>
      <c r="AP248" s="4">
        <v>2</v>
      </c>
      <c r="AQ248" s="8">
        <v>157.5</v>
      </c>
      <c r="AR248" s="4">
        <v>2</v>
      </c>
      <c r="AS248" s="8">
        <v>157.5</v>
      </c>
      <c r="AT248" s="7"/>
      <c r="AU248" s="7"/>
      <c r="AV248" s="4">
        <v>2</v>
      </c>
      <c r="AW248" s="8">
        <v>157.5</v>
      </c>
      <c r="AX248" s="4">
        <v>5</v>
      </c>
      <c r="AY248" s="8">
        <v>425.25</v>
      </c>
      <c r="AZ248" s="7">
        <v>-0.6</v>
      </c>
      <c r="BA248" s="7">
        <v>-0.6296</v>
      </c>
      <c r="BB248" s="7">
        <v>1</v>
      </c>
      <c r="BC248" s="4">
        <v>2</v>
      </c>
      <c r="BD248" s="8">
        <v>157.5</v>
      </c>
      <c r="BE248" s="4">
        <v>5</v>
      </c>
      <c r="BF248" s="8">
        <v>425.25</v>
      </c>
      <c r="BG248" s="7">
        <v>-0.6</v>
      </c>
      <c r="BH248" s="7">
        <v>-0.6296</v>
      </c>
      <c r="BI248" s="7">
        <v>1</v>
      </c>
      <c r="BJ248" s="4">
        <v>390</v>
      </c>
      <c r="BK248" s="8">
        <v>30005.69</v>
      </c>
      <c r="BL248" s="2" t="s">
        <v>1046</v>
      </c>
      <c r="BM248" s="7">
        <v>0.0051</v>
      </c>
      <c r="BN248" s="7">
        <v>0.0052</v>
      </c>
      <c r="BO248" s="4">
        <v>2</v>
      </c>
      <c r="BP248" s="8">
        <v>157.5</v>
      </c>
      <c r="BQ248" s="4">
        <v>2</v>
      </c>
      <c r="BR248" s="8">
        <v>157.5</v>
      </c>
      <c r="BS248" s="7"/>
      <c r="BT248" s="7"/>
      <c r="BU248" s="2" t="s">
        <v>109</v>
      </c>
      <c r="BV248" s="2" t="s">
        <v>97</v>
      </c>
      <c r="BW248" s="2" t="s">
        <v>110</v>
      </c>
      <c r="BX248" s="2" t="s">
        <v>1047</v>
      </c>
      <c r="BY248" s="2" t="s">
        <v>112</v>
      </c>
      <c r="BZ248" s="2" t="s">
        <v>100</v>
      </c>
    </row>
    <row r="249">
      <c r="A249" s="2" t="s">
        <v>1048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1042</v>
      </c>
      <c r="G249" s="2" t="s">
        <v>1043</v>
      </c>
      <c r="H249" s="2" t="s">
        <v>1044</v>
      </c>
      <c r="I249" s="2" t="s">
        <v>977</v>
      </c>
      <c r="J249" s="2" t="s">
        <v>114</v>
      </c>
      <c r="K249" s="2" t="s">
        <v>247</v>
      </c>
      <c r="L249" s="3">
        <v>85</v>
      </c>
      <c r="M249" s="3">
        <v>89.24</v>
      </c>
      <c r="N249" s="3">
        <v>169.99</v>
      </c>
      <c r="O249" s="2" t="s">
        <v>97</v>
      </c>
      <c r="P249" s="2" t="s">
        <v>182</v>
      </c>
      <c r="Q249" s="2" t="s">
        <v>99</v>
      </c>
      <c r="R249" s="2" t="s">
        <v>100</v>
      </c>
      <c r="S249" s="2" t="s">
        <v>1045</v>
      </c>
      <c r="T249" s="2" t="s">
        <v>732</v>
      </c>
      <c r="U249" s="2" t="s">
        <v>102</v>
      </c>
      <c r="V249" s="2" t="s">
        <v>906</v>
      </c>
      <c r="W249" s="2" t="s">
        <v>906</v>
      </c>
      <c r="X249" s="2" t="s">
        <v>907</v>
      </c>
      <c r="Y249" s="2" t="s">
        <v>106</v>
      </c>
      <c r="Z249" s="4">
        <v>292</v>
      </c>
      <c r="AA249" s="4">
        <f>=ROUNDDOWN(24.3333333333333,0)</f>
      </c>
      <c r="AB249" s="5">
        <v>12</v>
      </c>
      <c r="AC249" s="2" t="s">
        <v>563</v>
      </c>
      <c r="AD249" s="4">
        <v>70</v>
      </c>
      <c r="AE249" s="4">
        <v>180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>
        <v>0</v>
      </c>
      <c r="AP249" s="4"/>
      <c r="AQ249" s="8"/>
      <c r="AR249" s="4">
        <v>2</v>
      </c>
      <c r="AS249" s="8">
        <v>178.5</v>
      </c>
      <c r="AT249" s="7">
        <v>-1</v>
      </c>
      <c r="AU249" s="7">
        <v>-1</v>
      </c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 t="s">
        <v>100</v>
      </c>
      <c r="BJ249" s="4">
        <v>224</v>
      </c>
      <c r="BK249" s="8">
        <v>19952.28</v>
      </c>
      <c r="BL249" s="2" t="s">
        <v>1049</v>
      </c>
      <c r="BM249" s="7"/>
      <c r="BN249" s="7"/>
      <c r="BO249" s="4"/>
      <c r="BP249" s="8"/>
      <c r="BQ249" s="4">
        <v>2</v>
      </c>
      <c r="BR249" s="8">
        <v>178.5</v>
      </c>
      <c r="BS249" s="7">
        <v>-1</v>
      </c>
      <c r="BT249" s="7">
        <v>-1</v>
      </c>
      <c r="BU249" s="2" t="s">
        <v>109</v>
      </c>
      <c r="BV249" s="2" t="s">
        <v>97</v>
      </c>
      <c r="BW249" s="2" t="s">
        <v>110</v>
      </c>
      <c r="BX249" s="2" t="s">
        <v>1050</v>
      </c>
      <c r="BY249" s="2" t="s">
        <v>112</v>
      </c>
      <c r="BZ249" s="2" t="s">
        <v>100</v>
      </c>
    </row>
    <row r="250">
      <c r="A250" s="2" t="s">
        <v>1051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1042</v>
      </c>
      <c r="G250" s="2" t="s">
        <v>1043</v>
      </c>
      <c r="H250" s="2" t="s">
        <v>1044</v>
      </c>
      <c r="I250" s="2" t="s">
        <v>977</v>
      </c>
      <c r="J250" s="2" t="s">
        <v>118</v>
      </c>
      <c r="K250" s="2" t="s">
        <v>247</v>
      </c>
      <c r="L250" s="3">
        <v>85</v>
      </c>
      <c r="M250" s="3">
        <v>89.24</v>
      </c>
      <c r="N250" s="3">
        <v>169.99</v>
      </c>
      <c r="O250" s="2" t="s">
        <v>97</v>
      </c>
      <c r="P250" s="2" t="s">
        <v>182</v>
      </c>
      <c r="Q250" s="2" t="s">
        <v>99</v>
      </c>
      <c r="R250" s="2" t="s">
        <v>100</v>
      </c>
      <c r="S250" s="2" t="s">
        <v>1045</v>
      </c>
      <c r="T250" s="2" t="s">
        <v>732</v>
      </c>
      <c r="U250" s="2" t="s">
        <v>102</v>
      </c>
      <c r="V250" s="2" t="s">
        <v>906</v>
      </c>
      <c r="W250" s="2" t="s">
        <v>906</v>
      </c>
      <c r="X250" s="2" t="s">
        <v>907</v>
      </c>
      <c r="Y250" s="2" t="s">
        <v>106</v>
      </c>
      <c r="Z250" s="4">
        <v>173</v>
      </c>
      <c r="AA250" s="4">
        <f>=ROUNDDOWN(34.6,0)</f>
      </c>
      <c r="AB250" s="5">
        <v>5</v>
      </c>
      <c r="AC250" s="2" t="s">
        <v>100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>
        <v>0</v>
      </c>
      <c r="AP250" s="4"/>
      <c r="AQ250" s="8"/>
      <c r="AR250" s="4">
        <v>1</v>
      </c>
      <c r="AS250" s="8">
        <v>89.25</v>
      </c>
      <c r="AT250" s="7">
        <v>-1</v>
      </c>
      <c r="AU250" s="7">
        <v>-1</v>
      </c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 t="s">
        <v>100</v>
      </c>
      <c r="BJ250" s="4">
        <v>97</v>
      </c>
      <c r="BK250" s="8">
        <v>8563.38</v>
      </c>
      <c r="BL250" s="2" t="s">
        <v>1052</v>
      </c>
      <c r="BM250" s="7"/>
      <c r="BN250" s="7"/>
      <c r="BO250" s="4"/>
      <c r="BP250" s="8"/>
      <c r="BQ250" s="4">
        <v>1</v>
      </c>
      <c r="BR250" s="8">
        <v>89.25</v>
      </c>
      <c r="BS250" s="7">
        <v>-1</v>
      </c>
      <c r="BT250" s="7">
        <v>-1</v>
      </c>
      <c r="BU250" s="2" t="s">
        <v>109</v>
      </c>
      <c r="BV250" s="2" t="s">
        <v>97</v>
      </c>
      <c r="BW250" s="2" t="s">
        <v>110</v>
      </c>
      <c r="BX250" s="2" t="s">
        <v>1053</v>
      </c>
      <c r="BY250" s="2" t="s">
        <v>112</v>
      </c>
      <c r="BZ250" s="2" t="s">
        <v>100</v>
      </c>
    </row>
    <row r="251">
      <c r="A251" s="2" t="s">
        <v>1054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1042</v>
      </c>
      <c r="G251" s="2" t="s">
        <v>1043</v>
      </c>
      <c r="H251" s="2" t="s">
        <v>1044</v>
      </c>
      <c r="I251" s="2" t="s">
        <v>977</v>
      </c>
      <c r="J251" s="2" t="s">
        <v>95</v>
      </c>
      <c r="K251" s="2" t="s">
        <v>267</v>
      </c>
      <c r="L251" s="3">
        <v>75</v>
      </c>
      <c r="M251" s="3">
        <v>78.75</v>
      </c>
      <c r="N251" s="3">
        <v>149.99</v>
      </c>
      <c r="O251" s="2" t="s">
        <v>97</v>
      </c>
      <c r="P251" s="2" t="s">
        <v>182</v>
      </c>
      <c r="Q251" s="2" t="s">
        <v>99</v>
      </c>
      <c r="R251" s="2" t="s">
        <v>100</v>
      </c>
      <c r="S251" s="2" t="s">
        <v>1055</v>
      </c>
      <c r="T251" s="2" t="s">
        <v>732</v>
      </c>
      <c r="U251" s="2" t="s">
        <v>102</v>
      </c>
      <c r="V251" s="2" t="s">
        <v>906</v>
      </c>
      <c r="W251" s="2" t="s">
        <v>906</v>
      </c>
      <c r="X251" s="2" t="s">
        <v>185</v>
      </c>
      <c r="Y251" s="2" t="s">
        <v>1056</v>
      </c>
      <c r="Z251" s="4">
        <v>501</v>
      </c>
      <c r="AA251" s="4">
        <f>=ROUNDDOWN(21.7826086956522,0)</f>
      </c>
      <c r="AB251" s="5">
        <v>23</v>
      </c>
      <c r="AC251" s="2" t="s">
        <v>1057</v>
      </c>
      <c r="AD251" s="4">
        <v>50</v>
      </c>
      <c r="AE251" s="4">
        <v>530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 t="s">
        <v>100</v>
      </c>
      <c r="BJ251" s="4">
        <v>495</v>
      </c>
      <c r="BK251" s="8">
        <v>36108.72</v>
      </c>
      <c r="BL251" s="2" t="s">
        <v>1058</v>
      </c>
      <c r="BM251" s="7"/>
      <c r="BN251" s="7"/>
      <c r="BO251" s="4"/>
      <c r="BP251" s="8"/>
      <c r="BQ251" s="4"/>
      <c r="BR251" s="8"/>
      <c r="BS251" s="7"/>
      <c r="BT251" s="7"/>
      <c r="BU251" s="2" t="s">
        <v>147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1059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1042</v>
      </c>
      <c r="G252" s="2" t="s">
        <v>1043</v>
      </c>
      <c r="H252" s="2" t="s">
        <v>1044</v>
      </c>
      <c r="I252" s="2" t="s">
        <v>977</v>
      </c>
      <c r="J252" s="2" t="s">
        <v>114</v>
      </c>
      <c r="K252" s="2" t="s">
        <v>267</v>
      </c>
      <c r="L252" s="3">
        <v>85</v>
      </c>
      <c r="M252" s="3">
        <v>89.25</v>
      </c>
      <c r="N252" s="3">
        <v>169.99</v>
      </c>
      <c r="O252" s="2" t="s">
        <v>97</v>
      </c>
      <c r="P252" s="2" t="s">
        <v>182</v>
      </c>
      <c r="Q252" s="2" t="s">
        <v>99</v>
      </c>
      <c r="R252" s="2" t="s">
        <v>100</v>
      </c>
      <c r="S252" s="2" t="s">
        <v>1055</v>
      </c>
      <c r="T252" s="2" t="s">
        <v>732</v>
      </c>
      <c r="U252" s="2" t="s">
        <v>102</v>
      </c>
      <c r="V252" s="2" t="s">
        <v>906</v>
      </c>
      <c r="W252" s="2" t="s">
        <v>906</v>
      </c>
      <c r="X252" s="2" t="s">
        <v>185</v>
      </c>
      <c r="Y252" s="2" t="s">
        <v>1056</v>
      </c>
      <c r="Z252" s="4">
        <v>486</v>
      </c>
      <c r="AA252" s="4">
        <f>=ROUNDDOWN(37.3846153846154,0)</f>
      </c>
      <c r="AB252" s="5">
        <v>13</v>
      </c>
      <c r="AC252" s="2" t="s">
        <v>1060</v>
      </c>
      <c r="AD252" s="4">
        <v>170</v>
      </c>
      <c r="AE252" s="4">
        <v>170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 t="s">
        <v>100</v>
      </c>
      <c r="BJ252" s="4">
        <v>331</v>
      </c>
      <c r="BK252" s="8">
        <v>28050.65</v>
      </c>
      <c r="BL252" s="2" t="s">
        <v>1061</v>
      </c>
      <c r="BM252" s="7"/>
      <c r="BN252" s="7"/>
      <c r="BO252" s="4"/>
      <c r="BP252" s="8"/>
      <c r="BQ252" s="4"/>
      <c r="BR252" s="8"/>
      <c r="BS252" s="7"/>
      <c r="BT252" s="7"/>
      <c r="BU252" s="2" t="s">
        <v>147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1062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1042</v>
      </c>
      <c r="G253" s="2" t="s">
        <v>1043</v>
      </c>
      <c r="H253" s="2" t="s">
        <v>1044</v>
      </c>
      <c r="I253" s="2" t="s">
        <v>977</v>
      </c>
      <c r="J253" s="2" t="s">
        <v>118</v>
      </c>
      <c r="K253" s="2" t="s">
        <v>267</v>
      </c>
      <c r="L253" s="3">
        <v>85</v>
      </c>
      <c r="M253" s="3">
        <v>89.25</v>
      </c>
      <c r="N253" s="3">
        <v>169.99</v>
      </c>
      <c r="O253" s="2" t="s">
        <v>97</v>
      </c>
      <c r="P253" s="2" t="s">
        <v>182</v>
      </c>
      <c r="Q253" s="2" t="s">
        <v>99</v>
      </c>
      <c r="R253" s="2" t="s">
        <v>100</v>
      </c>
      <c r="S253" s="2" t="s">
        <v>1055</v>
      </c>
      <c r="T253" s="2" t="s">
        <v>732</v>
      </c>
      <c r="U253" s="2" t="s">
        <v>102</v>
      </c>
      <c r="V253" s="2" t="s">
        <v>906</v>
      </c>
      <c r="W253" s="2" t="s">
        <v>906</v>
      </c>
      <c r="X253" s="2" t="s">
        <v>185</v>
      </c>
      <c r="Y253" s="2" t="s">
        <v>1056</v>
      </c>
      <c r="Z253" s="4">
        <v>253</v>
      </c>
      <c r="AA253" s="4">
        <f>=ROUNDDOWN(28.1111111111111,0)</f>
      </c>
      <c r="AB253" s="5">
        <v>9</v>
      </c>
      <c r="AC253" s="2" t="s">
        <v>100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 t="s">
        <v>100</v>
      </c>
      <c r="BJ253" s="4">
        <v>138</v>
      </c>
      <c r="BK253" s="8">
        <v>11405.83</v>
      </c>
      <c r="BL253" s="2" t="s">
        <v>1063</v>
      </c>
      <c r="BM253" s="7"/>
      <c r="BN253" s="7"/>
      <c r="BO253" s="4"/>
      <c r="BP253" s="8"/>
      <c r="BQ253" s="4"/>
      <c r="BR253" s="8"/>
      <c r="BS253" s="7"/>
      <c r="BT253" s="7"/>
      <c r="BU253" s="2" t="s">
        <v>147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1064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1065</v>
      </c>
      <c r="G254" s="2" t="s">
        <v>1066</v>
      </c>
      <c r="H254" s="2" t="s">
        <v>1067</v>
      </c>
      <c r="I254" s="2" t="s">
        <v>1068</v>
      </c>
      <c r="J254" s="2" t="s">
        <v>95</v>
      </c>
      <c r="K254" s="2" t="s">
        <v>96</v>
      </c>
      <c r="L254" s="3">
        <v>66.29</v>
      </c>
      <c r="M254" s="3">
        <v>69.61</v>
      </c>
      <c r="N254" s="3">
        <v>139.99</v>
      </c>
      <c r="O254" s="2" t="s">
        <v>97</v>
      </c>
      <c r="P254" s="2" t="s">
        <v>182</v>
      </c>
      <c r="Q254" s="2" t="s">
        <v>99</v>
      </c>
      <c r="R254" s="2" t="s">
        <v>100</v>
      </c>
      <c r="S254" s="2" t="s">
        <v>1069</v>
      </c>
      <c r="T254" s="2" t="s">
        <v>100</v>
      </c>
      <c r="U254" s="2" t="s">
        <v>102</v>
      </c>
      <c r="V254" s="2" t="s">
        <v>103</v>
      </c>
      <c r="W254" s="2" t="s">
        <v>104</v>
      </c>
      <c r="X254" s="2" t="s">
        <v>105</v>
      </c>
      <c r="Y254" s="2" t="s">
        <v>106</v>
      </c>
      <c r="Z254" s="4">
        <v>514</v>
      </c>
      <c r="AA254" s="4">
        <f>=ROUNDDOWN(24.4761904761905,0)</f>
      </c>
      <c r="AB254" s="5">
        <v>21</v>
      </c>
      <c r="AC254" s="2" t="s">
        <v>330</v>
      </c>
      <c r="AD254" s="4">
        <v>310</v>
      </c>
      <c r="AE254" s="4">
        <v>370</v>
      </c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>
        <v>0</v>
      </c>
      <c r="AP254" s="4">
        <v>1</v>
      </c>
      <c r="AQ254" s="8">
        <v>69.61</v>
      </c>
      <c r="AR254" s="4"/>
      <c r="AS254" s="8"/>
      <c r="AT254" s="7"/>
      <c r="AU254" s="7"/>
      <c r="AV254" s="4">
        <v>1</v>
      </c>
      <c r="AW254" s="8">
        <v>69.61</v>
      </c>
      <c r="AX254" s="4">
        <v>2</v>
      </c>
      <c r="AY254" s="8">
        <v>160.64</v>
      </c>
      <c r="AZ254" s="7">
        <v>-0.5</v>
      </c>
      <c r="BA254" s="7">
        <v>-0.5667</v>
      </c>
      <c r="BB254" s="7">
        <v>1</v>
      </c>
      <c r="BC254" s="4">
        <v>2</v>
      </c>
      <c r="BD254" s="8">
        <v>139.21</v>
      </c>
      <c r="BE254" s="4">
        <v>10</v>
      </c>
      <c r="BF254" s="8">
        <v>738.86</v>
      </c>
      <c r="BG254" s="7">
        <v>-0.8</v>
      </c>
      <c r="BH254" s="7">
        <v>-0.8116</v>
      </c>
      <c r="BI254" s="7">
        <v>0.5</v>
      </c>
      <c r="BJ254" s="4">
        <v>416</v>
      </c>
      <c r="BK254" s="8">
        <v>28558.77</v>
      </c>
      <c r="BL254" s="2" t="s">
        <v>1070</v>
      </c>
      <c r="BM254" s="7">
        <v>0.0024</v>
      </c>
      <c r="BN254" s="7">
        <v>0.0024</v>
      </c>
      <c r="BO254" s="4">
        <v>1</v>
      </c>
      <c r="BP254" s="8">
        <v>69.61</v>
      </c>
      <c r="BQ254" s="4"/>
      <c r="BR254" s="8"/>
      <c r="BS254" s="7"/>
      <c r="BT254" s="7"/>
      <c r="BU254" s="2" t="s">
        <v>109</v>
      </c>
      <c r="BV254" s="2" t="s">
        <v>97</v>
      </c>
      <c r="BW254" s="2" t="s">
        <v>217</v>
      </c>
      <c r="BX254" s="2" t="s">
        <v>1071</v>
      </c>
      <c r="BY254" s="2" t="s">
        <v>112</v>
      </c>
      <c r="BZ254" s="2" t="s">
        <v>100</v>
      </c>
    </row>
    <row r="255">
      <c r="A255" s="2" t="s">
        <v>1072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1065</v>
      </c>
      <c r="G255" s="2" t="s">
        <v>1066</v>
      </c>
      <c r="H255" s="2" t="s">
        <v>1067</v>
      </c>
      <c r="I255" s="2" t="s">
        <v>1068</v>
      </c>
      <c r="J255" s="2" t="s">
        <v>114</v>
      </c>
      <c r="K255" s="2" t="s">
        <v>96</v>
      </c>
      <c r="L255" s="3">
        <v>76.49</v>
      </c>
      <c r="M255" s="3">
        <v>80.32</v>
      </c>
      <c r="N255" s="3">
        <v>159.99</v>
      </c>
      <c r="O255" s="2" t="s">
        <v>97</v>
      </c>
      <c r="P255" s="2" t="s">
        <v>182</v>
      </c>
      <c r="Q255" s="2" t="s">
        <v>99</v>
      </c>
      <c r="R255" s="2" t="s">
        <v>100</v>
      </c>
      <c r="S255" s="2" t="s">
        <v>1069</v>
      </c>
      <c r="T255" s="2" t="s">
        <v>100</v>
      </c>
      <c r="U255" s="2" t="s">
        <v>102</v>
      </c>
      <c r="V255" s="2" t="s">
        <v>103</v>
      </c>
      <c r="W255" s="2" t="s">
        <v>104</v>
      </c>
      <c r="X255" s="2" t="s">
        <v>105</v>
      </c>
      <c r="Y255" s="2" t="s">
        <v>106</v>
      </c>
      <c r="Z255" s="4">
        <v>396</v>
      </c>
      <c r="AA255" s="4">
        <f>=ROUNDDOWN(26.4,0)</f>
      </c>
      <c r="AB255" s="5">
        <v>15</v>
      </c>
      <c r="AC255" s="2" t="s">
        <v>330</v>
      </c>
      <c r="AD255" s="4">
        <v>190</v>
      </c>
      <c r="AE255" s="4">
        <v>230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>
        <v>0</v>
      </c>
      <c r="AP255" s="4"/>
      <c r="AQ255" s="8"/>
      <c r="AR255" s="4">
        <v>2</v>
      </c>
      <c r="AS255" s="8">
        <v>160.64</v>
      </c>
      <c r="AT255" s="7">
        <v>-1</v>
      </c>
      <c r="AU255" s="7">
        <v>-1</v>
      </c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 t="s">
        <v>100</v>
      </c>
      <c r="BJ255" s="4">
        <v>248</v>
      </c>
      <c r="BK255" s="8">
        <v>19907.23</v>
      </c>
      <c r="BL255" s="2" t="s">
        <v>1073</v>
      </c>
      <c r="BM255" s="7"/>
      <c r="BN255" s="7"/>
      <c r="BO255" s="4"/>
      <c r="BP255" s="8"/>
      <c r="BQ255" s="4">
        <v>2</v>
      </c>
      <c r="BR255" s="8">
        <v>160.64</v>
      </c>
      <c r="BS255" s="7">
        <v>-1</v>
      </c>
      <c r="BT255" s="7">
        <v>-1</v>
      </c>
      <c r="BU255" s="2" t="s">
        <v>109</v>
      </c>
      <c r="BV255" s="2" t="s">
        <v>97</v>
      </c>
      <c r="BW255" s="2" t="s">
        <v>217</v>
      </c>
      <c r="BX255" s="2" t="s">
        <v>218</v>
      </c>
      <c r="BY255" s="2" t="s">
        <v>112</v>
      </c>
      <c r="BZ255" s="2" t="s">
        <v>100</v>
      </c>
    </row>
    <row r="256">
      <c r="A256" s="2" t="s">
        <v>1074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1065</v>
      </c>
      <c r="G256" s="2" t="s">
        <v>1066</v>
      </c>
      <c r="H256" s="2" t="s">
        <v>1067</v>
      </c>
      <c r="I256" s="2" t="s">
        <v>1068</v>
      </c>
      <c r="J256" s="2" t="s">
        <v>118</v>
      </c>
      <c r="K256" s="2" t="s">
        <v>96</v>
      </c>
      <c r="L256" s="3">
        <v>76.49</v>
      </c>
      <c r="M256" s="3">
        <v>80.32</v>
      </c>
      <c r="N256" s="3">
        <v>159.99</v>
      </c>
      <c r="O256" s="2" t="s">
        <v>97</v>
      </c>
      <c r="P256" s="2" t="s">
        <v>182</v>
      </c>
      <c r="Q256" s="2" t="s">
        <v>99</v>
      </c>
      <c r="R256" s="2" t="s">
        <v>100</v>
      </c>
      <c r="S256" s="2" t="s">
        <v>1069</v>
      </c>
      <c r="T256" s="2" t="s">
        <v>100</v>
      </c>
      <c r="U256" s="2" t="s">
        <v>102</v>
      </c>
      <c r="V256" s="2" t="s">
        <v>103</v>
      </c>
      <c r="W256" s="2" t="s">
        <v>104</v>
      </c>
      <c r="X256" s="2" t="s">
        <v>105</v>
      </c>
      <c r="Y256" s="2" t="s">
        <v>106</v>
      </c>
      <c r="Z256" s="4">
        <v>249</v>
      </c>
      <c r="AA256" s="4">
        <f>=ROUNDDOWN(83,0)</f>
      </c>
      <c r="AB256" s="5">
        <v>3</v>
      </c>
      <c r="AC256" s="2" t="s">
        <v>100</v>
      </c>
      <c r="AD256" s="4"/>
      <c r="AE256" s="4"/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 t="s">
        <v>100</v>
      </c>
      <c r="BJ256" s="4">
        <v>76</v>
      </c>
      <c r="BK256" s="8">
        <v>5785.57</v>
      </c>
      <c r="BL256" s="2" t="s">
        <v>1075</v>
      </c>
      <c r="BM256" s="7"/>
      <c r="BN256" s="7"/>
      <c r="BO256" s="4"/>
      <c r="BP256" s="8"/>
      <c r="BQ256" s="4"/>
      <c r="BR256" s="8"/>
      <c r="BS256" s="7"/>
      <c r="BT256" s="7"/>
      <c r="BU256" s="2" t="s">
        <v>147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1076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1065</v>
      </c>
      <c r="G257" s="2" t="s">
        <v>1066</v>
      </c>
      <c r="H257" s="2" t="s">
        <v>1067</v>
      </c>
      <c r="I257" s="2" t="s">
        <v>1068</v>
      </c>
      <c r="J257" s="2" t="s">
        <v>95</v>
      </c>
      <c r="K257" s="2" t="s">
        <v>181</v>
      </c>
      <c r="L257" s="3">
        <v>66.29</v>
      </c>
      <c r="M257" s="3">
        <v>69.61</v>
      </c>
      <c r="N257" s="3">
        <v>139.99</v>
      </c>
      <c r="O257" s="2" t="s">
        <v>97</v>
      </c>
      <c r="P257" s="2" t="s">
        <v>182</v>
      </c>
      <c r="Q257" s="2" t="s">
        <v>99</v>
      </c>
      <c r="R257" s="2" t="s">
        <v>100</v>
      </c>
      <c r="S257" s="2" t="s">
        <v>1077</v>
      </c>
      <c r="T257" s="2" t="s">
        <v>100</v>
      </c>
      <c r="U257" s="2" t="s">
        <v>102</v>
      </c>
      <c r="V257" s="2" t="s">
        <v>103</v>
      </c>
      <c r="W257" s="2" t="s">
        <v>104</v>
      </c>
      <c r="X257" s="2" t="s">
        <v>105</v>
      </c>
      <c r="Y257" s="2" t="s">
        <v>106</v>
      </c>
      <c r="Z257" s="4">
        <v>499</v>
      </c>
      <c r="AA257" s="4">
        <f>=ROUNDDOWN(33.2666666666667,0)</f>
      </c>
      <c r="AB257" s="5">
        <v>15</v>
      </c>
      <c r="AC257" s="2" t="s">
        <v>330</v>
      </c>
      <c r="AD257" s="4">
        <v>80</v>
      </c>
      <c r="AE257" s="4">
        <v>400</v>
      </c>
      <c r="AF257" s="6">
        <v>64</v>
      </c>
      <c r="AG257" s="6">
        <v>47</v>
      </c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>
        <v>0</v>
      </c>
      <c r="AP257" s="4">
        <v>1</v>
      </c>
      <c r="AQ257" s="8">
        <v>69.6</v>
      </c>
      <c r="AR257" s="4">
        <v>1</v>
      </c>
      <c r="AS257" s="8">
        <v>69.6</v>
      </c>
      <c r="AT257" s="7"/>
      <c r="AU257" s="7"/>
      <c r="AV257" s="4">
        <v>1</v>
      </c>
      <c r="AW257" s="8">
        <v>69.6</v>
      </c>
      <c r="AX257" s="4">
        <v>3</v>
      </c>
      <c r="AY257" s="8">
        <v>230.22</v>
      </c>
      <c r="AZ257" s="7">
        <v>-0.6667</v>
      </c>
      <c r="BA257" s="7">
        <v>-0.6977</v>
      </c>
      <c r="BB257" s="7">
        <v>1</v>
      </c>
      <c r="BC257" s="4" t="s">
        <v>100</v>
      </c>
      <c r="BD257" s="8" t="s">
        <v>100</v>
      </c>
      <c r="BE257" s="4" t="s">
        <v>100</v>
      </c>
      <c r="BF257" s="8" t="s">
        <v>100</v>
      </c>
      <c r="BG257" s="7" t="s">
        <v>100</v>
      </c>
      <c r="BH257" s="7" t="s">
        <v>100</v>
      </c>
      <c r="BI257" s="7">
        <v>0.5</v>
      </c>
      <c r="BJ257" s="4">
        <v>329</v>
      </c>
      <c r="BK257" s="8">
        <v>21104.16</v>
      </c>
      <c r="BL257" s="2" t="s">
        <v>1078</v>
      </c>
      <c r="BM257" s="7">
        <v>0.003</v>
      </c>
      <c r="BN257" s="7">
        <v>0.0033</v>
      </c>
      <c r="BO257" s="4">
        <v>1</v>
      </c>
      <c r="BP257" s="8">
        <v>69.6</v>
      </c>
      <c r="BQ257" s="4">
        <v>1</v>
      </c>
      <c r="BR257" s="8">
        <v>69.6</v>
      </c>
      <c r="BS257" s="7"/>
      <c r="BT257" s="7"/>
      <c r="BU257" s="2" t="s">
        <v>109</v>
      </c>
      <c r="BV257" s="2" t="s">
        <v>97</v>
      </c>
      <c r="BW257" s="2" t="s">
        <v>606</v>
      </c>
      <c r="BX257" s="2" t="s">
        <v>1079</v>
      </c>
      <c r="BY257" s="2" t="s">
        <v>112</v>
      </c>
      <c r="BZ257" s="2" t="s">
        <v>100</v>
      </c>
    </row>
    <row r="258">
      <c r="A258" s="2" t="s">
        <v>1080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1065</v>
      </c>
      <c r="G258" s="2" t="s">
        <v>1066</v>
      </c>
      <c r="H258" s="2" t="s">
        <v>1067</v>
      </c>
      <c r="I258" s="2" t="s">
        <v>1068</v>
      </c>
      <c r="J258" s="2" t="s">
        <v>114</v>
      </c>
      <c r="K258" s="2" t="s">
        <v>181</v>
      </c>
      <c r="L258" s="3">
        <v>76.49</v>
      </c>
      <c r="M258" s="3">
        <v>80.32</v>
      </c>
      <c r="N258" s="3">
        <v>159.99</v>
      </c>
      <c r="O258" s="2" t="s">
        <v>97</v>
      </c>
      <c r="P258" s="2" t="s">
        <v>182</v>
      </c>
      <c r="Q258" s="2" t="s">
        <v>99</v>
      </c>
      <c r="R258" s="2" t="s">
        <v>100</v>
      </c>
      <c r="S258" s="2" t="s">
        <v>1077</v>
      </c>
      <c r="T258" s="2" t="s">
        <v>100</v>
      </c>
      <c r="U258" s="2" t="s">
        <v>102</v>
      </c>
      <c r="V258" s="2" t="s">
        <v>103</v>
      </c>
      <c r="W258" s="2" t="s">
        <v>104</v>
      </c>
      <c r="X258" s="2" t="s">
        <v>105</v>
      </c>
      <c r="Y258" s="2" t="s">
        <v>106</v>
      </c>
      <c r="Z258" s="4">
        <v>466</v>
      </c>
      <c r="AA258" s="4">
        <f>=ROUNDDOWN(33.2857142857143,0)</f>
      </c>
      <c r="AB258" s="5">
        <v>14</v>
      </c>
      <c r="AC258" s="2" t="s">
        <v>533</v>
      </c>
      <c r="AD258" s="4">
        <v>150</v>
      </c>
      <c r="AE258" s="4">
        <v>150</v>
      </c>
      <c r="AF258" s="6">
        <v>64</v>
      </c>
      <c r="AG258" s="6">
        <v>47</v>
      </c>
      <c r="AH258" s="7">
        <v>1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>
        <v>0</v>
      </c>
      <c r="AP258" s="4"/>
      <c r="AQ258" s="8"/>
      <c r="AR258" s="4">
        <v>2</v>
      </c>
      <c r="AS258" s="8">
        <v>160.62</v>
      </c>
      <c r="AT258" s="7">
        <v>-1</v>
      </c>
      <c r="AU258" s="7">
        <v>-1</v>
      </c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 t="s">
        <v>100</v>
      </c>
      <c r="BJ258" s="4">
        <v>237</v>
      </c>
      <c r="BK258" s="8">
        <v>18192.42</v>
      </c>
      <c r="BL258" s="2" t="s">
        <v>1081</v>
      </c>
      <c r="BM258" s="7"/>
      <c r="BN258" s="7"/>
      <c r="BO258" s="4"/>
      <c r="BP258" s="8"/>
      <c r="BQ258" s="4">
        <v>2</v>
      </c>
      <c r="BR258" s="8">
        <v>160.62</v>
      </c>
      <c r="BS258" s="7">
        <v>-1</v>
      </c>
      <c r="BT258" s="7">
        <v>-1</v>
      </c>
      <c r="BU258" s="2" t="s">
        <v>109</v>
      </c>
      <c r="BV258" s="2" t="s">
        <v>97</v>
      </c>
      <c r="BW258" s="2" t="s">
        <v>606</v>
      </c>
      <c r="BX258" s="2" t="s">
        <v>1082</v>
      </c>
      <c r="BY258" s="2" t="s">
        <v>112</v>
      </c>
      <c r="BZ258" s="2" t="s">
        <v>100</v>
      </c>
    </row>
    <row r="259">
      <c r="A259" s="2" t="s">
        <v>1083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1065</v>
      </c>
      <c r="G259" s="2" t="s">
        <v>1066</v>
      </c>
      <c r="H259" s="2" t="s">
        <v>1067</v>
      </c>
      <c r="I259" s="2" t="s">
        <v>1068</v>
      </c>
      <c r="J259" s="2" t="s">
        <v>118</v>
      </c>
      <c r="K259" s="2" t="s">
        <v>181</v>
      </c>
      <c r="L259" s="3">
        <v>76.49</v>
      </c>
      <c r="M259" s="3">
        <v>80.32</v>
      </c>
      <c r="N259" s="3">
        <v>159.99</v>
      </c>
      <c r="O259" s="2" t="s">
        <v>97</v>
      </c>
      <c r="P259" s="2" t="s">
        <v>182</v>
      </c>
      <c r="Q259" s="2" t="s">
        <v>99</v>
      </c>
      <c r="R259" s="2" t="s">
        <v>100</v>
      </c>
      <c r="S259" s="2" t="s">
        <v>1077</v>
      </c>
      <c r="T259" s="2" t="s">
        <v>100</v>
      </c>
      <c r="U259" s="2" t="s">
        <v>102</v>
      </c>
      <c r="V259" s="2" t="s">
        <v>103</v>
      </c>
      <c r="W259" s="2" t="s">
        <v>104</v>
      </c>
      <c r="X259" s="2" t="s">
        <v>105</v>
      </c>
      <c r="Y259" s="2" t="s">
        <v>106</v>
      </c>
      <c r="Z259" s="4">
        <v>238</v>
      </c>
      <c r="AA259" s="4">
        <f>=ROUNDDOWN(47.6,0)</f>
      </c>
      <c r="AB259" s="5">
        <v>5</v>
      </c>
      <c r="AC259" s="2" t="s">
        <v>533</v>
      </c>
      <c r="AD259" s="4">
        <v>50</v>
      </c>
      <c r="AE259" s="4">
        <v>50</v>
      </c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 t="s">
        <v>100</v>
      </c>
      <c r="BJ259" s="4">
        <v>79</v>
      </c>
      <c r="BK259" s="8">
        <v>5835.47</v>
      </c>
      <c r="BL259" s="2" t="s">
        <v>1084</v>
      </c>
      <c r="BM259" s="7"/>
      <c r="BN259" s="7"/>
      <c r="BO259" s="4"/>
      <c r="BP259" s="8"/>
      <c r="BQ259" s="4"/>
      <c r="BR259" s="8"/>
      <c r="BS259" s="7"/>
      <c r="BT259" s="7"/>
      <c r="BU259" s="2" t="s">
        <v>147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1085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1065</v>
      </c>
      <c r="G260" s="2" t="s">
        <v>1066</v>
      </c>
      <c r="H260" s="2" t="s">
        <v>1067</v>
      </c>
      <c r="I260" s="2" t="s">
        <v>1068</v>
      </c>
      <c r="J260" s="2" t="s">
        <v>95</v>
      </c>
      <c r="K260" s="2" t="s">
        <v>197</v>
      </c>
      <c r="L260" s="3">
        <v>66.29</v>
      </c>
      <c r="M260" s="3">
        <v>69.61</v>
      </c>
      <c r="N260" s="3">
        <v>139.99</v>
      </c>
      <c r="O260" s="2" t="s">
        <v>97</v>
      </c>
      <c r="P260" s="2" t="s">
        <v>182</v>
      </c>
      <c r="Q260" s="2" t="s">
        <v>99</v>
      </c>
      <c r="R260" s="2" t="s">
        <v>100</v>
      </c>
      <c r="S260" s="2" t="s">
        <v>1086</v>
      </c>
      <c r="T260" s="2" t="s">
        <v>100</v>
      </c>
      <c r="U260" s="2" t="s">
        <v>102</v>
      </c>
      <c r="V260" s="2" t="s">
        <v>103</v>
      </c>
      <c r="W260" s="2" t="s">
        <v>104</v>
      </c>
      <c r="X260" s="2" t="s">
        <v>105</v>
      </c>
      <c r="Y260" s="2" t="s">
        <v>106</v>
      </c>
      <c r="Z260" s="4">
        <v>259</v>
      </c>
      <c r="AA260" s="4">
        <f>=ROUNDDOWN(21.5833333333333,0)</f>
      </c>
      <c r="AB260" s="5">
        <v>12</v>
      </c>
      <c r="AC260" s="2" t="s">
        <v>330</v>
      </c>
      <c r="AD260" s="4">
        <v>80</v>
      </c>
      <c r="AE260" s="4">
        <v>320</v>
      </c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 t="s">
        <v>100</v>
      </c>
      <c r="BJ260" s="4">
        <v>233</v>
      </c>
      <c r="BK260" s="8">
        <v>14577.96</v>
      </c>
      <c r="BL260" s="2" t="s">
        <v>1087</v>
      </c>
      <c r="BM260" s="7"/>
      <c r="BN260" s="7"/>
      <c r="BO260" s="4"/>
      <c r="BP260" s="8"/>
      <c r="BQ260" s="4"/>
      <c r="BR260" s="8"/>
      <c r="BS260" s="7"/>
      <c r="BT260" s="7"/>
      <c r="BU260" s="2" t="s">
        <v>147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1088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1065</v>
      </c>
      <c r="G261" s="2" t="s">
        <v>1066</v>
      </c>
      <c r="H261" s="2" t="s">
        <v>1067</v>
      </c>
      <c r="I261" s="2" t="s">
        <v>1068</v>
      </c>
      <c r="J261" s="2" t="s">
        <v>114</v>
      </c>
      <c r="K261" s="2" t="s">
        <v>197</v>
      </c>
      <c r="L261" s="3">
        <v>76.49</v>
      </c>
      <c r="M261" s="3">
        <v>80.32</v>
      </c>
      <c r="N261" s="3">
        <v>159.99</v>
      </c>
      <c r="O261" s="2" t="s">
        <v>97</v>
      </c>
      <c r="P261" s="2" t="s">
        <v>182</v>
      </c>
      <c r="Q261" s="2" t="s">
        <v>99</v>
      </c>
      <c r="R261" s="2" t="s">
        <v>100</v>
      </c>
      <c r="S261" s="2" t="s">
        <v>1086</v>
      </c>
      <c r="T261" s="2" t="s">
        <v>100</v>
      </c>
      <c r="U261" s="2" t="s">
        <v>102</v>
      </c>
      <c r="V261" s="2" t="s">
        <v>103</v>
      </c>
      <c r="W261" s="2" t="s">
        <v>104</v>
      </c>
      <c r="X261" s="2" t="s">
        <v>105</v>
      </c>
      <c r="Y261" s="2" t="s">
        <v>106</v>
      </c>
      <c r="Z261" s="4">
        <v>215</v>
      </c>
      <c r="AA261" s="4">
        <f>=ROUNDDOWN(21.5,0)</f>
      </c>
      <c r="AB261" s="5">
        <v>10</v>
      </c>
      <c r="AC261" s="2" t="s">
        <v>847</v>
      </c>
      <c r="AD261" s="4">
        <v>230</v>
      </c>
      <c r="AE261" s="4">
        <v>230</v>
      </c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 t="s">
        <v>100</v>
      </c>
      <c r="BJ261" s="4">
        <v>191</v>
      </c>
      <c r="BK261" s="8">
        <v>14038.42</v>
      </c>
      <c r="BL261" s="2" t="s">
        <v>1089</v>
      </c>
      <c r="BM261" s="7"/>
      <c r="BN261" s="7"/>
      <c r="BO261" s="4"/>
      <c r="BP261" s="8"/>
      <c r="BQ261" s="4"/>
      <c r="BR261" s="8"/>
      <c r="BS261" s="7"/>
      <c r="BT261" s="7"/>
      <c r="BU261" s="2" t="s">
        <v>147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1090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1065</v>
      </c>
      <c r="G262" s="2" t="s">
        <v>1066</v>
      </c>
      <c r="H262" s="2" t="s">
        <v>1067</v>
      </c>
      <c r="I262" s="2" t="s">
        <v>1068</v>
      </c>
      <c r="J262" s="2" t="s">
        <v>118</v>
      </c>
      <c r="K262" s="2" t="s">
        <v>197</v>
      </c>
      <c r="L262" s="3">
        <v>76.49</v>
      </c>
      <c r="M262" s="3">
        <v>80.32</v>
      </c>
      <c r="N262" s="3">
        <v>159.99</v>
      </c>
      <c r="O262" s="2" t="s">
        <v>97</v>
      </c>
      <c r="P262" s="2" t="s">
        <v>182</v>
      </c>
      <c r="Q262" s="2" t="s">
        <v>99</v>
      </c>
      <c r="R262" s="2" t="s">
        <v>100</v>
      </c>
      <c r="S262" s="2" t="s">
        <v>1086</v>
      </c>
      <c r="T262" s="2" t="s">
        <v>100</v>
      </c>
      <c r="U262" s="2" t="s">
        <v>102</v>
      </c>
      <c r="V262" s="2" t="s">
        <v>103</v>
      </c>
      <c r="W262" s="2" t="s">
        <v>104</v>
      </c>
      <c r="X262" s="2" t="s">
        <v>105</v>
      </c>
      <c r="Y262" s="2" t="s">
        <v>106</v>
      </c>
      <c r="Z262" s="4">
        <v>187</v>
      </c>
      <c r="AA262" s="4">
        <f>=ROUNDDOWN(46.75,0)</f>
      </c>
      <c r="AB262" s="5">
        <v>4</v>
      </c>
      <c r="AC262" s="2" t="s">
        <v>847</v>
      </c>
      <c r="AD262" s="4">
        <v>50</v>
      </c>
      <c r="AE262" s="4">
        <v>50</v>
      </c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 t="s">
        <v>100</v>
      </c>
      <c r="BJ262" s="4">
        <v>62</v>
      </c>
      <c r="BK262" s="8">
        <v>4559.7</v>
      </c>
      <c r="BL262" s="2" t="s">
        <v>1089</v>
      </c>
      <c r="BM262" s="7"/>
      <c r="BN262" s="7"/>
      <c r="BO262" s="4"/>
      <c r="BP262" s="8"/>
      <c r="BQ262" s="4"/>
      <c r="BR262" s="8"/>
      <c r="BS262" s="7"/>
      <c r="BT262" s="7"/>
      <c r="BU262" s="2" t="s">
        <v>147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1091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1065</v>
      </c>
      <c r="G263" s="2" t="s">
        <v>1066</v>
      </c>
      <c r="H263" s="2" t="s">
        <v>1067</v>
      </c>
      <c r="I263" s="2" t="s">
        <v>1068</v>
      </c>
      <c r="J263" s="2" t="s">
        <v>95</v>
      </c>
      <c r="K263" s="2" t="s">
        <v>168</v>
      </c>
      <c r="L263" s="3">
        <v>66.29</v>
      </c>
      <c r="M263" s="3">
        <v>69.61</v>
      </c>
      <c r="N263" s="3">
        <v>139.99</v>
      </c>
      <c r="O263" s="2" t="s">
        <v>97</v>
      </c>
      <c r="P263" s="2" t="s">
        <v>182</v>
      </c>
      <c r="Q263" s="2" t="s">
        <v>99</v>
      </c>
      <c r="R263" s="2" t="s">
        <v>100</v>
      </c>
      <c r="S263" s="2" t="s">
        <v>1092</v>
      </c>
      <c r="T263" s="2" t="s">
        <v>100</v>
      </c>
      <c r="U263" s="2" t="s">
        <v>102</v>
      </c>
      <c r="V263" s="2" t="s">
        <v>103</v>
      </c>
      <c r="W263" s="2" t="s">
        <v>104</v>
      </c>
      <c r="X263" s="2" t="s">
        <v>105</v>
      </c>
      <c r="Y263" s="2" t="s">
        <v>106</v>
      </c>
      <c r="Z263" s="4">
        <v>241</v>
      </c>
      <c r="AA263" s="4">
        <f>=ROUNDDOWN(15.0625,0)</f>
      </c>
      <c r="AB263" s="5">
        <v>16</v>
      </c>
      <c r="AC263" s="2" t="s">
        <v>919</v>
      </c>
      <c r="AD263" s="4">
        <v>110</v>
      </c>
      <c r="AE263" s="4">
        <v>530</v>
      </c>
      <c r="AF263" s="6">
        <v>64</v>
      </c>
      <c r="AG263" s="6">
        <v>47</v>
      </c>
      <c r="AH263" s="7">
        <v>0.9939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 t="s">
        <v>100</v>
      </c>
      <c r="BJ263" s="4">
        <v>310</v>
      </c>
      <c r="BK263" s="8">
        <v>20030.68</v>
      </c>
      <c r="BL263" s="2" t="s">
        <v>1093</v>
      </c>
      <c r="BM263" s="7"/>
      <c r="BN263" s="7"/>
      <c r="BO263" s="4"/>
      <c r="BP263" s="8"/>
      <c r="BQ263" s="4"/>
      <c r="BR263" s="8"/>
      <c r="BS263" s="7"/>
      <c r="BT263" s="7"/>
      <c r="BU263" s="2" t="s">
        <v>147</v>
      </c>
      <c r="BV263" s="2" t="s">
        <v>97</v>
      </c>
      <c r="BW263" s="2" t="s">
        <v>100</v>
      </c>
      <c r="BX263" s="2" t="s">
        <v>100</v>
      </c>
      <c r="BY263" s="2" t="s">
        <v>112</v>
      </c>
      <c r="BZ263" s="2" t="s">
        <v>100</v>
      </c>
    </row>
    <row r="264">
      <c r="A264" s="2" t="s">
        <v>1094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1065</v>
      </c>
      <c r="G264" s="2" t="s">
        <v>1066</v>
      </c>
      <c r="H264" s="2" t="s">
        <v>1067</v>
      </c>
      <c r="I264" s="2" t="s">
        <v>1068</v>
      </c>
      <c r="J264" s="2" t="s">
        <v>114</v>
      </c>
      <c r="K264" s="2" t="s">
        <v>168</v>
      </c>
      <c r="L264" s="3">
        <v>76.49</v>
      </c>
      <c r="M264" s="3">
        <v>80.32</v>
      </c>
      <c r="N264" s="3">
        <v>159.99</v>
      </c>
      <c r="O264" s="2" t="s">
        <v>97</v>
      </c>
      <c r="P264" s="2" t="s">
        <v>182</v>
      </c>
      <c r="Q264" s="2" t="s">
        <v>99</v>
      </c>
      <c r="R264" s="2" t="s">
        <v>100</v>
      </c>
      <c r="S264" s="2" t="s">
        <v>1092</v>
      </c>
      <c r="T264" s="2" t="s">
        <v>100</v>
      </c>
      <c r="U264" s="2" t="s">
        <v>102</v>
      </c>
      <c r="V264" s="2" t="s">
        <v>103</v>
      </c>
      <c r="W264" s="2" t="s">
        <v>104</v>
      </c>
      <c r="X264" s="2" t="s">
        <v>105</v>
      </c>
      <c r="Y264" s="2" t="s">
        <v>106</v>
      </c>
      <c r="Z264" s="4">
        <v>179</v>
      </c>
      <c r="AA264" s="4">
        <f>=ROUNDDOWN(19.8888888888889,0)</f>
      </c>
      <c r="AB264" s="5">
        <v>9</v>
      </c>
      <c r="AC264" s="2" t="s">
        <v>919</v>
      </c>
      <c r="AD264" s="4">
        <v>50</v>
      </c>
      <c r="AE264" s="4">
        <v>230</v>
      </c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 t="s">
        <v>100</v>
      </c>
      <c r="BJ264" s="4">
        <v>197</v>
      </c>
      <c r="BK264" s="8">
        <v>15305.07</v>
      </c>
      <c r="BL264" s="2" t="s">
        <v>1095</v>
      </c>
      <c r="BM264" s="7"/>
      <c r="BN264" s="7"/>
      <c r="BO264" s="4"/>
      <c r="BP264" s="8"/>
      <c r="BQ264" s="4"/>
      <c r="BR264" s="8"/>
      <c r="BS264" s="7"/>
      <c r="BT264" s="7"/>
      <c r="BU264" s="2" t="s">
        <v>147</v>
      </c>
      <c r="BV264" s="2" t="s">
        <v>97</v>
      </c>
      <c r="BW264" s="2" t="s">
        <v>100</v>
      </c>
      <c r="BX264" s="2" t="s">
        <v>100</v>
      </c>
      <c r="BY264" s="2" t="s">
        <v>112</v>
      </c>
      <c r="BZ264" s="2" t="s">
        <v>100</v>
      </c>
    </row>
    <row r="265">
      <c r="A265" s="2" t="s">
        <v>1096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1065</v>
      </c>
      <c r="G265" s="2" t="s">
        <v>1066</v>
      </c>
      <c r="H265" s="2" t="s">
        <v>1067</v>
      </c>
      <c r="I265" s="2" t="s">
        <v>1068</v>
      </c>
      <c r="J265" s="2" t="s">
        <v>118</v>
      </c>
      <c r="K265" s="2" t="s">
        <v>168</v>
      </c>
      <c r="L265" s="3">
        <v>76.49</v>
      </c>
      <c r="M265" s="3">
        <v>80.32</v>
      </c>
      <c r="N265" s="3">
        <v>159.99</v>
      </c>
      <c r="O265" s="2" t="s">
        <v>97</v>
      </c>
      <c r="P265" s="2" t="s">
        <v>182</v>
      </c>
      <c r="Q265" s="2" t="s">
        <v>99</v>
      </c>
      <c r="R265" s="2" t="s">
        <v>100</v>
      </c>
      <c r="S265" s="2" t="s">
        <v>1092</v>
      </c>
      <c r="T265" s="2" t="s">
        <v>100</v>
      </c>
      <c r="U265" s="2" t="s">
        <v>102</v>
      </c>
      <c r="V265" s="2" t="s">
        <v>103</v>
      </c>
      <c r="W265" s="2" t="s">
        <v>104</v>
      </c>
      <c r="X265" s="2" t="s">
        <v>105</v>
      </c>
      <c r="Y265" s="2" t="s">
        <v>106</v>
      </c>
      <c r="Z265" s="4">
        <v>199</v>
      </c>
      <c r="AA265" s="4">
        <f>=ROUNDDOWN(66.3333333333333,0)</f>
      </c>
      <c r="AB265" s="5">
        <v>3</v>
      </c>
      <c r="AC265" s="2" t="s">
        <v>100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 t="s">
        <v>100</v>
      </c>
      <c r="BJ265" s="4">
        <v>50</v>
      </c>
      <c r="BK265" s="8">
        <v>3656.46</v>
      </c>
      <c r="BL265" s="2" t="s">
        <v>1097</v>
      </c>
      <c r="BM265" s="7"/>
      <c r="BN265" s="7"/>
      <c r="BO265" s="4"/>
      <c r="BP265" s="8"/>
      <c r="BQ265" s="4"/>
      <c r="BR265" s="8"/>
      <c r="BS265" s="7"/>
      <c r="BT265" s="7"/>
      <c r="BU265" s="2" t="s">
        <v>147</v>
      </c>
      <c r="BV265" s="2" t="s">
        <v>97</v>
      </c>
      <c r="BW265" s="2" t="s">
        <v>100</v>
      </c>
      <c r="BX265" s="2" t="s">
        <v>100</v>
      </c>
      <c r="BY265" s="2" t="s">
        <v>112</v>
      </c>
      <c r="BZ265" s="2" t="s">
        <v>100</v>
      </c>
    </row>
    <row r="266">
      <c r="A266" s="2" t="s">
        <v>1098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1065</v>
      </c>
      <c r="G266" s="2" t="s">
        <v>1066</v>
      </c>
      <c r="H266" s="2" t="s">
        <v>1067</v>
      </c>
      <c r="I266" s="2" t="s">
        <v>1068</v>
      </c>
      <c r="J266" s="2" t="s">
        <v>95</v>
      </c>
      <c r="K266" s="2" t="s">
        <v>298</v>
      </c>
      <c r="L266" s="3">
        <v>66.29</v>
      </c>
      <c r="M266" s="3">
        <v>69.61</v>
      </c>
      <c r="N266" s="3">
        <v>139.99</v>
      </c>
      <c r="O266" s="2" t="s">
        <v>97</v>
      </c>
      <c r="P266" s="2" t="s">
        <v>182</v>
      </c>
      <c r="Q266" s="2" t="s">
        <v>99</v>
      </c>
      <c r="R266" s="2" t="s">
        <v>100</v>
      </c>
      <c r="S266" s="2" t="s">
        <v>1099</v>
      </c>
      <c r="T266" s="2" t="s">
        <v>100</v>
      </c>
      <c r="U266" s="2" t="s">
        <v>102</v>
      </c>
      <c r="V266" s="2" t="s">
        <v>103</v>
      </c>
      <c r="W266" s="2" t="s">
        <v>104</v>
      </c>
      <c r="X266" s="2" t="s">
        <v>105</v>
      </c>
      <c r="Y266" s="2" t="s">
        <v>106</v>
      </c>
      <c r="Z266" s="4">
        <v>289</v>
      </c>
      <c r="AA266" s="4">
        <f>=ROUNDDOWN(13.7619047619048,0)</f>
      </c>
      <c r="AB266" s="5">
        <v>21</v>
      </c>
      <c r="AC266" s="2" t="s">
        <v>919</v>
      </c>
      <c r="AD266" s="4">
        <v>220</v>
      </c>
      <c r="AE266" s="4">
        <v>540</v>
      </c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>
        <v>0</v>
      </c>
      <c r="AP266" s="4"/>
      <c r="AQ266" s="8"/>
      <c r="AR266" s="4">
        <v>5</v>
      </c>
      <c r="AS266" s="8">
        <v>348</v>
      </c>
      <c r="AT266" s="7">
        <v>-1</v>
      </c>
      <c r="AU266" s="7">
        <v>-1</v>
      </c>
      <c r="AV266" s="4" t="s">
        <v>100</v>
      </c>
      <c r="AW266" s="8" t="s">
        <v>100</v>
      </c>
      <c r="AX266" s="4">
        <v>5</v>
      </c>
      <c r="AY266" s="8">
        <v>348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 t="s">
        <v>100</v>
      </c>
      <c r="BJ266" s="4">
        <v>432</v>
      </c>
      <c r="BK266" s="8">
        <v>28242.56</v>
      </c>
      <c r="BL266" s="2" t="s">
        <v>1100</v>
      </c>
      <c r="BM266" s="7"/>
      <c r="BN266" s="7"/>
      <c r="BO266" s="4"/>
      <c r="BP266" s="8"/>
      <c r="BQ266" s="4">
        <v>5</v>
      </c>
      <c r="BR266" s="8">
        <v>348</v>
      </c>
      <c r="BS266" s="7">
        <v>-1</v>
      </c>
      <c r="BT266" s="7">
        <v>-1</v>
      </c>
      <c r="BU266" s="2" t="s">
        <v>109</v>
      </c>
      <c r="BV266" s="2" t="s">
        <v>97</v>
      </c>
      <c r="BW266" s="2" t="s">
        <v>606</v>
      </c>
      <c r="BX266" s="2" t="s">
        <v>640</v>
      </c>
      <c r="BY266" s="2" t="s">
        <v>112</v>
      </c>
      <c r="BZ266" s="2" t="s">
        <v>100</v>
      </c>
    </row>
    <row r="267">
      <c r="A267" s="2" t="s">
        <v>1101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1065</v>
      </c>
      <c r="G267" s="2" t="s">
        <v>1066</v>
      </c>
      <c r="H267" s="2" t="s">
        <v>1067</v>
      </c>
      <c r="I267" s="2" t="s">
        <v>1068</v>
      </c>
      <c r="J267" s="2" t="s">
        <v>114</v>
      </c>
      <c r="K267" s="2" t="s">
        <v>298</v>
      </c>
      <c r="L267" s="3">
        <v>76.49</v>
      </c>
      <c r="M267" s="3">
        <v>80.32</v>
      </c>
      <c r="N267" s="3">
        <v>159.99</v>
      </c>
      <c r="O267" s="2" t="s">
        <v>97</v>
      </c>
      <c r="P267" s="2" t="s">
        <v>182</v>
      </c>
      <c r="Q267" s="2" t="s">
        <v>99</v>
      </c>
      <c r="R267" s="2" t="s">
        <v>100</v>
      </c>
      <c r="S267" s="2" t="s">
        <v>1099</v>
      </c>
      <c r="T267" s="2" t="s">
        <v>100</v>
      </c>
      <c r="U267" s="2" t="s">
        <v>102</v>
      </c>
      <c r="V267" s="2" t="s">
        <v>103</v>
      </c>
      <c r="W267" s="2" t="s">
        <v>104</v>
      </c>
      <c r="X267" s="2" t="s">
        <v>105</v>
      </c>
      <c r="Y267" s="2" t="s">
        <v>106</v>
      </c>
      <c r="Z267" s="4">
        <v>251</v>
      </c>
      <c r="AA267" s="4">
        <f>=ROUNDDOWN(20.9166666666667,0)</f>
      </c>
      <c r="AB267" s="5">
        <v>12</v>
      </c>
      <c r="AC267" s="2" t="s">
        <v>919</v>
      </c>
      <c r="AD267" s="4">
        <v>130</v>
      </c>
      <c r="AE267" s="4">
        <v>340</v>
      </c>
      <c r="AF267" s="6">
        <v>64</v>
      </c>
      <c r="AG267" s="6">
        <v>47</v>
      </c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 t="s">
        <v>100</v>
      </c>
      <c r="BJ267" s="4">
        <v>236</v>
      </c>
      <c r="BK267" s="8">
        <v>17844.54</v>
      </c>
      <c r="BL267" s="2" t="s">
        <v>1102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97</v>
      </c>
      <c r="BW267" s="2" t="s">
        <v>606</v>
      </c>
      <c r="BX267" s="2" t="s">
        <v>100</v>
      </c>
      <c r="BY267" s="2" t="s">
        <v>112</v>
      </c>
      <c r="BZ267" s="2" t="s">
        <v>100</v>
      </c>
    </row>
    <row r="268">
      <c r="A268" s="2" t="s">
        <v>1103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1065</v>
      </c>
      <c r="G268" s="2" t="s">
        <v>1066</v>
      </c>
      <c r="H268" s="2" t="s">
        <v>1067</v>
      </c>
      <c r="I268" s="2" t="s">
        <v>1068</v>
      </c>
      <c r="J268" s="2" t="s">
        <v>118</v>
      </c>
      <c r="K268" s="2" t="s">
        <v>298</v>
      </c>
      <c r="L268" s="3">
        <v>76.49</v>
      </c>
      <c r="M268" s="3">
        <v>80.32</v>
      </c>
      <c r="N268" s="3">
        <v>159.99</v>
      </c>
      <c r="O268" s="2" t="s">
        <v>97</v>
      </c>
      <c r="P268" s="2" t="s">
        <v>182</v>
      </c>
      <c r="Q268" s="2" t="s">
        <v>99</v>
      </c>
      <c r="R268" s="2" t="s">
        <v>100</v>
      </c>
      <c r="S268" s="2" t="s">
        <v>1099</v>
      </c>
      <c r="T268" s="2" t="s">
        <v>100</v>
      </c>
      <c r="U268" s="2" t="s">
        <v>102</v>
      </c>
      <c r="V268" s="2" t="s">
        <v>103</v>
      </c>
      <c r="W268" s="2" t="s">
        <v>104</v>
      </c>
      <c r="X268" s="2" t="s">
        <v>105</v>
      </c>
      <c r="Y268" s="2" t="s">
        <v>106</v>
      </c>
      <c r="Z268" s="4">
        <v>167</v>
      </c>
      <c r="AA268" s="4">
        <f>=ROUNDDOWN(33.4,0)</f>
      </c>
      <c r="AB268" s="5">
        <v>5</v>
      </c>
      <c r="AC268" s="2" t="s">
        <v>533</v>
      </c>
      <c r="AD268" s="4">
        <v>70</v>
      </c>
      <c r="AE268" s="4">
        <v>70</v>
      </c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 t="s">
        <v>100</v>
      </c>
      <c r="BJ268" s="4">
        <v>98</v>
      </c>
      <c r="BK268" s="8">
        <v>7167.02</v>
      </c>
      <c r="BL268" s="2" t="s">
        <v>1104</v>
      </c>
      <c r="BM268" s="7"/>
      <c r="BN268" s="7"/>
      <c r="BO268" s="4"/>
      <c r="BP268" s="8"/>
      <c r="BQ268" s="4"/>
      <c r="BR268" s="8"/>
      <c r="BS268" s="7"/>
      <c r="BT268" s="7"/>
      <c r="BU268" s="2" t="s">
        <v>109</v>
      </c>
      <c r="BV268" s="2" t="s">
        <v>97</v>
      </c>
      <c r="BW268" s="2" t="s">
        <v>606</v>
      </c>
      <c r="BX268" s="2" t="s">
        <v>100</v>
      </c>
      <c r="BY268" s="2" t="s">
        <v>112</v>
      </c>
      <c r="BZ268" s="2" t="s">
        <v>100</v>
      </c>
    </row>
    <row r="269">
      <c r="A269" s="2" t="s">
        <v>1105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1106</v>
      </c>
      <c r="G269" s="2" t="s">
        <v>1107</v>
      </c>
      <c r="H269" s="2" t="s">
        <v>1108</v>
      </c>
      <c r="I269" s="2" t="s">
        <v>1109</v>
      </c>
      <c r="J269" s="2" t="s">
        <v>95</v>
      </c>
      <c r="K269" s="2" t="s">
        <v>158</v>
      </c>
      <c r="L269" s="3">
        <v>72</v>
      </c>
      <c r="M269" s="3">
        <v>75.59</v>
      </c>
      <c r="N269" s="3">
        <v>149.99</v>
      </c>
      <c r="O269" s="2" t="s">
        <v>97</v>
      </c>
      <c r="P269" s="2" t="s">
        <v>182</v>
      </c>
      <c r="Q269" s="2" t="s">
        <v>99</v>
      </c>
      <c r="R269" s="2" t="s">
        <v>100</v>
      </c>
      <c r="S269" s="2" t="s">
        <v>1110</v>
      </c>
      <c r="T269" s="2" t="s">
        <v>100</v>
      </c>
      <c r="U269" s="2" t="s">
        <v>807</v>
      </c>
      <c r="V269" s="2" t="s">
        <v>637</v>
      </c>
      <c r="W269" s="2" t="s">
        <v>104</v>
      </c>
      <c r="X269" s="2" t="s">
        <v>1111</v>
      </c>
      <c r="Y269" s="2" t="s">
        <v>106</v>
      </c>
      <c r="Z269" s="4">
        <v>442</v>
      </c>
      <c r="AA269" s="4">
        <f>=ROUNDDOWN(21.047619047619,0)</f>
      </c>
      <c r="AB269" s="5">
        <v>21</v>
      </c>
      <c r="AC269" s="2" t="s">
        <v>659</v>
      </c>
      <c r="AD269" s="4">
        <v>170</v>
      </c>
      <c r="AE269" s="4">
        <v>270</v>
      </c>
      <c r="AF269" s="6">
        <v>65</v>
      </c>
      <c r="AG269" s="6">
        <v>48</v>
      </c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>
        <v>1</v>
      </c>
      <c r="AW269" s="8">
        <v>87.46</v>
      </c>
      <c r="AX269" s="4">
        <v>3</v>
      </c>
      <c r="AY269" s="8">
        <v>262.38</v>
      </c>
      <c r="AZ269" s="7">
        <v>-0.6667</v>
      </c>
      <c r="BA269" s="7">
        <v>-0.6667</v>
      </c>
      <c r="BB269" s="7"/>
      <c r="BC269" s="4">
        <v>1</v>
      </c>
      <c r="BD269" s="8">
        <v>87.46</v>
      </c>
      <c r="BE269" s="4">
        <v>3</v>
      </c>
      <c r="BF269" s="8">
        <v>262.38</v>
      </c>
      <c r="BG269" s="7">
        <v>-0.6667</v>
      </c>
      <c r="BH269" s="7">
        <v>-0.6667</v>
      </c>
      <c r="BI269" s="7">
        <v>1</v>
      </c>
      <c r="BJ269" s="4">
        <v>483</v>
      </c>
      <c r="BK269" s="8">
        <v>36416.2</v>
      </c>
      <c r="BL269" s="2" t="s">
        <v>1112</v>
      </c>
      <c r="BM269" s="7"/>
      <c r="BN269" s="7"/>
      <c r="BO269" s="4"/>
      <c r="BP269" s="8"/>
      <c r="BQ269" s="4"/>
      <c r="BR269" s="8"/>
      <c r="BS269" s="7"/>
      <c r="BT269" s="7"/>
      <c r="BU269" s="2" t="s">
        <v>147</v>
      </c>
      <c r="BV269" s="2" t="s">
        <v>97</v>
      </c>
      <c r="BW269" s="2" t="s">
        <v>100</v>
      </c>
      <c r="BX269" s="2" t="s">
        <v>100</v>
      </c>
      <c r="BY269" s="2" t="s">
        <v>112</v>
      </c>
      <c r="BZ269" s="2" t="s">
        <v>100</v>
      </c>
    </row>
    <row r="270">
      <c r="A270" s="2" t="s">
        <v>1113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1106</v>
      </c>
      <c r="G270" s="2" t="s">
        <v>1107</v>
      </c>
      <c r="H270" s="2" t="s">
        <v>1108</v>
      </c>
      <c r="I270" s="2" t="s">
        <v>1109</v>
      </c>
      <c r="J270" s="2" t="s">
        <v>114</v>
      </c>
      <c r="K270" s="2" t="s">
        <v>158</v>
      </c>
      <c r="L270" s="3">
        <v>83.3</v>
      </c>
      <c r="M270" s="3">
        <v>87.46</v>
      </c>
      <c r="N270" s="3">
        <v>169.99</v>
      </c>
      <c r="O270" s="2" t="s">
        <v>97</v>
      </c>
      <c r="P270" s="2" t="s">
        <v>182</v>
      </c>
      <c r="Q270" s="2" t="s">
        <v>99</v>
      </c>
      <c r="R270" s="2" t="s">
        <v>100</v>
      </c>
      <c r="S270" s="2" t="s">
        <v>1110</v>
      </c>
      <c r="T270" s="2" t="s">
        <v>100</v>
      </c>
      <c r="U270" s="2" t="s">
        <v>807</v>
      </c>
      <c r="V270" s="2" t="s">
        <v>637</v>
      </c>
      <c r="W270" s="2" t="s">
        <v>104</v>
      </c>
      <c r="X270" s="2" t="s">
        <v>1111</v>
      </c>
      <c r="Y270" s="2" t="s">
        <v>106</v>
      </c>
      <c r="Z270" s="4">
        <v>372</v>
      </c>
      <c r="AA270" s="4">
        <f>=ROUNDDOWN(24.8,0)</f>
      </c>
      <c r="AB270" s="5">
        <v>15</v>
      </c>
      <c r="AC270" s="2" t="s">
        <v>1114</v>
      </c>
      <c r="AD270" s="4">
        <v>50</v>
      </c>
      <c r="AE270" s="4">
        <v>295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>
        <v>0</v>
      </c>
      <c r="AP270" s="4">
        <v>1</v>
      </c>
      <c r="AQ270" s="8">
        <v>87.46</v>
      </c>
      <c r="AR270" s="4">
        <v>3</v>
      </c>
      <c r="AS270" s="8">
        <v>262.38</v>
      </c>
      <c r="AT270" s="7">
        <v>-0.6667</v>
      </c>
      <c r="AU270" s="7">
        <v>-0.6667</v>
      </c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>
        <v>1</v>
      </c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 t="s">
        <v>100</v>
      </c>
      <c r="BJ270" s="4">
        <v>325</v>
      </c>
      <c r="BK270" s="8">
        <v>28611.33</v>
      </c>
      <c r="BL270" s="2" t="s">
        <v>1115</v>
      </c>
      <c r="BM270" s="7">
        <v>0.0031</v>
      </c>
      <c r="BN270" s="7">
        <v>0.0031</v>
      </c>
      <c r="BO270" s="4">
        <v>1</v>
      </c>
      <c r="BP270" s="8">
        <v>87.46</v>
      </c>
      <c r="BQ270" s="4">
        <v>3</v>
      </c>
      <c r="BR270" s="8">
        <v>262.38</v>
      </c>
      <c r="BS270" s="7">
        <v>-0.6667</v>
      </c>
      <c r="BT270" s="7">
        <v>-0.6667</v>
      </c>
      <c r="BU270" s="2" t="s">
        <v>109</v>
      </c>
      <c r="BV270" s="2" t="s">
        <v>97</v>
      </c>
      <c r="BW270" s="2" t="s">
        <v>110</v>
      </c>
      <c r="BX270" s="2" t="s">
        <v>1116</v>
      </c>
      <c r="BY270" s="2" t="s">
        <v>112</v>
      </c>
      <c r="BZ270" s="2" t="s">
        <v>100</v>
      </c>
    </row>
    <row r="271">
      <c r="A271" s="2" t="s">
        <v>1117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1118</v>
      </c>
      <c r="G271" s="2" t="s">
        <v>1119</v>
      </c>
      <c r="H271" s="2" t="s">
        <v>1120</v>
      </c>
      <c r="I271" s="2" t="s">
        <v>196</v>
      </c>
      <c r="J271" s="2" t="s">
        <v>95</v>
      </c>
      <c r="K271" s="2" t="s">
        <v>333</v>
      </c>
      <c r="L271" s="3">
        <v>70</v>
      </c>
      <c r="M271" s="3">
        <v>73.49</v>
      </c>
      <c r="N271" s="3">
        <v>139.99</v>
      </c>
      <c r="O271" s="2" t="s">
        <v>229</v>
      </c>
      <c r="P271" s="2" t="s">
        <v>198</v>
      </c>
      <c r="Q271" s="2" t="s">
        <v>99</v>
      </c>
      <c r="R271" s="2" t="s">
        <v>100</v>
      </c>
      <c r="S271" s="2" t="s">
        <v>1121</v>
      </c>
      <c r="T271" s="2" t="s">
        <v>100</v>
      </c>
      <c r="U271" s="2" t="s">
        <v>102</v>
      </c>
      <c r="V271" s="2" t="s">
        <v>1122</v>
      </c>
      <c r="W271" s="2" t="s">
        <v>602</v>
      </c>
      <c r="X271" s="2" t="s">
        <v>406</v>
      </c>
      <c r="Y271" s="2" t="s">
        <v>106</v>
      </c>
      <c r="Z271" s="4"/>
      <c r="AA271" s="4">
        <f>=ROUNDDOWN({0},0)</f>
      </c>
      <c r="AB271" s="5">
        <v>7.9</v>
      </c>
      <c r="AC271" s="2" t="s">
        <v>100</v>
      </c>
      <c r="AD271" s="4"/>
      <c r="AE271" s="4"/>
      <c r="AF271" s="6">
        <v>64</v>
      </c>
      <c r="AG271" s="6"/>
      <c r="AH271" s="7">
        <v>0.4242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>
        <v>0</v>
      </c>
      <c r="AP271" s="4"/>
      <c r="AQ271" s="8"/>
      <c r="AR271" s="4">
        <v>5</v>
      </c>
      <c r="AS271" s="8">
        <v>367.45</v>
      </c>
      <c r="AT271" s="7">
        <v>-1</v>
      </c>
      <c r="AU271" s="7">
        <v>-1</v>
      </c>
      <c r="AV271" s="4">
        <v>1</v>
      </c>
      <c r="AW271" s="8">
        <v>83.99</v>
      </c>
      <c r="AX271" s="4">
        <v>13</v>
      </c>
      <c r="AY271" s="8">
        <v>1039.37</v>
      </c>
      <c r="AZ271" s="7">
        <v>-0.9231</v>
      </c>
      <c r="BA271" s="7">
        <v>-0.9192</v>
      </c>
      <c r="BB271" s="7"/>
      <c r="BC271" s="4">
        <v>1</v>
      </c>
      <c r="BD271" s="8">
        <v>83.99</v>
      </c>
      <c r="BE271" s="4">
        <v>13</v>
      </c>
      <c r="BF271" s="8">
        <v>1039.37</v>
      </c>
      <c r="BG271" s="7">
        <v>-0.9231</v>
      </c>
      <c r="BH271" s="7">
        <v>-0.9192</v>
      </c>
      <c r="BI271" s="7">
        <v>1</v>
      </c>
      <c r="BJ271" s="4">
        <v>79</v>
      </c>
      <c r="BK271" s="8">
        <v>5607.94</v>
      </c>
      <c r="BL271" s="2" t="s">
        <v>1123</v>
      </c>
      <c r="BM271" s="7"/>
      <c r="BN271" s="7"/>
      <c r="BO271" s="4"/>
      <c r="BP271" s="8"/>
      <c r="BQ271" s="4">
        <v>5</v>
      </c>
      <c r="BR271" s="8">
        <v>367.45</v>
      </c>
      <c r="BS271" s="7">
        <v>-1</v>
      </c>
      <c r="BT271" s="7">
        <v>-1</v>
      </c>
      <c r="BU271" s="2" t="s">
        <v>109</v>
      </c>
      <c r="BV271" s="2" t="s">
        <v>552</v>
      </c>
      <c r="BW271" s="2" t="s">
        <v>217</v>
      </c>
      <c r="BX271" s="2" t="s">
        <v>347</v>
      </c>
      <c r="BY271" s="2" t="s">
        <v>112</v>
      </c>
      <c r="BZ271" s="2" t="s">
        <v>100</v>
      </c>
    </row>
    <row r="272">
      <c r="A272" s="2" t="s">
        <v>1124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1118</v>
      </c>
      <c r="G272" s="2" t="s">
        <v>1119</v>
      </c>
      <c r="H272" s="2" t="s">
        <v>1120</v>
      </c>
      <c r="I272" s="2" t="s">
        <v>196</v>
      </c>
      <c r="J272" s="2" t="s">
        <v>114</v>
      </c>
      <c r="K272" s="2" t="s">
        <v>333</v>
      </c>
      <c r="L272" s="3">
        <v>80</v>
      </c>
      <c r="M272" s="3">
        <v>83.99</v>
      </c>
      <c r="N272" s="3">
        <v>159.99</v>
      </c>
      <c r="O272" s="2" t="s">
        <v>229</v>
      </c>
      <c r="P272" s="2" t="s">
        <v>198</v>
      </c>
      <c r="Q272" s="2" t="s">
        <v>99</v>
      </c>
      <c r="R272" s="2" t="s">
        <v>100</v>
      </c>
      <c r="S272" s="2" t="s">
        <v>1121</v>
      </c>
      <c r="T272" s="2" t="s">
        <v>100</v>
      </c>
      <c r="U272" s="2" t="s">
        <v>102</v>
      </c>
      <c r="V272" s="2" t="s">
        <v>1122</v>
      </c>
      <c r="W272" s="2" t="s">
        <v>602</v>
      </c>
      <c r="X272" s="2" t="s">
        <v>406</v>
      </c>
      <c r="Y272" s="2" t="s">
        <v>106</v>
      </c>
      <c r="Z272" s="4"/>
      <c r="AA272" s="4">
        <f>=ROUNDDOWN({0},0)</f>
      </c>
      <c r="AB272" s="5">
        <v>7.3</v>
      </c>
      <c r="AC272" s="2" t="s">
        <v>100</v>
      </c>
      <c r="AD272" s="4"/>
      <c r="AE272" s="4"/>
      <c r="AF272" s="6">
        <v>64</v>
      </c>
      <c r="AG272" s="6"/>
      <c r="AH272" s="7">
        <v>0.297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>
        <v>0</v>
      </c>
      <c r="AP272" s="4">
        <v>1</v>
      </c>
      <c r="AQ272" s="8">
        <v>83.99</v>
      </c>
      <c r="AR272" s="4">
        <v>8</v>
      </c>
      <c r="AS272" s="8">
        <v>671.92</v>
      </c>
      <c r="AT272" s="7">
        <v>-0.875</v>
      </c>
      <c r="AU272" s="7">
        <v>-0.875</v>
      </c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>
        <v>1</v>
      </c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 t="s">
        <v>100</v>
      </c>
      <c r="BJ272" s="4">
        <v>51</v>
      </c>
      <c r="BK272" s="8">
        <v>4154.03</v>
      </c>
      <c r="BL272" s="2" t="s">
        <v>1125</v>
      </c>
      <c r="BM272" s="7">
        <v>0.0196</v>
      </c>
      <c r="BN272" s="7">
        <v>0.0202</v>
      </c>
      <c r="BO272" s="4">
        <v>1</v>
      </c>
      <c r="BP272" s="8">
        <v>83.99</v>
      </c>
      <c r="BQ272" s="4">
        <v>8</v>
      </c>
      <c r="BR272" s="8">
        <v>671.92</v>
      </c>
      <c r="BS272" s="7">
        <v>-0.875</v>
      </c>
      <c r="BT272" s="7">
        <v>-0.875</v>
      </c>
      <c r="BU272" s="2" t="s">
        <v>109</v>
      </c>
      <c r="BV272" s="2" t="s">
        <v>552</v>
      </c>
      <c r="BW272" s="2" t="s">
        <v>217</v>
      </c>
      <c r="BX272" s="2" t="s">
        <v>233</v>
      </c>
      <c r="BY272" s="2" t="s">
        <v>112</v>
      </c>
      <c r="BZ272" s="2" t="s">
        <v>100</v>
      </c>
    </row>
    <row r="273">
      <c r="A273" s="2" t="s">
        <v>1126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1127</v>
      </c>
      <c r="G273" s="2" t="s">
        <v>1128</v>
      </c>
      <c r="H273" s="2" t="s">
        <v>1129</v>
      </c>
      <c r="I273" s="2" t="s">
        <v>956</v>
      </c>
      <c r="J273" s="2" t="s">
        <v>95</v>
      </c>
      <c r="K273" s="2" t="s">
        <v>168</v>
      </c>
      <c r="L273" s="3">
        <v>65.8</v>
      </c>
      <c r="M273" s="3">
        <v>69.09</v>
      </c>
      <c r="N273" s="3">
        <v>139.99</v>
      </c>
      <c r="O273" s="2" t="s">
        <v>97</v>
      </c>
      <c r="P273" s="2" t="s">
        <v>182</v>
      </c>
      <c r="Q273" s="2" t="s">
        <v>99</v>
      </c>
      <c r="R273" s="2" t="s">
        <v>100</v>
      </c>
      <c r="S273" s="2" t="s">
        <v>1130</v>
      </c>
      <c r="T273" s="2" t="s">
        <v>100</v>
      </c>
      <c r="U273" s="2" t="s">
        <v>102</v>
      </c>
      <c r="V273" s="2" t="s">
        <v>991</v>
      </c>
      <c r="W273" s="2" t="s">
        <v>104</v>
      </c>
      <c r="X273" s="2" t="s">
        <v>1131</v>
      </c>
      <c r="Y273" s="2" t="s">
        <v>106</v>
      </c>
      <c r="Z273" s="4">
        <v>441</v>
      </c>
      <c r="AA273" s="4">
        <f>=ROUNDDOWN(27.5625,0)</f>
      </c>
      <c r="AB273" s="5">
        <v>16</v>
      </c>
      <c r="AC273" s="2" t="s">
        <v>107</v>
      </c>
      <c r="AD273" s="4">
        <v>160</v>
      </c>
      <c r="AE273" s="4">
        <v>160</v>
      </c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>
        <v>0</v>
      </c>
      <c r="AP273" s="4"/>
      <c r="AQ273" s="8"/>
      <c r="AR273" s="4">
        <v>7</v>
      </c>
      <c r="AS273" s="8">
        <v>483.63</v>
      </c>
      <c r="AT273" s="7">
        <v>-1</v>
      </c>
      <c r="AU273" s="7">
        <v>-1</v>
      </c>
      <c r="AV273" s="4">
        <v>1</v>
      </c>
      <c r="AW273" s="8">
        <v>80.63</v>
      </c>
      <c r="AX273" s="4">
        <v>11</v>
      </c>
      <c r="AY273" s="8">
        <v>806.15</v>
      </c>
      <c r="AZ273" s="7">
        <v>-0.9091</v>
      </c>
      <c r="BA273" s="7">
        <v>-0.9</v>
      </c>
      <c r="BB273" s="7"/>
      <c r="BC273" s="4">
        <v>1</v>
      </c>
      <c r="BD273" s="8">
        <v>80.63</v>
      </c>
      <c r="BE273" s="4">
        <v>11</v>
      </c>
      <c r="BF273" s="8">
        <v>806.15</v>
      </c>
      <c r="BG273" s="7">
        <v>-0.9091</v>
      </c>
      <c r="BH273" s="7">
        <v>-0.9</v>
      </c>
      <c r="BI273" s="7">
        <v>1</v>
      </c>
      <c r="BJ273" s="4">
        <v>343</v>
      </c>
      <c r="BK273" s="8">
        <v>21535.63</v>
      </c>
      <c r="BL273" s="2" t="s">
        <v>680</v>
      </c>
      <c r="BM273" s="7"/>
      <c r="BN273" s="7"/>
      <c r="BO273" s="4"/>
      <c r="BP273" s="8"/>
      <c r="BQ273" s="4">
        <v>7</v>
      </c>
      <c r="BR273" s="8">
        <v>483.63</v>
      </c>
      <c r="BS273" s="7">
        <v>-1</v>
      </c>
      <c r="BT273" s="7">
        <v>-1</v>
      </c>
      <c r="BU273" s="2" t="s">
        <v>109</v>
      </c>
      <c r="BV273" s="2" t="s">
        <v>97</v>
      </c>
      <c r="BW273" s="2" t="s">
        <v>217</v>
      </c>
      <c r="BX273" s="2" t="s">
        <v>1132</v>
      </c>
      <c r="BY273" s="2" t="s">
        <v>112</v>
      </c>
      <c r="BZ273" s="2" t="s">
        <v>100</v>
      </c>
    </row>
    <row r="274">
      <c r="A274" s="2" t="s">
        <v>1133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1127</v>
      </c>
      <c r="G274" s="2" t="s">
        <v>1128</v>
      </c>
      <c r="H274" s="2" t="s">
        <v>1129</v>
      </c>
      <c r="I274" s="2" t="s">
        <v>956</v>
      </c>
      <c r="J274" s="2" t="s">
        <v>114</v>
      </c>
      <c r="K274" s="2" t="s">
        <v>168</v>
      </c>
      <c r="L274" s="3">
        <v>76.8</v>
      </c>
      <c r="M274" s="3">
        <v>80.63</v>
      </c>
      <c r="N274" s="3">
        <v>159.99</v>
      </c>
      <c r="O274" s="2" t="s">
        <v>97</v>
      </c>
      <c r="P274" s="2" t="s">
        <v>182</v>
      </c>
      <c r="Q274" s="2" t="s">
        <v>99</v>
      </c>
      <c r="R274" s="2" t="s">
        <v>100</v>
      </c>
      <c r="S274" s="2" t="s">
        <v>1130</v>
      </c>
      <c r="T274" s="2" t="s">
        <v>100</v>
      </c>
      <c r="U274" s="2" t="s">
        <v>102</v>
      </c>
      <c r="V274" s="2" t="s">
        <v>991</v>
      </c>
      <c r="W274" s="2" t="s">
        <v>104</v>
      </c>
      <c r="X274" s="2" t="s">
        <v>1131</v>
      </c>
      <c r="Y274" s="2" t="s">
        <v>106</v>
      </c>
      <c r="Z274" s="4">
        <v>303</v>
      </c>
      <c r="AA274" s="4">
        <f>=ROUNDDOWN(23.3076923076923,0)</f>
      </c>
      <c r="AB274" s="5">
        <v>13</v>
      </c>
      <c r="AC274" s="2" t="s">
        <v>107</v>
      </c>
      <c r="AD274" s="4">
        <v>130</v>
      </c>
      <c r="AE274" s="4">
        <v>130</v>
      </c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>
        <v>0</v>
      </c>
      <c r="AP274" s="4">
        <v>1</v>
      </c>
      <c r="AQ274" s="8">
        <v>80.63</v>
      </c>
      <c r="AR274" s="4">
        <v>4</v>
      </c>
      <c r="AS274" s="8">
        <v>322.52</v>
      </c>
      <c r="AT274" s="7">
        <v>-0.75</v>
      </c>
      <c r="AU274" s="7">
        <v>-0.75</v>
      </c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>
        <v>1</v>
      </c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 t="s">
        <v>100</v>
      </c>
      <c r="BJ274" s="4">
        <v>264</v>
      </c>
      <c r="BK274" s="8">
        <v>19985.79</v>
      </c>
      <c r="BL274" s="2" t="s">
        <v>543</v>
      </c>
      <c r="BM274" s="7">
        <v>0.0038</v>
      </c>
      <c r="BN274" s="7">
        <v>0.004</v>
      </c>
      <c r="BO274" s="4">
        <v>1</v>
      </c>
      <c r="BP274" s="8">
        <v>80.63</v>
      </c>
      <c r="BQ274" s="4">
        <v>4</v>
      </c>
      <c r="BR274" s="8">
        <v>322.52</v>
      </c>
      <c r="BS274" s="7">
        <v>-0.75</v>
      </c>
      <c r="BT274" s="7">
        <v>-0.75</v>
      </c>
      <c r="BU274" s="2" t="s">
        <v>109</v>
      </c>
      <c r="BV274" s="2" t="s">
        <v>97</v>
      </c>
      <c r="BW274" s="2" t="s">
        <v>217</v>
      </c>
      <c r="BX274" s="2" t="s">
        <v>889</v>
      </c>
      <c r="BY274" s="2" t="s">
        <v>112</v>
      </c>
      <c r="BZ274" s="2" t="s">
        <v>100</v>
      </c>
    </row>
    <row r="275">
      <c r="A275" s="2" t="s">
        <v>1134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1127</v>
      </c>
      <c r="G275" s="2" t="s">
        <v>1128</v>
      </c>
      <c r="H275" s="2" t="s">
        <v>1129</v>
      </c>
      <c r="I275" s="2" t="s">
        <v>956</v>
      </c>
      <c r="J275" s="2" t="s">
        <v>118</v>
      </c>
      <c r="K275" s="2" t="s">
        <v>168</v>
      </c>
      <c r="L275" s="3">
        <v>76.8</v>
      </c>
      <c r="M275" s="3">
        <v>80.63</v>
      </c>
      <c r="N275" s="3">
        <v>159.99</v>
      </c>
      <c r="O275" s="2" t="s">
        <v>97</v>
      </c>
      <c r="P275" s="2" t="s">
        <v>182</v>
      </c>
      <c r="Q275" s="2" t="s">
        <v>99</v>
      </c>
      <c r="R275" s="2" t="s">
        <v>100</v>
      </c>
      <c r="S275" s="2" t="s">
        <v>1130</v>
      </c>
      <c r="T275" s="2" t="s">
        <v>100</v>
      </c>
      <c r="U275" s="2" t="s">
        <v>102</v>
      </c>
      <c r="V275" s="2" t="s">
        <v>991</v>
      </c>
      <c r="W275" s="2" t="s">
        <v>104</v>
      </c>
      <c r="X275" s="2" t="s">
        <v>1131</v>
      </c>
      <c r="Y275" s="2" t="s">
        <v>106</v>
      </c>
      <c r="Z275" s="4">
        <v>247</v>
      </c>
      <c r="AA275" s="4">
        <f>=ROUNDDOWN(41.1666666666667,0)</f>
      </c>
      <c r="AB275" s="5">
        <v>6</v>
      </c>
      <c r="AC275" s="2" t="s">
        <v>100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 t="s">
        <v>100</v>
      </c>
      <c r="BJ275" s="4">
        <v>87</v>
      </c>
      <c r="BK275" s="8">
        <v>6315.74</v>
      </c>
      <c r="BL275" s="2" t="s">
        <v>1135</v>
      </c>
      <c r="BM275" s="7"/>
      <c r="BN275" s="7"/>
      <c r="BO275" s="4"/>
      <c r="BP275" s="8"/>
      <c r="BQ275" s="4"/>
      <c r="BR275" s="8"/>
      <c r="BS275" s="7"/>
      <c r="BT275" s="7"/>
      <c r="BU275" s="2" t="s">
        <v>147</v>
      </c>
      <c r="BV275" s="2" t="s">
        <v>97</v>
      </c>
      <c r="BW275" s="2" t="s">
        <v>100</v>
      </c>
      <c r="BX275" s="2" t="s">
        <v>100</v>
      </c>
      <c r="BY275" s="2" t="s">
        <v>112</v>
      </c>
      <c r="BZ275" s="2" t="s">
        <v>100</v>
      </c>
    </row>
    <row r="276">
      <c r="A276" s="2" t="s">
        <v>1136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1127</v>
      </c>
      <c r="G276" s="2" t="s">
        <v>1128</v>
      </c>
      <c r="H276" s="2" t="s">
        <v>1129</v>
      </c>
      <c r="I276" s="2" t="s">
        <v>956</v>
      </c>
      <c r="J276" s="2" t="s">
        <v>95</v>
      </c>
      <c r="K276" s="2" t="s">
        <v>197</v>
      </c>
      <c r="L276" s="3">
        <v>65.8</v>
      </c>
      <c r="M276" s="3">
        <v>69.09</v>
      </c>
      <c r="N276" s="3">
        <v>139.99</v>
      </c>
      <c r="O276" s="2" t="s">
        <v>97</v>
      </c>
      <c r="P276" s="2" t="s">
        <v>182</v>
      </c>
      <c r="Q276" s="2" t="s">
        <v>99</v>
      </c>
      <c r="R276" s="2" t="s">
        <v>100</v>
      </c>
      <c r="S276" s="2" t="s">
        <v>1137</v>
      </c>
      <c r="T276" s="2" t="s">
        <v>100</v>
      </c>
      <c r="U276" s="2" t="s">
        <v>102</v>
      </c>
      <c r="V276" s="2" t="s">
        <v>991</v>
      </c>
      <c r="W276" s="2" t="s">
        <v>104</v>
      </c>
      <c r="X276" s="2" t="s">
        <v>1131</v>
      </c>
      <c r="Y276" s="2" t="s">
        <v>106</v>
      </c>
      <c r="Z276" s="4">
        <v>223</v>
      </c>
      <c r="AA276" s="4">
        <f>=ROUNDDOWN(22.3,0)</f>
      </c>
      <c r="AB276" s="5">
        <v>10</v>
      </c>
      <c r="AC276" s="2" t="s">
        <v>792</v>
      </c>
      <c r="AD276" s="4">
        <v>50</v>
      </c>
      <c r="AE276" s="4">
        <v>180</v>
      </c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 t="s">
        <v>100</v>
      </c>
      <c r="BJ276" s="4">
        <v>166</v>
      </c>
      <c r="BK276" s="8">
        <v>10608.02</v>
      </c>
      <c r="BL276" s="2" t="s">
        <v>1138</v>
      </c>
      <c r="BM276" s="7"/>
      <c r="BN276" s="7"/>
      <c r="BO276" s="4"/>
      <c r="BP276" s="8"/>
      <c r="BQ276" s="4"/>
      <c r="BR276" s="8"/>
      <c r="BS276" s="7"/>
      <c r="BT276" s="7"/>
      <c r="BU276" s="2" t="s">
        <v>147</v>
      </c>
      <c r="BV276" s="2" t="s">
        <v>97</v>
      </c>
      <c r="BW276" s="2" t="s">
        <v>100</v>
      </c>
      <c r="BX276" s="2" t="s">
        <v>100</v>
      </c>
      <c r="BY276" s="2" t="s">
        <v>112</v>
      </c>
      <c r="BZ276" s="2" t="s">
        <v>100</v>
      </c>
    </row>
    <row r="277">
      <c r="A277" s="2" t="s">
        <v>1139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1127</v>
      </c>
      <c r="G277" s="2" t="s">
        <v>1128</v>
      </c>
      <c r="H277" s="2" t="s">
        <v>1129</v>
      </c>
      <c r="I277" s="2" t="s">
        <v>956</v>
      </c>
      <c r="J277" s="2" t="s">
        <v>114</v>
      </c>
      <c r="K277" s="2" t="s">
        <v>197</v>
      </c>
      <c r="L277" s="3">
        <v>76.8</v>
      </c>
      <c r="M277" s="3">
        <v>80.63</v>
      </c>
      <c r="N277" s="3">
        <v>159.99</v>
      </c>
      <c r="O277" s="2" t="s">
        <v>97</v>
      </c>
      <c r="P277" s="2" t="s">
        <v>182</v>
      </c>
      <c r="Q277" s="2" t="s">
        <v>99</v>
      </c>
      <c r="R277" s="2" t="s">
        <v>100</v>
      </c>
      <c r="S277" s="2" t="s">
        <v>1137</v>
      </c>
      <c r="T277" s="2" t="s">
        <v>100</v>
      </c>
      <c r="U277" s="2" t="s">
        <v>102</v>
      </c>
      <c r="V277" s="2" t="s">
        <v>991</v>
      </c>
      <c r="W277" s="2" t="s">
        <v>104</v>
      </c>
      <c r="X277" s="2" t="s">
        <v>1131</v>
      </c>
      <c r="Y277" s="2" t="s">
        <v>106</v>
      </c>
      <c r="Z277" s="4">
        <v>144</v>
      </c>
      <c r="AA277" s="4">
        <f>=ROUNDDOWN(16,0)</f>
      </c>
      <c r="AB277" s="5">
        <v>9</v>
      </c>
      <c r="AC277" s="2" t="s">
        <v>792</v>
      </c>
      <c r="AD277" s="4">
        <v>40</v>
      </c>
      <c r="AE277" s="4">
        <v>230</v>
      </c>
      <c r="AF277" s="6">
        <v>64</v>
      </c>
      <c r="AG277" s="6">
        <v>47</v>
      </c>
      <c r="AH277" s="7">
        <v>0.6909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 t="s">
        <v>100</v>
      </c>
      <c r="BJ277" s="4">
        <v>131</v>
      </c>
      <c r="BK277" s="8">
        <v>9980.39</v>
      </c>
      <c r="BL277" s="2" t="s">
        <v>1140</v>
      </c>
      <c r="BM277" s="7"/>
      <c r="BN277" s="7"/>
      <c r="BO277" s="4"/>
      <c r="BP277" s="8"/>
      <c r="BQ277" s="4"/>
      <c r="BR277" s="8"/>
      <c r="BS277" s="7"/>
      <c r="BT277" s="7"/>
      <c r="BU277" s="2" t="s">
        <v>147</v>
      </c>
      <c r="BV277" s="2" t="s">
        <v>97</v>
      </c>
      <c r="BW277" s="2" t="s">
        <v>100</v>
      </c>
      <c r="BX277" s="2" t="s">
        <v>100</v>
      </c>
      <c r="BY277" s="2" t="s">
        <v>112</v>
      </c>
      <c r="BZ277" s="2" t="s">
        <v>100</v>
      </c>
    </row>
    <row r="278">
      <c r="A278" s="2" t="s">
        <v>1141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1127</v>
      </c>
      <c r="G278" s="2" t="s">
        <v>1128</v>
      </c>
      <c r="H278" s="2" t="s">
        <v>1129</v>
      </c>
      <c r="I278" s="2" t="s">
        <v>956</v>
      </c>
      <c r="J278" s="2" t="s">
        <v>118</v>
      </c>
      <c r="K278" s="2" t="s">
        <v>197</v>
      </c>
      <c r="L278" s="3">
        <v>76.8</v>
      </c>
      <c r="M278" s="3">
        <v>80.63</v>
      </c>
      <c r="N278" s="3">
        <v>159.99</v>
      </c>
      <c r="O278" s="2" t="s">
        <v>97</v>
      </c>
      <c r="P278" s="2" t="s">
        <v>182</v>
      </c>
      <c r="Q278" s="2" t="s">
        <v>99</v>
      </c>
      <c r="R278" s="2" t="s">
        <v>100</v>
      </c>
      <c r="S278" s="2" t="s">
        <v>1137</v>
      </c>
      <c r="T278" s="2" t="s">
        <v>100</v>
      </c>
      <c r="U278" s="2" t="s">
        <v>102</v>
      </c>
      <c r="V278" s="2" t="s">
        <v>991</v>
      </c>
      <c r="W278" s="2" t="s">
        <v>104</v>
      </c>
      <c r="X278" s="2" t="s">
        <v>1131</v>
      </c>
      <c r="Y278" s="2" t="s">
        <v>106</v>
      </c>
      <c r="Z278" s="4">
        <v>87</v>
      </c>
      <c r="AA278" s="4">
        <f>=ROUNDDOWN(21.75,0)</f>
      </c>
      <c r="AB278" s="5">
        <v>4</v>
      </c>
      <c r="AC278" s="2" t="s">
        <v>792</v>
      </c>
      <c r="AD278" s="4">
        <v>90</v>
      </c>
      <c r="AE278" s="4">
        <v>180</v>
      </c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 t="s">
        <v>100</v>
      </c>
      <c r="BJ278" s="4">
        <v>97</v>
      </c>
      <c r="BK278" s="8">
        <v>7174.55</v>
      </c>
      <c r="BL278" s="2" t="s">
        <v>1142</v>
      </c>
      <c r="BM278" s="7"/>
      <c r="BN278" s="7"/>
      <c r="BO278" s="4"/>
      <c r="BP278" s="8"/>
      <c r="BQ278" s="4"/>
      <c r="BR278" s="8"/>
      <c r="BS278" s="7"/>
      <c r="BT278" s="7"/>
      <c r="BU278" s="2" t="s">
        <v>147</v>
      </c>
      <c r="BV278" s="2" t="s">
        <v>97</v>
      </c>
      <c r="BW278" s="2" t="s">
        <v>100</v>
      </c>
      <c r="BX278" s="2" t="s">
        <v>100</v>
      </c>
      <c r="BY278" s="2" t="s">
        <v>112</v>
      </c>
      <c r="BZ278" s="2" t="s">
        <v>100</v>
      </c>
    </row>
    <row r="279">
      <c r="A279" s="2" t="s">
        <v>1143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1144</v>
      </c>
      <c r="G279" s="2" t="s">
        <v>1145</v>
      </c>
      <c r="H279" s="2" t="s">
        <v>1146</v>
      </c>
      <c r="I279" s="2" t="s">
        <v>1147</v>
      </c>
      <c r="J279" s="2" t="s">
        <v>118</v>
      </c>
      <c r="K279" s="2" t="s">
        <v>666</v>
      </c>
      <c r="L279" s="3">
        <v>80</v>
      </c>
      <c r="M279" s="3">
        <v>84</v>
      </c>
      <c r="N279" s="3">
        <v>159.99</v>
      </c>
      <c r="O279" s="2" t="s">
        <v>1148</v>
      </c>
      <c r="P279" s="2" t="s">
        <v>198</v>
      </c>
      <c r="Q279" s="2" t="s">
        <v>99</v>
      </c>
      <c r="R279" s="2" t="s">
        <v>100</v>
      </c>
      <c r="S279" s="2" t="s">
        <v>100</v>
      </c>
      <c r="T279" s="2" t="s">
        <v>100</v>
      </c>
      <c r="U279" s="2" t="s">
        <v>102</v>
      </c>
      <c r="V279" s="2" t="s">
        <v>601</v>
      </c>
      <c r="W279" s="2" t="s">
        <v>759</v>
      </c>
      <c r="X279" s="2" t="s">
        <v>1149</v>
      </c>
      <c r="Y279" s="2" t="s">
        <v>1150</v>
      </c>
      <c r="Z279" s="4"/>
      <c r="AA279" s="4">
        <f>=ROUNDDOWN({0},0)</f>
      </c>
      <c r="AB279" s="5"/>
      <c r="AC279" s="2" t="s">
        <v>100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100</v>
      </c>
      <c r="BM279" s="7"/>
      <c r="BN279" s="7"/>
      <c r="BO279" s="4"/>
      <c r="BP279" s="8"/>
      <c r="BQ279" s="4"/>
      <c r="BR279" s="8"/>
      <c r="BS279" s="7"/>
      <c r="BT279" s="7"/>
      <c r="BU279" s="2" t="s">
        <v>147</v>
      </c>
      <c r="BV279" s="2" t="s">
        <v>97</v>
      </c>
      <c r="BW279" s="2" t="s">
        <v>100</v>
      </c>
      <c r="BX279" s="2" t="s">
        <v>100</v>
      </c>
      <c r="BY279" s="2" t="s">
        <v>112</v>
      </c>
      <c r="BZ279" s="2" t="s">
        <v>100</v>
      </c>
    </row>
    <row r="280">
      <c r="A280" s="2" t="s">
        <v>1151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1152</v>
      </c>
      <c r="G280" s="2" t="s">
        <v>1153</v>
      </c>
      <c r="H280" s="2" t="s">
        <v>1154</v>
      </c>
      <c r="I280" s="2" t="s">
        <v>1155</v>
      </c>
      <c r="J280" s="2" t="s">
        <v>844</v>
      </c>
      <c r="K280" s="2" t="s">
        <v>158</v>
      </c>
      <c r="L280" s="3">
        <v>66.66</v>
      </c>
      <c r="M280" s="3">
        <v>69.99</v>
      </c>
      <c r="N280" s="3">
        <v>139.99</v>
      </c>
      <c r="O280" s="2" t="s">
        <v>97</v>
      </c>
      <c r="P280" s="2" t="s">
        <v>198</v>
      </c>
      <c r="Q280" s="2" t="s">
        <v>99</v>
      </c>
      <c r="R280" s="2" t="s">
        <v>100</v>
      </c>
      <c r="S280" s="2" t="s">
        <v>1156</v>
      </c>
      <c r="T280" s="2" t="s">
        <v>100</v>
      </c>
      <c r="U280" s="2" t="s">
        <v>790</v>
      </c>
      <c r="V280" s="2" t="s">
        <v>561</v>
      </c>
      <c r="W280" s="2" t="s">
        <v>759</v>
      </c>
      <c r="X280" s="2" t="s">
        <v>1157</v>
      </c>
      <c r="Y280" s="2" t="s">
        <v>1158</v>
      </c>
      <c r="Z280" s="4">
        <v>300</v>
      </c>
      <c r="AA280" s="4">
        <f>=ROUNDDOWN(17.7514792899408,0)</f>
      </c>
      <c r="AB280" s="5">
        <v>16.9</v>
      </c>
      <c r="AC280" s="2" t="s">
        <v>100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299</v>
      </c>
      <c r="BK280" s="8">
        <v>16296.98</v>
      </c>
      <c r="BL280" s="2" t="s">
        <v>1159</v>
      </c>
      <c r="BM280" s="7"/>
      <c r="BN280" s="7"/>
      <c r="BO280" s="4"/>
      <c r="BP280" s="8"/>
      <c r="BQ280" s="4"/>
      <c r="BR280" s="8"/>
      <c r="BS280" s="7"/>
      <c r="BT280" s="7"/>
      <c r="BU280" s="2" t="s">
        <v>147</v>
      </c>
      <c r="BV280" s="2" t="s">
        <v>97</v>
      </c>
      <c r="BW280" s="2" t="s">
        <v>100</v>
      </c>
      <c r="BX280" s="2" t="s">
        <v>100</v>
      </c>
      <c r="BY280" s="2" t="s">
        <v>112</v>
      </c>
      <c r="BZ280" s="2" t="s">
        <v>100</v>
      </c>
    </row>
    <row r="281">
      <c r="A281" s="2" t="s">
        <v>1160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1152</v>
      </c>
      <c r="G281" s="2" t="s">
        <v>1153</v>
      </c>
      <c r="H281" s="2" t="s">
        <v>1154</v>
      </c>
      <c r="I281" s="2" t="s">
        <v>1155</v>
      </c>
      <c r="J281" s="2" t="s">
        <v>850</v>
      </c>
      <c r="K281" s="2" t="s">
        <v>158</v>
      </c>
      <c r="L281" s="3">
        <v>76.19</v>
      </c>
      <c r="M281" s="3">
        <v>80</v>
      </c>
      <c r="N281" s="3">
        <v>159.99</v>
      </c>
      <c r="O281" s="2" t="s">
        <v>97</v>
      </c>
      <c r="P281" s="2" t="s">
        <v>198</v>
      </c>
      <c r="Q281" s="2" t="s">
        <v>99</v>
      </c>
      <c r="R281" s="2" t="s">
        <v>100</v>
      </c>
      <c r="S281" s="2" t="s">
        <v>1156</v>
      </c>
      <c r="T281" s="2" t="s">
        <v>100</v>
      </c>
      <c r="U281" s="2" t="s">
        <v>790</v>
      </c>
      <c r="V281" s="2" t="s">
        <v>561</v>
      </c>
      <c r="W281" s="2" t="s">
        <v>759</v>
      </c>
      <c r="X281" s="2" t="s">
        <v>1157</v>
      </c>
      <c r="Y281" s="2" t="s">
        <v>1158</v>
      </c>
      <c r="Z281" s="4">
        <v>275</v>
      </c>
      <c r="AA281" s="4">
        <f>=ROUNDDOWN(31.25,0)</f>
      </c>
      <c r="AB281" s="5">
        <v>8.8</v>
      </c>
      <c r="AC281" s="2" t="s">
        <v>100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165</v>
      </c>
      <c r="BK281" s="8">
        <v>10725.01</v>
      </c>
      <c r="BL281" s="2" t="s">
        <v>899</v>
      </c>
      <c r="BM281" s="7"/>
      <c r="BN281" s="7"/>
      <c r="BO281" s="4"/>
      <c r="BP281" s="8"/>
      <c r="BQ281" s="4"/>
      <c r="BR281" s="8"/>
      <c r="BS281" s="7"/>
      <c r="BT281" s="7"/>
      <c r="BU281" s="2" t="s">
        <v>147</v>
      </c>
      <c r="BV281" s="2" t="s">
        <v>97</v>
      </c>
      <c r="BW281" s="2" t="s">
        <v>100</v>
      </c>
      <c r="BX281" s="2" t="s">
        <v>100</v>
      </c>
      <c r="BY281" s="2" t="s">
        <v>112</v>
      </c>
      <c r="BZ281" s="2" t="s">
        <v>100</v>
      </c>
    </row>
    <row r="282">
      <c r="A282" s="2" t="s">
        <v>1161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1162</v>
      </c>
      <c r="G282" s="2" t="s">
        <v>1163</v>
      </c>
      <c r="H282" s="2" t="s">
        <v>1164</v>
      </c>
      <c r="I282" s="2" t="s">
        <v>1165</v>
      </c>
      <c r="J282" s="2" t="s">
        <v>844</v>
      </c>
      <c r="K282" s="2" t="s">
        <v>333</v>
      </c>
      <c r="L282" s="3">
        <v>41.14</v>
      </c>
      <c r="M282" s="3">
        <v>43.2</v>
      </c>
      <c r="N282" s="3">
        <v>89.99</v>
      </c>
      <c r="O282" s="2" t="s">
        <v>97</v>
      </c>
      <c r="P282" s="2" t="s">
        <v>1166</v>
      </c>
      <c r="Q282" s="2" t="s">
        <v>99</v>
      </c>
      <c r="R282" s="2" t="s">
        <v>100</v>
      </c>
      <c r="S282" s="2" t="s">
        <v>1167</v>
      </c>
      <c r="T282" s="2" t="s">
        <v>1168</v>
      </c>
      <c r="U282" s="2" t="s">
        <v>790</v>
      </c>
      <c r="V282" s="2" t="s">
        <v>103</v>
      </c>
      <c r="W282" s="2" t="s">
        <v>104</v>
      </c>
      <c r="X282" s="2" t="s">
        <v>405</v>
      </c>
      <c r="Y282" s="2" t="s">
        <v>1169</v>
      </c>
      <c r="Z282" s="4">
        <v>316</v>
      </c>
      <c r="AA282" s="4">
        <f>=ROUNDDOWN(18.5882352941176,0)</f>
      </c>
      <c r="AB282" s="5">
        <v>17</v>
      </c>
      <c r="AC282" s="2" t="s">
        <v>100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34</v>
      </c>
      <c r="BK282" s="8">
        <v>1584.81</v>
      </c>
      <c r="BL282" s="2" t="s">
        <v>1170</v>
      </c>
      <c r="BM282" s="7"/>
      <c r="BN282" s="7"/>
      <c r="BO282" s="4"/>
      <c r="BP282" s="8"/>
      <c r="BQ282" s="4"/>
      <c r="BR282" s="8"/>
      <c r="BS282" s="7"/>
      <c r="BT282" s="7"/>
      <c r="BU282" s="2" t="s">
        <v>1171</v>
      </c>
      <c r="BV282" s="2" t="s">
        <v>97</v>
      </c>
      <c r="BW282" s="2" t="s">
        <v>100</v>
      </c>
      <c r="BX282" s="2" t="s">
        <v>100</v>
      </c>
      <c r="BY282" s="2" t="s">
        <v>112</v>
      </c>
      <c r="BZ282" s="2" t="s">
        <v>100</v>
      </c>
    </row>
    <row r="283">
      <c r="A283" s="2" t="s">
        <v>1172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1162</v>
      </c>
      <c r="G283" s="2" t="s">
        <v>1163</v>
      </c>
      <c r="H283" s="2" t="s">
        <v>1164</v>
      </c>
      <c r="I283" s="2" t="s">
        <v>1165</v>
      </c>
      <c r="J283" s="2" t="s">
        <v>850</v>
      </c>
      <c r="K283" s="2" t="s">
        <v>333</v>
      </c>
      <c r="L283" s="3">
        <v>45.71</v>
      </c>
      <c r="M283" s="3">
        <v>48</v>
      </c>
      <c r="N283" s="3">
        <v>99.99</v>
      </c>
      <c r="O283" s="2" t="s">
        <v>97</v>
      </c>
      <c r="P283" s="2" t="s">
        <v>1166</v>
      </c>
      <c r="Q283" s="2" t="s">
        <v>99</v>
      </c>
      <c r="R283" s="2" t="s">
        <v>100</v>
      </c>
      <c r="S283" s="2" t="s">
        <v>1167</v>
      </c>
      <c r="T283" s="2" t="s">
        <v>1168</v>
      </c>
      <c r="U283" s="2" t="s">
        <v>790</v>
      </c>
      <c r="V283" s="2" t="s">
        <v>103</v>
      </c>
      <c r="W283" s="2" t="s">
        <v>104</v>
      </c>
      <c r="X283" s="2" t="s">
        <v>405</v>
      </c>
      <c r="Y283" s="2" t="s">
        <v>1169</v>
      </c>
      <c r="Z283" s="4">
        <v>421</v>
      </c>
      <c r="AA283" s="4">
        <f>=ROUNDDOWN(26.3125,0)</f>
      </c>
      <c r="AB283" s="5">
        <v>16</v>
      </c>
      <c r="AC283" s="2" t="s">
        <v>100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29</v>
      </c>
      <c r="BK283" s="8">
        <v>1510.63</v>
      </c>
      <c r="BL283" s="2" t="s">
        <v>1173</v>
      </c>
      <c r="BM283" s="7"/>
      <c r="BN283" s="7"/>
      <c r="BO283" s="4"/>
      <c r="BP283" s="8"/>
      <c r="BQ283" s="4"/>
      <c r="BR283" s="8"/>
      <c r="BS283" s="7"/>
      <c r="BT283" s="7"/>
      <c r="BU283" s="2" t="s">
        <v>1171</v>
      </c>
      <c r="BV283" s="2" t="s">
        <v>97</v>
      </c>
      <c r="BW283" s="2" t="s">
        <v>100</v>
      </c>
      <c r="BX283" s="2" t="s">
        <v>100</v>
      </c>
      <c r="BY283" s="2" t="s">
        <v>112</v>
      </c>
      <c r="BZ283" s="2" t="s">
        <v>100</v>
      </c>
    </row>
    <row r="284">
      <c r="A284" s="2" t="s">
        <v>1174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1175</v>
      </c>
      <c r="G284" s="2" t="s">
        <v>1176</v>
      </c>
      <c r="H284" s="2" t="s">
        <v>1177</v>
      </c>
      <c r="I284" s="2" t="s">
        <v>1178</v>
      </c>
      <c r="J284" s="2" t="s">
        <v>844</v>
      </c>
      <c r="K284" s="2" t="s">
        <v>310</v>
      </c>
      <c r="L284" s="3">
        <v>57.14</v>
      </c>
      <c r="M284" s="3">
        <v>60</v>
      </c>
      <c r="N284" s="3">
        <v>119.99</v>
      </c>
      <c r="O284" s="2" t="s">
        <v>97</v>
      </c>
      <c r="P284" s="2" t="s">
        <v>182</v>
      </c>
      <c r="Q284" s="2" t="s">
        <v>99</v>
      </c>
      <c r="R284" s="2" t="s">
        <v>100</v>
      </c>
      <c r="S284" s="2" t="s">
        <v>1179</v>
      </c>
      <c r="T284" s="2" t="s">
        <v>100</v>
      </c>
      <c r="U284" s="2" t="s">
        <v>790</v>
      </c>
      <c r="V284" s="2" t="s">
        <v>601</v>
      </c>
      <c r="W284" s="2" t="s">
        <v>104</v>
      </c>
      <c r="X284" s="2" t="s">
        <v>808</v>
      </c>
      <c r="Y284" s="2" t="s">
        <v>1180</v>
      </c>
      <c r="Z284" s="4">
        <v>430</v>
      </c>
      <c r="AA284" s="4">
        <f>=ROUNDDOWN(47.7777777777778,0)</f>
      </c>
      <c r="AB284" s="5">
        <v>9</v>
      </c>
      <c r="AC284" s="2" t="s">
        <v>100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133</v>
      </c>
      <c r="BK284" s="8">
        <v>8547.83</v>
      </c>
      <c r="BL284" s="2" t="s">
        <v>1181</v>
      </c>
      <c r="BM284" s="7"/>
      <c r="BN284" s="7"/>
      <c r="BO284" s="4"/>
      <c r="BP284" s="8"/>
      <c r="BQ284" s="4"/>
      <c r="BR284" s="8"/>
      <c r="BS284" s="7"/>
      <c r="BT284" s="7"/>
      <c r="BU284" s="2" t="s">
        <v>147</v>
      </c>
      <c r="BV284" s="2" t="s">
        <v>97</v>
      </c>
      <c r="BW284" s="2" t="s">
        <v>100</v>
      </c>
      <c r="BX284" s="2" t="s">
        <v>100</v>
      </c>
      <c r="BY284" s="2" t="s">
        <v>112</v>
      </c>
      <c r="BZ284" s="2" t="s">
        <v>100</v>
      </c>
    </row>
    <row r="285">
      <c r="A285" s="2" t="s">
        <v>1182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1175</v>
      </c>
      <c r="G285" s="2" t="s">
        <v>1176</v>
      </c>
      <c r="H285" s="2" t="s">
        <v>1177</v>
      </c>
      <c r="I285" s="2" t="s">
        <v>1178</v>
      </c>
      <c r="J285" s="2" t="s">
        <v>850</v>
      </c>
      <c r="K285" s="2" t="s">
        <v>310</v>
      </c>
      <c r="L285" s="3">
        <v>66.66</v>
      </c>
      <c r="M285" s="3">
        <v>69.99</v>
      </c>
      <c r="N285" s="3">
        <v>139.99</v>
      </c>
      <c r="O285" s="2" t="s">
        <v>97</v>
      </c>
      <c r="P285" s="2" t="s">
        <v>182</v>
      </c>
      <c r="Q285" s="2" t="s">
        <v>99</v>
      </c>
      <c r="R285" s="2" t="s">
        <v>100</v>
      </c>
      <c r="S285" s="2" t="s">
        <v>1179</v>
      </c>
      <c r="T285" s="2" t="s">
        <v>100</v>
      </c>
      <c r="U285" s="2" t="s">
        <v>790</v>
      </c>
      <c r="V285" s="2" t="s">
        <v>601</v>
      </c>
      <c r="W285" s="2" t="s">
        <v>104</v>
      </c>
      <c r="X285" s="2" t="s">
        <v>808</v>
      </c>
      <c r="Y285" s="2" t="s">
        <v>1180</v>
      </c>
      <c r="Z285" s="4">
        <v>476</v>
      </c>
      <c r="AA285" s="4">
        <f>=ROUNDDOWN(36.6153846153846,0)</f>
      </c>
      <c r="AB285" s="5">
        <v>13</v>
      </c>
      <c r="AC285" s="2" t="s">
        <v>100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235</v>
      </c>
      <c r="BK285" s="8">
        <v>17039.46</v>
      </c>
      <c r="BL285" s="2" t="s">
        <v>1183</v>
      </c>
      <c r="BM285" s="7"/>
      <c r="BN285" s="7"/>
      <c r="BO285" s="4"/>
      <c r="BP285" s="8"/>
      <c r="BQ285" s="4"/>
      <c r="BR285" s="8"/>
      <c r="BS285" s="7"/>
      <c r="BT285" s="7"/>
      <c r="BU285" s="2" t="s">
        <v>147</v>
      </c>
      <c r="BV285" s="2" t="s">
        <v>97</v>
      </c>
      <c r="BW285" s="2" t="s">
        <v>100</v>
      </c>
      <c r="BX285" s="2" t="s">
        <v>100</v>
      </c>
      <c r="BY285" s="2" t="s">
        <v>112</v>
      </c>
      <c r="BZ285" s="2" t="s">
        <v>100</v>
      </c>
    </row>
    <row r="286">
      <c r="A286" s="2" t="s">
        <v>1184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1185</v>
      </c>
      <c r="G286" s="2" t="s">
        <v>1186</v>
      </c>
      <c r="H286" s="2" t="s">
        <v>1187</v>
      </c>
      <c r="I286" s="2" t="s">
        <v>1188</v>
      </c>
      <c r="J286" s="2" t="s">
        <v>95</v>
      </c>
      <c r="K286" s="2" t="s">
        <v>622</v>
      </c>
      <c r="L286" s="3">
        <v>69</v>
      </c>
      <c r="M286" s="3">
        <v>72.45</v>
      </c>
      <c r="N286" s="3">
        <v>149.99</v>
      </c>
      <c r="O286" s="2" t="s">
        <v>97</v>
      </c>
      <c r="P286" s="2" t="s">
        <v>182</v>
      </c>
      <c r="Q286" s="2" t="s">
        <v>99</v>
      </c>
      <c r="R286" s="2" t="s">
        <v>100</v>
      </c>
      <c r="S286" s="2" t="s">
        <v>1189</v>
      </c>
      <c r="T286" s="2" t="s">
        <v>100</v>
      </c>
      <c r="U286" s="2" t="s">
        <v>102</v>
      </c>
      <c r="V286" s="2" t="s">
        <v>103</v>
      </c>
      <c r="W286" s="2" t="s">
        <v>1190</v>
      </c>
      <c r="X286" s="2" t="s">
        <v>1191</v>
      </c>
      <c r="Y286" s="2" t="s">
        <v>1192</v>
      </c>
      <c r="Z286" s="4">
        <v>112</v>
      </c>
      <c r="AA286" s="4">
        <f>=ROUNDDOWN(8.61538461538461,0)</f>
      </c>
      <c r="AB286" s="5">
        <v>13</v>
      </c>
      <c r="AC286" s="2" t="s">
        <v>1193</v>
      </c>
      <c r="AD286" s="4">
        <v>110</v>
      </c>
      <c r="AE286" s="4">
        <v>565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244</v>
      </c>
      <c r="BK286" s="8">
        <v>18456.3</v>
      </c>
      <c r="BL286" s="2" t="s">
        <v>1194</v>
      </c>
      <c r="BM286" s="7"/>
      <c r="BN286" s="7"/>
      <c r="BO286" s="4"/>
      <c r="BP286" s="8"/>
      <c r="BQ286" s="4"/>
      <c r="BR286" s="8"/>
      <c r="BS286" s="7"/>
      <c r="BT286" s="7"/>
      <c r="BU286" s="2" t="s">
        <v>147</v>
      </c>
      <c r="BV286" s="2" t="s">
        <v>97</v>
      </c>
      <c r="BW286" s="2" t="s">
        <v>100</v>
      </c>
      <c r="BX286" s="2" t="s">
        <v>100</v>
      </c>
      <c r="BY286" s="2" t="s">
        <v>112</v>
      </c>
      <c r="BZ286" s="2" t="s">
        <v>100</v>
      </c>
    </row>
    <row r="287">
      <c r="A287" s="2" t="s">
        <v>1195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1185</v>
      </c>
      <c r="G287" s="2" t="s">
        <v>1186</v>
      </c>
      <c r="H287" s="2" t="s">
        <v>1187</v>
      </c>
      <c r="I287" s="2" t="s">
        <v>1188</v>
      </c>
      <c r="J287" s="2" t="s">
        <v>114</v>
      </c>
      <c r="K287" s="2" t="s">
        <v>622</v>
      </c>
      <c r="L287" s="3">
        <v>79.9</v>
      </c>
      <c r="M287" s="3">
        <v>83.89</v>
      </c>
      <c r="N287" s="3">
        <v>169.99</v>
      </c>
      <c r="O287" s="2" t="s">
        <v>97</v>
      </c>
      <c r="P287" s="2" t="s">
        <v>182</v>
      </c>
      <c r="Q287" s="2" t="s">
        <v>99</v>
      </c>
      <c r="R287" s="2" t="s">
        <v>100</v>
      </c>
      <c r="S287" s="2" t="s">
        <v>1189</v>
      </c>
      <c r="T287" s="2" t="s">
        <v>100</v>
      </c>
      <c r="U287" s="2" t="s">
        <v>102</v>
      </c>
      <c r="V287" s="2" t="s">
        <v>103</v>
      </c>
      <c r="W287" s="2" t="s">
        <v>1190</v>
      </c>
      <c r="X287" s="2" t="s">
        <v>1191</v>
      </c>
      <c r="Y287" s="2" t="s">
        <v>1192</v>
      </c>
      <c r="Z287" s="4">
        <v>65</v>
      </c>
      <c r="AA287" s="4">
        <f>=ROUNDDOWN(3.82352941176471,0)</f>
      </c>
      <c r="AB287" s="5">
        <v>17</v>
      </c>
      <c r="AC287" s="2" t="s">
        <v>107</v>
      </c>
      <c r="AD287" s="4">
        <v>100</v>
      </c>
      <c r="AE287" s="4">
        <v>795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307</v>
      </c>
      <c r="BK287" s="8">
        <v>26974.05</v>
      </c>
      <c r="BL287" s="2" t="s">
        <v>1196</v>
      </c>
      <c r="BM287" s="7"/>
      <c r="BN287" s="7"/>
      <c r="BO287" s="4"/>
      <c r="BP287" s="8"/>
      <c r="BQ287" s="4"/>
      <c r="BR287" s="8"/>
      <c r="BS287" s="7"/>
      <c r="BT287" s="7"/>
      <c r="BU287" s="2" t="s">
        <v>147</v>
      </c>
      <c r="BV287" s="2" t="s">
        <v>97</v>
      </c>
      <c r="BW287" s="2" t="s">
        <v>100</v>
      </c>
      <c r="BX287" s="2" t="s">
        <v>100</v>
      </c>
      <c r="BY287" s="2" t="s">
        <v>112</v>
      </c>
      <c r="BZ287" s="2" t="s">
        <v>100</v>
      </c>
    </row>
    <row r="288">
      <c r="A288" s="2" t="s">
        <v>1197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1185</v>
      </c>
      <c r="G288" s="2" t="s">
        <v>1186</v>
      </c>
      <c r="H288" s="2" t="s">
        <v>1187</v>
      </c>
      <c r="I288" s="2" t="s">
        <v>1188</v>
      </c>
      <c r="J288" s="2" t="s">
        <v>118</v>
      </c>
      <c r="K288" s="2" t="s">
        <v>622</v>
      </c>
      <c r="L288" s="3">
        <v>79.9</v>
      </c>
      <c r="M288" s="3">
        <v>83.89</v>
      </c>
      <c r="N288" s="3">
        <v>169.99</v>
      </c>
      <c r="O288" s="2" t="s">
        <v>97</v>
      </c>
      <c r="P288" s="2" t="s">
        <v>182</v>
      </c>
      <c r="Q288" s="2" t="s">
        <v>99</v>
      </c>
      <c r="R288" s="2" t="s">
        <v>100</v>
      </c>
      <c r="S288" s="2" t="s">
        <v>1189</v>
      </c>
      <c r="T288" s="2" t="s">
        <v>100</v>
      </c>
      <c r="U288" s="2" t="s">
        <v>102</v>
      </c>
      <c r="V288" s="2" t="s">
        <v>103</v>
      </c>
      <c r="W288" s="2" t="s">
        <v>1190</v>
      </c>
      <c r="X288" s="2" t="s">
        <v>1191</v>
      </c>
      <c r="Y288" s="2" t="s">
        <v>1192</v>
      </c>
      <c r="Z288" s="4">
        <v>71</v>
      </c>
      <c r="AA288" s="4">
        <f>=ROUNDDOWN(10.1428571428571,0)</f>
      </c>
      <c r="AB288" s="5">
        <v>7</v>
      </c>
      <c r="AC288" s="2" t="s">
        <v>107</v>
      </c>
      <c r="AD288" s="4">
        <v>30</v>
      </c>
      <c r="AE288" s="4">
        <v>300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131</v>
      </c>
      <c r="BK288" s="8">
        <v>11567.8</v>
      </c>
      <c r="BL288" s="2" t="s">
        <v>1198</v>
      </c>
      <c r="BM288" s="7"/>
      <c r="BN288" s="7"/>
      <c r="BO288" s="4"/>
      <c r="BP288" s="8"/>
      <c r="BQ288" s="4"/>
      <c r="BR288" s="8"/>
      <c r="BS288" s="7"/>
      <c r="BT288" s="7"/>
      <c r="BU288" s="2" t="s">
        <v>147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1199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1200</v>
      </c>
      <c r="G289" s="2" t="s">
        <v>1201</v>
      </c>
      <c r="H289" s="2" t="s">
        <v>1202</v>
      </c>
      <c r="I289" s="2" t="s">
        <v>1203</v>
      </c>
      <c r="J289" s="2" t="s">
        <v>95</v>
      </c>
      <c r="K289" s="2" t="s">
        <v>1204</v>
      </c>
      <c r="L289" s="3">
        <v>67.16</v>
      </c>
      <c r="M289" s="3">
        <v>70.52</v>
      </c>
      <c r="N289" s="3">
        <v>149.99</v>
      </c>
      <c r="O289" s="2" t="s">
        <v>97</v>
      </c>
      <c r="P289" s="2" t="s">
        <v>98</v>
      </c>
      <c r="Q289" s="2" t="s">
        <v>99</v>
      </c>
      <c r="R289" s="2" t="s">
        <v>100</v>
      </c>
      <c r="S289" s="2" t="s">
        <v>1205</v>
      </c>
      <c r="T289" s="2" t="s">
        <v>100</v>
      </c>
      <c r="U289" s="2" t="s">
        <v>102</v>
      </c>
      <c r="V289" s="2" t="s">
        <v>1122</v>
      </c>
      <c r="W289" s="2" t="s">
        <v>602</v>
      </c>
      <c r="X289" s="2" t="s">
        <v>1206</v>
      </c>
      <c r="Y289" s="2" t="s">
        <v>1207</v>
      </c>
      <c r="Z289" s="4">
        <v>464</v>
      </c>
      <c r="AA289" s="4">
        <f>=ROUNDDOWN(21.0909090909091,0)</f>
      </c>
      <c r="AB289" s="5">
        <v>22</v>
      </c>
      <c r="AC289" s="2" t="s">
        <v>1208</v>
      </c>
      <c r="AD289" s="4">
        <v>300</v>
      </c>
      <c r="AE289" s="4">
        <v>460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454</v>
      </c>
      <c r="BK289" s="8">
        <v>33837.48</v>
      </c>
      <c r="BL289" s="2" t="s">
        <v>1209</v>
      </c>
      <c r="BM289" s="7"/>
      <c r="BN289" s="7"/>
      <c r="BO289" s="4"/>
      <c r="BP289" s="8"/>
      <c r="BQ289" s="4"/>
      <c r="BR289" s="8"/>
      <c r="BS289" s="7"/>
      <c r="BT289" s="7"/>
      <c r="BU289" s="2" t="s">
        <v>147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1210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1200</v>
      </c>
      <c r="G290" s="2" t="s">
        <v>1201</v>
      </c>
      <c r="H290" s="2" t="s">
        <v>1202</v>
      </c>
      <c r="I290" s="2" t="s">
        <v>1203</v>
      </c>
      <c r="J290" s="2" t="s">
        <v>114</v>
      </c>
      <c r="K290" s="2" t="s">
        <v>1204</v>
      </c>
      <c r="L290" s="3">
        <v>77.49</v>
      </c>
      <c r="M290" s="3">
        <v>81.37</v>
      </c>
      <c r="N290" s="3">
        <v>169.99</v>
      </c>
      <c r="O290" s="2" t="s">
        <v>97</v>
      </c>
      <c r="P290" s="2" t="s">
        <v>98</v>
      </c>
      <c r="Q290" s="2" t="s">
        <v>99</v>
      </c>
      <c r="R290" s="2" t="s">
        <v>100</v>
      </c>
      <c r="S290" s="2" t="s">
        <v>1205</v>
      </c>
      <c r="T290" s="2" t="s">
        <v>100</v>
      </c>
      <c r="U290" s="2" t="s">
        <v>102</v>
      </c>
      <c r="V290" s="2" t="s">
        <v>1122</v>
      </c>
      <c r="W290" s="2" t="s">
        <v>602</v>
      </c>
      <c r="X290" s="2" t="s">
        <v>1206</v>
      </c>
      <c r="Y290" s="2" t="s">
        <v>1207</v>
      </c>
      <c r="Z290" s="4">
        <v>407</v>
      </c>
      <c r="AA290" s="4">
        <f>=ROUNDDOWN(19.3809523809524,0)</f>
      </c>
      <c r="AB290" s="5">
        <v>21</v>
      </c>
      <c r="AC290" s="2" t="s">
        <v>130</v>
      </c>
      <c r="AD290" s="4">
        <v>51</v>
      </c>
      <c r="AE290" s="4">
        <v>379</v>
      </c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493</v>
      </c>
      <c r="BK290" s="8">
        <v>41753.28</v>
      </c>
      <c r="BL290" s="2" t="s">
        <v>1211</v>
      </c>
      <c r="BM290" s="7"/>
      <c r="BN290" s="7"/>
      <c r="BO290" s="4"/>
      <c r="BP290" s="8"/>
      <c r="BQ290" s="4"/>
      <c r="BR290" s="8"/>
      <c r="BS290" s="7"/>
      <c r="BT290" s="7"/>
      <c r="BU290" s="2" t="s">
        <v>147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1212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1200</v>
      </c>
      <c r="G291" s="2" t="s">
        <v>1201</v>
      </c>
      <c r="H291" s="2" t="s">
        <v>1202</v>
      </c>
      <c r="I291" s="2" t="s">
        <v>1203</v>
      </c>
      <c r="J291" s="2" t="s">
        <v>118</v>
      </c>
      <c r="K291" s="2" t="s">
        <v>1204</v>
      </c>
      <c r="L291" s="3">
        <v>77.49</v>
      </c>
      <c r="M291" s="3">
        <v>81.37</v>
      </c>
      <c r="N291" s="3">
        <v>169.99</v>
      </c>
      <c r="O291" s="2" t="s">
        <v>97</v>
      </c>
      <c r="P291" s="2" t="s">
        <v>98</v>
      </c>
      <c r="Q291" s="2" t="s">
        <v>99</v>
      </c>
      <c r="R291" s="2" t="s">
        <v>100</v>
      </c>
      <c r="S291" s="2" t="s">
        <v>1205</v>
      </c>
      <c r="T291" s="2" t="s">
        <v>100</v>
      </c>
      <c r="U291" s="2" t="s">
        <v>102</v>
      </c>
      <c r="V291" s="2" t="s">
        <v>1122</v>
      </c>
      <c r="W291" s="2" t="s">
        <v>602</v>
      </c>
      <c r="X291" s="2" t="s">
        <v>1206</v>
      </c>
      <c r="Y291" s="2" t="s">
        <v>1207</v>
      </c>
      <c r="Z291" s="4">
        <v>312</v>
      </c>
      <c r="AA291" s="4">
        <f>=ROUNDDOWN(31.2,0)</f>
      </c>
      <c r="AB291" s="5">
        <v>10</v>
      </c>
      <c r="AC291" s="2" t="s">
        <v>1208</v>
      </c>
      <c r="AD291" s="4">
        <v>30</v>
      </c>
      <c r="AE291" s="4">
        <v>60</v>
      </c>
      <c r="AF291" s="6">
        <v>65</v>
      </c>
      <c r="AG291" s="6">
        <v>73</v>
      </c>
      <c r="AH291" s="7">
        <v>0.9818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>
        <v>173</v>
      </c>
      <c r="BK291" s="8">
        <v>14656.62</v>
      </c>
      <c r="BL291" s="2" t="s">
        <v>1213</v>
      </c>
      <c r="BM291" s="7"/>
      <c r="BN291" s="7"/>
      <c r="BO291" s="4"/>
      <c r="BP291" s="8"/>
      <c r="BQ291" s="4"/>
      <c r="BR291" s="8"/>
      <c r="BS291" s="7"/>
      <c r="BT291" s="7"/>
      <c r="BU291" s="2" t="s">
        <v>147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1214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1215</v>
      </c>
      <c r="G292" s="2" t="s">
        <v>1216</v>
      </c>
      <c r="H292" s="2" t="s">
        <v>1217</v>
      </c>
      <c r="I292" s="2" t="s">
        <v>1218</v>
      </c>
      <c r="J292" s="2" t="s">
        <v>844</v>
      </c>
      <c r="K292" s="2" t="s">
        <v>323</v>
      </c>
      <c r="L292" s="3">
        <v>41.14</v>
      </c>
      <c r="M292" s="3">
        <v>43.2</v>
      </c>
      <c r="N292" s="3">
        <v>89.99</v>
      </c>
      <c r="O292" s="2" t="s">
        <v>97</v>
      </c>
      <c r="P292" s="2" t="s">
        <v>1166</v>
      </c>
      <c r="Q292" s="2" t="s">
        <v>99</v>
      </c>
      <c r="R292" s="2" t="s">
        <v>100</v>
      </c>
      <c r="S292" s="2" t="s">
        <v>1219</v>
      </c>
      <c r="T292" s="2" t="s">
        <v>1168</v>
      </c>
      <c r="U292" s="2" t="s">
        <v>490</v>
      </c>
      <c r="V292" s="2" t="s">
        <v>561</v>
      </c>
      <c r="W292" s="2" t="s">
        <v>405</v>
      </c>
      <c r="X292" s="2" t="s">
        <v>100</v>
      </c>
      <c r="Y292" s="2" t="s">
        <v>1220</v>
      </c>
      <c r="Z292" s="4">
        <v>218</v>
      </c>
      <c r="AA292" s="4">
        <f>=ROUNDDOWN(198.181818181818,0)</f>
      </c>
      <c r="AB292" s="5">
        <v>1.1</v>
      </c>
      <c r="AC292" s="2" t="s">
        <v>1221</v>
      </c>
      <c r="AD292" s="4">
        <v>180</v>
      </c>
      <c r="AE292" s="4">
        <v>180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2</v>
      </c>
      <c r="BK292" s="8">
        <v>93.3</v>
      </c>
      <c r="BL292" s="2" t="s">
        <v>1222</v>
      </c>
      <c r="BM292" s="7"/>
      <c r="BN292" s="7"/>
      <c r="BO292" s="4"/>
      <c r="BP292" s="8"/>
      <c r="BQ292" s="4"/>
      <c r="BR292" s="8"/>
      <c r="BS292" s="7"/>
      <c r="BT292" s="7"/>
      <c r="BU292" s="2" t="s">
        <v>1171</v>
      </c>
      <c r="BV292" s="2" t="s">
        <v>97</v>
      </c>
      <c r="BW292" s="2" t="s">
        <v>100</v>
      </c>
      <c r="BX292" s="2" t="s">
        <v>100</v>
      </c>
      <c r="BY292" s="2" t="s">
        <v>112</v>
      </c>
      <c r="BZ292" s="2" t="s">
        <v>100</v>
      </c>
    </row>
    <row r="293">
      <c r="A293" s="2" t="s">
        <v>1223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1215</v>
      </c>
      <c r="G293" s="2" t="s">
        <v>1216</v>
      </c>
      <c r="H293" s="2" t="s">
        <v>1217</v>
      </c>
      <c r="I293" s="2" t="s">
        <v>1218</v>
      </c>
      <c r="J293" s="2" t="s">
        <v>850</v>
      </c>
      <c r="K293" s="2" t="s">
        <v>323</v>
      </c>
      <c r="L293" s="3">
        <v>45.71</v>
      </c>
      <c r="M293" s="3">
        <v>48</v>
      </c>
      <c r="N293" s="3">
        <v>99.99</v>
      </c>
      <c r="O293" s="2" t="s">
        <v>97</v>
      </c>
      <c r="P293" s="2" t="s">
        <v>1166</v>
      </c>
      <c r="Q293" s="2" t="s">
        <v>99</v>
      </c>
      <c r="R293" s="2" t="s">
        <v>100</v>
      </c>
      <c r="S293" s="2" t="s">
        <v>1219</v>
      </c>
      <c r="T293" s="2" t="s">
        <v>1168</v>
      </c>
      <c r="U293" s="2" t="s">
        <v>490</v>
      </c>
      <c r="V293" s="2" t="s">
        <v>561</v>
      </c>
      <c r="W293" s="2" t="s">
        <v>405</v>
      </c>
      <c r="X293" s="2" t="s">
        <v>100</v>
      </c>
      <c r="Y293" s="2" t="s">
        <v>1220</v>
      </c>
      <c r="Z293" s="4">
        <v>179</v>
      </c>
      <c r="AA293" s="4">
        <f>=ROUNDDOWN(358,0)</f>
      </c>
      <c r="AB293" s="5">
        <v>0.5</v>
      </c>
      <c r="AC293" s="2" t="s">
        <v>1221</v>
      </c>
      <c r="AD293" s="4">
        <v>176</v>
      </c>
      <c r="AE293" s="4">
        <v>180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1</v>
      </c>
      <c r="BK293" s="8">
        <v>51.84</v>
      </c>
      <c r="BL293" s="2" t="s">
        <v>1222</v>
      </c>
      <c r="BM293" s="7"/>
      <c r="BN293" s="7"/>
      <c r="BO293" s="4"/>
      <c r="BP293" s="8"/>
      <c r="BQ293" s="4"/>
      <c r="BR293" s="8"/>
      <c r="BS293" s="7"/>
      <c r="BT293" s="7"/>
      <c r="BU293" s="2" t="s">
        <v>1171</v>
      </c>
      <c r="BV293" s="2" t="s">
        <v>97</v>
      </c>
      <c r="BW293" s="2" t="s">
        <v>100</v>
      </c>
      <c r="BX293" s="2" t="s">
        <v>100</v>
      </c>
      <c r="BY293" s="2" t="s">
        <v>112</v>
      </c>
      <c r="BZ293" s="2" t="s">
        <v>100</v>
      </c>
    </row>
    <row r="294">
      <c r="A294" s="2" t="s">
        <v>1224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1225</v>
      </c>
      <c r="G294" s="2" t="s">
        <v>1226</v>
      </c>
      <c r="H294" s="2" t="s">
        <v>1227</v>
      </c>
      <c r="I294" s="2" t="s">
        <v>196</v>
      </c>
      <c r="J294" s="2" t="s">
        <v>95</v>
      </c>
      <c r="K294" s="2" t="s">
        <v>267</v>
      </c>
      <c r="L294" s="3">
        <v>67.2</v>
      </c>
      <c r="M294" s="3">
        <v>70.55</v>
      </c>
      <c r="N294" s="3">
        <v>149.99</v>
      </c>
      <c r="O294" s="2" t="s">
        <v>97</v>
      </c>
      <c r="P294" s="2" t="s">
        <v>182</v>
      </c>
      <c r="Q294" s="2" t="s">
        <v>99</v>
      </c>
      <c r="R294" s="2" t="s">
        <v>100</v>
      </c>
      <c r="S294" s="2" t="s">
        <v>1228</v>
      </c>
      <c r="T294" s="2" t="s">
        <v>100</v>
      </c>
      <c r="U294" s="2" t="s">
        <v>102</v>
      </c>
      <c r="V294" s="2" t="s">
        <v>991</v>
      </c>
      <c r="W294" s="2" t="s">
        <v>405</v>
      </c>
      <c r="X294" s="2" t="s">
        <v>456</v>
      </c>
      <c r="Y294" s="2" t="s">
        <v>106</v>
      </c>
      <c r="Z294" s="4">
        <v>397</v>
      </c>
      <c r="AA294" s="4">
        <f>=ROUNDDOWN(24.8125,0)</f>
      </c>
      <c r="AB294" s="5">
        <v>16</v>
      </c>
      <c r="AC294" s="2" t="s">
        <v>518</v>
      </c>
      <c r="AD294" s="4">
        <v>220</v>
      </c>
      <c r="AE294" s="4">
        <v>220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223</v>
      </c>
      <c r="BK294" s="8">
        <v>15452.6</v>
      </c>
      <c r="BL294" s="2" t="s">
        <v>395</v>
      </c>
      <c r="BM294" s="7"/>
      <c r="BN294" s="7"/>
      <c r="BO294" s="4"/>
      <c r="BP294" s="8"/>
      <c r="BQ294" s="4"/>
      <c r="BR294" s="8"/>
      <c r="BS294" s="7"/>
      <c r="BT294" s="7"/>
      <c r="BU294" s="2" t="s">
        <v>147</v>
      </c>
      <c r="BV294" s="2" t="s">
        <v>97</v>
      </c>
      <c r="BW294" s="2" t="s">
        <v>100</v>
      </c>
      <c r="BX294" s="2" t="s">
        <v>100</v>
      </c>
      <c r="BY294" s="2" t="s">
        <v>112</v>
      </c>
      <c r="BZ294" s="2" t="s">
        <v>100</v>
      </c>
    </row>
    <row r="295">
      <c r="A295" s="2" t="s">
        <v>1229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1225</v>
      </c>
      <c r="G295" s="2" t="s">
        <v>1226</v>
      </c>
      <c r="H295" s="2" t="s">
        <v>1227</v>
      </c>
      <c r="I295" s="2" t="s">
        <v>196</v>
      </c>
      <c r="J295" s="2" t="s">
        <v>114</v>
      </c>
      <c r="K295" s="2" t="s">
        <v>267</v>
      </c>
      <c r="L295" s="3">
        <v>80</v>
      </c>
      <c r="M295" s="3">
        <v>83.99</v>
      </c>
      <c r="N295" s="3">
        <v>169.99</v>
      </c>
      <c r="O295" s="2" t="s">
        <v>97</v>
      </c>
      <c r="P295" s="2" t="s">
        <v>182</v>
      </c>
      <c r="Q295" s="2" t="s">
        <v>99</v>
      </c>
      <c r="R295" s="2" t="s">
        <v>100</v>
      </c>
      <c r="S295" s="2" t="s">
        <v>1228</v>
      </c>
      <c r="T295" s="2" t="s">
        <v>100</v>
      </c>
      <c r="U295" s="2" t="s">
        <v>102</v>
      </c>
      <c r="V295" s="2" t="s">
        <v>991</v>
      </c>
      <c r="W295" s="2" t="s">
        <v>405</v>
      </c>
      <c r="X295" s="2" t="s">
        <v>456</v>
      </c>
      <c r="Y295" s="2" t="s">
        <v>106</v>
      </c>
      <c r="Z295" s="4">
        <v>404</v>
      </c>
      <c r="AA295" s="4">
        <f>=ROUNDDOWN(28.8571428571429,0)</f>
      </c>
      <c r="AB295" s="5">
        <v>14</v>
      </c>
      <c r="AC295" s="2" t="s">
        <v>518</v>
      </c>
      <c r="AD295" s="4">
        <v>210</v>
      </c>
      <c r="AE295" s="4">
        <v>210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215</v>
      </c>
      <c r="BK295" s="8">
        <v>17364</v>
      </c>
      <c r="BL295" s="2" t="s">
        <v>1230</v>
      </c>
      <c r="BM295" s="7"/>
      <c r="BN295" s="7"/>
      <c r="BO295" s="4"/>
      <c r="BP295" s="8"/>
      <c r="BQ295" s="4"/>
      <c r="BR295" s="8"/>
      <c r="BS295" s="7"/>
      <c r="BT295" s="7"/>
      <c r="BU295" s="2" t="s">
        <v>147</v>
      </c>
      <c r="BV295" s="2" t="s">
        <v>97</v>
      </c>
      <c r="BW295" s="2" t="s">
        <v>100</v>
      </c>
      <c r="BX295" s="2" t="s">
        <v>100</v>
      </c>
      <c r="BY295" s="2" t="s">
        <v>112</v>
      </c>
      <c r="BZ295" s="2" t="s">
        <v>100</v>
      </c>
    </row>
    <row r="296">
      <c r="A296" s="2" t="s">
        <v>1231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1225</v>
      </c>
      <c r="G296" s="2" t="s">
        <v>1226</v>
      </c>
      <c r="H296" s="2" t="s">
        <v>1227</v>
      </c>
      <c r="I296" s="2" t="s">
        <v>196</v>
      </c>
      <c r="J296" s="2" t="s">
        <v>118</v>
      </c>
      <c r="K296" s="2" t="s">
        <v>267</v>
      </c>
      <c r="L296" s="3">
        <v>80</v>
      </c>
      <c r="M296" s="3">
        <v>83.99</v>
      </c>
      <c r="N296" s="3">
        <v>169.99</v>
      </c>
      <c r="O296" s="2" t="s">
        <v>97</v>
      </c>
      <c r="P296" s="2" t="s">
        <v>182</v>
      </c>
      <c r="Q296" s="2" t="s">
        <v>99</v>
      </c>
      <c r="R296" s="2" t="s">
        <v>100</v>
      </c>
      <c r="S296" s="2" t="s">
        <v>1228</v>
      </c>
      <c r="T296" s="2" t="s">
        <v>100</v>
      </c>
      <c r="U296" s="2" t="s">
        <v>102</v>
      </c>
      <c r="V296" s="2" t="s">
        <v>991</v>
      </c>
      <c r="W296" s="2" t="s">
        <v>405</v>
      </c>
      <c r="X296" s="2" t="s">
        <v>456</v>
      </c>
      <c r="Y296" s="2" t="s">
        <v>106</v>
      </c>
      <c r="Z296" s="4">
        <v>158</v>
      </c>
      <c r="AA296" s="4">
        <f>=ROUNDDOWN(26.3333333333333,0)</f>
      </c>
      <c r="AB296" s="5">
        <v>6</v>
      </c>
      <c r="AC296" s="2" t="s">
        <v>518</v>
      </c>
      <c r="AD296" s="4">
        <v>95</v>
      </c>
      <c r="AE296" s="4">
        <v>95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85</v>
      </c>
      <c r="BK296" s="8">
        <v>6766.67</v>
      </c>
      <c r="BL296" s="2" t="s">
        <v>1232</v>
      </c>
      <c r="BM296" s="7"/>
      <c r="BN296" s="7"/>
      <c r="BO296" s="4"/>
      <c r="BP296" s="8"/>
      <c r="BQ296" s="4"/>
      <c r="BR296" s="8"/>
      <c r="BS296" s="7"/>
      <c r="BT296" s="7"/>
      <c r="BU296" s="2" t="s">
        <v>147</v>
      </c>
      <c r="BV296" s="2" t="s">
        <v>97</v>
      </c>
      <c r="BW296" s="2" t="s">
        <v>100</v>
      </c>
      <c r="BX296" s="2" t="s">
        <v>100</v>
      </c>
      <c r="BY296" s="2" t="s">
        <v>112</v>
      </c>
      <c r="BZ296" s="2" t="s">
        <v>100</v>
      </c>
    </row>
    <row r="297">
      <c r="A297" s="2" t="s">
        <v>1233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1225</v>
      </c>
      <c r="G297" s="2" t="s">
        <v>1226</v>
      </c>
      <c r="H297" s="2" t="s">
        <v>1227</v>
      </c>
      <c r="I297" s="2" t="s">
        <v>196</v>
      </c>
      <c r="J297" s="2" t="s">
        <v>95</v>
      </c>
      <c r="K297" s="2" t="s">
        <v>333</v>
      </c>
      <c r="L297" s="3">
        <v>67.2</v>
      </c>
      <c r="M297" s="3">
        <v>70.55</v>
      </c>
      <c r="N297" s="3">
        <v>149.99</v>
      </c>
      <c r="O297" s="2" t="s">
        <v>97</v>
      </c>
      <c r="P297" s="2" t="s">
        <v>98</v>
      </c>
      <c r="Q297" s="2" t="s">
        <v>99</v>
      </c>
      <c r="R297" s="2" t="s">
        <v>100</v>
      </c>
      <c r="S297" s="2" t="s">
        <v>1234</v>
      </c>
      <c r="T297" s="2" t="s">
        <v>100</v>
      </c>
      <c r="U297" s="2" t="s">
        <v>102</v>
      </c>
      <c r="V297" s="2" t="s">
        <v>991</v>
      </c>
      <c r="W297" s="2" t="s">
        <v>405</v>
      </c>
      <c r="X297" s="2" t="s">
        <v>456</v>
      </c>
      <c r="Y297" s="2" t="s">
        <v>106</v>
      </c>
      <c r="Z297" s="4">
        <v>176</v>
      </c>
      <c r="AA297" s="4">
        <f>=ROUNDDOWN(9.26315789473684,0)</f>
      </c>
      <c r="AB297" s="5">
        <v>19</v>
      </c>
      <c r="AC297" s="2" t="s">
        <v>107</v>
      </c>
      <c r="AD297" s="4">
        <v>370</v>
      </c>
      <c r="AE297" s="4">
        <v>730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430</v>
      </c>
      <c r="BK297" s="8">
        <v>31759.77</v>
      </c>
      <c r="BL297" s="2" t="s">
        <v>1235</v>
      </c>
      <c r="BM297" s="7"/>
      <c r="BN297" s="7"/>
      <c r="BO297" s="4"/>
      <c r="BP297" s="8"/>
      <c r="BQ297" s="4"/>
      <c r="BR297" s="8"/>
      <c r="BS297" s="7"/>
      <c r="BT297" s="7"/>
      <c r="BU297" s="2" t="s">
        <v>147</v>
      </c>
      <c r="BV297" s="2" t="s">
        <v>97</v>
      </c>
      <c r="BW297" s="2" t="s">
        <v>100</v>
      </c>
      <c r="BX297" s="2" t="s">
        <v>100</v>
      </c>
      <c r="BY297" s="2" t="s">
        <v>112</v>
      </c>
      <c r="BZ297" s="2" t="s">
        <v>100</v>
      </c>
    </row>
    <row r="298">
      <c r="A298" s="2" t="s">
        <v>1236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1225</v>
      </c>
      <c r="G298" s="2" t="s">
        <v>1226</v>
      </c>
      <c r="H298" s="2" t="s">
        <v>1227</v>
      </c>
      <c r="I298" s="2" t="s">
        <v>196</v>
      </c>
      <c r="J298" s="2" t="s">
        <v>114</v>
      </c>
      <c r="K298" s="2" t="s">
        <v>333</v>
      </c>
      <c r="L298" s="3">
        <v>80</v>
      </c>
      <c r="M298" s="3">
        <v>83.99</v>
      </c>
      <c r="N298" s="3">
        <v>169.99</v>
      </c>
      <c r="O298" s="2" t="s">
        <v>97</v>
      </c>
      <c r="P298" s="2" t="s">
        <v>98</v>
      </c>
      <c r="Q298" s="2" t="s">
        <v>99</v>
      </c>
      <c r="R298" s="2" t="s">
        <v>100</v>
      </c>
      <c r="S298" s="2" t="s">
        <v>1234</v>
      </c>
      <c r="T298" s="2" t="s">
        <v>100</v>
      </c>
      <c r="U298" s="2" t="s">
        <v>102</v>
      </c>
      <c r="V298" s="2" t="s">
        <v>991</v>
      </c>
      <c r="W298" s="2" t="s">
        <v>405</v>
      </c>
      <c r="X298" s="2" t="s">
        <v>456</v>
      </c>
      <c r="Y298" s="2" t="s">
        <v>106</v>
      </c>
      <c r="Z298" s="4">
        <v>191</v>
      </c>
      <c r="AA298" s="4">
        <f>=ROUNDDOWN(8.68181818181818,0)</f>
      </c>
      <c r="AB298" s="5">
        <v>22</v>
      </c>
      <c r="AC298" s="2" t="s">
        <v>107</v>
      </c>
      <c r="AD298" s="4">
        <v>386</v>
      </c>
      <c r="AE298" s="4">
        <v>676</v>
      </c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435</v>
      </c>
      <c r="BK298" s="8">
        <v>37100.38</v>
      </c>
      <c r="BL298" s="2" t="s">
        <v>1237</v>
      </c>
      <c r="BM298" s="7"/>
      <c r="BN298" s="7"/>
      <c r="BO298" s="4"/>
      <c r="BP298" s="8"/>
      <c r="BQ298" s="4"/>
      <c r="BR298" s="8"/>
      <c r="BS298" s="7"/>
      <c r="BT298" s="7"/>
      <c r="BU298" s="2" t="s">
        <v>147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1238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1225</v>
      </c>
      <c r="G299" s="2" t="s">
        <v>1226</v>
      </c>
      <c r="H299" s="2" t="s">
        <v>1227</v>
      </c>
      <c r="I299" s="2" t="s">
        <v>196</v>
      </c>
      <c r="J299" s="2" t="s">
        <v>118</v>
      </c>
      <c r="K299" s="2" t="s">
        <v>333</v>
      </c>
      <c r="L299" s="3">
        <v>80</v>
      </c>
      <c r="M299" s="3">
        <v>83.99</v>
      </c>
      <c r="N299" s="3">
        <v>169.99</v>
      </c>
      <c r="O299" s="2" t="s">
        <v>97</v>
      </c>
      <c r="P299" s="2" t="s">
        <v>98</v>
      </c>
      <c r="Q299" s="2" t="s">
        <v>99</v>
      </c>
      <c r="R299" s="2" t="s">
        <v>100</v>
      </c>
      <c r="S299" s="2" t="s">
        <v>1234</v>
      </c>
      <c r="T299" s="2" t="s">
        <v>100</v>
      </c>
      <c r="U299" s="2" t="s">
        <v>102</v>
      </c>
      <c r="V299" s="2" t="s">
        <v>991</v>
      </c>
      <c r="W299" s="2" t="s">
        <v>405</v>
      </c>
      <c r="X299" s="2" t="s">
        <v>456</v>
      </c>
      <c r="Y299" s="2" t="s">
        <v>106</v>
      </c>
      <c r="Z299" s="4">
        <v>126</v>
      </c>
      <c r="AA299" s="4">
        <f>=ROUNDDOWN(15.75,0)</f>
      </c>
      <c r="AB299" s="5">
        <v>8</v>
      </c>
      <c r="AC299" s="2" t="s">
        <v>107</v>
      </c>
      <c r="AD299" s="4">
        <v>40</v>
      </c>
      <c r="AE299" s="4">
        <v>190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>
        <v>124</v>
      </c>
      <c r="BK299" s="8">
        <v>10595.68</v>
      </c>
      <c r="BL299" s="2" t="s">
        <v>1239</v>
      </c>
      <c r="BM299" s="7"/>
      <c r="BN299" s="7"/>
      <c r="BO299" s="4"/>
      <c r="BP299" s="8"/>
      <c r="BQ299" s="4"/>
      <c r="BR299" s="8"/>
      <c r="BS299" s="7"/>
      <c r="BT299" s="7"/>
      <c r="BU299" s="2" t="s">
        <v>147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1240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1225</v>
      </c>
      <c r="G300" s="2" t="s">
        <v>1226</v>
      </c>
      <c r="H300" s="2" t="s">
        <v>1227</v>
      </c>
      <c r="I300" s="2" t="s">
        <v>558</v>
      </c>
      <c r="J300" s="2" t="s">
        <v>95</v>
      </c>
      <c r="K300" s="2" t="s">
        <v>197</v>
      </c>
      <c r="L300" s="3">
        <v>67.2</v>
      </c>
      <c r="M300" s="3">
        <v>70.55</v>
      </c>
      <c r="N300" s="3">
        <v>149.99</v>
      </c>
      <c r="O300" s="2" t="s">
        <v>97</v>
      </c>
      <c r="P300" s="2" t="s">
        <v>182</v>
      </c>
      <c r="Q300" s="2" t="s">
        <v>99</v>
      </c>
      <c r="R300" s="2" t="s">
        <v>100</v>
      </c>
      <c r="S300" s="2" t="s">
        <v>1241</v>
      </c>
      <c r="T300" s="2" t="s">
        <v>100</v>
      </c>
      <c r="U300" s="2" t="s">
        <v>102</v>
      </c>
      <c r="V300" s="2" t="s">
        <v>991</v>
      </c>
      <c r="W300" s="2" t="s">
        <v>405</v>
      </c>
      <c r="X300" s="2" t="s">
        <v>406</v>
      </c>
      <c r="Y300" s="2" t="s">
        <v>1242</v>
      </c>
      <c r="Z300" s="4">
        <v>364</v>
      </c>
      <c r="AA300" s="4">
        <f>=ROUNDDOWN(24.2666666666667,0)</f>
      </c>
      <c r="AB300" s="5">
        <v>15</v>
      </c>
      <c r="AC300" s="2" t="s">
        <v>1243</v>
      </c>
      <c r="AD300" s="4">
        <v>90</v>
      </c>
      <c r="AE300" s="4">
        <v>300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287</v>
      </c>
      <c r="BK300" s="8">
        <v>20923.49</v>
      </c>
      <c r="BL300" s="2" t="s">
        <v>1244</v>
      </c>
      <c r="BM300" s="7"/>
      <c r="BN300" s="7"/>
      <c r="BO300" s="4"/>
      <c r="BP300" s="8"/>
      <c r="BQ300" s="4"/>
      <c r="BR300" s="8"/>
      <c r="BS300" s="7"/>
      <c r="BT300" s="7"/>
      <c r="BU300" s="2" t="s">
        <v>147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1245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1225</v>
      </c>
      <c r="G301" s="2" t="s">
        <v>1226</v>
      </c>
      <c r="H301" s="2" t="s">
        <v>1227</v>
      </c>
      <c r="I301" s="2" t="s">
        <v>558</v>
      </c>
      <c r="J301" s="2" t="s">
        <v>114</v>
      </c>
      <c r="K301" s="2" t="s">
        <v>197</v>
      </c>
      <c r="L301" s="3">
        <v>80</v>
      </c>
      <c r="M301" s="3">
        <v>83.99</v>
      </c>
      <c r="N301" s="3">
        <v>169.99</v>
      </c>
      <c r="O301" s="2" t="s">
        <v>97</v>
      </c>
      <c r="P301" s="2" t="s">
        <v>182</v>
      </c>
      <c r="Q301" s="2" t="s">
        <v>99</v>
      </c>
      <c r="R301" s="2" t="s">
        <v>100</v>
      </c>
      <c r="S301" s="2" t="s">
        <v>1241</v>
      </c>
      <c r="T301" s="2" t="s">
        <v>100</v>
      </c>
      <c r="U301" s="2" t="s">
        <v>102</v>
      </c>
      <c r="V301" s="2" t="s">
        <v>991</v>
      </c>
      <c r="W301" s="2" t="s">
        <v>405</v>
      </c>
      <c r="X301" s="2" t="s">
        <v>406</v>
      </c>
      <c r="Y301" s="2" t="s">
        <v>1242</v>
      </c>
      <c r="Z301" s="4">
        <v>335</v>
      </c>
      <c r="AA301" s="4">
        <f>=ROUNDDOWN(20.9375,0)</f>
      </c>
      <c r="AB301" s="5">
        <v>16</v>
      </c>
      <c r="AC301" s="2" t="s">
        <v>1243</v>
      </c>
      <c r="AD301" s="4">
        <v>100</v>
      </c>
      <c r="AE301" s="4">
        <v>350</v>
      </c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292</v>
      </c>
      <c r="BK301" s="8">
        <v>24643.27</v>
      </c>
      <c r="BL301" s="2" t="s">
        <v>1246</v>
      </c>
      <c r="BM301" s="7"/>
      <c r="BN301" s="7"/>
      <c r="BO301" s="4"/>
      <c r="BP301" s="8"/>
      <c r="BQ301" s="4"/>
      <c r="BR301" s="8"/>
      <c r="BS301" s="7"/>
      <c r="BT301" s="7"/>
      <c r="BU301" s="2" t="s">
        <v>147</v>
      </c>
      <c r="BV301" s="2" t="s">
        <v>97</v>
      </c>
      <c r="BW301" s="2" t="s">
        <v>100</v>
      </c>
      <c r="BX301" s="2" t="s">
        <v>100</v>
      </c>
      <c r="BY301" s="2" t="s">
        <v>112</v>
      </c>
      <c r="BZ301" s="2" t="s">
        <v>100</v>
      </c>
    </row>
    <row r="302">
      <c r="A302" s="2" t="s">
        <v>1247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1225</v>
      </c>
      <c r="G302" s="2" t="s">
        <v>1226</v>
      </c>
      <c r="H302" s="2" t="s">
        <v>1227</v>
      </c>
      <c r="I302" s="2" t="s">
        <v>558</v>
      </c>
      <c r="J302" s="2" t="s">
        <v>118</v>
      </c>
      <c r="K302" s="2" t="s">
        <v>197</v>
      </c>
      <c r="L302" s="3">
        <v>80</v>
      </c>
      <c r="M302" s="3">
        <v>83.99</v>
      </c>
      <c r="N302" s="3">
        <v>169.99</v>
      </c>
      <c r="O302" s="2" t="s">
        <v>97</v>
      </c>
      <c r="P302" s="2" t="s">
        <v>182</v>
      </c>
      <c r="Q302" s="2" t="s">
        <v>99</v>
      </c>
      <c r="R302" s="2" t="s">
        <v>100</v>
      </c>
      <c r="S302" s="2" t="s">
        <v>1241</v>
      </c>
      <c r="T302" s="2" t="s">
        <v>100</v>
      </c>
      <c r="U302" s="2" t="s">
        <v>102</v>
      </c>
      <c r="V302" s="2" t="s">
        <v>991</v>
      </c>
      <c r="W302" s="2" t="s">
        <v>405</v>
      </c>
      <c r="X302" s="2" t="s">
        <v>406</v>
      </c>
      <c r="Y302" s="2" t="s">
        <v>1242</v>
      </c>
      <c r="Z302" s="4">
        <v>226</v>
      </c>
      <c r="AA302" s="4">
        <f>=ROUNDDOWN(37.6666666666667,0)</f>
      </c>
      <c r="AB302" s="5">
        <v>6</v>
      </c>
      <c r="AC302" s="2" t="s">
        <v>1248</v>
      </c>
      <c r="AD302" s="4">
        <v>50</v>
      </c>
      <c r="AE302" s="4">
        <v>50</v>
      </c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86</v>
      </c>
      <c r="BK302" s="8">
        <v>7288.7</v>
      </c>
      <c r="BL302" s="2" t="s">
        <v>1249</v>
      </c>
      <c r="BM302" s="7"/>
      <c r="BN302" s="7"/>
      <c r="BO302" s="4"/>
      <c r="BP302" s="8"/>
      <c r="BQ302" s="4"/>
      <c r="BR302" s="8"/>
      <c r="BS302" s="7"/>
      <c r="BT302" s="7"/>
      <c r="BU302" s="2" t="s">
        <v>147</v>
      </c>
      <c r="BV302" s="2" t="s">
        <v>97</v>
      </c>
      <c r="BW302" s="2" t="s">
        <v>100</v>
      </c>
      <c r="BX302" s="2" t="s">
        <v>100</v>
      </c>
      <c r="BY302" s="2" t="s">
        <v>112</v>
      </c>
      <c r="BZ302" s="2" t="s">
        <v>100</v>
      </c>
    </row>
    <row r="303">
      <c r="A303" s="2" t="s">
        <v>1250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1251</v>
      </c>
      <c r="G303" s="2" t="s">
        <v>1252</v>
      </c>
      <c r="H303" s="2" t="s">
        <v>1253</v>
      </c>
      <c r="I303" s="2" t="s">
        <v>196</v>
      </c>
      <c r="J303" s="2" t="s">
        <v>95</v>
      </c>
      <c r="K303" s="2" t="s">
        <v>333</v>
      </c>
      <c r="L303" s="3">
        <v>63.17</v>
      </c>
      <c r="M303" s="3">
        <v>66.33</v>
      </c>
      <c r="N303" s="3">
        <v>124.99</v>
      </c>
      <c r="O303" s="2" t="s">
        <v>97</v>
      </c>
      <c r="P303" s="2" t="s">
        <v>182</v>
      </c>
      <c r="Q303" s="2" t="s">
        <v>99</v>
      </c>
      <c r="R303" s="2" t="s">
        <v>100</v>
      </c>
      <c r="S303" s="2" t="s">
        <v>1254</v>
      </c>
      <c r="T303" s="2" t="s">
        <v>100</v>
      </c>
      <c r="U303" s="2" t="s">
        <v>102</v>
      </c>
      <c r="V303" s="2" t="s">
        <v>103</v>
      </c>
      <c r="W303" s="2" t="s">
        <v>104</v>
      </c>
      <c r="X303" s="2" t="s">
        <v>380</v>
      </c>
      <c r="Y303" s="2" t="s">
        <v>106</v>
      </c>
      <c r="Z303" s="4">
        <v>412</v>
      </c>
      <c r="AA303" s="4">
        <f>=ROUNDDOWN(34.3333333333333,0)</f>
      </c>
      <c r="AB303" s="5">
        <v>12</v>
      </c>
      <c r="AC303" s="2" t="s">
        <v>100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235</v>
      </c>
      <c r="BK303" s="8">
        <v>16591.1</v>
      </c>
      <c r="BL303" s="2" t="s">
        <v>1255</v>
      </c>
      <c r="BM303" s="7"/>
      <c r="BN303" s="7"/>
      <c r="BO303" s="4"/>
      <c r="BP303" s="8"/>
      <c r="BQ303" s="4"/>
      <c r="BR303" s="8"/>
      <c r="BS303" s="7"/>
      <c r="BT303" s="7"/>
      <c r="BU303" s="2" t="s">
        <v>147</v>
      </c>
      <c r="BV303" s="2" t="s">
        <v>97</v>
      </c>
      <c r="BW303" s="2" t="s">
        <v>100</v>
      </c>
      <c r="BX303" s="2" t="s">
        <v>100</v>
      </c>
      <c r="BY303" s="2" t="s">
        <v>112</v>
      </c>
      <c r="BZ303" s="2" t="s">
        <v>100</v>
      </c>
    </row>
    <row r="304">
      <c r="A304" s="2" t="s">
        <v>1256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1251</v>
      </c>
      <c r="G304" s="2" t="s">
        <v>1252</v>
      </c>
      <c r="H304" s="2" t="s">
        <v>1253</v>
      </c>
      <c r="I304" s="2" t="s">
        <v>196</v>
      </c>
      <c r="J304" s="2" t="s">
        <v>114</v>
      </c>
      <c r="K304" s="2" t="s">
        <v>333</v>
      </c>
      <c r="L304" s="3">
        <v>72.53</v>
      </c>
      <c r="M304" s="3">
        <v>76.16</v>
      </c>
      <c r="N304" s="3">
        <v>144.99</v>
      </c>
      <c r="O304" s="2" t="s">
        <v>97</v>
      </c>
      <c r="P304" s="2" t="s">
        <v>182</v>
      </c>
      <c r="Q304" s="2" t="s">
        <v>99</v>
      </c>
      <c r="R304" s="2" t="s">
        <v>100</v>
      </c>
      <c r="S304" s="2" t="s">
        <v>1254</v>
      </c>
      <c r="T304" s="2" t="s">
        <v>100</v>
      </c>
      <c r="U304" s="2" t="s">
        <v>102</v>
      </c>
      <c r="V304" s="2" t="s">
        <v>103</v>
      </c>
      <c r="W304" s="2" t="s">
        <v>104</v>
      </c>
      <c r="X304" s="2" t="s">
        <v>380</v>
      </c>
      <c r="Y304" s="2" t="s">
        <v>106</v>
      </c>
      <c r="Z304" s="4">
        <v>457</v>
      </c>
      <c r="AA304" s="4">
        <f>=ROUNDDOWN(45.7,0)</f>
      </c>
      <c r="AB304" s="5">
        <v>10</v>
      </c>
      <c r="AC304" s="2" t="s">
        <v>100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155</v>
      </c>
      <c r="BK304" s="8">
        <v>12563.66</v>
      </c>
      <c r="BL304" s="2" t="s">
        <v>1257</v>
      </c>
      <c r="BM304" s="7"/>
      <c r="BN304" s="7"/>
      <c r="BO304" s="4"/>
      <c r="BP304" s="8"/>
      <c r="BQ304" s="4"/>
      <c r="BR304" s="8"/>
      <c r="BS304" s="7"/>
      <c r="BT304" s="7"/>
      <c r="BU304" s="2" t="s">
        <v>147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1258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1251</v>
      </c>
      <c r="G305" s="2" t="s">
        <v>1252</v>
      </c>
      <c r="H305" s="2" t="s">
        <v>1253</v>
      </c>
      <c r="I305" s="2" t="s">
        <v>196</v>
      </c>
      <c r="J305" s="2" t="s">
        <v>118</v>
      </c>
      <c r="K305" s="2" t="s">
        <v>333</v>
      </c>
      <c r="L305" s="3">
        <v>72.53</v>
      </c>
      <c r="M305" s="3">
        <v>76.16</v>
      </c>
      <c r="N305" s="3">
        <v>144.99</v>
      </c>
      <c r="O305" s="2" t="s">
        <v>97</v>
      </c>
      <c r="P305" s="2" t="s">
        <v>182</v>
      </c>
      <c r="Q305" s="2" t="s">
        <v>99</v>
      </c>
      <c r="R305" s="2" t="s">
        <v>100</v>
      </c>
      <c r="S305" s="2" t="s">
        <v>1254</v>
      </c>
      <c r="T305" s="2" t="s">
        <v>100</v>
      </c>
      <c r="U305" s="2" t="s">
        <v>102</v>
      </c>
      <c r="V305" s="2" t="s">
        <v>103</v>
      </c>
      <c r="W305" s="2" t="s">
        <v>104</v>
      </c>
      <c r="X305" s="2" t="s">
        <v>380</v>
      </c>
      <c r="Y305" s="2" t="s">
        <v>106</v>
      </c>
      <c r="Z305" s="4">
        <v>199</v>
      </c>
      <c r="AA305" s="4">
        <f>=ROUNDDOWN(49.75,0)</f>
      </c>
      <c r="AB305" s="5">
        <v>4</v>
      </c>
      <c r="AC305" s="2" t="s">
        <v>100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77</v>
      </c>
      <c r="BK305" s="8">
        <v>6206.89</v>
      </c>
      <c r="BL305" s="2" t="s">
        <v>1259</v>
      </c>
      <c r="BM305" s="7"/>
      <c r="BN305" s="7"/>
      <c r="BO305" s="4"/>
      <c r="BP305" s="8"/>
      <c r="BQ305" s="4"/>
      <c r="BR305" s="8"/>
      <c r="BS305" s="7"/>
      <c r="BT305" s="7"/>
      <c r="BU305" s="2" t="s">
        <v>147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1260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1251</v>
      </c>
      <c r="G306" s="2" t="s">
        <v>1252</v>
      </c>
      <c r="H306" s="2" t="s">
        <v>1253</v>
      </c>
      <c r="I306" s="2" t="s">
        <v>196</v>
      </c>
      <c r="J306" s="2" t="s">
        <v>95</v>
      </c>
      <c r="K306" s="2" t="s">
        <v>197</v>
      </c>
      <c r="L306" s="3">
        <v>63.17</v>
      </c>
      <c r="M306" s="3">
        <v>66.33</v>
      </c>
      <c r="N306" s="3">
        <v>124.99</v>
      </c>
      <c r="O306" s="2" t="s">
        <v>97</v>
      </c>
      <c r="P306" s="2" t="s">
        <v>182</v>
      </c>
      <c r="Q306" s="2" t="s">
        <v>99</v>
      </c>
      <c r="R306" s="2" t="s">
        <v>100</v>
      </c>
      <c r="S306" s="2" t="s">
        <v>1261</v>
      </c>
      <c r="T306" s="2" t="s">
        <v>100</v>
      </c>
      <c r="U306" s="2" t="s">
        <v>102</v>
      </c>
      <c r="V306" s="2" t="s">
        <v>103</v>
      </c>
      <c r="W306" s="2" t="s">
        <v>104</v>
      </c>
      <c r="X306" s="2" t="s">
        <v>380</v>
      </c>
      <c r="Y306" s="2" t="s">
        <v>1262</v>
      </c>
      <c r="Z306" s="4">
        <v>377</v>
      </c>
      <c r="AA306" s="4">
        <f>=ROUNDDOWN(37.7,0)</f>
      </c>
      <c r="AB306" s="5">
        <v>10</v>
      </c>
      <c r="AC306" s="2" t="s">
        <v>382</v>
      </c>
      <c r="AD306" s="4">
        <v>160</v>
      </c>
      <c r="AE306" s="4">
        <v>160</v>
      </c>
      <c r="AF306" s="6">
        <v>64</v>
      </c>
      <c r="AG306" s="6"/>
      <c r="AH306" s="7">
        <v>0.6848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160</v>
      </c>
      <c r="BK306" s="8">
        <v>11225.01</v>
      </c>
      <c r="BL306" s="2" t="s">
        <v>1263</v>
      </c>
      <c r="BM306" s="7"/>
      <c r="BN306" s="7"/>
      <c r="BO306" s="4"/>
      <c r="BP306" s="8"/>
      <c r="BQ306" s="4"/>
      <c r="BR306" s="8"/>
      <c r="BS306" s="7"/>
      <c r="BT306" s="7"/>
      <c r="BU306" s="2" t="s">
        <v>147</v>
      </c>
      <c r="BV306" s="2" t="s">
        <v>97</v>
      </c>
      <c r="BW306" s="2" t="s">
        <v>100</v>
      </c>
      <c r="BX306" s="2" t="s">
        <v>100</v>
      </c>
      <c r="BY306" s="2" t="s">
        <v>112</v>
      </c>
      <c r="BZ306" s="2" t="s">
        <v>100</v>
      </c>
    </row>
    <row r="307">
      <c r="A307" s="2" t="s">
        <v>1264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1251</v>
      </c>
      <c r="G307" s="2" t="s">
        <v>1252</v>
      </c>
      <c r="H307" s="2" t="s">
        <v>1253</v>
      </c>
      <c r="I307" s="2" t="s">
        <v>196</v>
      </c>
      <c r="J307" s="2" t="s">
        <v>114</v>
      </c>
      <c r="K307" s="2" t="s">
        <v>197</v>
      </c>
      <c r="L307" s="3">
        <v>72.53</v>
      </c>
      <c r="M307" s="3">
        <v>76.16</v>
      </c>
      <c r="N307" s="3">
        <v>144.99</v>
      </c>
      <c r="O307" s="2" t="s">
        <v>97</v>
      </c>
      <c r="P307" s="2" t="s">
        <v>1265</v>
      </c>
      <c r="Q307" s="2" t="s">
        <v>99</v>
      </c>
      <c r="R307" s="2" t="s">
        <v>100</v>
      </c>
      <c r="S307" s="2" t="s">
        <v>1261</v>
      </c>
      <c r="T307" s="2" t="s">
        <v>100</v>
      </c>
      <c r="U307" s="2" t="s">
        <v>102</v>
      </c>
      <c r="V307" s="2" t="s">
        <v>103</v>
      </c>
      <c r="W307" s="2" t="s">
        <v>104</v>
      </c>
      <c r="X307" s="2" t="s">
        <v>380</v>
      </c>
      <c r="Y307" s="2" t="s">
        <v>1262</v>
      </c>
      <c r="Z307" s="4">
        <v>335</v>
      </c>
      <c r="AA307" s="4">
        <f>=ROUNDDOWN(47.8571428571429,0)</f>
      </c>
      <c r="AB307" s="5">
        <v>7</v>
      </c>
      <c r="AC307" s="2" t="s">
        <v>382</v>
      </c>
      <c r="AD307" s="4">
        <v>120</v>
      </c>
      <c r="AE307" s="4">
        <v>120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154</v>
      </c>
      <c r="BK307" s="8">
        <v>12453.08</v>
      </c>
      <c r="BL307" s="2" t="s">
        <v>1266</v>
      </c>
      <c r="BM307" s="7"/>
      <c r="BN307" s="7"/>
      <c r="BO307" s="4"/>
      <c r="BP307" s="8"/>
      <c r="BQ307" s="4"/>
      <c r="BR307" s="8"/>
      <c r="BS307" s="7"/>
      <c r="BT307" s="7"/>
      <c r="BU307" s="2" t="s">
        <v>147</v>
      </c>
      <c r="BV307" s="2" t="s">
        <v>97</v>
      </c>
      <c r="BW307" s="2" t="s">
        <v>100</v>
      </c>
      <c r="BX307" s="2" t="s">
        <v>100</v>
      </c>
      <c r="BY307" s="2" t="s">
        <v>112</v>
      </c>
      <c r="BZ307" s="2" t="s">
        <v>100</v>
      </c>
    </row>
    <row r="308">
      <c r="A308" s="2" t="s">
        <v>1267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1251</v>
      </c>
      <c r="G308" s="2" t="s">
        <v>1252</v>
      </c>
      <c r="H308" s="2" t="s">
        <v>1253</v>
      </c>
      <c r="I308" s="2" t="s">
        <v>196</v>
      </c>
      <c r="J308" s="2" t="s">
        <v>118</v>
      </c>
      <c r="K308" s="2" t="s">
        <v>197</v>
      </c>
      <c r="L308" s="3">
        <v>72.53</v>
      </c>
      <c r="M308" s="3">
        <v>76.16</v>
      </c>
      <c r="N308" s="3">
        <v>144.99</v>
      </c>
      <c r="O308" s="2" t="s">
        <v>97</v>
      </c>
      <c r="P308" s="2" t="s">
        <v>1265</v>
      </c>
      <c r="Q308" s="2" t="s">
        <v>99</v>
      </c>
      <c r="R308" s="2" t="s">
        <v>100</v>
      </c>
      <c r="S308" s="2" t="s">
        <v>1261</v>
      </c>
      <c r="T308" s="2" t="s">
        <v>100</v>
      </c>
      <c r="U308" s="2" t="s">
        <v>102</v>
      </c>
      <c r="V308" s="2" t="s">
        <v>103</v>
      </c>
      <c r="W308" s="2" t="s">
        <v>104</v>
      </c>
      <c r="X308" s="2" t="s">
        <v>380</v>
      </c>
      <c r="Y308" s="2" t="s">
        <v>1262</v>
      </c>
      <c r="Z308" s="4">
        <v>189</v>
      </c>
      <c r="AA308" s="4">
        <f>=ROUNDDOWN(47.25,0)</f>
      </c>
      <c r="AB308" s="5">
        <v>4</v>
      </c>
      <c r="AC308" s="2" t="s">
        <v>382</v>
      </c>
      <c r="AD308" s="4">
        <v>30</v>
      </c>
      <c r="AE308" s="4">
        <v>30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60</v>
      </c>
      <c r="BK308" s="8">
        <v>4790.49</v>
      </c>
      <c r="BL308" s="2" t="s">
        <v>1268</v>
      </c>
      <c r="BM308" s="7"/>
      <c r="BN308" s="7"/>
      <c r="BO308" s="4"/>
      <c r="BP308" s="8"/>
      <c r="BQ308" s="4"/>
      <c r="BR308" s="8"/>
      <c r="BS308" s="7"/>
      <c r="BT308" s="7"/>
      <c r="BU308" s="2" t="s">
        <v>147</v>
      </c>
      <c r="BV308" s="2" t="s">
        <v>97</v>
      </c>
      <c r="BW308" s="2" t="s">
        <v>100</v>
      </c>
      <c r="BX308" s="2" t="s">
        <v>100</v>
      </c>
      <c r="BY308" s="2" t="s">
        <v>112</v>
      </c>
      <c r="BZ308" s="2" t="s">
        <v>100</v>
      </c>
    </row>
    <row r="309">
      <c r="A309" s="2" t="s">
        <v>1269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1270</v>
      </c>
      <c r="G309" s="2" t="s">
        <v>1271</v>
      </c>
      <c r="H309" s="2" t="s">
        <v>1272</v>
      </c>
      <c r="I309" s="2" t="s">
        <v>1273</v>
      </c>
      <c r="J309" s="2" t="s">
        <v>844</v>
      </c>
      <c r="K309" s="2" t="s">
        <v>158</v>
      </c>
      <c r="L309" s="3">
        <v>41.14</v>
      </c>
      <c r="M309" s="3">
        <v>43.2</v>
      </c>
      <c r="N309" s="3">
        <v>89.99</v>
      </c>
      <c r="O309" s="2" t="s">
        <v>97</v>
      </c>
      <c r="P309" s="2" t="s">
        <v>1166</v>
      </c>
      <c r="Q309" s="2" t="s">
        <v>99</v>
      </c>
      <c r="R309" s="2" t="s">
        <v>100</v>
      </c>
      <c r="S309" s="2" t="s">
        <v>1274</v>
      </c>
      <c r="T309" s="2" t="s">
        <v>184</v>
      </c>
      <c r="U309" s="2" t="s">
        <v>790</v>
      </c>
      <c r="V309" s="2" t="s">
        <v>1275</v>
      </c>
      <c r="W309" s="2" t="s">
        <v>759</v>
      </c>
      <c r="X309" s="2" t="s">
        <v>808</v>
      </c>
      <c r="Y309" s="2" t="s">
        <v>1276</v>
      </c>
      <c r="Z309" s="4">
        <v>269</v>
      </c>
      <c r="AA309" s="4">
        <f>=ROUNDDOWN(53.8,0)</f>
      </c>
      <c r="AB309" s="5">
        <v>5</v>
      </c>
      <c r="AC309" s="2" t="s">
        <v>100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77</v>
      </c>
      <c r="BK309" s="8">
        <v>3636.86</v>
      </c>
      <c r="BL309" s="2" t="s">
        <v>1277</v>
      </c>
      <c r="BM309" s="7"/>
      <c r="BN309" s="7"/>
      <c r="BO309" s="4"/>
      <c r="BP309" s="8"/>
      <c r="BQ309" s="4"/>
      <c r="BR309" s="8"/>
      <c r="BS309" s="7"/>
      <c r="BT309" s="7"/>
      <c r="BU309" s="2" t="s">
        <v>147</v>
      </c>
      <c r="BV309" s="2" t="s">
        <v>97</v>
      </c>
      <c r="BW309" s="2" t="s">
        <v>100</v>
      </c>
      <c r="BX309" s="2" t="s">
        <v>100</v>
      </c>
      <c r="BY309" s="2" t="s">
        <v>112</v>
      </c>
      <c r="BZ309" s="2" t="s">
        <v>100</v>
      </c>
    </row>
    <row r="310">
      <c r="A310" s="2" t="s">
        <v>1278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1270</v>
      </c>
      <c r="G310" s="2" t="s">
        <v>1271</v>
      </c>
      <c r="H310" s="2" t="s">
        <v>1272</v>
      </c>
      <c r="I310" s="2" t="s">
        <v>1273</v>
      </c>
      <c r="J310" s="2" t="s">
        <v>850</v>
      </c>
      <c r="K310" s="2" t="s">
        <v>158</v>
      </c>
      <c r="L310" s="3">
        <v>45.71</v>
      </c>
      <c r="M310" s="3">
        <v>48</v>
      </c>
      <c r="N310" s="3">
        <v>99.99</v>
      </c>
      <c r="O310" s="2" t="s">
        <v>97</v>
      </c>
      <c r="P310" s="2" t="s">
        <v>1166</v>
      </c>
      <c r="Q310" s="2" t="s">
        <v>99</v>
      </c>
      <c r="R310" s="2" t="s">
        <v>100</v>
      </c>
      <c r="S310" s="2" t="s">
        <v>1274</v>
      </c>
      <c r="T310" s="2" t="s">
        <v>184</v>
      </c>
      <c r="U310" s="2" t="s">
        <v>790</v>
      </c>
      <c r="V310" s="2" t="s">
        <v>1275</v>
      </c>
      <c r="W310" s="2" t="s">
        <v>759</v>
      </c>
      <c r="X310" s="2" t="s">
        <v>808</v>
      </c>
      <c r="Y310" s="2" t="s">
        <v>1279</v>
      </c>
      <c r="Z310" s="4">
        <v>181</v>
      </c>
      <c r="AA310" s="4">
        <f>=ROUNDDOWN(25.8571428571429,0)</f>
      </c>
      <c r="AB310" s="5">
        <v>7</v>
      </c>
      <c r="AC310" s="2" t="s">
        <v>100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96</v>
      </c>
      <c r="BK310" s="8">
        <v>4984.07</v>
      </c>
      <c r="BL310" s="2" t="s">
        <v>1280</v>
      </c>
      <c r="BM310" s="7"/>
      <c r="BN310" s="7"/>
      <c r="BO310" s="4"/>
      <c r="BP310" s="8"/>
      <c r="BQ310" s="4"/>
      <c r="BR310" s="8"/>
      <c r="BS310" s="7"/>
      <c r="BT310" s="7"/>
      <c r="BU310" s="2" t="s">
        <v>147</v>
      </c>
      <c r="BV310" s="2" t="s">
        <v>97</v>
      </c>
      <c r="BW310" s="2" t="s">
        <v>100</v>
      </c>
      <c r="BX310" s="2" t="s">
        <v>100</v>
      </c>
      <c r="BY310" s="2" t="s">
        <v>112</v>
      </c>
      <c r="BZ310" s="2" t="s">
        <v>100</v>
      </c>
    </row>
    <row r="311">
      <c r="A311" s="2" t="s">
        <v>1281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1282</v>
      </c>
      <c r="G311" s="2" t="s">
        <v>1283</v>
      </c>
      <c r="H311" s="2" t="s">
        <v>1284</v>
      </c>
      <c r="I311" s="2" t="s">
        <v>1285</v>
      </c>
      <c r="J311" s="2" t="s">
        <v>844</v>
      </c>
      <c r="K311" s="2" t="s">
        <v>1204</v>
      </c>
      <c r="L311" s="3">
        <v>57.14</v>
      </c>
      <c r="M311" s="3">
        <v>60</v>
      </c>
      <c r="N311" s="3">
        <v>119.99</v>
      </c>
      <c r="O311" s="2" t="s">
        <v>97</v>
      </c>
      <c r="P311" s="2" t="s">
        <v>198</v>
      </c>
      <c r="Q311" s="2" t="s">
        <v>99</v>
      </c>
      <c r="R311" s="2" t="s">
        <v>100</v>
      </c>
      <c r="S311" s="2" t="s">
        <v>1286</v>
      </c>
      <c r="T311" s="2" t="s">
        <v>100</v>
      </c>
      <c r="U311" s="2" t="s">
        <v>790</v>
      </c>
      <c r="V311" s="2" t="s">
        <v>1287</v>
      </c>
      <c r="W311" s="2" t="s">
        <v>1288</v>
      </c>
      <c r="X311" s="2" t="s">
        <v>1289</v>
      </c>
      <c r="Y311" s="2" t="s">
        <v>1290</v>
      </c>
      <c r="Z311" s="4">
        <v>6</v>
      </c>
      <c r="AA311" s="4">
        <f>=ROUNDDOWN(3,0)</f>
      </c>
      <c r="AB311" s="5">
        <v>2</v>
      </c>
      <c r="AC311" s="2" t="s">
        <v>100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>
        <v>80</v>
      </c>
      <c r="BK311" s="8">
        <v>5039.25</v>
      </c>
      <c r="BL311" s="2" t="s">
        <v>1291</v>
      </c>
      <c r="BM311" s="7"/>
      <c r="BN311" s="7"/>
      <c r="BO311" s="4"/>
      <c r="BP311" s="8"/>
      <c r="BQ311" s="4"/>
      <c r="BR311" s="8"/>
      <c r="BS311" s="7"/>
      <c r="BT311" s="7"/>
      <c r="BU311" s="2" t="s">
        <v>147</v>
      </c>
      <c r="BV311" s="2" t="s">
        <v>97</v>
      </c>
      <c r="BW311" s="2" t="s">
        <v>100</v>
      </c>
      <c r="BX311" s="2" t="s">
        <v>100</v>
      </c>
      <c r="BY311" s="2" t="s">
        <v>112</v>
      </c>
      <c r="BZ311" s="2" t="s">
        <v>100</v>
      </c>
    </row>
    <row r="312">
      <c r="A312" s="2" t="s">
        <v>1292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1293</v>
      </c>
      <c r="G312" s="2" t="s">
        <v>1294</v>
      </c>
      <c r="H312" s="2" t="s">
        <v>1295</v>
      </c>
      <c r="I312" s="2" t="s">
        <v>1296</v>
      </c>
      <c r="J312" s="2" t="s">
        <v>95</v>
      </c>
      <c r="K312" s="2" t="s">
        <v>123</v>
      </c>
      <c r="L312" s="3">
        <v>70.5</v>
      </c>
      <c r="M312" s="3">
        <v>74.02</v>
      </c>
      <c r="N312" s="3">
        <v>149.99</v>
      </c>
      <c r="O312" s="2" t="s">
        <v>97</v>
      </c>
      <c r="P312" s="2" t="s">
        <v>182</v>
      </c>
      <c r="Q312" s="2" t="s">
        <v>99</v>
      </c>
      <c r="R312" s="2" t="s">
        <v>100</v>
      </c>
      <c r="S312" s="2" t="s">
        <v>100</v>
      </c>
      <c r="T312" s="2" t="s">
        <v>100</v>
      </c>
      <c r="U312" s="2" t="s">
        <v>403</v>
      </c>
      <c r="V312" s="2" t="s">
        <v>601</v>
      </c>
      <c r="W312" s="2" t="s">
        <v>1190</v>
      </c>
      <c r="X312" s="2" t="s">
        <v>1297</v>
      </c>
      <c r="Y312" s="2" t="s">
        <v>1298</v>
      </c>
      <c r="Z312" s="4">
        <v>621</v>
      </c>
      <c r="AA312" s="4">
        <f>=ROUNDDOWN(38.8125,0)</f>
      </c>
      <c r="AB312" s="5">
        <v>16</v>
      </c>
      <c r="AC312" s="2" t="s">
        <v>100</v>
      </c>
      <c r="AD312" s="4"/>
      <c r="AE312" s="4"/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374</v>
      </c>
      <c r="BK312" s="8">
        <v>26136.33</v>
      </c>
      <c r="BL312" s="2" t="s">
        <v>1299</v>
      </c>
      <c r="BM312" s="7"/>
      <c r="BN312" s="7"/>
      <c r="BO312" s="4"/>
      <c r="BP312" s="8"/>
      <c r="BQ312" s="4"/>
      <c r="BR312" s="8"/>
      <c r="BS312" s="7"/>
      <c r="BT312" s="7"/>
      <c r="BU312" s="2" t="s">
        <v>147</v>
      </c>
      <c r="BV312" s="2" t="s">
        <v>97</v>
      </c>
      <c r="BW312" s="2" t="s">
        <v>100</v>
      </c>
      <c r="BX312" s="2" t="s">
        <v>100</v>
      </c>
      <c r="BY312" s="2" t="s">
        <v>112</v>
      </c>
      <c r="BZ312" s="2" t="s">
        <v>100</v>
      </c>
    </row>
    <row r="313">
      <c r="A313" s="2" t="s">
        <v>1300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1293</v>
      </c>
      <c r="G313" s="2" t="s">
        <v>1294</v>
      </c>
      <c r="H313" s="2" t="s">
        <v>1295</v>
      </c>
      <c r="I313" s="2" t="s">
        <v>1296</v>
      </c>
      <c r="J313" s="2" t="s">
        <v>114</v>
      </c>
      <c r="K313" s="2" t="s">
        <v>123</v>
      </c>
      <c r="L313" s="3">
        <v>79.9</v>
      </c>
      <c r="M313" s="3">
        <v>83.89</v>
      </c>
      <c r="N313" s="3">
        <v>169.99</v>
      </c>
      <c r="O313" s="2" t="s">
        <v>97</v>
      </c>
      <c r="P313" s="2" t="s">
        <v>182</v>
      </c>
      <c r="Q313" s="2" t="s">
        <v>99</v>
      </c>
      <c r="R313" s="2" t="s">
        <v>100</v>
      </c>
      <c r="S313" s="2" t="s">
        <v>100</v>
      </c>
      <c r="T313" s="2" t="s">
        <v>100</v>
      </c>
      <c r="U313" s="2" t="s">
        <v>403</v>
      </c>
      <c r="V313" s="2" t="s">
        <v>601</v>
      </c>
      <c r="W313" s="2" t="s">
        <v>1190</v>
      </c>
      <c r="X313" s="2" t="s">
        <v>1297</v>
      </c>
      <c r="Y313" s="2" t="s">
        <v>1298</v>
      </c>
      <c r="Z313" s="4">
        <v>535</v>
      </c>
      <c r="AA313" s="4">
        <f>=ROUNDDOWN(29.7222222222222,0)</f>
      </c>
      <c r="AB313" s="5">
        <v>18</v>
      </c>
      <c r="AC313" s="2" t="s">
        <v>100</v>
      </c>
      <c r="AD313" s="4"/>
      <c r="AE313" s="4"/>
      <c r="AF313" s="6">
        <v>65</v>
      </c>
      <c r="AG313" s="6">
        <v>48</v>
      </c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353</v>
      </c>
      <c r="BK313" s="8">
        <v>29135.26</v>
      </c>
      <c r="BL313" s="2" t="s">
        <v>1301</v>
      </c>
      <c r="BM313" s="7"/>
      <c r="BN313" s="7"/>
      <c r="BO313" s="4"/>
      <c r="BP313" s="8"/>
      <c r="BQ313" s="4"/>
      <c r="BR313" s="8"/>
      <c r="BS313" s="7"/>
      <c r="BT313" s="7"/>
      <c r="BU313" s="2" t="s">
        <v>147</v>
      </c>
      <c r="BV313" s="2" t="s">
        <v>97</v>
      </c>
      <c r="BW313" s="2" t="s">
        <v>100</v>
      </c>
      <c r="BX313" s="2" t="s">
        <v>100</v>
      </c>
      <c r="BY313" s="2" t="s">
        <v>112</v>
      </c>
      <c r="BZ313" s="2" t="s">
        <v>100</v>
      </c>
    </row>
    <row r="314">
      <c r="A314" s="2" t="s">
        <v>1302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1293</v>
      </c>
      <c r="G314" s="2" t="s">
        <v>1294</v>
      </c>
      <c r="H314" s="2" t="s">
        <v>1295</v>
      </c>
      <c r="I314" s="2" t="s">
        <v>1296</v>
      </c>
      <c r="J314" s="2" t="s">
        <v>118</v>
      </c>
      <c r="K314" s="2" t="s">
        <v>123</v>
      </c>
      <c r="L314" s="3">
        <v>79.9</v>
      </c>
      <c r="M314" s="3">
        <v>83.89</v>
      </c>
      <c r="N314" s="3">
        <v>169.99</v>
      </c>
      <c r="O314" s="2" t="s">
        <v>97</v>
      </c>
      <c r="P314" s="2" t="s">
        <v>182</v>
      </c>
      <c r="Q314" s="2" t="s">
        <v>99</v>
      </c>
      <c r="R314" s="2" t="s">
        <v>100</v>
      </c>
      <c r="S314" s="2" t="s">
        <v>100</v>
      </c>
      <c r="T314" s="2" t="s">
        <v>100</v>
      </c>
      <c r="U314" s="2" t="s">
        <v>403</v>
      </c>
      <c r="V314" s="2" t="s">
        <v>601</v>
      </c>
      <c r="W314" s="2" t="s">
        <v>1190</v>
      </c>
      <c r="X314" s="2" t="s">
        <v>1297</v>
      </c>
      <c r="Y314" s="2" t="s">
        <v>1298</v>
      </c>
      <c r="Z314" s="4">
        <v>215</v>
      </c>
      <c r="AA314" s="4">
        <f>=ROUNDDOWN(21.5,0)</f>
      </c>
      <c r="AB314" s="5">
        <v>10</v>
      </c>
      <c r="AC314" s="2" t="s">
        <v>100</v>
      </c>
      <c r="AD314" s="4"/>
      <c r="AE314" s="4"/>
      <c r="AF314" s="6">
        <v>65</v>
      </c>
      <c r="AG314" s="6">
        <v>48</v>
      </c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162</v>
      </c>
      <c r="BK314" s="8">
        <v>13205.96</v>
      </c>
      <c r="BL314" s="2" t="s">
        <v>1303</v>
      </c>
      <c r="BM314" s="7"/>
      <c r="BN314" s="7"/>
      <c r="BO314" s="4"/>
      <c r="BP314" s="8"/>
      <c r="BQ314" s="4"/>
      <c r="BR314" s="8"/>
      <c r="BS314" s="7"/>
      <c r="BT314" s="7"/>
      <c r="BU314" s="2" t="s">
        <v>147</v>
      </c>
      <c r="BV314" s="2" t="s">
        <v>97</v>
      </c>
      <c r="BW314" s="2" t="s">
        <v>100</v>
      </c>
      <c r="BX314" s="2" t="s">
        <v>100</v>
      </c>
      <c r="BY314" s="2" t="s">
        <v>112</v>
      </c>
      <c r="BZ314" s="2" t="s">
        <v>100</v>
      </c>
    </row>
    <row r="315">
      <c r="A315" s="2" t="s">
        <v>1304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1305</v>
      </c>
      <c r="G315" s="2" t="s">
        <v>1306</v>
      </c>
      <c r="H315" s="2" t="s">
        <v>1307</v>
      </c>
      <c r="I315" s="2" t="s">
        <v>1308</v>
      </c>
      <c r="J315" s="2" t="s">
        <v>95</v>
      </c>
      <c r="K315" s="2" t="s">
        <v>197</v>
      </c>
      <c r="L315" s="3">
        <v>75.2</v>
      </c>
      <c r="M315" s="3">
        <v>78.96</v>
      </c>
      <c r="N315" s="3">
        <v>159.99</v>
      </c>
      <c r="O315" s="2" t="s">
        <v>97</v>
      </c>
      <c r="P315" s="2" t="s">
        <v>98</v>
      </c>
      <c r="Q315" s="2" t="s">
        <v>99</v>
      </c>
      <c r="R315" s="2" t="s">
        <v>100</v>
      </c>
      <c r="S315" s="2" t="s">
        <v>1309</v>
      </c>
      <c r="T315" s="2" t="s">
        <v>732</v>
      </c>
      <c r="U315" s="2" t="s">
        <v>403</v>
      </c>
      <c r="V315" s="2" t="s">
        <v>491</v>
      </c>
      <c r="W315" s="2" t="s">
        <v>733</v>
      </c>
      <c r="X315" s="2" t="s">
        <v>1310</v>
      </c>
      <c r="Y315" s="2" t="s">
        <v>1311</v>
      </c>
      <c r="Z315" s="4">
        <v>264</v>
      </c>
      <c r="AA315" s="4">
        <f>=ROUNDDOWN(11,0)</f>
      </c>
      <c r="AB315" s="5">
        <v>24</v>
      </c>
      <c r="AC315" s="2" t="s">
        <v>746</v>
      </c>
      <c r="AD315" s="4">
        <v>17</v>
      </c>
      <c r="AE315" s="4">
        <v>590</v>
      </c>
      <c r="AF315" s="6">
        <v>65</v>
      </c>
      <c r="AG315" s="6">
        <v>73</v>
      </c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488</v>
      </c>
      <c r="BK315" s="8">
        <v>40064.44</v>
      </c>
      <c r="BL315" s="2" t="s">
        <v>1312</v>
      </c>
      <c r="BM315" s="7"/>
      <c r="BN315" s="7"/>
      <c r="BO315" s="4"/>
      <c r="BP315" s="8"/>
      <c r="BQ315" s="4"/>
      <c r="BR315" s="8"/>
      <c r="BS315" s="7"/>
      <c r="BT315" s="7"/>
      <c r="BU315" s="2" t="s">
        <v>147</v>
      </c>
      <c r="BV315" s="2" t="s">
        <v>97</v>
      </c>
      <c r="BW315" s="2" t="s">
        <v>100</v>
      </c>
      <c r="BX315" s="2" t="s">
        <v>100</v>
      </c>
      <c r="BY315" s="2" t="s">
        <v>112</v>
      </c>
      <c r="BZ315" s="2" t="s">
        <v>100</v>
      </c>
    </row>
    <row r="316">
      <c r="A316" s="2" t="s">
        <v>1313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1305</v>
      </c>
      <c r="G316" s="2" t="s">
        <v>1306</v>
      </c>
      <c r="H316" s="2" t="s">
        <v>1307</v>
      </c>
      <c r="I316" s="2" t="s">
        <v>1308</v>
      </c>
      <c r="J316" s="2" t="s">
        <v>114</v>
      </c>
      <c r="K316" s="2" t="s">
        <v>197</v>
      </c>
      <c r="L316" s="3">
        <v>84.6</v>
      </c>
      <c r="M316" s="3">
        <v>88.83</v>
      </c>
      <c r="N316" s="3">
        <v>179.99</v>
      </c>
      <c r="O316" s="2" t="s">
        <v>97</v>
      </c>
      <c r="P316" s="2" t="s">
        <v>98</v>
      </c>
      <c r="Q316" s="2" t="s">
        <v>99</v>
      </c>
      <c r="R316" s="2" t="s">
        <v>100</v>
      </c>
      <c r="S316" s="2" t="s">
        <v>1309</v>
      </c>
      <c r="T316" s="2" t="s">
        <v>732</v>
      </c>
      <c r="U316" s="2" t="s">
        <v>403</v>
      </c>
      <c r="V316" s="2" t="s">
        <v>491</v>
      </c>
      <c r="W316" s="2" t="s">
        <v>733</v>
      </c>
      <c r="X316" s="2" t="s">
        <v>1310</v>
      </c>
      <c r="Y316" s="2" t="s">
        <v>1311</v>
      </c>
      <c r="Z316" s="4">
        <v>391</v>
      </c>
      <c r="AA316" s="4">
        <f>=ROUNDDOWN(24.4375,0)</f>
      </c>
      <c r="AB316" s="5">
        <v>16</v>
      </c>
      <c r="AC316" s="2" t="s">
        <v>430</v>
      </c>
      <c r="AD316" s="4">
        <v>40</v>
      </c>
      <c r="AE316" s="4">
        <v>115</v>
      </c>
      <c r="AF316" s="6">
        <v>65</v>
      </c>
      <c r="AG316" s="6">
        <v>73</v>
      </c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347</v>
      </c>
      <c r="BK316" s="8">
        <v>31860.87</v>
      </c>
      <c r="BL316" s="2" t="s">
        <v>1314</v>
      </c>
      <c r="BM316" s="7"/>
      <c r="BN316" s="7"/>
      <c r="BO316" s="4"/>
      <c r="BP316" s="8"/>
      <c r="BQ316" s="4"/>
      <c r="BR316" s="8"/>
      <c r="BS316" s="7"/>
      <c r="BT316" s="7"/>
      <c r="BU316" s="2" t="s">
        <v>147</v>
      </c>
      <c r="BV316" s="2" t="s">
        <v>97</v>
      </c>
      <c r="BW316" s="2" t="s">
        <v>100</v>
      </c>
      <c r="BX316" s="2" t="s">
        <v>100</v>
      </c>
      <c r="BY316" s="2" t="s">
        <v>112</v>
      </c>
      <c r="BZ316" s="2" t="s">
        <v>100</v>
      </c>
    </row>
    <row r="317">
      <c r="A317" s="2" t="s">
        <v>1315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1305</v>
      </c>
      <c r="G317" s="2" t="s">
        <v>1306</v>
      </c>
      <c r="H317" s="2" t="s">
        <v>1307</v>
      </c>
      <c r="I317" s="2" t="s">
        <v>1308</v>
      </c>
      <c r="J317" s="2" t="s">
        <v>118</v>
      </c>
      <c r="K317" s="2" t="s">
        <v>197</v>
      </c>
      <c r="L317" s="3">
        <v>84.6</v>
      </c>
      <c r="M317" s="3">
        <v>88.83</v>
      </c>
      <c r="N317" s="3">
        <v>179.99</v>
      </c>
      <c r="O317" s="2" t="s">
        <v>97</v>
      </c>
      <c r="P317" s="2" t="s">
        <v>98</v>
      </c>
      <c r="Q317" s="2" t="s">
        <v>99</v>
      </c>
      <c r="R317" s="2" t="s">
        <v>100</v>
      </c>
      <c r="S317" s="2" t="s">
        <v>1309</v>
      </c>
      <c r="T317" s="2" t="s">
        <v>732</v>
      </c>
      <c r="U317" s="2" t="s">
        <v>403</v>
      </c>
      <c r="V317" s="2" t="s">
        <v>491</v>
      </c>
      <c r="W317" s="2" t="s">
        <v>733</v>
      </c>
      <c r="X317" s="2" t="s">
        <v>1310</v>
      </c>
      <c r="Y317" s="2" t="s">
        <v>1311</v>
      </c>
      <c r="Z317" s="4">
        <v>162</v>
      </c>
      <c r="AA317" s="4">
        <f>=ROUNDDOWN(13.5,0)</f>
      </c>
      <c r="AB317" s="5">
        <v>12</v>
      </c>
      <c r="AC317" s="2" t="s">
        <v>746</v>
      </c>
      <c r="AD317" s="4">
        <v>30</v>
      </c>
      <c r="AE317" s="4">
        <v>410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231</v>
      </c>
      <c r="BK317" s="8">
        <v>21752.64</v>
      </c>
      <c r="BL317" s="2" t="s">
        <v>1316</v>
      </c>
      <c r="BM317" s="7"/>
      <c r="BN317" s="7"/>
      <c r="BO317" s="4"/>
      <c r="BP317" s="8"/>
      <c r="BQ317" s="4"/>
      <c r="BR317" s="8"/>
      <c r="BS317" s="7"/>
      <c r="BT317" s="7"/>
      <c r="BU317" s="2" t="s">
        <v>147</v>
      </c>
      <c r="BV317" s="2" t="s">
        <v>97</v>
      </c>
      <c r="BW317" s="2" t="s">
        <v>100</v>
      </c>
      <c r="BX317" s="2" t="s">
        <v>100</v>
      </c>
      <c r="BY317" s="2" t="s">
        <v>112</v>
      </c>
      <c r="BZ317" s="2" t="s">
        <v>100</v>
      </c>
    </row>
    <row r="318">
      <c r="A318" s="2" t="s">
        <v>1317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1318</v>
      </c>
      <c r="G318" s="2" t="s">
        <v>1319</v>
      </c>
      <c r="H318" s="2" t="s">
        <v>1320</v>
      </c>
      <c r="I318" s="2" t="s">
        <v>977</v>
      </c>
      <c r="J318" s="2" t="s">
        <v>95</v>
      </c>
      <c r="K318" s="2" t="s">
        <v>158</v>
      </c>
      <c r="L318" s="3">
        <v>70.5</v>
      </c>
      <c r="M318" s="3">
        <v>74.02</v>
      </c>
      <c r="N318" s="3">
        <v>149.99</v>
      </c>
      <c r="O318" s="2" t="s">
        <v>97</v>
      </c>
      <c r="P318" s="2" t="s">
        <v>182</v>
      </c>
      <c r="Q318" s="2" t="s">
        <v>99</v>
      </c>
      <c r="R318" s="2" t="s">
        <v>100</v>
      </c>
      <c r="S318" s="2" t="s">
        <v>1321</v>
      </c>
      <c r="T318" s="2" t="s">
        <v>100</v>
      </c>
      <c r="U318" s="2" t="s">
        <v>102</v>
      </c>
      <c r="V318" s="2" t="s">
        <v>906</v>
      </c>
      <c r="W318" s="2" t="s">
        <v>906</v>
      </c>
      <c r="X318" s="2" t="s">
        <v>185</v>
      </c>
      <c r="Y318" s="2" t="s">
        <v>1322</v>
      </c>
      <c r="Z318" s="4">
        <v>272</v>
      </c>
      <c r="AA318" s="4">
        <f>=ROUNDDOWN(12.3636363636364,0)</f>
      </c>
      <c r="AB318" s="5">
        <v>22</v>
      </c>
      <c r="AC318" s="2" t="s">
        <v>130</v>
      </c>
      <c r="AD318" s="4">
        <v>50</v>
      </c>
      <c r="AE318" s="4">
        <v>820</v>
      </c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311</v>
      </c>
      <c r="BK318" s="8">
        <v>22209.25</v>
      </c>
      <c r="BL318" s="2" t="s">
        <v>1323</v>
      </c>
      <c r="BM318" s="7"/>
      <c r="BN318" s="7"/>
      <c r="BO318" s="4"/>
      <c r="BP318" s="8"/>
      <c r="BQ318" s="4"/>
      <c r="BR318" s="8"/>
      <c r="BS318" s="7"/>
      <c r="BT318" s="7"/>
      <c r="BU318" s="2" t="s">
        <v>147</v>
      </c>
      <c r="BV318" s="2" t="s">
        <v>97</v>
      </c>
      <c r="BW318" s="2" t="s">
        <v>100</v>
      </c>
      <c r="BX318" s="2" t="s">
        <v>100</v>
      </c>
      <c r="BY318" s="2" t="s">
        <v>112</v>
      </c>
      <c r="BZ318" s="2" t="s">
        <v>100</v>
      </c>
    </row>
    <row r="319">
      <c r="A319" s="2" t="s">
        <v>1324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1318</v>
      </c>
      <c r="G319" s="2" t="s">
        <v>1319</v>
      </c>
      <c r="H319" s="2" t="s">
        <v>1320</v>
      </c>
      <c r="I319" s="2" t="s">
        <v>977</v>
      </c>
      <c r="J319" s="2" t="s">
        <v>114</v>
      </c>
      <c r="K319" s="2" t="s">
        <v>158</v>
      </c>
      <c r="L319" s="3">
        <v>79.9</v>
      </c>
      <c r="M319" s="3">
        <v>83.89</v>
      </c>
      <c r="N319" s="3">
        <v>169.99</v>
      </c>
      <c r="O319" s="2" t="s">
        <v>97</v>
      </c>
      <c r="P319" s="2" t="s">
        <v>182</v>
      </c>
      <c r="Q319" s="2" t="s">
        <v>99</v>
      </c>
      <c r="R319" s="2" t="s">
        <v>100</v>
      </c>
      <c r="S319" s="2" t="s">
        <v>1325</v>
      </c>
      <c r="T319" s="2" t="s">
        <v>100</v>
      </c>
      <c r="U319" s="2" t="s">
        <v>102</v>
      </c>
      <c r="V319" s="2" t="s">
        <v>906</v>
      </c>
      <c r="W319" s="2" t="s">
        <v>906</v>
      </c>
      <c r="X319" s="2" t="s">
        <v>185</v>
      </c>
      <c r="Y319" s="2" t="s">
        <v>1322</v>
      </c>
      <c r="Z319" s="4">
        <v>343</v>
      </c>
      <c r="AA319" s="4">
        <f>=ROUNDDOWN(22.8666666666667,0)</f>
      </c>
      <c r="AB319" s="5">
        <v>15</v>
      </c>
      <c r="AC319" s="2" t="s">
        <v>130</v>
      </c>
      <c r="AD319" s="4">
        <v>30</v>
      </c>
      <c r="AE319" s="4">
        <v>390</v>
      </c>
      <c r="AF319" s="6">
        <v>65</v>
      </c>
      <c r="AG319" s="6">
        <v>73</v>
      </c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254</v>
      </c>
      <c r="BK319" s="8">
        <v>20945.26</v>
      </c>
      <c r="BL319" s="2" t="s">
        <v>1326</v>
      </c>
      <c r="BM319" s="7"/>
      <c r="BN319" s="7"/>
      <c r="BO319" s="4"/>
      <c r="BP319" s="8"/>
      <c r="BQ319" s="4"/>
      <c r="BR319" s="8"/>
      <c r="BS319" s="7"/>
      <c r="BT319" s="7"/>
      <c r="BU319" s="2" t="s">
        <v>147</v>
      </c>
      <c r="BV319" s="2" t="s">
        <v>97</v>
      </c>
      <c r="BW319" s="2" t="s">
        <v>100</v>
      </c>
      <c r="BX319" s="2" t="s">
        <v>100</v>
      </c>
      <c r="BY319" s="2" t="s">
        <v>112</v>
      </c>
      <c r="BZ319" s="2" t="s">
        <v>100</v>
      </c>
    </row>
    <row r="320">
      <c r="A320" s="2" t="s">
        <v>1327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1318</v>
      </c>
      <c r="G320" s="2" t="s">
        <v>1319</v>
      </c>
      <c r="H320" s="2" t="s">
        <v>1320</v>
      </c>
      <c r="I320" s="2" t="s">
        <v>977</v>
      </c>
      <c r="J320" s="2" t="s">
        <v>118</v>
      </c>
      <c r="K320" s="2" t="s">
        <v>158</v>
      </c>
      <c r="L320" s="3">
        <v>79.9</v>
      </c>
      <c r="M320" s="3">
        <v>83.89</v>
      </c>
      <c r="N320" s="3">
        <v>169.99</v>
      </c>
      <c r="O320" s="2" t="s">
        <v>97</v>
      </c>
      <c r="P320" s="2" t="s">
        <v>182</v>
      </c>
      <c r="Q320" s="2" t="s">
        <v>99</v>
      </c>
      <c r="R320" s="2" t="s">
        <v>100</v>
      </c>
      <c r="S320" s="2" t="s">
        <v>1321</v>
      </c>
      <c r="T320" s="2" t="s">
        <v>100</v>
      </c>
      <c r="U320" s="2" t="s">
        <v>102</v>
      </c>
      <c r="V320" s="2" t="s">
        <v>906</v>
      </c>
      <c r="W320" s="2" t="s">
        <v>906</v>
      </c>
      <c r="X320" s="2" t="s">
        <v>185</v>
      </c>
      <c r="Y320" s="2" t="s">
        <v>1322</v>
      </c>
      <c r="Z320" s="4">
        <v>121</v>
      </c>
      <c r="AA320" s="4">
        <f>=ROUNDDOWN(17.2857142857143,0)</f>
      </c>
      <c r="AB320" s="5">
        <v>7</v>
      </c>
      <c r="AC320" s="2" t="s">
        <v>1328</v>
      </c>
      <c r="AD320" s="4">
        <v>50</v>
      </c>
      <c r="AE320" s="4">
        <v>190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97</v>
      </c>
      <c r="BK320" s="8">
        <v>7949.87</v>
      </c>
      <c r="BL320" s="2" t="s">
        <v>1329</v>
      </c>
      <c r="BM320" s="7"/>
      <c r="BN320" s="7"/>
      <c r="BO320" s="4"/>
      <c r="BP320" s="8"/>
      <c r="BQ320" s="4"/>
      <c r="BR320" s="8"/>
      <c r="BS320" s="7"/>
      <c r="BT320" s="7"/>
      <c r="BU320" s="2" t="s">
        <v>147</v>
      </c>
      <c r="BV320" s="2" t="s">
        <v>97</v>
      </c>
      <c r="BW320" s="2" t="s">
        <v>100</v>
      </c>
      <c r="BX320" s="2" t="s">
        <v>100</v>
      </c>
      <c r="BY320" s="2" t="s">
        <v>112</v>
      </c>
      <c r="BZ320" s="2" t="s">
        <v>100</v>
      </c>
    </row>
    <row r="321">
      <c r="A321" s="2" t="s">
        <v>1330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1331</v>
      </c>
      <c r="G321" s="2" t="s">
        <v>1332</v>
      </c>
      <c r="H321" s="2" t="s">
        <v>1333</v>
      </c>
      <c r="I321" s="2" t="s">
        <v>1334</v>
      </c>
      <c r="J321" s="2" t="s">
        <v>844</v>
      </c>
      <c r="K321" s="2" t="s">
        <v>267</v>
      </c>
      <c r="L321" s="3">
        <v>38.09</v>
      </c>
      <c r="M321" s="3">
        <v>39.99</v>
      </c>
      <c r="N321" s="3">
        <v>79.99</v>
      </c>
      <c r="O321" s="2" t="s">
        <v>97</v>
      </c>
      <c r="P321" s="2" t="s">
        <v>182</v>
      </c>
      <c r="Q321" s="2" t="s">
        <v>99</v>
      </c>
      <c r="R321" s="2" t="s">
        <v>100</v>
      </c>
      <c r="S321" s="2" t="s">
        <v>1335</v>
      </c>
      <c r="T321" s="2" t="s">
        <v>184</v>
      </c>
      <c r="U321" s="2" t="s">
        <v>790</v>
      </c>
      <c r="V321" s="2" t="s">
        <v>491</v>
      </c>
      <c r="W321" s="2" t="s">
        <v>733</v>
      </c>
      <c r="X321" s="2" t="s">
        <v>1288</v>
      </c>
      <c r="Y321" s="2" t="s">
        <v>465</v>
      </c>
      <c r="Z321" s="4">
        <v>349</v>
      </c>
      <c r="AA321" s="4">
        <f>=ROUNDDOWN(18.3684210526316,0)</f>
      </c>
      <c r="AB321" s="5">
        <v>19</v>
      </c>
      <c r="AC321" s="2" t="s">
        <v>325</v>
      </c>
      <c r="AD321" s="4">
        <v>390</v>
      </c>
      <c r="AE321" s="4">
        <v>390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270</v>
      </c>
      <c r="BK321" s="8">
        <v>11494.22</v>
      </c>
      <c r="BL321" s="2" t="s">
        <v>1336</v>
      </c>
      <c r="BM321" s="7"/>
      <c r="BN321" s="7"/>
      <c r="BO321" s="4"/>
      <c r="BP321" s="8"/>
      <c r="BQ321" s="4"/>
      <c r="BR321" s="8"/>
      <c r="BS321" s="7"/>
      <c r="BT321" s="7"/>
      <c r="BU321" s="2" t="s">
        <v>147</v>
      </c>
      <c r="BV321" s="2" t="s">
        <v>97</v>
      </c>
      <c r="BW321" s="2" t="s">
        <v>100</v>
      </c>
      <c r="BX321" s="2" t="s">
        <v>100</v>
      </c>
      <c r="BY321" s="2" t="s">
        <v>112</v>
      </c>
      <c r="BZ321" s="2" t="s">
        <v>100</v>
      </c>
    </row>
    <row r="322">
      <c r="A322" s="2" t="s">
        <v>1337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1331</v>
      </c>
      <c r="G322" s="2" t="s">
        <v>1332</v>
      </c>
      <c r="H322" s="2" t="s">
        <v>1333</v>
      </c>
      <c r="I322" s="2" t="s">
        <v>1334</v>
      </c>
      <c r="J322" s="2" t="s">
        <v>850</v>
      </c>
      <c r="K322" s="2" t="s">
        <v>267</v>
      </c>
      <c r="L322" s="3">
        <v>42.85</v>
      </c>
      <c r="M322" s="3">
        <v>44.99</v>
      </c>
      <c r="N322" s="3">
        <v>89.99</v>
      </c>
      <c r="O322" s="2" t="s">
        <v>97</v>
      </c>
      <c r="P322" s="2" t="s">
        <v>182</v>
      </c>
      <c r="Q322" s="2" t="s">
        <v>99</v>
      </c>
      <c r="R322" s="2" t="s">
        <v>100</v>
      </c>
      <c r="S322" s="2" t="s">
        <v>1335</v>
      </c>
      <c r="T322" s="2" t="s">
        <v>184</v>
      </c>
      <c r="U322" s="2" t="s">
        <v>790</v>
      </c>
      <c r="V322" s="2" t="s">
        <v>491</v>
      </c>
      <c r="W322" s="2" t="s">
        <v>733</v>
      </c>
      <c r="X322" s="2" t="s">
        <v>1288</v>
      </c>
      <c r="Y322" s="2" t="s">
        <v>465</v>
      </c>
      <c r="Z322" s="4">
        <v>213</v>
      </c>
      <c r="AA322" s="4">
        <f>=ROUNDDOWN(16.3846153846154,0)</f>
      </c>
      <c r="AB322" s="5">
        <v>13</v>
      </c>
      <c r="AC322" s="2" t="s">
        <v>325</v>
      </c>
      <c r="AD322" s="4">
        <v>280</v>
      </c>
      <c r="AE322" s="4">
        <v>280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181</v>
      </c>
      <c r="BK322" s="8">
        <v>8553.34</v>
      </c>
      <c r="BL322" s="2" t="s">
        <v>1338</v>
      </c>
      <c r="BM322" s="7"/>
      <c r="BN322" s="7"/>
      <c r="BO322" s="4"/>
      <c r="BP322" s="8"/>
      <c r="BQ322" s="4"/>
      <c r="BR322" s="8"/>
      <c r="BS322" s="7"/>
      <c r="BT322" s="7"/>
      <c r="BU322" s="2" t="s">
        <v>147</v>
      </c>
      <c r="BV322" s="2" t="s">
        <v>97</v>
      </c>
      <c r="BW322" s="2" t="s">
        <v>100</v>
      </c>
      <c r="BX322" s="2" t="s">
        <v>100</v>
      </c>
      <c r="BY322" s="2" t="s">
        <v>112</v>
      </c>
      <c r="BZ322" s="2" t="s">
        <v>100</v>
      </c>
    </row>
    <row r="323">
      <c r="A323" s="2" t="s">
        <v>1339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1331</v>
      </c>
      <c r="G323" s="2" t="s">
        <v>1332</v>
      </c>
      <c r="H323" s="2" t="s">
        <v>1333</v>
      </c>
      <c r="I323" s="2" t="s">
        <v>1334</v>
      </c>
      <c r="J323" s="2" t="s">
        <v>844</v>
      </c>
      <c r="K323" s="2" t="s">
        <v>181</v>
      </c>
      <c r="L323" s="3">
        <v>38.09</v>
      </c>
      <c r="M323" s="3">
        <v>39.99</v>
      </c>
      <c r="N323" s="3">
        <v>79.99</v>
      </c>
      <c r="O323" s="2" t="s">
        <v>97</v>
      </c>
      <c r="P323" s="2" t="s">
        <v>182</v>
      </c>
      <c r="Q323" s="2" t="s">
        <v>99</v>
      </c>
      <c r="R323" s="2" t="s">
        <v>100</v>
      </c>
      <c r="S323" s="2" t="s">
        <v>1340</v>
      </c>
      <c r="T323" s="2" t="s">
        <v>184</v>
      </c>
      <c r="U323" s="2" t="s">
        <v>790</v>
      </c>
      <c r="V323" s="2" t="s">
        <v>491</v>
      </c>
      <c r="W323" s="2" t="s">
        <v>733</v>
      </c>
      <c r="X323" s="2" t="s">
        <v>1288</v>
      </c>
      <c r="Y323" s="2" t="s">
        <v>496</v>
      </c>
      <c r="Z323" s="4">
        <v>495</v>
      </c>
      <c r="AA323" s="4">
        <f>=ROUNDDOWN(24.75,0)</f>
      </c>
      <c r="AB323" s="5">
        <v>20</v>
      </c>
      <c r="AC323" s="2" t="s">
        <v>325</v>
      </c>
      <c r="AD323" s="4">
        <v>420</v>
      </c>
      <c r="AE323" s="4">
        <v>550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289</v>
      </c>
      <c r="BK323" s="8">
        <v>11970.9</v>
      </c>
      <c r="BL323" s="2" t="s">
        <v>1341</v>
      </c>
      <c r="BM323" s="7"/>
      <c r="BN323" s="7"/>
      <c r="BO323" s="4"/>
      <c r="BP323" s="8"/>
      <c r="BQ323" s="4"/>
      <c r="BR323" s="8"/>
      <c r="BS323" s="7"/>
      <c r="BT323" s="7"/>
      <c r="BU323" s="2" t="s">
        <v>147</v>
      </c>
      <c r="BV323" s="2" t="s">
        <v>97</v>
      </c>
      <c r="BW323" s="2" t="s">
        <v>100</v>
      </c>
      <c r="BX323" s="2" t="s">
        <v>100</v>
      </c>
      <c r="BY323" s="2" t="s">
        <v>112</v>
      </c>
      <c r="BZ323" s="2" t="s">
        <v>100</v>
      </c>
    </row>
    <row r="324">
      <c r="A324" s="2" t="s">
        <v>1342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1331</v>
      </c>
      <c r="G324" s="2" t="s">
        <v>1332</v>
      </c>
      <c r="H324" s="2" t="s">
        <v>1333</v>
      </c>
      <c r="I324" s="2" t="s">
        <v>1334</v>
      </c>
      <c r="J324" s="2" t="s">
        <v>850</v>
      </c>
      <c r="K324" s="2" t="s">
        <v>181</v>
      </c>
      <c r="L324" s="3">
        <v>42.85</v>
      </c>
      <c r="M324" s="3">
        <v>44.99</v>
      </c>
      <c r="N324" s="3">
        <v>89.99</v>
      </c>
      <c r="O324" s="2" t="s">
        <v>97</v>
      </c>
      <c r="P324" s="2" t="s">
        <v>182</v>
      </c>
      <c r="Q324" s="2" t="s">
        <v>99</v>
      </c>
      <c r="R324" s="2" t="s">
        <v>100</v>
      </c>
      <c r="S324" s="2" t="s">
        <v>1340</v>
      </c>
      <c r="T324" s="2" t="s">
        <v>184</v>
      </c>
      <c r="U324" s="2" t="s">
        <v>790</v>
      </c>
      <c r="V324" s="2" t="s">
        <v>491</v>
      </c>
      <c r="W324" s="2" t="s">
        <v>733</v>
      </c>
      <c r="X324" s="2" t="s">
        <v>1288</v>
      </c>
      <c r="Y324" s="2" t="s">
        <v>496</v>
      </c>
      <c r="Z324" s="4">
        <v>412</v>
      </c>
      <c r="AA324" s="4">
        <f>=ROUNDDOWN(31.6923076923077,0)</f>
      </c>
      <c r="AB324" s="5">
        <v>13</v>
      </c>
      <c r="AC324" s="2" t="s">
        <v>325</v>
      </c>
      <c r="AD324" s="4">
        <v>170</v>
      </c>
      <c r="AE324" s="4">
        <v>170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174</v>
      </c>
      <c r="BK324" s="8">
        <v>8190.82</v>
      </c>
      <c r="BL324" s="2" t="s">
        <v>1343</v>
      </c>
      <c r="BM324" s="7"/>
      <c r="BN324" s="7"/>
      <c r="BO324" s="4"/>
      <c r="BP324" s="8"/>
      <c r="BQ324" s="4"/>
      <c r="BR324" s="8"/>
      <c r="BS324" s="7"/>
      <c r="BT324" s="7"/>
      <c r="BU324" s="2" t="s">
        <v>147</v>
      </c>
      <c r="BV324" s="2" t="s">
        <v>97</v>
      </c>
      <c r="BW324" s="2" t="s">
        <v>100</v>
      </c>
      <c r="BX324" s="2" t="s">
        <v>100</v>
      </c>
      <c r="BY324" s="2" t="s">
        <v>112</v>
      </c>
      <c r="BZ324" s="2" t="s">
        <v>100</v>
      </c>
    </row>
    <row r="325">
      <c r="A325" s="2" t="s">
        <v>1344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1345</v>
      </c>
      <c r="G325" s="2" t="s">
        <v>1346</v>
      </c>
      <c r="H325" s="2" t="s">
        <v>1347</v>
      </c>
      <c r="I325" s="2" t="s">
        <v>196</v>
      </c>
      <c r="J325" s="2" t="s">
        <v>118</v>
      </c>
      <c r="K325" s="2" t="s">
        <v>333</v>
      </c>
      <c r="L325" s="3">
        <v>80</v>
      </c>
      <c r="M325" s="3">
        <v>83.99</v>
      </c>
      <c r="N325" s="3">
        <v>159.99</v>
      </c>
      <c r="O325" s="2" t="s">
        <v>229</v>
      </c>
      <c r="P325" s="2" t="s">
        <v>198</v>
      </c>
      <c r="Q325" s="2" t="s">
        <v>99</v>
      </c>
      <c r="R325" s="2" t="s">
        <v>100</v>
      </c>
      <c r="S325" s="2" t="s">
        <v>1348</v>
      </c>
      <c r="T325" s="2" t="s">
        <v>100</v>
      </c>
      <c r="U325" s="2" t="s">
        <v>102</v>
      </c>
      <c r="V325" s="2" t="s">
        <v>404</v>
      </c>
      <c r="W325" s="2" t="s">
        <v>602</v>
      </c>
      <c r="X325" s="2" t="s">
        <v>406</v>
      </c>
      <c r="Y325" s="2" t="s">
        <v>106</v>
      </c>
      <c r="Z325" s="4"/>
      <c r="AA325" s="4">
        <f>=ROUNDDOWN({0},0)</f>
      </c>
      <c r="AB325" s="5">
        <v>4.9</v>
      </c>
      <c r="AC325" s="2" t="s">
        <v>100</v>
      </c>
      <c r="AD325" s="4"/>
      <c r="AE325" s="4"/>
      <c r="AF325" s="6">
        <v>64</v>
      </c>
      <c r="AG325" s="6"/>
      <c r="AH325" s="7">
        <v>0.5455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129</v>
      </c>
      <c r="BK325" s="8">
        <v>8738.26</v>
      </c>
      <c r="BL325" s="2" t="s">
        <v>1140</v>
      </c>
      <c r="BM325" s="7"/>
      <c r="BN325" s="7"/>
      <c r="BO325" s="4"/>
      <c r="BP325" s="8"/>
      <c r="BQ325" s="4"/>
      <c r="BR325" s="8"/>
      <c r="BS325" s="7"/>
      <c r="BT325" s="7"/>
      <c r="BU325" s="2" t="s">
        <v>147</v>
      </c>
      <c r="BV325" s="2" t="s">
        <v>97</v>
      </c>
      <c r="BW325" s="2" t="s">
        <v>100</v>
      </c>
      <c r="BX325" s="2" t="s">
        <v>100</v>
      </c>
      <c r="BY325" s="2" t="s">
        <v>112</v>
      </c>
      <c r="BZ325" s="2" t="s">
        <v>100</v>
      </c>
    </row>
    <row r="326">
      <c r="A326" s="2" t="s">
        <v>1349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1350</v>
      </c>
      <c r="G326" s="2" t="s">
        <v>1351</v>
      </c>
      <c r="H326" s="2" t="s">
        <v>1352</v>
      </c>
      <c r="I326" s="2" t="s">
        <v>196</v>
      </c>
      <c r="J326" s="2" t="s">
        <v>95</v>
      </c>
      <c r="K326" s="2" t="s">
        <v>158</v>
      </c>
      <c r="L326" s="3">
        <v>67.2</v>
      </c>
      <c r="M326" s="3">
        <v>70.55</v>
      </c>
      <c r="N326" s="3">
        <v>139.99</v>
      </c>
      <c r="O326" s="2" t="s">
        <v>97</v>
      </c>
      <c r="P326" s="2" t="s">
        <v>198</v>
      </c>
      <c r="Q326" s="2" t="s">
        <v>99</v>
      </c>
      <c r="R326" s="2" t="s">
        <v>100</v>
      </c>
      <c r="S326" s="2" t="s">
        <v>1353</v>
      </c>
      <c r="T326" s="2" t="s">
        <v>100</v>
      </c>
      <c r="U326" s="2" t="s">
        <v>102</v>
      </c>
      <c r="V326" s="2" t="s">
        <v>906</v>
      </c>
      <c r="W326" s="2" t="s">
        <v>906</v>
      </c>
      <c r="X326" s="2" t="s">
        <v>185</v>
      </c>
      <c r="Y326" s="2" t="s">
        <v>106</v>
      </c>
      <c r="Z326" s="4"/>
      <c r="AA326" s="4">
        <f>=ROUNDDOWN({0},0)</f>
      </c>
      <c r="AB326" s="5">
        <v>82.2</v>
      </c>
      <c r="AC326" s="2" t="s">
        <v>100</v>
      </c>
      <c r="AD326" s="4"/>
      <c r="AE326" s="4"/>
      <c r="AF326" s="6">
        <v>64</v>
      </c>
      <c r="AG326" s="6"/>
      <c r="AH326" s="7">
        <v>0.8606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538</v>
      </c>
      <c r="BK326" s="8">
        <v>25148.83</v>
      </c>
      <c r="BL326" s="2" t="s">
        <v>1354</v>
      </c>
      <c r="BM326" s="7"/>
      <c r="BN326" s="7"/>
      <c r="BO326" s="4"/>
      <c r="BP326" s="8"/>
      <c r="BQ326" s="4"/>
      <c r="BR326" s="8"/>
      <c r="BS326" s="7"/>
      <c r="BT326" s="7"/>
      <c r="BU326" s="2" t="s">
        <v>147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1355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1350</v>
      </c>
      <c r="G327" s="2" t="s">
        <v>1351</v>
      </c>
      <c r="H327" s="2" t="s">
        <v>1352</v>
      </c>
      <c r="I327" s="2" t="s">
        <v>196</v>
      </c>
      <c r="J327" s="2" t="s">
        <v>114</v>
      </c>
      <c r="K327" s="2" t="s">
        <v>158</v>
      </c>
      <c r="L327" s="3">
        <v>76.8</v>
      </c>
      <c r="M327" s="3">
        <v>80.63</v>
      </c>
      <c r="N327" s="3">
        <v>159.99</v>
      </c>
      <c r="O327" s="2" t="s">
        <v>97</v>
      </c>
      <c r="P327" s="2" t="s">
        <v>198</v>
      </c>
      <c r="Q327" s="2" t="s">
        <v>99</v>
      </c>
      <c r="R327" s="2" t="s">
        <v>100</v>
      </c>
      <c r="S327" s="2" t="s">
        <v>1353</v>
      </c>
      <c r="T327" s="2" t="s">
        <v>100</v>
      </c>
      <c r="U327" s="2" t="s">
        <v>102</v>
      </c>
      <c r="V327" s="2" t="s">
        <v>906</v>
      </c>
      <c r="W327" s="2" t="s">
        <v>906</v>
      </c>
      <c r="X327" s="2" t="s">
        <v>185</v>
      </c>
      <c r="Y327" s="2" t="s">
        <v>106</v>
      </c>
      <c r="Z327" s="4">
        <v>15</v>
      </c>
      <c r="AA327" s="4">
        <f>=ROUNDDOWN(0.244299674267101,0)</f>
      </c>
      <c r="AB327" s="5">
        <v>61.4</v>
      </c>
      <c r="AC327" s="2" t="s">
        <v>100</v>
      </c>
      <c r="AD327" s="4"/>
      <c r="AE327" s="4"/>
      <c r="AF327" s="6">
        <v>64</v>
      </c>
      <c r="AG327" s="6"/>
      <c r="AH327" s="7">
        <v>0.897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402</v>
      </c>
      <c r="BK327" s="8">
        <v>21066.13</v>
      </c>
      <c r="BL327" s="2" t="s">
        <v>1028</v>
      </c>
      <c r="BM327" s="7"/>
      <c r="BN327" s="7"/>
      <c r="BO327" s="4"/>
      <c r="BP327" s="8"/>
      <c r="BQ327" s="4"/>
      <c r="BR327" s="8"/>
      <c r="BS327" s="7"/>
      <c r="BT327" s="7"/>
      <c r="BU327" s="2" t="s">
        <v>147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1356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1350</v>
      </c>
      <c r="G328" s="2" t="s">
        <v>1351</v>
      </c>
      <c r="H328" s="2" t="s">
        <v>1352</v>
      </c>
      <c r="I328" s="2" t="s">
        <v>196</v>
      </c>
      <c r="J328" s="2" t="s">
        <v>118</v>
      </c>
      <c r="K328" s="2" t="s">
        <v>158</v>
      </c>
      <c r="L328" s="3">
        <v>76.8</v>
      </c>
      <c r="M328" s="3">
        <v>80.63</v>
      </c>
      <c r="N328" s="3">
        <v>159.99</v>
      </c>
      <c r="O328" s="2" t="s">
        <v>97</v>
      </c>
      <c r="P328" s="2" t="s">
        <v>198</v>
      </c>
      <c r="Q328" s="2" t="s">
        <v>99</v>
      </c>
      <c r="R328" s="2" t="s">
        <v>100</v>
      </c>
      <c r="S328" s="2" t="s">
        <v>1353</v>
      </c>
      <c r="T328" s="2" t="s">
        <v>100</v>
      </c>
      <c r="U328" s="2" t="s">
        <v>102</v>
      </c>
      <c r="V328" s="2" t="s">
        <v>906</v>
      </c>
      <c r="W328" s="2" t="s">
        <v>906</v>
      </c>
      <c r="X328" s="2" t="s">
        <v>185</v>
      </c>
      <c r="Y328" s="2" t="s">
        <v>106</v>
      </c>
      <c r="Z328" s="4">
        <v>2</v>
      </c>
      <c r="AA328" s="4">
        <f>=ROUNDDOWN(0.0617283950617284,0)</f>
      </c>
      <c r="AB328" s="5">
        <v>32.4</v>
      </c>
      <c r="AC328" s="2" t="s">
        <v>100</v>
      </c>
      <c r="AD328" s="4"/>
      <c r="AE328" s="4"/>
      <c r="AF328" s="6">
        <v>64</v>
      </c>
      <c r="AG328" s="6"/>
      <c r="AH328" s="7">
        <v>0.8667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222</v>
      </c>
      <c r="BK328" s="8">
        <v>10273.15</v>
      </c>
      <c r="BL328" s="2" t="s">
        <v>1357</v>
      </c>
      <c r="BM328" s="7"/>
      <c r="BN328" s="7"/>
      <c r="BO328" s="4"/>
      <c r="BP328" s="8"/>
      <c r="BQ328" s="4"/>
      <c r="BR328" s="8"/>
      <c r="BS328" s="7"/>
      <c r="BT328" s="7"/>
      <c r="BU328" s="2" t="s">
        <v>147</v>
      </c>
      <c r="BV328" s="2" t="s">
        <v>97</v>
      </c>
      <c r="BW328" s="2" t="s">
        <v>100</v>
      </c>
      <c r="BX328" s="2" t="s">
        <v>100</v>
      </c>
      <c r="BY328" s="2" t="s">
        <v>112</v>
      </c>
      <c r="BZ328" s="2" t="s">
        <v>100</v>
      </c>
    </row>
    <row r="329">
      <c r="A329" s="2" t="s">
        <v>1358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1359</v>
      </c>
      <c r="G329" s="2" t="s">
        <v>1360</v>
      </c>
      <c r="H329" s="2" t="s">
        <v>1361</v>
      </c>
      <c r="I329" s="2" t="s">
        <v>1362</v>
      </c>
      <c r="J329" s="2" t="s">
        <v>95</v>
      </c>
      <c r="K329" s="2" t="s">
        <v>158</v>
      </c>
      <c r="L329" s="3">
        <v>56.7</v>
      </c>
      <c r="M329" s="3">
        <v>59.54</v>
      </c>
      <c r="N329" s="3">
        <v>129.99</v>
      </c>
      <c r="O329" s="2" t="s">
        <v>97</v>
      </c>
      <c r="P329" s="2" t="s">
        <v>182</v>
      </c>
      <c r="Q329" s="2" t="s">
        <v>99</v>
      </c>
      <c r="R329" s="2" t="s">
        <v>100</v>
      </c>
      <c r="S329" s="2" t="s">
        <v>1363</v>
      </c>
      <c r="T329" s="2" t="s">
        <v>100</v>
      </c>
      <c r="U329" s="2" t="s">
        <v>102</v>
      </c>
      <c r="V329" s="2" t="s">
        <v>1364</v>
      </c>
      <c r="W329" s="2" t="s">
        <v>405</v>
      </c>
      <c r="X329" s="2" t="s">
        <v>456</v>
      </c>
      <c r="Y329" s="2" t="s">
        <v>1365</v>
      </c>
      <c r="Z329" s="4">
        <v>347</v>
      </c>
      <c r="AA329" s="4">
        <f>=ROUNDDOWN(23.1333333333333,0)</f>
      </c>
      <c r="AB329" s="5">
        <v>15</v>
      </c>
      <c r="AC329" s="2" t="s">
        <v>107</v>
      </c>
      <c r="AD329" s="4">
        <v>140</v>
      </c>
      <c r="AE329" s="4">
        <v>390</v>
      </c>
      <c r="AF329" s="6">
        <v>65</v>
      </c>
      <c r="AG329" s="6">
        <v>48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282</v>
      </c>
      <c r="BK329" s="8">
        <v>18797.91</v>
      </c>
      <c r="BL329" s="2" t="s">
        <v>1366</v>
      </c>
      <c r="BM329" s="7"/>
      <c r="BN329" s="7"/>
      <c r="BO329" s="4"/>
      <c r="BP329" s="8"/>
      <c r="BQ329" s="4"/>
      <c r="BR329" s="8"/>
      <c r="BS329" s="7"/>
      <c r="BT329" s="7"/>
      <c r="BU329" s="2" t="s">
        <v>147</v>
      </c>
      <c r="BV329" s="2" t="s">
        <v>97</v>
      </c>
      <c r="BW329" s="2" t="s">
        <v>100</v>
      </c>
      <c r="BX329" s="2" t="s">
        <v>100</v>
      </c>
      <c r="BY329" s="2" t="s">
        <v>112</v>
      </c>
      <c r="BZ329" s="2" t="s">
        <v>100</v>
      </c>
    </row>
    <row r="330">
      <c r="A330" s="2" t="s">
        <v>1367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1359</v>
      </c>
      <c r="G330" s="2" t="s">
        <v>1360</v>
      </c>
      <c r="H330" s="2" t="s">
        <v>1361</v>
      </c>
      <c r="I330" s="2" t="s">
        <v>1362</v>
      </c>
      <c r="J330" s="2" t="s">
        <v>114</v>
      </c>
      <c r="K330" s="2" t="s">
        <v>158</v>
      </c>
      <c r="L330" s="3">
        <v>66.24</v>
      </c>
      <c r="M330" s="3">
        <v>69.55</v>
      </c>
      <c r="N330" s="3">
        <v>149.99</v>
      </c>
      <c r="O330" s="2" t="s">
        <v>97</v>
      </c>
      <c r="P330" s="2" t="s">
        <v>182</v>
      </c>
      <c r="Q330" s="2" t="s">
        <v>99</v>
      </c>
      <c r="R330" s="2" t="s">
        <v>100</v>
      </c>
      <c r="S330" s="2" t="s">
        <v>1363</v>
      </c>
      <c r="T330" s="2" t="s">
        <v>100</v>
      </c>
      <c r="U330" s="2" t="s">
        <v>102</v>
      </c>
      <c r="V330" s="2" t="s">
        <v>1364</v>
      </c>
      <c r="W330" s="2" t="s">
        <v>405</v>
      </c>
      <c r="X330" s="2" t="s">
        <v>456</v>
      </c>
      <c r="Y330" s="2" t="s">
        <v>1365</v>
      </c>
      <c r="Z330" s="4">
        <v>280</v>
      </c>
      <c r="AA330" s="4">
        <f>=ROUNDDOWN(18.6666666666667,0)</f>
      </c>
      <c r="AB330" s="5">
        <v>15</v>
      </c>
      <c r="AC330" s="2" t="s">
        <v>107</v>
      </c>
      <c r="AD330" s="4">
        <v>50</v>
      </c>
      <c r="AE330" s="4">
        <v>430</v>
      </c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307</v>
      </c>
      <c r="BK330" s="8">
        <v>23390.32</v>
      </c>
      <c r="BL330" s="2" t="s">
        <v>1368</v>
      </c>
      <c r="BM330" s="7"/>
      <c r="BN330" s="7"/>
      <c r="BO330" s="4"/>
      <c r="BP330" s="8"/>
      <c r="BQ330" s="4"/>
      <c r="BR330" s="8"/>
      <c r="BS330" s="7"/>
      <c r="BT330" s="7"/>
      <c r="BU330" s="2" t="s">
        <v>147</v>
      </c>
      <c r="BV330" s="2" t="s">
        <v>97</v>
      </c>
      <c r="BW330" s="2" t="s">
        <v>100</v>
      </c>
      <c r="BX330" s="2" t="s">
        <v>100</v>
      </c>
      <c r="BY330" s="2" t="s">
        <v>112</v>
      </c>
      <c r="BZ330" s="2" t="s">
        <v>100</v>
      </c>
    </row>
    <row r="331">
      <c r="A331" s="2" t="s">
        <v>1369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1359</v>
      </c>
      <c r="G331" s="2" t="s">
        <v>1360</v>
      </c>
      <c r="H331" s="2" t="s">
        <v>1361</v>
      </c>
      <c r="I331" s="2" t="s">
        <v>1362</v>
      </c>
      <c r="J331" s="2" t="s">
        <v>118</v>
      </c>
      <c r="K331" s="2" t="s">
        <v>158</v>
      </c>
      <c r="L331" s="3">
        <v>66.24</v>
      </c>
      <c r="M331" s="3">
        <v>69.55</v>
      </c>
      <c r="N331" s="3">
        <v>149.99</v>
      </c>
      <c r="O331" s="2" t="s">
        <v>97</v>
      </c>
      <c r="P331" s="2" t="s">
        <v>182</v>
      </c>
      <c r="Q331" s="2" t="s">
        <v>99</v>
      </c>
      <c r="R331" s="2" t="s">
        <v>100</v>
      </c>
      <c r="S331" s="2" t="s">
        <v>1363</v>
      </c>
      <c r="T331" s="2" t="s">
        <v>100</v>
      </c>
      <c r="U331" s="2" t="s">
        <v>102</v>
      </c>
      <c r="V331" s="2" t="s">
        <v>1364</v>
      </c>
      <c r="W331" s="2" t="s">
        <v>405</v>
      </c>
      <c r="X331" s="2" t="s">
        <v>456</v>
      </c>
      <c r="Y331" s="2" t="s">
        <v>1365</v>
      </c>
      <c r="Z331" s="4">
        <v>113</v>
      </c>
      <c r="AA331" s="4">
        <f>=ROUNDDOWN(16.1428571428571,0)</f>
      </c>
      <c r="AB331" s="5">
        <v>7</v>
      </c>
      <c r="AC331" s="2" t="s">
        <v>107</v>
      </c>
      <c r="AD331" s="4">
        <v>50</v>
      </c>
      <c r="AE331" s="4">
        <v>220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124</v>
      </c>
      <c r="BK331" s="8">
        <v>9508.77</v>
      </c>
      <c r="BL331" s="2" t="s">
        <v>1370</v>
      </c>
      <c r="BM331" s="7"/>
      <c r="BN331" s="7"/>
      <c r="BO331" s="4"/>
      <c r="BP331" s="8"/>
      <c r="BQ331" s="4"/>
      <c r="BR331" s="8"/>
      <c r="BS331" s="7"/>
      <c r="BT331" s="7"/>
      <c r="BU331" s="2" t="s">
        <v>147</v>
      </c>
      <c r="BV331" s="2" t="s">
        <v>97</v>
      </c>
      <c r="BW331" s="2" t="s">
        <v>100</v>
      </c>
      <c r="BX331" s="2" t="s">
        <v>100</v>
      </c>
      <c r="BY331" s="2" t="s">
        <v>112</v>
      </c>
      <c r="BZ331" s="2" t="s">
        <v>100</v>
      </c>
    </row>
    <row r="332">
      <c r="A332" s="2" t="s">
        <v>1371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1177</v>
      </c>
      <c r="G332" s="2" t="s">
        <v>1372</v>
      </c>
      <c r="H332" s="2" t="s">
        <v>1373</v>
      </c>
      <c r="I332" s="2" t="s">
        <v>1374</v>
      </c>
      <c r="J332" s="2" t="s">
        <v>95</v>
      </c>
      <c r="K332" s="2" t="s">
        <v>622</v>
      </c>
      <c r="L332" s="3">
        <v>64.4</v>
      </c>
      <c r="M332" s="3">
        <v>67.62</v>
      </c>
      <c r="N332" s="3">
        <v>139.99</v>
      </c>
      <c r="O332" s="2" t="s">
        <v>97</v>
      </c>
      <c r="P332" s="2" t="s">
        <v>182</v>
      </c>
      <c r="Q332" s="2" t="s">
        <v>99</v>
      </c>
      <c r="R332" s="2" t="s">
        <v>100</v>
      </c>
      <c r="S332" s="2" t="s">
        <v>1375</v>
      </c>
      <c r="T332" s="2" t="s">
        <v>100</v>
      </c>
      <c r="U332" s="2" t="s">
        <v>102</v>
      </c>
      <c r="V332" s="2" t="s">
        <v>103</v>
      </c>
      <c r="W332" s="2" t="s">
        <v>104</v>
      </c>
      <c r="X332" s="2" t="s">
        <v>105</v>
      </c>
      <c r="Y332" s="2" t="s">
        <v>106</v>
      </c>
      <c r="Z332" s="4">
        <v>355</v>
      </c>
      <c r="AA332" s="4">
        <f>=ROUNDDOWN(23.6666666666667,0)</f>
      </c>
      <c r="AB332" s="5">
        <v>15</v>
      </c>
      <c r="AC332" s="2" t="s">
        <v>382</v>
      </c>
      <c r="AD332" s="4">
        <v>160</v>
      </c>
      <c r="AE332" s="4">
        <v>410</v>
      </c>
      <c r="AF332" s="6">
        <v>65</v>
      </c>
      <c r="AG332" s="6"/>
      <c r="AH332" s="7">
        <v>0.9697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355</v>
      </c>
      <c r="BK332" s="8">
        <v>22497.11</v>
      </c>
      <c r="BL332" s="2" t="s">
        <v>1376</v>
      </c>
      <c r="BM332" s="7"/>
      <c r="BN332" s="7"/>
      <c r="BO332" s="4"/>
      <c r="BP332" s="8"/>
      <c r="BQ332" s="4"/>
      <c r="BR332" s="8"/>
      <c r="BS332" s="7"/>
      <c r="BT332" s="7"/>
      <c r="BU332" s="2" t="s">
        <v>147</v>
      </c>
      <c r="BV332" s="2" t="s">
        <v>97</v>
      </c>
      <c r="BW332" s="2" t="s">
        <v>100</v>
      </c>
      <c r="BX332" s="2" t="s">
        <v>100</v>
      </c>
      <c r="BY332" s="2" t="s">
        <v>112</v>
      </c>
      <c r="BZ332" s="2" t="s">
        <v>100</v>
      </c>
    </row>
    <row r="333">
      <c r="A333" s="2" t="s">
        <v>1377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1177</v>
      </c>
      <c r="G333" s="2" t="s">
        <v>1372</v>
      </c>
      <c r="H333" s="2" t="s">
        <v>1373</v>
      </c>
      <c r="I333" s="2" t="s">
        <v>1374</v>
      </c>
      <c r="J333" s="2" t="s">
        <v>114</v>
      </c>
      <c r="K333" s="2" t="s">
        <v>622</v>
      </c>
      <c r="L333" s="3">
        <v>75.2</v>
      </c>
      <c r="M333" s="3">
        <v>78.96</v>
      </c>
      <c r="N333" s="3">
        <v>159.99</v>
      </c>
      <c r="O333" s="2" t="s">
        <v>97</v>
      </c>
      <c r="P333" s="2" t="s">
        <v>182</v>
      </c>
      <c r="Q333" s="2" t="s">
        <v>99</v>
      </c>
      <c r="R333" s="2" t="s">
        <v>100</v>
      </c>
      <c r="S333" s="2" t="s">
        <v>1375</v>
      </c>
      <c r="T333" s="2" t="s">
        <v>100</v>
      </c>
      <c r="U333" s="2" t="s">
        <v>102</v>
      </c>
      <c r="V333" s="2" t="s">
        <v>103</v>
      </c>
      <c r="W333" s="2" t="s">
        <v>104</v>
      </c>
      <c r="X333" s="2" t="s">
        <v>105</v>
      </c>
      <c r="Y333" s="2" t="s">
        <v>106</v>
      </c>
      <c r="Z333" s="4">
        <v>218</v>
      </c>
      <c r="AA333" s="4">
        <f>=ROUNDDOWN(14.5333333333333,0)</f>
      </c>
      <c r="AB333" s="5">
        <v>15</v>
      </c>
      <c r="AC333" s="2" t="s">
        <v>382</v>
      </c>
      <c r="AD333" s="4">
        <v>150</v>
      </c>
      <c r="AE333" s="4">
        <v>650</v>
      </c>
      <c r="AF333" s="6">
        <v>65</v>
      </c>
      <c r="AG333" s="6"/>
      <c r="AH333" s="7">
        <v>0.9758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412</v>
      </c>
      <c r="BK333" s="8">
        <v>31048.68</v>
      </c>
      <c r="BL333" s="2" t="s">
        <v>1376</v>
      </c>
      <c r="BM333" s="7"/>
      <c r="BN333" s="7"/>
      <c r="BO333" s="4"/>
      <c r="BP333" s="8"/>
      <c r="BQ333" s="4"/>
      <c r="BR333" s="8"/>
      <c r="BS333" s="7"/>
      <c r="BT333" s="7"/>
      <c r="BU333" s="2" t="s">
        <v>147</v>
      </c>
      <c r="BV333" s="2" t="s">
        <v>97</v>
      </c>
      <c r="BW333" s="2" t="s">
        <v>100</v>
      </c>
      <c r="BX333" s="2" t="s">
        <v>100</v>
      </c>
      <c r="BY333" s="2" t="s">
        <v>112</v>
      </c>
      <c r="BZ333" s="2" t="s">
        <v>100</v>
      </c>
    </row>
    <row r="334">
      <c r="A334" s="2" t="s">
        <v>1378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1177</v>
      </c>
      <c r="G334" s="2" t="s">
        <v>1372</v>
      </c>
      <c r="H334" s="2" t="s">
        <v>1373</v>
      </c>
      <c r="I334" s="2" t="s">
        <v>1374</v>
      </c>
      <c r="J334" s="2" t="s">
        <v>118</v>
      </c>
      <c r="K334" s="2" t="s">
        <v>622</v>
      </c>
      <c r="L334" s="3">
        <v>75.2</v>
      </c>
      <c r="M334" s="3">
        <v>78.96</v>
      </c>
      <c r="N334" s="3">
        <v>159.99</v>
      </c>
      <c r="O334" s="2" t="s">
        <v>97</v>
      </c>
      <c r="P334" s="2" t="s">
        <v>182</v>
      </c>
      <c r="Q334" s="2" t="s">
        <v>99</v>
      </c>
      <c r="R334" s="2" t="s">
        <v>100</v>
      </c>
      <c r="S334" s="2" t="s">
        <v>1375</v>
      </c>
      <c r="T334" s="2" t="s">
        <v>100</v>
      </c>
      <c r="U334" s="2" t="s">
        <v>102</v>
      </c>
      <c r="V334" s="2" t="s">
        <v>103</v>
      </c>
      <c r="W334" s="2" t="s">
        <v>104</v>
      </c>
      <c r="X334" s="2" t="s">
        <v>105</v>
      </c>
      <c r="Y334" s="2" t="s">
        <v>106</v>
      </c>
      <c r="Z334" s="4">
        <v>227</v>
      </c>
      <c r="AA334" s="4">
        <f>=ROUNDDOWN(25.2222222222222,0)</f>
      </c>
      <c r="AB334" s="5">
        <v>9</v>
      </c>
      <c r="AC334" s="2" t="s">
        <v>382</v>
      </c>
      <c r="AD334" s="4">
        <v>110</v>
      </c>
      <c r="AE334" s="4">
        <v>160</v>
      </c>
      <c r="AF334" s="6">
        <v>65</v>
      </c>
      <c r="AG334" s="6"/>
      <c r="AH334" s="7">
        <v>0.8242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100</v>
      </c>
      <c r="AW334" s="8" t="s">
        <v>100</v>
      </c>
      <c r="AX334" s="4" t="s">
        <v>100</v>
      </c>
      <c r="AY334" s="8" t="s">
        <v>100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 t="s">
        <v>100</v>
      </c>
      <c r="BF334" s="8" t="s">
        <v>100</v>
      </c>
      <c r="BG334" s="7" t="s">
        <v>100</v>
      </c>
      <c r="BH334" s="7" t="s">
        <v>100</v>
      </c>
      <c r="BI334" s="7"/>
      <c r="BJ334" s="4">
        <v>182</v>
      </c>
      <c r="BK334" s="8">
        <v>13790.99</v>
      </c>
      <c r="BL334" s="2" t="s">
        <v>1379</v>
      </c>
      <c r="BM334" s="7"/>
      <c r="BN334" s="7"/>
      <c r="BO334" s="4"/>
      <c r="BP334" s="8"/>
      <c r="BQ334" s="4"/>
      <c r="BR334" s="8"/>
      <c r="BS334" s="7"/>
      <c r="BT334" s="7"/>
      <c r="BU334" s="2" t="s">
        <v>147</v>
      </c>
      <c r="BV334" s="2" t="s">
        <v>97</v>
      </c>
      <c r="BW334" s="2" t="s">
        <v>100</v>
      </c>
      <c r="BX334" s="2" t="s">
        <v>100</v>
      </c>
      <c r="BY334" s="2" t="s">
        <v>112</v>
      </c>
      <c r="BZ334" s="2" t="s">
        <v>100</v>
      </c>
    </row>
    <row r="335">
      <c r="A335" s="2" t="s">
        <v>1380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1381</v>
      </c>
      <c r="G335" s="2" t="s">
        <v>1382</v>
      </c>
      <c r="H335" s="2" t="s">
        <v>1383</v>
      </c>
      <c r="I335" s="2" t="s">
        <v>1384</v>
      </c>
      <c r="J335" s="2" t="s">
        <v>118</v>
      </c>
      <c r="K335" s="2" t="s">
        <v>168</v>
      </c>
      <c r="L335" s="3">
        <v>85</v>
      </c>
      <c r="M335" s="3">
        <v>89.25</v>
      </c>
      <c r="N335" s="3">
        <v>169.99</v>
      </c>
      <c r="O335" s="2" t="s">
        <v>550</v>
      </c>
      <c r="P335" s="2" t="s">
        <v>198</v>
      </c>
      <c r="Q335" s="2" t="s">
        <v>99</v>
      </c>
      <c r="R335" s="2" t="s">
        <v>100</v>
      </c>
      <c r="S335" s="2" t="s">
        <v>1385</v>
      </c>
      <c r="T335" s="2" t="s">
        <v>100</v>
      </c>
      <c r="U335" s="2" t="s">
        <v>807</v>
      </c>
      <c r="V335" s="2" t="s">
        <v>103</v>
      </c>
      <c r="W335" s="2" t="s">
        <v>808</v>
      </c>
      <c r="X335" s="2" t="s">
        <v>809</v>
      </c>
      <c r="Y335" s="2" t="s">
        <v>1386</v>
      </c>
      <c r="Z335" s="4"/>
      <c r="AA335" s="4">
        <f>=ROUNDDOWN({0},0)</f>
      </c>
      <c r="AB335" s="5"/>
      <c r="AC335" s="2" t="s">
        <v>100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100</v>
      </c>
      <c r="BM335" s="7"/>
      <c r="BN335" s="7"/>
      <c r="BO335" s="4"/>
      <c r="BP335" s="8"/>
      <c r="BQ335" s="4"/>
      <c r="BR335" s="8"/>
      <c r="BS335" s="7"/>
      <c r="BT335" s="7"/>
      <c r="BU335" s="2" t="s">
        <v>147</v>
      </c>
      <c r="BV335" s="2" t="s">
        <v>97</v>
      </c>
      <c r="BW335" s="2" t="s">
        <v>100</v>
      </c>
      <c r="BX335" s="2" t="s">
        <v>100</v>
      </c>
      <c r="BY335" s="2" t="s">
        <v>112</v>
      </c>
      <c r="BZ335" s="2" t="s">
        <v>100</v>
      </c>
    </row>
    <row r="336">
      <c r="A336" s="2" t="s">
        <v>1387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1388</v>
      </c>
      <c r="G336" s="2" t="s">
        <v>1227</v>
      </c>
      <c r="H336" s="2" t="s">
        <v>1389</v>
      </c>
      <c r="I336" s="2" t="s">
        <v>757</v>
      </c>
      <c r="J336" s="2" t="s">
        <v>95</v>
      </c>
      <c r="K336" s="2" t="s">
        <v>1204</v>
      </c>
      <c r="L336" s="3">
        <v>66.66</v>
      </c>
      <c r="M336" s="3">
        <v>69.99</v>
      </c>
      <c r="N336" s="3">
        <v>139.99</v>
      </c>
      <c r="O336" s="2" t="s">
        <v>97</v>
      </c>
      <c r="P336" s="2" t="s">
        <v>198</v>
      </c>
      <c r="Q336" s="2" t="s">
        <v>99</v>
      </c>
      <c r="R336" s="2" t="s">
        <v>100</v>
      </c>
      <c r="S336" s="2" t="s">
        <v>1390</v>
      </c>
      <c r="T336" s="2" t="s">
        <v>100</v>
      </c>
      <c r="U336" s="2" t="s">
        <v>102</v>
      </c>
      <c r="V336" s="2" t="s">
        <v>637</v>
      </c>
      <c r="W336" s="2" t="s">
        <v>104</v>
      </c>
      <c r="X336" s="2" t="s">
        <v>1190</v>
      </c>
      <c r="Y336" s="2" t="s">
        <v>1391</v>
      </c>
      <c r="Z336" s="4">
        <v>55</v>
      </c>
      <c r="AA336" s="4">
        <f>=ROUNDDOWN(2.04460966542751,0)</f>
      </c>
      <c r="AB336" s="5">
        <v>26.9</v>
      </c>
      <c r="AC336" s="2" t="s">
        <v>100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303</v>
      </c>
      <c r="BK336" s="8">
        <v>14846.75</v>
      </c>
      <c r="BL336" s="2" t="s">
        <v>1392</v>
      </c>
      <c r="BM336" s="7"/>
      <c r="BN336" s="7"/>
      <c r="BO336" s="4"/>
      <c r="BP336" s="8"/>
      <c r="BQ336" s="4"/>
      <c r="BR336" s="8"/>
      <c r="BS336" s="7"/>
      <c r="BT336" s="7"/>
      <c r="BU336" s="2" t="s">
        <v>147</v>
      </c>
      <c r="BV336" s="2" t="s">
        <v>97</v>
      </c>
      <c r="BW336" s="2" t="s">
        <v>100</v>
      </c>
      <c r="BX336" s="2" t="s">
        <v>100</v>
      </c>
      <c r="BY336" s="2" t="s">
        <v>112</v>
      </c>
      <c r="BZ336" s="2" t="s">
        <v>100</v>
      </c>
    </row>
    <row r="337">
      <c r="A337" s="2" t="s">
        <v>1393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1388</v>
      </c>
      <c r="G337" s="2" t="s">
        <v>1227</v>
      </c>
      <c r="H337" s="2" t="s">
        <v>1389</v>
      </c>
      <c r="I337" s="2" t="s">
        <v>757</v>
      </c>
      <c r="J337" s="2" t="s">
        <v>114</v>
      </c>
      <c r="K337" s="2" t="s">
        <v>1204</v>
      </c>
      <c r="L337" s="3">
        <v>76.19</v>
      </c>
      <c r="M337" s="3">
        <v>80</v>
      </c>
      <c r="N337" s="3">
        <v>159.99</v>
      </c>
      <c r="O337" s="2" t="s">
        <v>97</v>
      </c>
      <c r="P337" s="2" t="s">
        <v>198</v>
      </c>
      <c r="Q337" s="2" t="s">
        <v>99</v>
      </c>
      <c r="R337" s="2" t="s">
        <v>100</v>
      </c>
      <c r="S337" s="2" t="s">
        <v>1390</v>
      </c>
      <c r="T337" s="2" t="s">
        <v>100</v>
      </c>
      <c r="U337" s="2" t="s">
        <v>102</v>
      </c>
      <c r="V337" s="2" t="s">
        <v>637</v>
      </c>
      <c r="W337" s="2" t="s">
        <v>104</v>
      </c>
      <c r="X337" s="2" t="s">
        <v>1190</v>
      </c>
      <c r="Y337" s="2" t="s">
        <v>1391</v>
      </c>
      <c r="Z337" s="4">
        <v>192</v>
      </c>
      <c r="AA337" s="4">
        <f>=ROUNDDOWN(8.76712328767123,0)</f>
      </c>
      <c r="AB337" s="5">
        <v>21.9</v>
      </c>
      <c r="AC337" s="2" t="s">
        <v>100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275</v>
      </c>
      <c r="BK337" s="8">
        <v>17387.11</v>
      </c>
      <c r="BL337" s="2" t="s">
        <v>1394</v>
      </c>
      <c r="BM337" s="7"/>
      <c r="BN337" s="7"/>
      <c r="BO337" s="4"/>
      <c r="BP337" s="8"/>
      <c r="BQ337" s="4"/>
      <c r="BR337" s="8"/>
      <c r="BS337" s="7"/>
      <c r="BT337" s="7"/>
      <c r="BU337" s="2" t="s">
        <v>147</v>
      </c>
      <c r="BV337" s="2" t="s">
        <v>97</v>
      </c>
      <c r="BW337" s="2" t="s">
        <v>100</v>
      </c>
      <c r="BX337" s="2" t="s">
        <v>100</v>
      </c>
      <c r="BY337" s="2" t="s">
        <v>112</v>
      </c>
      <c r="BZ337" s="2" t="s">
        <v>100</v>
      </c>
    </row>
    <row r="338">
      <c r="A338" s="2" t="s">
        <v>1395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1388</v>
      </c>
      <c r="G338" s="2" t="s">
        <v>1227</v>
      </c>
      <c r="H338" s="2" t="s">
        <v>1389</v>
      </c>
      <c r="I338" s="2" t="s">
        <v>757</v>
      </c>
      <c r="J338" s="2" t="s">
        <v>118</v>
      </c>
      <c r="K338" s="2" t="s">
        <v>1204</v>
      </c>
      <c r="L338" s="3">
        <v>76.19</v>
      </c>
      <c r="M338" s="3">
        <v>80</v>
      </c>
      <c r="N338" s="3">
        <v>159.99</v>
      </c>
      <c r="O338" s="2" t="s">
        <v>97</v>
      </c>
      <c r="P338" s="2" t="s">
        <v>198</v>
      </c>
      <c r="Q338" s="2" t="s">
        <v>99</v>
      </c>
      <c r="R338" s="2" t="s">
        <v>100</v>
      </c>
      <c r="S338" s="2" t="s">
        <v>1390</v>
      </c>
      <c r="T338" s="2" t="s">
        <v>100</v>
      </c>
      <c r="U338" s="2" t="s">
        <v>102</v>
      </c>
      <c r="V338" s="2" t="s">
        <v>637</v>
      </c>
      <c r="W338" s="2" t="s">
        <v>104</v>
      </c>
      <c r="X338" s="2" t="s">
        <v>1190</v>
      </c>
      <c r="Y338" s="2" t="s">
        <v>1391</v>
      </c>
      <c r="Z338" s="4">
        <v>83</v>
      </c>
      <c r="AA338" s="4">
        <f>=ROUNDDOWN(9.54022988505747,0)</f>
      </c>
      <c r="AB338" s="5">
        <v>8.7</v>
      </c>
      <c r="AC338" s="2" t="s">
        <v>100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180</v>
      </c>
      <c r="BK338" s="8">
        <v>10952.77</v>
      </c>
      <c r="BL338" s="2" t="s">
        <v>1396</v>
      </c>
      <c r="BM338" s="7"/>
      <c r="BN338" s="7"/>
      <c r="BO338" s="4"/>
      <c r="BP338" s="8"/>
      <c r="BQ338" s="4"/>
      <c r="BR338" s="8"/>
      <c r="BS338" s="7"/>
      <c r="BT338" s="7"/>
      <c r="BU338" s="2" t="s">
        <v>147</v>
      </c>
      <c r="BV338" s="2" t="s">
        <v>97</v>
      </c>
      <c r="BW338" s="2" t="s">
        <v>100</v>
      </c>
      <c r="BX338" s="2" t="s">
        <v>100</v>
      </c>
      <c r="BY338" s="2" t="s">
        <v>112</v>
      </c>
      <c r="BZ338" s="2" t="s">
        <v>100</v>
      </c>
    </row>
    <row r="339">
      <c r="A339" s="2" t="s">
        <v>1397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1398</v>
      </c>
      <c r="G339" s="2" t="s">
        <v>1399</v>
      </c>
      <c r="H339" s="2" t="s">
        <v>1400</v>
      </c>
      <c r="I339" s="2" t="s">
        <v>1401</v>
      </c>
      <c r="J339" s="2" t="s">
        <v>844</v>
      </c>
      <c r="K339" s="2" t="s">
        <v>1204</v>
      </c>
      <c r="L339" s="3">
        <v>57.14</v>
      </c>
      <c r="M339" s="3">
        <v>60</v>
      </c>
      <c r="N339" s="3">
        <v>119.99</v>
      </c>
      <c r="O339" s="2" t="s">
        <v>229</v>
      </c>
      <c r="P339" s="2" t="s">
        <v>198</v>
      </c>
      <c r="Q339" s="2" t="s">
        <v>99</v>
      </c>
      <c r="R339" s="2" t="s">
        <v>100</v>
      </c>
      <c r="S339" s="2" t="s">
        <v>1402</v>
      </c>
      <c r="T339" s="2" t="s">
        <v>184</v>
      </c>
      <c r="U339" s="2" t="s">
        <v>790</v>
      </c>
      <c r="V339" s="2" t="s">
        <v>561</v>
      </c>
      <c r="W339" s="2" t="s">
        <v>1403</v>
      </c>
      <c r="X339" s="2" t="s">
        <v>759</v>
      </c>
      <c r="Y339" s="2" t="s">
        <v>1404</v>
      </c>
      <c r="Z339" s="4">
        <v>440</v>
      </c>
      <c r="AA339" s="4">
        <f>=ROUNDDOWN(110,0)</f>
      </c>
      <c r="AB339" s="5">
        <v>4</v>
      </c>
      <c r="AC339" s="2" t="s">
        <v>100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68</v>
      </c>
      <c r="BK339" s="8">
        <v>3658.63</v>
      </c>
      <c r="BL339" s="2" t="s">
        <v>1405</v>
      </c>
      <c r="BM339" s="7"/>
      <c r="BN339" s="7"/>
      <c r="BO339" s="4"/>
      <c r="BP339" s="8"/>
      <c r="BQ339" s="4"/>
      <c r="BR339" s="8"/>
      <c r="BS339" s="7"/>
      <c r="BT339" s="7"/>
      <c r="BU339" s="2" t="s">
        <v>147</v>
      </c>
      <c r="BV339" s="2" t="s">
        <v>97</v>
      </c>
      <c r="BW339" s="2" t="s">
        <v>100</v>
      </c>
      <c r="BX339" s="2" t="s">
        <v>100</v>
      </c>
      <c r="BY339" s="2" t="s">
        <v>112</v>
      </c>
      <c r="BZ339" s="2" t="s">
        <v>100</v>
      </c>
    </row>
    <row r="340">
      <c r="A340" s="2" t="s">
        <v>1406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1398</v>
      </c>
      <c r="G340" s="2" t="s">
        <v>1399</v>
      </c>
      <c r="H340" s="2" t="s">
        <v>1400</v>
      </c>
      <c r="I340" s="2" t="s">
        <v>1401</v>
      </c>
      <c r="J340" s="2" t="s">
        <v>850</v>
      </c>
      <c r="K340" s="2" t="s">
        <v>1204</v>
      </c>
      <c r="L340" s="3">
        <v>66.66</v>
      </c>
      <c r="M340" s="3">
        <v>69.99</v>
      </c>
      <c r="N340" s="3">
        <v>139.99</v>
      </c>
      <c r="O340" s="2" t="s">
        <v>229</v>
      </c>
      <c r="P340" s="2" t="s">
        <v>198</v>
      </c>
      <c r="Q340" s="2" t="s">
        <v>99</v>
      </c>
      <c r="R340" s="2" t="s">
        <v>100</v>
      </c>
      <c r="S340" s="2" t="s">
        <v>1402</v>
      </c>
      <c r="T340" s="2" t="s">
        <v>184</v>
      </c>
      <c r="U340" s="2" t="s">
        <v>790</v>
      </c>
      <c r="V340" s="2" t="s">
        <v>561</v>
      </c>
      <c r="W340" s="2" t="s">
        <v>1403</v>
      </c>
      <c r="X340" s="2" t="s">
        <v>759</v>
      </c>
      <c r="Y340" s="2" t="s">
        <v>1404</v>
      </c>
      <c r="Z340" s="4">
        <v>355</v>
      </c>
      <c r="AA340" s="4">
        <f>=ROUNDDOWN(118.333333333333,0)</f>
      </c>
      <c r="AB340" s="5">
        <v>3</v>
      </c>
      <c r="AC340" s="2" t="s">
        <v>100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47</v>
      </c>
      <c r="BK340" s="8">
        <v>3141.27</v>
      </c>
      <c r="BL340" s="2" t="s">
        <v>1407</v>
      </c>
      <c r="BM340" s="7"/>
      <c r="BN340" s="7"/>
      <c r="BO340" s="4"/>
      <c r="BP340" s="8"/>
      <c r="BQ340" s="4"/>
      <c r="BR340" s="8"/>
      <c r="BS340" s="7"/>
      <c r="BT340" s="7"/>
      <c r="BU340" s="2" t="s">
        <v>147</v>
      </c>
      <c r="BV340" s="2" t="s">
        <v>97</v>
      </c>
      <c r="BW340" s="2" t="s">
        <v>100</v>
      </c>
      <c r="BX340" s="2" t="s">
        <v>100</v>
      </c>
      <c r="BY340" s="2" t="s">
        <v>112</v>
      </c>
      <c r="BZ340" s="2" t="s">
        <v>100</v>
      </c>
    </row>
    <row r="341">
      <c r="A341" s="2" t="s">
        <v>1408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1409</v>
      </c>
      <c r="G341" s="2" t="s">
        <v>1410</v>
      </c>
      <c r="H341" s="2" t="s">
        <v>1411</v>
      </c>
      <c r="I341" s="2" t="s">
        <v>309</v>
      </c>
      <c r="J341" s="2" t="s">
        <v>122</v>
      </c>
      <c r="K341" s="2" t="s">
        <v>1412</v>
      </c>
      <c r="L341" s="3">
        <v>59.8</v>
      </c>
      <c r="M341" s="3">
        <v>62.79</v>
      </c>
      <c r="N341" s="3">
        <v>129.99</v>
      </c>
      <c r="O341" s="2" t="s">
        <v>97</v>
      </c>
      <c r="P341" s="2" t="s">
        <v>182</v>
      </c>
      <c r="Q341" s="2" t="s">
        <v>99</v>
      </c>
      <c r="R341" s="2" t="s">
        <v>100</v>
      </c>
      <c r="S341" s="2" t="s">
        <v>1413</v>
      </c>
      <c r="T341" s="2" t="s">
        <v>100</v>
      </c>
      <c r="U341" s="2" t="s">
        <v>102</v>
      </c>
      <c r="V341" s="2" t="s">
        <v>103</v>
      </c>
      <c r="W341" s="2" t="s">
        <v>759</v>
      </c>
      <c r="X341" s="2" t="s">
        <v>1297</v>
      </c>
      <c r="Y341" s="2" t="s">
        <v>106</v>
      </c>
      <c r="Z341" s="4">
        <v>88</v>
      </c>
      <c r="AA341" s="4">
        <f>=ROUNDDOWN(22,0)</f>
      </c>
      <c r="AB341" s="5">
        <v>4</v>
      </c>
      <c r="AC341" s="2" t="s">
        <v>430</v>
      </c>
      <c r="AD341" s="4">
        <v>70</v>
      </c>
      <c r="AE341" s="4">
        <v>70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58</v>
      </c>
      <c r="BK341" s="8">
        <v>3507.41</v>
      </c>
      <c r="BL341" s="2" t="s">
        <v>1414</v>
      </c>
      <c r="BM341" s="7"/>
      <c r="BN341" s="7"/>
      <c r="BO341" s="4"/>
      <c r="BP341" s="8"/>
      <c r="BQ341" s="4"/>
      <c r="BR341" s="8"/>
      <c r="BS341" s="7"/>
      <c r="BT341" s="7"/>
      <c r="BU341" s="2" t="s">
        <v>147</v>
      </c>
      <c r="BV341" s="2" t="s">
        <v>97</v>
      </c>
      <c r="BW341" s="2" t="s">
        <v>100</v>
      </c>
      <c r="BX341" s="2" t="s">
        <v>100</v>
      </c>
      <c r="BY341" s="2" t="s">
        <v>112</v>
      </c>
      <c r="BZ341" s="2" t="s">
        <v>100</v>
      </c>
    </row>
    <row r="342">
      <c r="A342" s="2" t="s">
        <v>1415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1409</v>
      </c>
      <c r="G342" s="2" t="s">
        <v>1410</v>
      </c>
      <c r="H342" s="2" t="s">
        <v>1411</v>
      </c>
      <c r="I342" s="2" t="s">
        <v>309</v>
      </c>
      <c r="J342" s="2" t="s">
        <v>95</v>
      </c>
      <c r="K342" s="2" t="s">
        <v>1412</v>
      </c>
      <c r="L342" s="3">
        <v>64.4</v>
      </c>
      <c r="M342" s="3">
        <v>67.62</v>
      </c>
      <c r="N342" s="3">
        <v>139.99</v>
      </c>
      <c r="O342" s="2" t="s">
        <v>97</v>
      </c>
      <c r="P342" s="2" t="s">
        <v>182</v>
      </c>
      <c r="Q342" s="2" t="s">
        <v>99</v>
      </c>
      <c r="R342" s="2" t="s">
        <v>100</v>
      </c>
      <c r="S342" s="2" t="s">
        <v>1413</v>
      </c>
      <c r="T342" s="2" t="s">
        <v>100</v>
      </c>
      <c r="U342" s="2" t="s">
        <v>102</v>
      </c>
      <c r="V342" s="2" t="s">
        <v>103</v>
      </c>
      <c r="W342" s="2" t="s">
        <v>759</v>
      </c>
      <c r="X342" s="2" t="s">
        <v>1297</v>
      </c>
      <c r="Y342" s="2" t="s">
        <v>106</v>
      </c>
      <c r="Z342" s="4">
        <v>318</v>
      </c>
      <c r="AA342" s="4">
        <f>=ROUNDDOWN(53,0)</f>
      </c>
      <c r="AB342" s="5">
        <v>6</v>
      </c>
      <c r="AC342" s="2" t="s">
        <v>430</v>
      </c>
      <c r="AD342" s="4">
        <v>30</v>
      </c>
      <c r="AE342" s="4">
        <v>30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134</v>
      </c>
      <c r="BK342" s="8">
        <v>9027.22</v>
      </c>
      <c r="BL342" s="2" t="s">
        <v>1416</v>
      </c>
      <c r="BM342" s="7"/>
      <c r="BN342" s="7"/>
      <c r="BO342" s="4"/>
      <c r="BP342" s="8"/>
      <c r="BQ342" s="4"/>
      <c r="BR342" s="8"/>
      <c r="BS342" s="7"/>
      <c r="BT342" s="7"/>
      <c r="BU342" s="2" t="s">
        <v>147</v>
      </c>
      <c r="BV342" s="2" t="s">
        <v>97</v>
      </c>
      <c r="BW342" s="2" t="s">
        <v>100</v>
      </c>
      <c r="BX342" s="2" t="s">
        <v>100</v>
      </c>
      <c r="BY342" s="2" t="s">
        <v>112</v>
      </c>
      <c r="BZ342" s="2" t="s">
        <v>100</v>
      </c>
    </row>
    <row r="343">
      <c r="A343" s="2" t="s">
        <v>1417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1409</v>
      </c>
      <c r="G343" s="2" t="s">
        <v>1410</v>
      </c>
      <c r="H343" s="2" t="s">
        <v>1411</v>
      </c>
      <c r="I343" s="2" t="s">
        <v>309</v>
      </c>
      <c r="J343" s="2" t="s">
        <v>114</v>
      </c>
      <c r="K343" s="2" t="s">
        <v>1412</v>
      </c>
      <c r="L343" s="3">
        <v>73.6</v>
      </c>
      <c r="M343" s="3">
        <v>77.28</v>
      </c>
      <c r="N343" s="3">
        <v>159.99</v>
      </c>
      <c r="O343" s="2" t="s">
        <v>97</v>
      </c>
      <c r="P343" s="2" t="s">
        <v>182</v>
      </c>
      <c r="Q343" s="2" t="s">
        <v>99</v>
      </c>
      <c r="R343" s="2" t="s">
        <v>100</v>
      </c>
      <c r="S343" s="2" t="s">
        <v>1413</v>
      </c>
      <c r="T343" s="2" t="s">
        <v>100</v>
      </c>
      <c r="U343" s="2" t="s">
        <v>102</v>
      </c>
      <c r="V343" s="2" t="s">
        <v>103</v>
      </c>
      <c r="W343" s="2" t="s">
        <v>759</v>
      </c>
      <c r="X343" s="2" t="s">
        <v>1297</v>
      </c>
      <c r="Y343" s="2" t="s">
        <v>106</v>
      </c>
      <c r="Z343" s="4">
        <v>199</v>
      </c>
      <c r="AA343" s="4">
        <f>=ROUNDDOWN(22.1111111111111,0)</f>
      </c>
      <c r="AB343" s="5">
        <v>9</v>
      </c>
      <c r="AC343" s="2" t="s">
        <v>430</v>
      </c>
      <c r="AD343" s="4">
        <v>170</v>
      </c>
      <c r="AE343" s="4">
        <v>170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119</v>
      </c>
      <c r="BK343" s="8">
        <v>9142.32</v>
      </c>
      <c r="BL343" s="2" t="s">
        <v>1418</v>
      </c>
      <c r="BM343" s="7"/>
      <c r="BN343" s="7"/>
      <c r="BO343" s="4"/>
      <c r="BP343" s="8"/>
      <c r="BQ343" s="4"/>
      <c r="BR343" s="8"/>
      <c r="BS343" s="7"/>
      <c r="BT343" s="7"/>
      <c r="BU343" s="2" t="s">
        <v>147</v>
      </c>
      <c r="BV343" s="2" t="s">
        <v>97</v>
      </c>
      <c r="BW343" s="2" t="s">
        <v>100</v>
      </c>
      <c r="BX343" s="2" t="s">
        <v>100</v>
      </c>
      <c r="BY343" s="2" t="s">
        <v>112</v>
      </c>
      <c r="BZ343" s="2" t="s">
        <v>100</v>
      </c>
    </row>
    <row r="344">
      <c r="A344" s="2" t="s">
        <v>1419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1409</v>
      </c>
      <c r="G344" s="2" t="s">
        <v>1410</v>
      </c>
      <c r="H344" s="2" t="s">
        <v>1411</v>
      </c>
      <c r="I344" s="2" t="s">
        <v>309</v>
      </c>
      <c r="J344" s="2" t="s">
        <v>118</v>
      </c>
      <c r="K344" s="2" t="s">
        <v>1412</v>
      </c>
      <c r="L344" s="3">
        <v>73.6</v>
      </c>
      <c r="M344" s="3">
        <v>77.28</v>
      </c>
      <c r="N344" s="3">
        <v>159.99</v>
      </c>
      <c r="O344" s="2" t="s">
        <v>97</v>
      </c>
      <c r="P344" s="2" t="s">
        <v>182</v>
      </c>
      <c r="Q344" s="2" t="s">
        <v>99</v>
      </c>
      <c r="R344" s="2" t="s">
        <v>100</v>
      </c>
      <c r="S344" s="2" t="s">
        <v>1413</v>
      </c>
      <c r="T344" s="2" t="s">
        <v>100</v>
      </c>
      <c r="U344" s="2" t="s">
        <v>102</v>
      </c>
      <c r="V344" s="2" t="s">
        <v>103</v>
      </c>
      <c r="W344" s="2" t="s">
        <v>759</v>
      </c>
      <c r="X344" s="2" t="s">
        <v>1297</v>
      </c>
      <c r="Y344" s="2" t="s">
        <v>106</v>
      </c>
      <c r="Z344" s="4">
        <v>83</v>
      </c>
      <c r="AA344" s="4">
        <f>=ROUNDDOWN(16.6,0)</f>
      </c>
      <c r="AB344" s="5">
        <v>5</v>
      </c>
      <c r="AC344" s="2" t="s">
        <v>430</v>
      </c>
      <c r="AD344" s="4">
        <v>100</v>
      </c>
      <c r="AE344" s="4">
        <v>100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95</v>
      </c>
      <c r="BK344" s="8">
        <v>7282.25</v>
      </c>
      <c r="BL344" s="2" t="s">
        <v>1420</v>
      </c>
      <c r="BM344" s="7"/>
      <c r="BN344" s="7"/>
      <c r="BO344" s="4"/>
      <c r="BP344" s="8"/>
      <c r="BQ344" s="4"/>
      <c r="BR344" s="8"/>
      <c r="BS344" s="7"/>
      <c r="BT344" s="7"/>
      <c r="BU344" s="2" t="s">
        <v>147</v>
      </c>
      <c r="BV344" s="2" t="s">
        <v>97</v>
      </c>
      <c r="BW344" s="2" t="s">
        <v>100</v>
      </c>
      <c r="BX344" s="2" t="s">
        <v>100</v>
      </c>
      <c r="BY344" s="2" t="s">
        <v>112</v>
      </c>
      <c r="BZ344" s="2" t="s">
        <v>100</v>
      </c>
    </row>
    <row r="345">
      <c r="A345" s="2" t="s">
        <v>1421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1409</v>
      </c>
      <c r="G345" s="2" t="s">
        <v>1410</v>
      </c>
      <c r="H345" s="2" t="s">
        <v>1411</v>
      </c>
      <c r="I345" s="2" t="s">
        <v>196</v>
      </c>
      <c r="J345" s="2" t="s">
        <v>118</v>
      </c>
      <c r="K345" s="2" t="s">
        <v>158</v>
      </c>
      <c r="L345" s="3">
        <v>67.2</v>
      </c>
      <c r="M345" s="3">
        <v>70.56</v>
      </c>
      <c r="N345" s="3">
        <v>139.99</v>
      </c>
      <c r="O345" s="2" t="s">
        <v>229</v>
      </c>
      <c r="P345" s="2" t="s">
        <v>198</v>
      </c>
      <c r="Q345" s="2" t="s">
        <v>99</v>
      </c>
      <c r="R345" s="2" t="s">
        <v>100</v>
      </c>
      <c r="S345" s="2" t="s">
        <v>1422</v>
      </c>
      <c r="T345" s="2" t="s">
        <v>100</v>
      </c>
      <c r="U345" s="2" t="s">
        <v>102</v>
      </c>
      <c r="V345" s="2" t="s">
        <v>601</v>
      </c>
      <c r="W345" s="2" t="s">
        <v>104</v>
      </c>
      <c r="X345" s="2" t="s">
        <v>105</v>
      </c>
      <c r="Y345" s="2" t="s">
        <v>106</v>
      </c>
      <c r="Z345" s="4"/>
      <c r="AA345" s="4">
        <f>=ROUNDDOWN({0},0)</f>
      </c>
      <c r="AB345" s="5"/>
      <c r="AC345" s="2" t="s">
        <v>100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/>
      <c r="BK345" s="8"/>
      <c r="BL345" s="2" t="s">
        <v>100</v>
      </c>
      <c r="BM345" s="7"/>
      <c r="BN345" s="7"/>
      <c r="BO345" s="4"/>
      <c r="BP345" s="8"/>
      <c r="BQ345" s="4"/>
      <c r="BR345" s="8"/>
      <c r="BS345" s="7"/>
      <c r="BT345" s="7"/>
      <c r="BU345" s="2" t="s">
        <v>147</v>
      </c>
      <c r="BV345" s="2" t="s">
        <v>97</v>
      </c>
      <c r="BW345" s="2" t="s">
        <v>100</v>
      </c>
      <c r="BX345" s="2" t="s">
        <v>100</v>
      </c>
      <c r="BY345" s="2" t="s">
        <v>112</v>
      </c>
      <c r="BZ345" s="2" t="s">
        <v>100</v>
      </c>
    </row>
    <row r="346">
      <c r="A346" s="2" t="s">
        <v>1423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1409</v>
      </c>
      <c r="G346" s="2" t="s">
        <v>1410</v>
      </c>
      <c r="H346" s="2" t="s">
        <v>1411</v>
      </c>
      <c r="I346" s="2" t="s">
        <v>309</v>
      </c>
      <c r="J346" s="2" t="s">
        <v>122</v>
      </c>
      <c r="K346" s="2" t="s">
        <v>333</v>
      </c>
      <c r="L346" s="3">
        <v>59.8</v>
      </c>
      <c r="M346" s="3">
        <v>62.79</v>
      </c>
      <c r="N346" s="3">
        <v>129.99</v>
      </c>
      <c r="O346" s="2" t="s">
        <v>97</v>
      </c>
      <c r="P346" s="2" t="s">
        <v>182</v>
      </c>
      <c r="Q346" s="2" t="s">
        <v>99</v>
      </c>
      <c r="R346" s="2" t="s">
        <v>100</v>
      </c>
      <c r="S346" s="2" t="s">
        <v>1422</v>
      </c>
      <c r="T346" s="2" t="s">
        <v>100</v>
      </c>
      <c r="U346" s="2" t="s">
        <v>102</v>
      </c>
      <c r="V346" s="2" t="s">
        <v>103</v>
      </c>
      <c r="W346" s="2" t="s">
        <v>759</v>
      </c>
      <c r="X346" s="2" t="s">
        <v>1297</v>
      </c>
      <c r="Y346" s="2" t="s">
        <v>106</v>
      </c>
      <c r="Z346" s="4">
        <v>91</v>
      </c>
      <c r="AA346" s="4">
        <f>=ROUNDDOWN(18.2,0)</f>
      </c>
      <c r="AB346" s="5">
        <v>5</v>
      </c>
      <c r="AC346" s="2" t="s">
        <v>269</v>
      </c>
      <c r="AD346" s="4">
        <v>30</v>
      </c>
      <c r="AE346" s="4">
        <v>90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64</v>
      </c>
      <c r="BK346" s="8">
        <v>3882.62</v>
      </c>
      <c r="BL346" s="2" t="s">
        <v>1424</v>
      </c>
      <c r="BM346" s="7"/>
      <c r="BN346" s="7"/>
      <c r="BO346" s="4"/>
      <c r="BP346" s="8"/>
      <c r="BQ346" s="4"/>
      <c r="BR346" s="8"/>
      <c r="BS346" s="7"/>
      <c r="BT346" s="7"/>
      <c r="BU346" s="2" t="s">
        <v>147</v>
      </c>
      <c r="BV346" s="2" t="s">
        <v>97</v>
      </c>
      <c r="BW346" s="2" t="s">
        <v>100</v>
      </c>
      <c r="BX346" s="2" t="s">
        <v>100</v>
      </c>
      <c r="BY346" s="2" t="s">
        <v>112</v>
      </c>
      <c r="BZ346" s="2" t="s">
        <v>100</v>
      </c>
    </row>
    <row r="347">
      <c r="A347" s="2" t="s">
        <v>1425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1409</v>
      </c>
      <c r="G347" s="2" t="s">
        <v>1410</v>
      </c>
      <c r="H347" s="2" t="s">
        <v>1411</v>
      </c>
      <c r="I347" s="2" t="s">
        <v>309</v>
      </c>
      <c r="J347" s="2" t="s">
        <v>95</v>
      </c>
      <c r="K347" s="2" t="s">
        <v>333</v>
      </c>
      <c r="L347" s="3">
        <v>64.4</v>
      </c>
      <c r="M347" s="3">
        <v>67.62</v>
      </c>
      <c r="N347" s="3">
        <v>139.99</v>
      </c>
      <c r="O347" s="2" t="s">
        <v>97</v>
      </c>
      <c r="P347" s="2" t="s">
        <v>182</v>
      </c>
      <c r="Q347" s="2" t="s">
        <v>99</v>
      </c>
      <c r="R347" s="2" t="s">
        <v>100</v>
      </c>
      <c r="S347" s="2" t="s">
        <v>1422</v>
      </c>
      <c r="T347" s="2" t="s">
        <v>100</v>
      </c>
      <c r="U347" s="2" t="s">
        <v>102</v>
      </c>
      <c r="V347" s="2" t="s">
        <v>103</v>
      </c>
      <c r="W347" s="2" t="s">
        <v>759</v>
      </c>
      <c r="X347" s="2" t="s">
        <v>1297</v>
      </c>
      <c r="Y347" s="2" t="s">
        <v>106</v>
      </c>
      <c r="Z347" s="4">
        <v>112</v>
      </c>
      <c r="AA347" s="4">
        <f>=ROUNDDOWN(8.61538461538461,0)</f>
      </c>
      <c r="AB347" s="5">
        <v>13</v>
      </c>
      <c r="AC347" s="2" t="s">
        <v>269</v>
      </c>
      <c r="AD347" s="4">
        <v>40</v>
      </c>
      <c r="AE347" s="4">
        <v>200</v>
      </c>
      <c r="AF347" s="6">
        <v>65</v>
      </c>
      <c r="AG347" s="6">
        <v>48</v>
      </c>
      <c r="AH347" s="7">
        <v>0.8848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265</v>
      </c>
      <c r="BK347" s="8">
        <v>17803.92</v>
      </c>
      <c r="BL347" s="2" t="s">
        <v>1426</v>
      </c>
      <c r="BM347" s="7"/>
      <c r="BN347" s="7"/>
      <c r="BO347" s="4"/>
      <c r="BP347" s="8"/>
      <c r="BQ347" s="4"/>
      <c r="BR347" s="8"/>
      <c r="BS347" s="7"/>
      <c r="BT347" s="7"/>
      <c r="BU347" s="2" t="s">
        <v>147</v>
      </c>
      <c r="BV347" s="2" t="s">
        <v>97</v>
      </c>
      <c r="BW347" s="2" t="s">
        <v>100</v>
      </c>
      <c r="BX347" s="2" t="s">
        <v>100</v>
      </c>
      <c r="BY347" s="2" t="s">
        <v>112</v>
      </c>
      <c r="BZ347" s="2" t="s">
        <v>100</v>
      </c>
    </row>
    <row r="348">
      <c r="A348" s="2" t="s">
        <v>1427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1409</v>
      </c>
      <c r="G348" s="2" t="s">
        <v>1410</v>
      </c>
      <c r="H348" s="2" t="s">
        <v>1411</v>
      </c>
      <c r="I348" s="2" t="s">
        <v>309</v>
      </c>
      <c r="J348" s="2" t="s">
        <v>114</v>
      </c>
      <c r="K348" s="2" t="s">
        <v>333</v>
      </c>
      <c r="L348" s="3">
        <v>73.6</v>
      </c>
      <c r="M348" s="3">
        <v>77.28</v>
      </c>
      <c r="N348" s="3">
        <v>159.99</v>
      </c>
      <c r="O348" s="2" t="s">
        <v>97</v>
      </c>
      <c r="P348" s="2" t="s">
        <v>182</v>
      </c>
      <c r="Q348" s="2" t="s">
        <v>99</v>
      </c>
      <c r="R348" s="2" t="s">
        <v>100</v>
      </c>
      <c r="S348" s="2" t="s">
        <v>1422</v>
      </c>
      <c r="T348" s="2" t="s">
        <v>100</v>
      </c>
      <c r="U348" s="2" t="s">
        <v>102</v>
      </c>
      <c r="V348" s="2" t="s">
        <v>103</v>
      </c>
      <c r="W348" s="2" t="s">
        <v>759</v>
      </c>
      <c r="X348" s="2" t="s">
        <v>1297</v>
      </c>
      <c r="Y348" s="2" t="s">
        <v>106</v>
      </c>
      <c r="Z348" s="4">
        <v>77</v>
      </c>
      <c r="AA348" s="4">
        <f>=ROUNDDOWN(7.7,0)</f>
      </c>
      <c r="AB348" s="5">
        <v>10</v>
      </c>
      <c r="AC348" s="2" t="s">
        <v>269</v>
      </c>
      <c r="AD348" s="4">
        <v>30</v>
      </c>
      <c r="AE348" s="4">
        <v>210</v>
      </c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>
        <v>244</v>
      </c>
      <c r="BK348" s="8">
        <v>18655.29</v>
      </c>
      <c r="BL348" s="2" t="s">
        <v>1428</v>
      </c>
      <c r="BM348" s="7"/>
      <c r="BN348" s="7"/>
      <c r="BO348" s="4"/>
      <c r="BP348" s="8"/>
      <c r="BQ348" s="4"/>
      <c r="BR348" s="8"/>
      <c r="BS348" s="7"/>
      <c r="BT348" s="7"/>
      <c r="BU348" s="2" t="s">
        <v>147</v>
      </c>
      <c r="BV348" s="2" t="s">
        <v>97</v>
      </c>
      <c r="BW348" s="2" t="s">
        <v>100</v>
      </c>
      <c r="BX348" s="2" t="s">
        <v>100</v>
      </c>
      <c r="BY348" s="2" t="s">
        <v>112</v>
      </c>
      <c r="BZ348" s="2" t="s">
        <v>100</v>
      </c>
    </row>
    <row r="349">
      <c r="A349" s="2" t="s">
        <v>1429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1409</v>
      </c>
      <c r="G349" s="2" t="s">
        <v>1410</v>
      </c>
      <c r="H349" s="2" t="s">
        <v>1411</v>
      </c>
      <c r="I349" s="2" t="s">
        <v>309</v>
      </c>
      <c r="J349" s="2" t="s">
        <v>118</v>
      </c>
      <c r="K349" s="2" t="s">
        <v>333</v>
      </c>
      <c r="L349" s="3">
        <v>73.6</v>
      </c>
      <c r="M349" s="3">
        <v>77.28</v>
      </c>
      <c r="N349" s="3">
        <v>159.99</v>
      </c>
      <c r="O349" s="2" t="s">
        <v>97</v>
      </c>
      <c r="P349" s="2" t="s">
        <v>182</v>
      </c>
      <c r="Q349" s="2" t="s">
        <v>99</v>
      </c>
      <c r="R349" s="2" t="s">
        <v>100</v>
      </c>
      <c r="S349" s="2" t="s">
        <v>1422</v>
      </c>
      <c r="T349" s="2" t="s">
        <v>100</v>
      </c>
      <c r="U349" s="2" t="s">
        <v>102</v>
      </c>
      <c r="V349" s="2" t="s">
        <v>103</v>
      </c>
      <c r="W349" s="2" t="s">
        <v>759</v>
      </c>
      <c r="X349" s="2" t="s">
        <v>1297</v>
      </c>
      <c r="Y349" s="2" t="s">
        <v>106</v>
      </c>
      <c r="Z349" s="4">
        <v>177</v>
      </c>
      <c r="AA349" s="4">
        <f>=ROUNDDOWN(29.5,0)</f>
      </c>
      <c r="AB349" s="5">
        <v>6</v>
      </c>
      <c r="AC349" s="2" t="s">
        <v>269</v>
      </c>
      <c r="AD349" s="4">
        <v>30</v>
      </c>
      <c r="AE349" s="4">
        <v>30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114</v>
      </c>
      <c r="BK349" s="8">
        <v>8787.12</v>
      </c>
      <c r="BL349" s="2" t="s">
        <v>1430</v>
      </c>
      <c r="BM349" s="7"/>
      <c r="BN349" s="7"/>
      <c r="BO349" s="4"/>
      <c r="BP349" s="8"/>
      <c r="BQ349" s="4"/>
      <c r="BR349" s="8"/>
      <c r="BS349" s="7"/>
      <c r="BT349" s="7"/>
      <c r="BU349" s="2" t="s">
        <v>147</v>
      </c>
      <c r="BV349" s="2" t="s">
        <v>97</v>
      </c>
      <c r="BW349" s="2" t="s">
        <v>100</v>
      </c>
      <c r="BX349" s="2" t="s">
        <v>100</v>
      </c>
      <c r="BY349" s="2" t="s">
        <v>112</v>
      </c>
      <c r="BZ349" s="2" t="s">
        <v>100</v>
      </c>
    </row>
    <row r="350">
      <c r="A350" s="2" t="s">
        <v>1431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1432</v>
      </c>
      <c r="G350" s="2" t="s">
        <v>1433</v>
      </c>
      <c r="H350" s="2" t="s">
        <v>1434</v>
      </c>
      <c r="I350" s="2" t="s">
        <v>977</v>
      </c>
      <c r="J350" s="2" t="s">
        <v>95</v>
      </c>
      <c r="K350" s="2" t="s">
        <v>333</v>
      </c>
      <c r="L350" s="3">
        <v>77.54</v>
      </c>
      <c r="M350" s="3">
        <v>81.42</v>
      </c>
      <c r="N350" s="3">
        <v>159.99</v>
      </c>
      <c r="O350" s="2" t="s">
        <v>229</v>
      </c>
      <c r="P350" s="2" t="s">
        <v>198</v>
      </c>
      <c r="Q350" s="2" t="s">
        <v>99</v>
      </c>
      <c r="R350" s="2" t="s">
        <v>100</v>
      </c>
      <c r="S350" s="2" t="s">
        <v>1435</v>
      </c>
      <c r="T350" s="2" t="s">
        <v>100</v>
      </c>
      <c r="U350" s="2" t="s">
        <v>102</v>
      </c>
      <c r="V350" s="2" t="s">
        <v>1122</v>
      </c>
      <c r="W350" s="2" t="s">
        <v>602</v>
      </c>
      <c r="X350" s="2" t="s">
        <v>907</v>
      </c>
      <c r="Y350" s="2" t="s">
        <v>1436</v>
      </c>
      <c r="Z350" s="4"/>
      <c r="AA350" s="4">
        <f>=ROUNDDOWN({0},0)</f>
      </c>
      <c r="AB350" s="5">
        <v>2</v>
      </c>
      <c r="AC350" s="2" t="s">
        <v>100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>
        <v>0</v>
      </c>
      <c r="AP350" s="4"/>
      <c r="AQ350" s="8"/>
      <c r="AR350" s="4">
        <v>2</v>
      </c>
      <c r="AS350" s="8">
        <v>162.84</v>
      </c>
      <c r="AT350" s="7">
        <v>-1</v>
      </c>
      <c r="AU350" s="7">
        <v>-1</v>
      </c>
      <c r="AV350" s="4" t="s">
        <v>100</v>
      </c>
      <c r="AW350" s="8" t="s">
        <v>100</v>
      </c>
      <c r="AX350" s="4">
        <v>7</v>
      </c>
      <c r="AY350" s="8">
        <v>624.19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>
        <v>7</v>
      </c>
      <c r="BF350" s="8">
        <v>624.19</v>
      </c>
      <c r="BG350" s="7" t="s">
        <v>100</v>
      </c>
      <c r="BH350" s="7" t="s">
        <v>100</v>
      </c>
      <c r="BI350" s="7"/>
      <c r="BJ350" s="4"/>
      <c r="BK350" s="8"/>
      <c r="BL350" s="2" t="s">
        <v>1437</v>
      </c>
      <c r="BM350" s="7"/>
      <c r="BN350" s="7"/>
      <c r="BO350" s="4"/>
      <c r="BP350" s="8"/>
      <c r="BQ350" s="4">
        <v>2</v>
      </c>
      <c r="BR350" s="8">
        <v>162.84</v>
      </c>
      <c r="BS350" s="7">
        <v>-1</v>
      </c>
      <c r="BT350" s="7">
        <v>-1</v>
      </c>
      <c r="BU350" s="2" t="s">
        <v>109</v>
      </c>
      <c r="BV350" s="2" t="s">
        <v>552</v>
      </c>
      <c r="BW350" s="2" t="s">
        <v>110</v>
      </c>
      <c r="BX350" s="2" t="s">
        <v>640</v>
      </c>
      <c r="BY350" s="2" t="s">
        <v>112</v>
      </c>
      <c r="BZ350" s="2" t="s">
        <v>100</v>
      </c>
    </row>
    <row r="351">
      <c r="A351" s="2" t="s">
        <v>1438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1432</v>
      </c>
      <c r="G351" s="2" t="s">
        <v>1433</v>
      </c>
      <c r="H351" s="2" t="s">
        <v>1434</v>
      </c>
      <c r="I351" s="2" t="s">
        <v>977</v>
      </c>
      <c r="J351" s="2" t="s">
        <v>114</v>
      </c>
      <c r="K351" s="2" t="s">
        <v>333</v>
      </c>
      <c r="L351" s="3">
        <v>87.88</v>
      </c>
      <c r="M351" s="3">
        <v>92.27</v>
      </c>
      <c r="N351" s="3">
        <v>179.99</v>
      </c>
      <c r="O351" s="2" t="s">
        <v>229</v>
      </c>
      <c r="P351" s="2" t="s">
        <v>198</v>
      </c>
      <c r="Q351" s="2" t="s">
        <v>99</v>
      </c>
      <c r="R351" s="2" t="s">
        <v>100</v>
      </c>
      <c r="S351" s="2" t="s">
        <v>1435</v>
      </c>
      <c r="T351" s="2" t="s">
        <v>100</v>
      </c>
      <c r="U351" s="2" t="s">
        <v>102</v>
      </c>
      <c r="V351" s="2" t="s">
        <v>1122</v>
      </c>
      <c r="W351" s="2" t="s">
        <v>602</v>
      </c>
      <c r="X351" s="2" t="s">
        <v>907</v>
      </c>
      <c r="Y351" s="2" t="s">
        <v>1436</v>
      </c>
      <c r="Z351" s="4"/>
      <c r="AA351" s="4">
        <f>=ROUNDDOWN({0},0)</f>
      </c>
      <c r="AB351" s="5"/>
      <c r="AC351" s="2" t="s">
        <v>100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>
        <v>0</v>
      </c>
      <c r="AP351" s="4"/>
      <c r="AQ351" s="8"/>
      <c r="AR351" s="4">
        <v>5</v>
      </c>
      <c r="AS351" s="8">
        <v>461.35</v>
      </c>
      <c r="AT351" s="7">
        <v>-1</v>
      </c>
      <c r="AU351" s="7">
        <v>-1</v>
      </c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/>
      <c r="BK351" s="8"/>
      <c r="BL351" s="2" t="s">
        <v>1439</v>
      </c>
      <c r="BM351" s="7"/>
      <c r="BN351" s="7"/>
      <c r="BO351" s="4"/>
      <c r="BP351" s="8"/>
      <c r="BQ351" s="4">
        <v>5</v>
      </c>
      <c r="BR351" s="8">
        <v>461.35</v>
      </c>
      <c r="BS351" s="7">
        <v>-1</v>
      </c>
      <c r="BT351" s="7">
        <v>-1</v>
      </c>
      <c r="BU351" s="2" t="s">
        <v>109</v>
      </c>
      <c r="BV351" s="2" t="s">
        <v>552</v>
      </c>
      <c r="BW351" s="2" t="s">
        <v>110</v>
      </c>
      <c r="BX351" s="2" t="s">
        <v>1440</v>
      </c>
      <c r="BY351" s="2" t="s">
        <v>112</v>
      </c>
      <c r="BZ351" s="2" t="s">
        <v>100</v>
      </c>
    </row>
    <row r="352">
      <c r="A352" s="2" t="s">
        <v>1441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1442</v>
      </c>
      <c r="G352" s="2" t="s">
        <v>1443</v>
      </c>
      <c r="H352" s="2" t="s">
        <v>1444</v>
      </c>
      <c r="I352" s="2" t="s">
        <v>870</v>
      </c>
      <c r="J352" s="2" t="s">
        <v>95</v>
      </c>
      <c r="K352" s="2" t="s">
        <v>168</v>
      </c>
      <c r="L352" s="3">
        <v>75.2</v>
      </c>
      <c r="M352" s="3">
        <v>78.96</v>
      </c>
      <c r="N352" s="3">
        <v>159.99</v>
      </c>
      <c r="O352" s="2" t="s">
        <v>97</v>
      </c>
      <c r="P352" s="2" t="s">
        <v>198</v>
      </c>
      <c r="Q352" s="2" t="s">
        <v>99</v>
      </c>
      <c r="R352" s="2" t="s">
        <v>100</v>
      </c>
      <c r="S352" s="2" t="s">
        <v>1445</v>
      </c>
      <c r="T352" s="2" t="s">
        <v>732</v>
      </c>
      <c r="U352" s="2" t="s">
        <v>102</v>
      </c>
      <c r="V352" s="2" t="s">
        <v>491</v>
      </c>
      <c r="W352" s="2" t="s">
        <v>733</v>
      </c>
      <c r="X352" s="2" t="s">
        <v>201</v>
      </c>
      <c r="Y352" s="2" t="s">
        <v>1446</v>
      </c>
      <c r="Z352" s="4">
        <v>94</v>
      </c>
      <c r="AA352" s="4">
        <f>=ROUNDDOWN(9.4,0)</f>
      </c>
      <c r="AB352" s="5">
        <v>10</v>
      </c>
      <c r="AC352" s="2" t="s">
        <v>100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>
        <v>215</v>
      </c>
      <c r="BK352" s="8">
        <v>16463.79</v>
      </c>
      <c r="BL352" s="2" t="s">
        <v>1447</v>
      </c>
      <c r="BM352" s="7"/>
      <c r="BN352" s="7"/>
      <c r="BO352" s="4"/>
      <c r="BP352" s="8"/>
      <c r="BQ352" s="4"/>
      <c r="BR352" s="8"/>
      <c r="BS352" s="7"/>
      <c r="BT352" s="7"/>
      <c r="BU352" s="2" t="s">
        <v>147</v>
      </c>
      <c r="BV352" s="2" t="s">
        <v>97</v>
      </c>
      <c r="BW352" s="2" t="s">
        <v>100</v>
      </c>
      <c r="BX352" s="2" t="s">
        <v>100</v>
      </c>
      <c r="BY352" s="2" t="s">
        <v>112</v>
      </c>
      <c r="BZ352" s="2" t="s">
        <v>100</v>
      </c>
    </row>
    <row r="353">
      <c r="A353" s="2" t="s">
        <v>1448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1449</v>
      </c>
      <c r="G353" s="2" t="s">
        <v>1450</v>
      </c>
      <c r="H353" s="2" t="s">
        <v>1153</v>
      </c>
      <c r="I353" s="2" t="s">
        <v>1451</v>
      </c>
      <c r="J353" s="2" t="s">
        <v>844</v>
      </c>
      <c r="K353" s="2" t="s">
        <v>1452</v>
      </c>
      <c r="L353" s="3">
        <v>38.09</v>
      </c>
      <c r="M353" s="3">
        <v>39.99</v>
      </c>
      <c r="N353" s="3">
        <v>79.99</v>
      </c>
      <c r="O353" s="2" t="s">
        <v>97</v>
      </c>
      <c r="P353" s="2" t="s">
        <v>1166</v>
      </c>
      <c r="Q353" s="2" t="s">
        <v>99</v>
      </c>
      <c r="R353" s="2" t="s">
        <v>100</v>
      </c>
      <c r="S353" s="2" t="s">
        <v>1453</v>
      </c>
      <c r="T353" s="2" t="s">
        <v>184</v>
      </c>
      <c r="U353" s="2" t="s">
        <v>790</v>
      </c>
      <c r="V353" s="2" t="s">
        <v>991</v>
      </c>
      <c r="W353" s="2" t="s">
        <v>1454</v>
      </c>
      <c r="X353" s="2" t="s">
        <v>759</v>
      </c>
      <c r="Y353" s="2" t="s">
        <v>1455</v>
      </c>
      <c r="Z353" s="4"/>
      <c r="AA353" s="4">
        <f>=ROUNDDOWN({0},0)</f>
      </c>
      <c r="AB353" s="5">
        <v>14</v>
      </c>
      <c r="AC353" s="2" t="s">
        <v>1456</v>
      </c>
      <c r="AD353" s="4">
        <v>175</v>
      </c>
      <c r="AE353" s="4">
        <v>350</v>
      </c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/>
      <c r="BK353" s="8"/>
      <c r="BL353" s="2" t="s">
        <v>100</v>
      </c>
      <c r="BM353" s="7"/>
      <c r="BN353" s="7"/>
      <c r="BO353" s="4"/>
      <c r="BP353" s="8"/>
      <c r="BQ353" s="4"/>
      <c r="BR353" s="8"/>
      <c r="BS353" s="7"/>
      <c r="BT353" s="7"/>
      <c r="BU353" s="2" t="s">
        <v>1171</v>
      </c>
      <c r="BV353" s="2" t="s">
        <v>97</v>
      </c>
      <c r="BW353" s="2" t="s">
        <v>100</v>
      </c>
      <c r="BX353" s="2" t="s">
        <v>100</v>
      </c>
      <c r="BY353" s="2" t="s">
        <v>112</v>
      </c>
      <c r="BZ353" s="2" t="s">
        <v>100</v>
      </c>
    </row>
    <row r="354">
      <c r="A354" s="2" t="s">
        <v>1457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1449</v>
      </c>
      <c r="G354" s="2" t="s">
        <v>1450</v>
      </c>
      <c r="H354" s="2" t="s">
        <v>1153</v>
      </c>
      <c r="I354" s="2" t="s">
        <v>1451</v>
      </c>
      <c r="J354" s="2" t="s">
        <v>850</v>
      </c>
      <c r="K354" s="2" t="s">
        <v>1452</v>
      </c>
      <c r="L354" s="3">
        <v>41.14</v>
      </c>
      <c r="M354" s="3">
        <v>43.2</v>
      </c>
      <c r="N354" s="3">
        <v>89.99</v>
      </c>
      <c r="O354" s="2" t="s">
        <v>97</v>
      </c>
      <c r="P354" s="2" t="s">
        <v>1166</v>
      </c>
      <c r="Q354" s="2" t="s">
        <v>99</v>
      </c>
      <c r="R354" s="2" t="s">
        <v>100</v>
      </c>
      <c r="S354" s="2" t="s">
        <v>1453</v>
      </c>
      <c r="T354" s="2" t="s">
        <v>184</v>
      </c>
      <c r="U354" s="2" t="s">
        <v>790</v>
      </c>
      <c r="V354" s="2" t="s">
        <v>991</v>
      </c>
      <c r="W354" s="2" t="s">
        <v>1454</v>
      </c>
      <c r="X354" s="2" t="s">
        <v>759</v>
      </c>
      <c r="Y354" s="2" t="s">
        <v>1455</v>
      </c>
      <c r="Z354" s="4"/>
      <c r="AA354" s="4">
        <f>=ROUNDDOWN({0},0)</f>
      </c>
      <c r="AB354" s="5">
        <v>12</v>
      </c>
      <c r="AC354" s="2" t="s">
        <v>1456</v>
      </c>
      <c r="AD354" s="4">
        <v>195</v>
      </c>
      <c r="AE354" s="4">
        <v>390</v>
      </c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/>
      <c r="BK354" s="8"/>
      <c r="BL354" s="2" t="s">
        <v>100</v>
      </c>
      <c r="BM354" s="7"/>
      <c r="BN354" s="7"/>
      <c r="BO354" s="4"/>
      <c r="BP354" s="8"/>
      <c r="BQ354" s="4"/>
      <c r="BR354" s="8"/>
      <c r="BS354" s="7"/>
      <c r="BT354" s="7"/>
      <c r="BU354" s="2" t="s">
        <v>1171</v>
      </c>
      <c r="BV354" s="2" t="s">
        <v>97</v>
      </c>
      <c r="BW354" s="2" t="s">
        <v>100</v>
      </c>
      <c r="BX354" s="2" t="s">
        <v>100</v>
      </c>
      <c r="BY354" s="2" t="s">
        <v>112</v>
      </c>
      <c r="BZ354" s="2" t="s">
        <v>100</v>
      </c>
    </row>
    <row r="355">
      <c r="A355" s="2" t="s">
        <v>1458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1449</v>
      </c>
      <c r="G355" s="2" t="s">
        <v>1450</v>
      </c>
      <c r="H355" s="2" t="s">
        <v>1153</v>
      </c>
      <c r="I355" s="2" t="s">
        <v>1451</v>
      </c>
      <c r="J355" s="2" t="s">
        <v>844</v>
      </c>
      <c r="K355" s="2" t="s">
        <v>1459</v>
      </c>
      <c r="L355" s="3">
        <v>38.09</v>
      </c>
      <c r="M355" s="3">
        <v>39.99</v>
      </c>
      <c r="N355" s="3">
        <v>79.99</v>
      </c>
      <c r="O355" s="2" t="s">
        <v>97</v>
      </c>
      <c r="P355" s="2" t="s">
        <v>182</v>
      </c>
      <c r="Q355" s="2" t="s">
        <v>99</v>
      </c>
      <c r="R355" s="2" t="s">
        <v>100</v>
      </c>
      <c r="S355" s="2" t="s">
        <v>1460</v>
      </c>
      <c r="T355" s="2" t="s">
        <v>184</v>
      </c>
      <c r="U355" s="2" t="s">
        <v>790</v>
      </c>
      <c r="V355" s="2" t="s">
        <v>991</v>
      </c>
      <c r="W355" s="2" t="s">
        <v>1454</v>
      </c>
      <c r="X355" s="2" t="s">
        <v>759</v>
      </c>
      <c r="Y355" s="2" t="s">
        <v>1008</v>
      </c>
      <c r="Z355" s="4">
        <v>772</v>
      </c>
      <c r="AA355" s="4">
        <f>=ROUNDDOWN(24.125,0)</f>
      </c>
      <c r="AB355" s="5">
        <v>32</v>
      </c>
      <c r="AC355" s="2" t="s">
        <v>847</v>
      </c>
      <c r="AD355" s="4">
        <v>240</v>
      </c>
      <c r="AE355" s="4">
        <v>240</v>
      </c>
      <c r="AF355" s="6">
        <v>64</v>
      </c>
      <c r="AG355" s="6"/>
      <c r="AH355" s="7">
        <v>0.8667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503</v>
      </c>
      <c r="BK355" s="8">
        <v>19527.77</v>
      </c>
      <c r="BL355" s="2" t="s">
        <v>1461</v>
      </c>
      <c r="BM355" s="7"/>
      <c r="BN355" s="7"/>
      <c r="BO355" s="4"/>
      <c r="BP355" s="8"/>
      <c r="BQ355" s="4"/>
      <c r="BR355" s="8"/>
      <c r="BS355" s="7"/>
      <c r="BT355" s="7"/>
      <c r="BU355" s="2" t="s">
        <v>147</v>
      </c>
      <c r="BV355" s="2" t="s">
        <v>97</v>
      </c>
      <c r="BW355" s="2" t="s">
        <v>100</v>
      </c>
      <c r="BX355" s="2" t="s">
        <v>100</v>
      </c>
      <c r="BY355" s="2" t="s">
        <v>112</v>
      </c>
      <c r="BZ355" s="2" t="s">
        <v>100</v>
      </c>
    </row>
    <row r="356">
      <c r="A356" s="2" t="s">
        <v>1462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1449</v>
      </c>
      <c r="G356" s="2" t="s">
        <v>1450</v>
      </c>
      <c r="H356" s="2" t="s">
        <v>1153</v>
      </c>
      <c r="I356" s="2" t="s">
        <v>1451</v>
      </c>
      <c r="J356" s="2" t="s">
        <v>850</v>
      </c>
      <c r="K356" s="2" t="s">
        <v>1459</v>
      </c>
      <c r="L356" s="3">
        <v>41.14</v>
      </c>
      <c r="M356" s="3">
        <v>43.2</v>
      </c>
      <c r="N356" s="3">
        <v>89.99</v>
      </c>
      <c r="O356" s="2" t="s">
        <v>97</v>
      </c>
      <c r="P356" s="2" t="s">
        <v>182</v>
      </c>
      <c r="Q356" s="2" t="s">
        <v>99</v>
      </c>
      <c r="R356" s="2" t="s">
        <v>100</v>
      </c>
      <c r="S356" s="2" t="s">
        <v>1460</v>
      </c>
      <c r="T356" s="2" t="s">
        <v>184</v>
      </c>
      <c r="U356" s="2" t="s">
        <v>790</v>
      </c>
      <c r="V356" s="2" t="s">
        <v>991</v>
      </c>
      <c r="W356" s="2" t="s">
        <v>1454</v>
      </c>
      <c r="X356" s="2" t="s">
        <v>759</v>
      </c>
      <c r="Y356" s="2" t="s">
        <v>1008</v>
      </c>
      <c r="Z356" s="4">
        <v>465</v>
      </c>
      <c r="AA356" s="4">
        <f>=ROUNDDOWN(17.2222222222222,0)</f>
      </c>
      <c r="AB356" s="5">
        <v>27</v>
      </c>
      <c r="AC356" s="2" t="s">
        <v>563</v>
      </c>
      <c r="AD356" s="4">
        <v>360</v>
      </c>
      <c r="AE356" s="4">
        <v>450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479</v>
      </c>
      <c r="BK356" s="8">
        <v>20483.13</v>
      </c>
      <c r="BL356" s="2" t="s">
        <v>1463</v>
      </c>
      <c r="BM356" s="7"/>
      <c r="BN356" s="7"/>
      <c r="BO356" s="4"/>
      <c r="BP356" s="8"/>
      <c r="BQ356" s="4"/>
      <c r="BR356" s="8"/>
      <c r="BS356" s="7"/>
      <c r="BT356" s="7"/>
      <c r="BU356" s="2" t="s">
        <v>147</v>
      </c>
      <c r="BV356" s="2" t="s">
        <v>97</v>
      </c>
      <c r="BW356" s="2" t="s">
        <v>100</v>
      </c>
      <c r="BX356" s="2" t="s">
        <v>100</v>
      </c>
      <c r="BY356" s="2" t="s">
        <v>112</v>
      </c>
      <c r="BZ356" s="2" t="s">
        <v>100</v>
      </c>
    </row>
    <row r="357">
      <c r="A357" s="2" t="s">
        <v>1464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1465</v>
      </c>
      <c r="G357" s="2" t="s">
        <v>1466</v>
      </c>
      <c r="H357" s="2" t="s">
        <v>1467</v>
      </c>
      <c r="I357" s="2" t="s">
        <v>956</v>
      </c>
      <c r="J357" s="2" t="s">
        <v>95</v>
      </c>
      <c r="K357" s="2" t="s">
        <v>1468</v>
      </c>
      <c r="L357" s="3">
        <v>67.2</v>
      </c>
      <c r="M357" s="3">
        <v>70.55</v>
      </c>
      <c r="N357" s="3">
        <v>139.99</v>
      </c>
      <c r="O357" s="2" t="s">
        <v>97</v>
      </c>
      <c r="P357" s="2" t="s">
        <v>198</v>
      </c>
      <c r="Q357" s="2" t="s">
        <v>99</v>
      </c>
      <c r="R357" s="2" t="s">
        <v>100</v>
      </c>
      <c r="S357" s="2" t="s">
        <v>1469</v>
      </c>
      <c r="T357" s="2" t="s">
        <v>100</v>
      </c>
      <c r="U357" s="2" t="s">
        <v>102</v>
      </c>
      <c r="V357" s="2" t="s">
        <v>1275</v>
      </c>
      <c r="W357" s="2" t="s">
        <v>906</v>
      </c>
      <c r="X357" s="2" t="s">
        <v>907</v>
      </c>
      <c r="Y357" s="2" t="s">
        <v>106</v>
      </c>
      <c r="Z357" s="4">
        <v>338</v>
      </c>
      <c r="AA357" s="4">
        <f>=ROUNDDOWN(30.7272727272727,0)</f>
      </c>
      <c r="AB357" s="5">
        <v>11</v>
      </c>
      <c r="AC357" s="2" t="s">
        <v>100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270</v>
      </c>
      <c r="BK357" s="8">
        <v>18821.73</v>
      </c>
      <c r="BL357" s="2" t="s">
        <v>1470</v>
      </c>
      <c r="BM357" s="7"/>
      <c r="BN357" s="7"/>
      <c r="BO357" s="4"/>
      <c r="BP357" s="8"/>
      <c r="BQ357" s="4"/>
      <c r="BR357" s="8"/>
      <c r="BS357" s="7"/>
      <c r="BT357" s="7"/>
      <c r="BU357" s="2" t="s">
        <v>147</v>
      </c>
      <c r="BV357" s="2" t="s">
        <v>97</v>
      </c>
      <c r="BW357" s="2" t="s">
        <v>100</v>
      </c>
      <c r="BX357" s="2" t="s">
        <v>100</v>
      </c>
      <c r="BY357" s="2" t="s">
        <v>112</v>
      </c>
      <c r="BZ357" s="2" t="s">
        <v>100</v>
      </c>
    </row>
    <row r="358">
      <c r="A358" s="2" t="s">
        <v>1471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1465</v>
      </c>
      <c r="G358" s="2" t="s">
        <v>1466</v>
      </c>
      <c r="H358" s="2" t="s">
        <v>1467</v>
      </c>
      <c r="I358" s="2" t="s">
        <v>956</v>
      </c>
      <c r="J358" s="2" t="s">
        <v>114</v>
      </c>
      <c r="K358" s="2" t="s">
        <v>1468</v>
      </c>
      <c r="L358" s="3">
        <v>78.4</v>
      </c>
      <c r="M358" s="3">
        <v>82.31</v>
      </c>
      <c r="N358" s="3">
        <v>159.99</v>
      </c>
      <c r="O358" s="2" t="s">
        <v>97</v>
      </c>
      <c r="P358" s="2" t="s">
        <v>198</v>
      </c>
      <c r="Q358" s="2" t="s">
        <v>99</v>
      </c>
      <c r="R358" s="2" t="s">
        <v>100</v>
      </c>
      <c r="S358" s="2" t="s">
        <v>1469</v>
      </c>
      <c r="T358" s="2" t="s">
        <v>100</v>
      </c>
      <c r="U358" s="2" t="s">
        <v>102</v>
      </c>
      <c r="V358" s="2" t="s">
        <v>1275</v>
      </c>
      <c r="W358" s="2" t="s">
        <v>906</v>
      </c>
      <c r="X358" s="2" t="s">
        <v>907</v>
      </c>
      <c r="Y358" s="2" t="s">
        <v>106</v>
      </c>
      <c r="Z358" s="4">
        <v>106</v>
      </c>
      <c r="AA358" s="4">
        <f>=ROUNDDOWN(11.7777777777778,0)</f>
      </c>
      <c r="AB358" s="5">
        <v>9</v>
      </c>
      <c r="AC358" s="2" t="s">
        <v>100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198</v>
      </c>
      <c r="BK358" s="8">
        <v>15926.08</v>
      </c>
      <c r="BL358" s="2" t="s">
        <v>1472</v>
      </c>
      <c r="BM358" s="7"/>
      <c r="BN358" s="7"/>
      <c r="BO358" s="4"/>
      <c r="BP358" s="8"/>
      <c r="BQ358" s="4"/>
      <c r="BR358" s="8"/>
      <c r="BS358" s="7"/>
      <c r="BT358" s="7"/>
      <c r="BU358" s="2" t="s">
        <v>147</v>
      </c>
      <c r="BV358" s="2" t="s">
        <v>97</v>
      </c>
      <c r="BW358" s="2" t="s">
        <v>100</v>
      </c>
      <c r="BX358" s="2" t="s">
        <v>100</v>
      </c>
      <c r="BY358" s="2" t="s">
        <v>112</v>
      </c>
      <c r="BZ358" s="2" t="s">
        <v>100</v>
      </c>
    </row>
    <row r="359">
      <c r="A359" s="2" t="s">
        <v>1473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1465</v>
      </c>
      <c r="G359" s="2" t="s">
        <v>1466</v>
      </c>
      <c r="H359" s="2" t="s">
        <v>1467</v>
      </c>
      <c r="I359" s="2" t="s">
        <v>956</v>
      </c>
      <c r="J359" s="2" t="s">
        <v>118</v>
      </c>
      <c r="K359" s="2" t="s">
        <v>1468</v>
      </c>
      <c r="L359" s="3">
        <v>78.4</v>
      </c>
      <c r="M359" s="3">
        <v>82.31</v>
      </c>
      <c r="N359" s="3">
        <v>159.99</v>
      </c>
      <c r="O359" s="2" t="s">
        <v>97</v>
      </c>
      <c r="P359" s="2" t="s">
        <v>198</v>
      </c>
      <c r="Q359" s="2" t="s">
        <v>99</v>
      </c>
      <c r="R359" s="2" t="s">
        <v>100</v>
      </c>
      <c r="S359" s="2" t="s">
        <v>1469</v>
      </c>
      <c r="T359" s="2" t="s">
        <v>100</v>
      </c>
      <c r="U359" s="2" t="s">
        <v>102</v>
      </c>
      <c r="V359" s="2" t="s">
        <v>1275</v>
      </c>
      <c r="W359" s="2" t="s">
        <v>906</v>
      </c>
      <c r="X359" s="2" t="s">
        <v>907</v>
      </c>
      <c r="Y359" s="2" t="s">
        <v>106</v>
      </c>
      <c r="Z359" s="4">
        <v>132</v>
      </c>
      <c r="AA359" s="4">
        <f>=ROUNDDOWN(22,0)</f>
      </c>
      <c r="AB359" s="5">
        <v>6</v>
      </c>
      <c r="AC359" s="2" t="s">
        <v>100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119</v>
      </c>
      <c r="BK359" s="8">
        <v>9355.89</v>
      </c>
      <c r="BL359" s="2" t="s">
        <v>1474</v>
      </c>
      <c r="BM359" s="7"/>
      <c r="BN359" s="7"/>
      <c r="BO359" s="4"/>
      <c r="BP359" s="8"/>
      <c r="BQ359" s="4"/>
      <c r="BR359" s="8"/>
      <c r="BS359" s="7"/>
      <c r="BT359" s="7"/>
      <c r="BU359" s="2" t="s">
        <v>147</v>
      </c>
      <c r="BV359" s="2" t="s">
        <v>97</v>
      </c>
      <c r="BW359" s="2" t="s">
        <v>100</v>
      </c>
      <c r="BX359" s="2" t="s">
        <v>100</v>
      </c>
      <c r="BY359" s="2" t="s">
        <v>112</v>
      </c>
      <c r="BZ359" s="2" t="s">
        <v>100</v>
      </c>
    </row>
    <row r="360">
      <c r="A360" s="2" t="s">
        <v>1475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1476</v>
      </c>
      <c r="G360" s="2" t="s">
        <v>1477</v>
      </c>
      <c r="H360" s="2" t="s">
        <v>1478</v>
      </c>
      <c r="I360" s="2" t="s">
        <v>1479</v>
      </c>
      <c r="J360" s="2" t="s">
        <v>844</v>
      </c>
      <c r="K360" s="2" t="s">
        <v>1480</v>
      </c>
      <c r="L360" s="3">
        <v>47.61</v>
      </c>
      <c r="M360" s="3">
        <v>49.99</v>
      </c>
      <c r="N360" s="3">
        <v>99.99</v>
      </c>
      <c r="O360" s="2" t="s">
        <v>97</v>
      </c>
      <c r="P360" s="2" t="s">
        <v>1166</v>
      </c>
      <c r="Q360" s="2" t="s">
        <v>99</v>
      </c>
      <c r="R360" s="2" t="s">
        <v>100</v>
      </c>
      <c r="S360" s="2" t="s">
        <v>1481</v>
      </c>
      <c r="T360" s="2" t="s">
        <v>100</v>
      </c>
      <c r="U360" s="2" t="s">
        <v>1482</v>
      </c>
      <c r="V360" s="2" t="s">
        <v>491</v>
      </c>
      <c r="W360" s="2" t="s">
        <v>808</v>
      </c>
      <c r="X360" s="2" t="s">
        <v>1288</v>
      </c>
      <c r="Y360" s="2" t="s">
        <v>1483</v>
      </c>
      <c r="Z360" s="4">
        <v>194</v>
      </c>
      <c r="AA360" s="4">
        <f>=ROUNDDOWN(27.7142857142857,0)</f>
      </c>
      <c r="AB360" s="5">
        <v>7</v>
      </c>
      <c r="AC360" s="2" t="s">
        <v>100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58</v>
      </c>
      <c r="BK360" s="8">
        <v>2963.52</v>
      </c>
      <c r="BL360" s="2" t="s">
        <v>1484</v>
      </c>
      <c r="BM360" s="7"/>
      <c r="BN360" s="7"/>
      <c r="BO360" s="4"/>
      <c r="BP360" s="8"/>
      <c r="BQ360" s="4"/>
      <c r="BR360" s="8"/>
      <c r="BS360" s="7"/>
      <c r="BT360" s="7"/>
      <c r="BU360" s="2" t="s">
        <v>147</v>
      </c>
      <c r="BV360" s="2" t="s">
        <v>97</v>
      </c>
      <c r="BW360" s="2" t="s">
        <v>100</v>
      </c>
      <c r="BX360" s="2" t="s">
        <v>100</v>
      </c>
      <c r="BY360" s="2" t="s">
        <v>112</v>
      </c>
      <c r="BZ360" s="2" t="s">
        <v>100</v>
      </c>
    </row>
    <row r="361">
      <c r="A361" s="2" t="s">
        <v>1485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1476</v>
      </c>
      <c r="G361" s="2" t="s">
        <v>1477</v>
      </c>
      <c r="H361" s="2" t="s">
        <v>1478</v>
      </c>
      <c r="I361" s="2" t="s">
        <v>1479</v>
      </c>
      <c r="J361" s="2" t="s">
        <v>850</v>
      </c>
      <c r="K361" s="2" t="s">
        <v>1480</v>
      </c>
      <c r="L361" s="3">
        <v>52.38</v>
      </c>
      <c r="M361" s="3">
        <v>55</v>
      </c>
      <c r="N361" s="3">
        <v>109.99</v>
      </c>
      <c r="O361" s="2" t="s">
        <v>97</v>
      </c>
      <c r="P361" s="2" t="s">
        <v>1166</v>
      </c>
      <c r="Q361" s="2" t="s">
        <v>99</v>
      </c>
      <c r="R361" s="2" t="s">
        <v>100</v>
      </c>
      <c r="S361" s="2" t="s">
        <v>1481</v>
      </c>
      <c r="T361" s="2" t="s">
        <v>100</v>
      </c>
      <c r="U361" s="2" t="s">
        <v>1482</v>
      </c>
      <c r="V361" s="2" t="s">
        <v>491</v>
      </c>
      <c r="W361" s="2" t="s">
        <v>808</v>
      </c>
      <c r="X361" s="2" t="s">
        <v>1288</v>
      </c>
      <c r="Y361" s="2" t="s">
        <v>1483</v>
      </c>
      <c r="Z361" s="4">
        <v>140</v>
      </c>
      <c r="AA361" s="4">
        <f>=ROUNDDOWN(23.3333333333333,0)</f>
      </c>
      <c r="AB361" s="5">
        <v>6</v>
      </c>
      <c r="AC361" s="2" t="s">
        <v>100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47</v>
      </c>
      <c r="BK361" s="8">
        <v>2657.37</v>
      </c>
      <c r="BL361" s="2" t="s">
        <v>1486</v>
      </c>
      <c r="BM361" s="7"/>
      <c r="BN361" s="7"/>
      <c r="BO361" s="4"/>
      <c r="BP361" s="8"/>
      <c r="BQ361" s="4"/>
      <c r="BR361" s="8"/>
      <c r="BS361" s="7"/>
      <c r="BT361" s="7"/>
      <c r="BU361" s="2" t="s">
        <v>147</v>
      </c>
      <c r="BV361" s="2" t="s">
        <v>97</v>
      </c>
      <c r="BW361" s="2" t="s">
        <v>100</v>
      </c>
      <c r="BX361" s="2" t="s">
        <v>100</v>
      </c>
      <c r="BY361" s="2" t="s">
        <v>112</v>
      </c>
      <c r="BZ361" s="2" t="s">
        <v>100</v>
      </c>
    </row>
    <row r="362">
      <c r="A362" s="2" t="s">
        <v>1487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1488</v>
      </c>
      <c r="G362" s="2" t="s">
        <v>1216</v>
      </c>
      <c r="H362" s="2" t="s">
        <v>1489</v>
      </c>
      <c r="I362" s="2" t="s">
        <v>196</v>
      </c>
      <c r="J362" s="2" t="s">
        <v>95</v>
      </c>
      <c r="K362" s="2" t="s">
        <v>158</v>
      </c>
      <c r="L362" s="3">
        <v>55.2</v>
      </c>
      <c r="M362" s="3">
        <v>57.95</v>
      </c>
      <c r="N362" s="3">
        <v>114.99</v>
      </c>
      <c r="O362" s="2" t="s">
        <v>97</v>
      </c>
      <c r="P362" s="2" t="s">
        <v>182</v>
      </c>
      <c r="Q362" s="2" t="s">
        <v>99</v>
      </c>
      <c r="R362" s="2" t="s">
        <v>100</v>
      </c>
      <c r="S362" s="2" t="s">
        <v>1490</v>
      </c>
      <c r="T362" s="2" t="s">
        <v>100</v>
      </c>
      <c r="U362" s="2" t="s">
        <v>102</v>
      </c>
      <c r="V362" s="2" t="s">
        <v>637</v>
      </c>
      <c r="W362" s="2" t="s">
        <v>104</v>
      </c>
      <c r="X362" s="2" t="s">
        <v>405</v>
      </c>
      <c r="Y362" s="2" t="s">
        <v>106</v>
      </c>
      <c r="Z362" s="4">
        <v>556</v>
      </c>
      <c r="AA362" s="4">
        <f>=ROUNDDOWN(27.8,0)</f>
      </c>
      <c r="AB362" s="5">
        <v>20</v>
      </c>
      <c r="AC362" s="2" t="s">
        <v>356</v>
      </c>
      <c r="AD362" s="4">
        <v>150</v>
      </c>
      <c r="AE362" s="4">
        <v>150</v>
      </c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349</v>
      </c>
      <c r="BK362" s="8">
        <v>19449.3</v>
      </c>
      <c r="BL362" s="2" t="s">
        <v>1491</v>
      </c>
      <c r="BM362" s="7"/>
      <c r="BN362" s="7"/>
      <c r="BO362" s="4"/>
      <c r="BP362" s="8"/>
      <c r="BQ362" s="4"/>
      <c r="BR362" s="8"/>
      <c r="BS362" s="7"/>
      <c r="BT362" s="7"/>
      <c r="BU362" s="2" t="s">
        <v>147</v>
      </c>
      <c r="BV362" s="2" t="s">
        <v>97</v>
      </c>
      <c r="BW362" s="2" t="s">
        <v>100</v>
      </c>
      <c r="BX362" s="2" t="s">
        <v>100</v>
      </c>
      <c r="BY362" s="2" t="s">
        <v>112</v>
      </c>
      <c r="BZ362" s="2" t="s">
        <v>100</v>
      </c>
    </row>
    <row r="363">
      <c r="A363" s="2" t="s">
        <v>1492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1488</v>
      </c>
      <c r="G363" s="2" t="s">
        <v>1216</v>
      </c>
      <c r="H363" s="2" t="s">
        <v>1489</v>
      </c>
      <c r="I363" s="2" t="s">
        <v>196</v>
      </c>
      <c r="J363" s="2" t="s">
        <v>114</v>
      </c>
      <c r="K363" s="2" t="s">
        <v>158</v>
      </c>
      <c r="L363" s="3">
        <v>66.15</v>
      </c>
      <c r="M363" s="3">
        <v>69.45</v>
      </c>
      <c r="N363" s="3">
        <v>134.99</v>
      </c>
      <c r="O363" s="2" t="s">
        <v>97</v>
      </c>
      <c r="P363" s="2" t="s">
        <v>182</v>
      </c>
      <c r="Q363" s="2" t="s">
        <v>99</v>
      </c>
      <c r="R363" s="2" t="s">
        <v>100</v>
      </c>
      <c r="S363" s="2" t="s">
        <v>1490</v>
      </c>
      <c r="T363" s="2" t="s">
        <v>100</v>
      </c>
      <c r="U363" s="2" t="s">
        <v>102</v>
      </c>
      <c r="V363" s="2" t="s">
        <v>637</v>
      </c>
      <c r="W363" s="2" t="s">
        <v>104</v>
      </c>
      <c r="X363" s="2" t="s">
        <v>405</v>
      </c>
      <c r="Y363" s="2" t="s">
        <v>106</v>
      </c>
      <c r="Z363" s="4">
        <v>380</v>
      </c>
      <c r="AA363" s="4">
        <f>=ROUNDDOWN(29.2307692307692,0)</f>
      </c>
      <c r="AB363" s="5">
        <v>13</v>
      </c>
      <c r="AC363" s="2" t="s">
        <v>356</v>
      </c>
      <c r="AD363" s="4">
        <v>100</v>
      </c>
      <c r="AE363" s="4">
        <v>100</v>
      </c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277</v>
      </c>
      <c r="BK363" s="8">
        <v>18485.04</v>
      </c>
      <c r="BL363" s="2" t="s">
        <v>1493</v>
      </c>
      <c r="BM363" s="7"/>
      <c r="BN363" s="7"/>
      <c r="BO363" s="4"/>
      <c r="BP363" s="8"/>
      <c r="BQ363" s="4"/>
      <c r="BR363" s="8"/>
      <c r="BS363" s="7"/>
      <c r="BT363" s="7"/>
      <c r="BU363" s="2" t="s">
        <v>147</v>
      </c>
      <c r="BV363" s="2" t="s">
        <v>97</v>
      </c>
      <c r="BW363" s="2" t="s">
        <v>100</v>
      </c>
      <c r="BX363" s="2" t="s">
        <v>100</v>
      </c>
      <c r="BY363" s="2" t="s">
        <v>112</v>
      </c>
      <c r="BZ363" s="2" t="s">
        <v>100</v>
      </c>
    </row>
    <row r="364">
      <c r="A364" s="2" t="s">
        <v>1494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1488</v>
      </c>
      <c r="G364" s="2" t="s">
        <v>1216</v>
      </c>
      <c r="H364" s="2" t="s">
        <v>1489</v>
      </c>
      <c r="I364" s="2" t="s">
        <v>196</v>
      </c>
      <c r="J364" s="2" t="s">
        <v>118</v>
      </c>
      <c r="K364" s="2" t="s">
        <v>158</v>
      </c>
      <c r="L364" s="3">
        <v>66.15</v>
      </c>
      <c r="M364" s="3">
        <v>69.45</v>
      </c>
      <c r="N364" s="3">
        <v>134.99</v>
      </c>
      <c r="O364" s="2" t="s">
        <v>97</v>
      </c>
      <c r="P364" s="2" t="s">
        <v>182</v>
      </c>
      <c r="Q364" s="2" t="s">
        <v>99</v>
      </c>
      <c r="R364" s="2" t="s">
        <v>100</v>
      </c>
      <c r="S364" s="2" t="s">
        <v>1490</v>
      </c>
      <c r="T364" s="2" t="s">
        <v>100</v>
      </c>
      <c r="U364" s="2" t="s">
        <v>102</v>
      </c>
      <c r="V364" s="2" t="s">
        <v>637</v>
      </c>
      <c r="W364" s="2" t="s">
        <v>104</v>
      </c>
      <c r="X364" s="2" t="s">
        <v>405</v>
      </c>
      <c r="Y364" s="2" t="s">
        <v>106</v>
      </c>
      <c r="Z364" s="4">
        <v>369</v>
      </c>
      <c r="AA364" s="4">
        <f>=ROUNDDOWN(52.7142857142857,0)</f>
      </c>
      <c r="AB364" s="5">
        <v>7</v>
      </c>
      <c r="AC364" s="2" t="s">
        <v>100</v>
      </c>
      <c r="AD364" s="4"/>
      <c r="AE364" s="4"/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142</v>
      </c>
      <c r="BK364" s="8">
        <v>9744.12</v>
      </c>
      <c r="BL364" s="2" t="s">
        <v>1495</v>
      </c>
      <c r="BM364" s="7"/>
      <c r="BN364" s="7"/>
      <c r="BO364" s="4"/>
      <c r="BP364" s="8"/>
      <c r="BQ364" s="4"/>
      <c r="BR364" s="8"/>
      <c r="BS364" s="7"/>
      <c r="BT364" s="7"/>
      <c r="BU364" s="2" t="s">
        <v>147</v>
      </c>
      <c r="BV364" s="2" t="s">
        <v>97</v>
      </c>
      <c r="BW364" s="2" t="s">
        <v>100</v>
      </c>
      <c r="BX364" s="2" t="s">
        <v>100</v>
      </c>
      <c r="BY364" s="2" t="s">
        <v>112</v>
      </c>
      <c r="BZ364" s="2" t="s">
        <v>100</v>
      </c>
    </row>
    <row r="365">
      <c r="A365" s="2" t="s">
        <v>1496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1488</v>
      </c>
      <c r="G365" s="2" t="s">
        <v>1216</v>
      </c>
      <c r="H365" s="2" t="s">
        <v>1489</v>
      </c>
      <c r="I365" s="2" t="s">
        <v>196</v>
      </c>
      <c r="J365" s="2" t="s">
        <v>95</v>
      </c>
      <c r="K365" s="2" t="s">
        <v>197</v>
      </c>
      <c r="L365" s="3">
        <v>55.2</v>
      </c>
      <c r="M365" s="3">
        <v>57.95</v>
      </c>
      <c r="N365" s="3">
        <v>114.99</v>
      </c>
      <c r="O365" s="2" t="s">
        <v>97</v>
      </c>
      <c r="P365" s="2" t="s">
        <v>143</v>
      </c>
      <c r="Q365" s="2" t="s">
        <v>99</v>
      </c>
      <c r="R365" s="2" t="s">
        <v>100</v>
      </c>
      <c r="S365" s="2" t="s">
        <v>1497</v>
      </c>
      <c r="T365" s="2" t="s">
        <v>100</v>
      </c>
      <c r="U365" s="2" t="s">
        <v>102</v>
      </c>
      <c r="V365" s="2" t="s">
        <v>637</v>
      </c>
      <c r="W365" s="2" t="s">
        <v>104</v>
      </c>
      <c r="X365" s="2" t="s">
        <v>405</v>
      </c>
      <c r="Y365" s="2" t="s">
        <v>106</v>
      </c>
      <c r="Z365" s="4">
        <v>1737</v>
      </c>
      <c r="AA365" s="4">
        <f>=ROUNDDOWN(45.7105263157895,0)</f>
      </c>
      <c r="AB365" s="5">
        <v>38</v>
      </c>
      <c r="AC365" s="2" t="s">
        <v>100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1020</v>
      </c>
      <c r="BK365" s="8">
        <v>55895.1</v>
      </c>
      <c r="BL365" s="2" t="s">
        <v>1498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97</v>
      </c>
      <c r="BW365" s="2" t="s">
        <v>580</v>
      </c>
      <c r="BX365" s="2" t="s">
        <v>100</v>
      </c>
      <c r="BY365" s="2" t="s">
        <v>112</v>
      </c>
      <c r="BZ365" s="2" t="s">
        <v>100</v>
      </c>
    </row>
    <row r="366">
      <c r="A366" s="2" t="s">
        <v>1499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1488</v>
      </c>
      <c r="G366" s="2" t="s">
        <v>1216</v>
      </c>
      <c r="H366" s="2" t="s">
        <v>1489</v>
      </c>
      <c r="I366" s="2" t="s">
        <v>196</v>
      </c>
      <c r="J366" s="2" t="s">
        <v>114</v>
      </c>
      <c r="K366" s="2" t="s">
        <v>197</v>
      </c>
      <c r="L366" s="3">
        <v>66.15</v>
      </c>
      <c r="M366" s="3">
        <v>69.45</v>
      </c>
      <c r="N366" s="3">
        <v>134.99</v>
      </c>
      <c r="O366" s="2" t="s">
        <v>97</v>
      </c>
      <c r="P366" s="2" t="s">
        <v>143</v>
      </c>
      <c r="Q366" s="2" t="s">
        <v>99</v>
      </c>
      <c r="R366" s="2" t="s">
        <v>100</v>
      </c>
      <c r="S366" s="2" t="s">
        <v>1497</v>
      </c>
      <c r="T366" s="2" t="s">
        <v>100</v>
      </c>
      <c r="U366" s="2" t="s">
        <v>102</v>
      </c>
      <c r="V366" s="2" t="s">
        <v>637</v>
      </c>
      <c r="W366" s="2" t="s">
        <v>104</v>
      </c>
      <c r="X366" s="2" t="s">
        <v>405</v>
      </c>
      <c r="Y366" s="2" t="s">
        <v>106</v>
      </c>
      <c r="Z366" s="4">
        <v>1416</v>
      </c>
      <c r="AA366" s="4">
        <f>=ROUNDDOWN(54.4615384615385,0)</f>
      </c>
      <c r="AB366" s="5">
        <v>26</v>
      </c>
      <c r="AC366" s="2" t="s">
        <v>356</v>
      </c>
      <c r="AD366" s="4">
        <v>150</v>
      </c>
      <c r="AE366" s="4">
        <v>150</v>
      </c>
      <c r="AF366" s="6">
        <v>64</v>
      </c>
      <c r="AG366" s="6">
        <v>47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651</v>
      </c>
      <c r="BK366" s="8">
        <v>42425.79</v>
      </c>
      <c r="BL366" s="2" t="s">
        <v>1500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97</v>
      </c>
      <c r="BW366" s="2" t="s">
        <v>580</v>
      </c>
      <c r="BX366" s="2" t="s">
        <v>100</v>
      </c>
      <c r="BY366" s="2" t="s">
        <v>112</v>
      </c>
      <c r="BZ366" s="2" t="s">
        <v>100</v>
      </c>
    </row>
    <row r="367">
      <c r="A367" s="2" t="s">
        <v>1501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1488</v>
      </c>
      <c r="G367" s="2" t="s">
        <v>1216</v>
      </c>
      <c r="H367" s="2" t="s">
        <v>1489</v>
      </c>
      <c r="I367" s="2" t="s">
        <v>196</v>
      </c>
      <c r="J367" s="2" t="s">
        <v>118</v>
      </c>
      <c r="K367" s="2" t="s">
        <v>197</v>
      </c>
      <c r="L367" s="3">
        <v>66.15</v>
      </c>
      <c r="M367" s="3">
        <v>69.45</v>
      </c>
      <c r="N367" s="3">
        <v>134.99</v>
      </c>
      <c r="O367" s="2" t="s">
        <v>97</v>
      </c>
      <c r="P367" s="2" t="s">
        <v>143</v>
      </c>
      <c r="Q367" s="2" t="s">
        <v>99</v>
      </c>
      <c r="R367" s="2" t="s">
        <v>100</v>
      </c>
      <c r="S367" s="2" t="s">
        <v>1497</v>
      </c>
      <c r="T367" s="2" t="s">
        <v>100</v>
      </c>
      <c r="U367" s="2" t="s">
        <v>102</v>
      </c>
      <c r="V367" s="2" t="s">
        <v>637</v>
      </c>
      <c r="W367" s="2" t="s">
        <v>104</v>
      </c>
      <c r="X367" s="2" t="s">
        <v>405</v>
      </c>
      <c r="Y367" s="2" t="s">
        <v>106</v>
      </c>
      <c r="Z367" s="4">
        <v>655</v>
      </c>
      <c r="AA367" s="4">
        <f>=ROUNDDOWN(43.6666666666667,0)</f>
      </c>
      <c r="AB367" s="5">
        <v>15</v>
      </c>
      <c r="AC367" s="2" t="s">
        <v>356</v>
      </c>
      <c r="AD367" s="4">
        <v>220</v>
      </c>
      <c r="AE367" s="4">
        <v>220</v>
      </c>
      <c r="AF367" s="6">
        <v>64</v>
      </c>
      <c r="AG367" s="6">
        <v>47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368</v>
      </c>
      <c r="BK367" s="8">
        <v>24571.87</v>
      </c>
      <c r="BL367" s="2" t="s">
        <v>1502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97</v>
      </c>
      <c r="BW367" s="2" t="s">
        <v>580</v>
      </c>
      <c r="BX367" s="2" t="s">
        <v>100</v>
      </c>
      <c r="BY367" s="2" t="s">
        <v>112</v>
      </c>
      <c r="BZ367" s="2" t="s">
        <v>100</v>
      </c>
    </row>
    <row r="368">
      <c r="A368" s="2" t="s">
        <v>1503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1488</v>
      </c>
      <c r="G368" s="2" t="s">
        <v>1216</v>
      </c>
      <c r="H368" s="2" t="s">
        <v>1489</v>
      </c>
      <c r="I368" s="2" t="s">
        <v>196</v>
      </c>
      <c r="J368" s="2" t="s">
        <v>95</v>
      </c>
      <c r="K368" s="2" t="s">
        <v>1504</v>
      </c>
      <c r="L368" s="3">
        <v>55.2</v>
      </c>
      <c r="M368" s="3">
        <v>57.95</v>
      </c>
      <c r="N368" s="3">
        <v>114.99</v>
      </c>
      <c r="O368" s="2" t="s">
        <v>97</v>
      </c>
      <c r="P368" s="2" t="s">
        <v>182</v>
      </c>
      <c r="Q368" s="2" t="s">
        <v>99</v>
      </c>
      <c r="R368" s="2" t="s">
        <v>100</v>
      </c>
      <c r="S368" s="2" t="s">
        <v>1505</v>
      </c>
      <c r="T368" s="2" t="s">
        <v>100</v>
      </c>
      <c r="U368" s="2" t="s">
        <v>102</v>
      </c>
      <c r="V368" s="2" t="s">
        <v>637</v>
      </c>
      <c r="W368" s="2" t="s">
        <v>104</v>
      </c>
      <c r="X368" s="2" t="s">
        <v>405</v>
      </c>
      <c r="Y368" s="2" t="s">
        <v>1506</v>
      </c>
      <c r="Z368" s="4">
        <v>407</v>
      </c>
      <c r="AA368" s="4">
        <f>=ROUNDDOWN(31.3076923076923,0)</f>
      </c>
      <c r="AB368" s="5">
        <v>13</v>
      </c>
      <c r="AC368" s="2" t="s">
        <v>659</v>
      </c>
      <c r="AD368" s="4">
        <v>50</v>
      </c>
      <c r="AE368" s="4">
        <v>500</v>
      </c>
      <c r="AF368" s="6">
        <v>64</v>
      </c>
      <c r="AG368" s="6">
        <v>47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223</v>
      </c>
      <c r="BK368" s="8">
        <v>12432.44</v>
      </c>
      <c r="BL368" s="2" t="s">
        <v>1507</v>
      </c>
      <c r="BM368" s="7"/>
      <c r="BN368" s="7"/>
      <c r="BO368" s="4"/>
      <c r="BP368" s="8"/>
      <c r="BQ368" s="4"/>
      <c r="BR368" s="8"/>
      <c r="BS368" s="7"/>
      <c r="BT368" s="7"/>
      <c r="BU368" s="2" t="s">
        <v>147</v>
      </c>
      <c r="BV368" s="2" t="s">
        <v>97</v>
      </c>
      <c r="BW368" s="2" t="s">
        <v>100</v>
      </c>
      <c r="BX368" s="2" t="s">
        <v>100</v>
      </c>
      <c r="BY368" s="2" t="s">
        <v>112</v>
      </c>
      <c r="BZ368" s="2" t="s">
        <v>100</v>
      </c>
    </row>
    <row r="369">
      <c r="A369" s="2" t="s">
        <v>1508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1488</v>
      </c>
      <c r="G369" s="2" t="s">
        <v>1216</v>
      </c>
      <c r="H369" s="2" t="s">
        <v>1489</v>
      </c>
      <c r="I369" s="2" t="s">
        <v>196</v>
      </c>
      <c r="J369" s="2" t="s">
        <v>114</v>
      </c>
      <c r="K369" s="2" t="s">
        <v>1504</v>
      </c>
      <c r="L369" s="3">
        <v>66.15</v>
      </c>
      <c r="M369" s="3">
        <v>69.45</v>
      </c>
      <c r="N369" s="3">
        <v>134.99</v>
      </c>
      <c r="O369" s="2" t="s">
        <v>97</v>
      </c>
      <c r="P369" s="2" t="s">
        <v>182</v>
      </c>
      <c r="Q369" s="2" t="s">
        <v>99</v>
      </c>
      <c r="R369" s="2" t="s">
        <v>100</v>
      </c>
      <c r="S369" s="2" t="s">
        <v>1505</v>
      </c>
      <c r="T369" s="2" t="s">
        <v>100</v>
      </c>
      <c r="U369" s="2" t="s">
        <v>102</v>
      </c>
      <c r="V369" s="2" t="s">
        <v>637</v>
      </c>
      <c r="W369" s="2" t="s">
        <v>104</v>
      </c>
      <c r="X369" s="2" t="s">
        <v>405</v>
      </c>
      <c r="Y369" s="2" t="s">
        <v>1506</v>
      </c>
      <c r="Z369" s="4">
        <v>542</v>
      </c>
      <c r="AA369" s="4">
        <f>=ROUNDDOWN(60.2222222222222,0)</f>
      </c>
      <c r="AB369" s="5">
        <v>9</v>
      </c>
      <c r="AC369" s="2" t="s">
        <v>659</v>
      </c>
      <c r="AD369" s="4">
        <v>100</v>
      </c>
      <c r="AE369" s="4">
        <v>350</v>
      </c>
      <c r="AF369" s="6">
        <v>64</v>
      </c>
      <c r="AG369" s="6">
        <v>47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171</v>
      </c>
      <c r="BK369" s="8">
        <v>11367.84</v>
      </c>
      <c r="BL369" s="2" t="s">
        <v>1509</v>
      </c>
      <c r="BM369" s="7"/>
      <c r="BN369" s="7"/>
      <c r="BO369" s="4"/>
      <c r="BP369" s="8"/>
      <c r="BQ369" s="4"/>
      <c r="BR369" s="8"/>
      <c r="BS369" s="7"/>
      <c r="BT369" s="7"/>
      <c r="BU369" s="2" t="s">
        <v>147</v>
      </c>
      <c r="BV369" s="2" t="s">
        <v>97</v>
      </c>
      <c r="BW369" s="2" t="s">
        <v>100</v>
      </c>
      <c r="BX369" s="2" t="s">
        <v>100</v>
      </c>
      <c r="BY369" s="2" t="s">
        <v>112</v>
      </c>
      <c r="BZ369" s="2" t="s">
        <v>100</v>
      </c>
    </row>
    <row r="370">
      <c r="A370" s="2" t="s">
        <v>1510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1488</v>
      </c>
      <c r="G370" s="2" t="s">
        <v>1216</v>
      </c>
      <c r="H370" s="2" t="s">
        <v>1489</v>
      </c>
      <c r="I370" s="2" t="s">
        <v>196</v>
      </c>
      <c r="J370" s="2" t="s">
        <v>118</v>
      </c>
      <c r="K370" s="2" t="s">
        <v>1504</v>
      </c>
      <c r="L370" s="3">
        <v>66.15</v>
      </c>
      <c r="M370" s="3">
        <v>69.45</v>
      </c>
      <c r="N370" s="3">
        <v>134.99</v>
      </c>
      <c r="O370" s="2" t="s">
        <v>97</v>
      </c>
      <c r="P370" s="2" t="s">
        <v>182</v>
      </c>
      <c r="Q370" s="2" t="s">
        <v>99</v>
      </c>
      <c r="R370" s="2" t="s">
        <v>100</v>
      </c>
      <c r="S370" s="2" t="s">
        <v>1505</v>
      </c>
      <c r="T370" s="2" t="s">
        <v>100</v>
      </c>
      <c r="U370" s="2" t="s">
        <v>102</v>
      </c>
      <c r="V370" s="2" t="s">
        <v>637</v>
      </c>
      <c r="W370" s="2" t="s">
        <v>104</v>
      </c>
      <c r="X370" s="2" t="s">
        <v>405</v>
      </c>
      <c r="Y370" s="2" t="s">
        <v>1506</v>
      </c>
      <c r="Z370" s="4">
        <v>292</v>
      </c>
      <c r="AA370" s="4">
        <f>=ROUNDDOWN(48.6666666666667,0)</f>
      </c>
      <c r="AB370" s="5">
        <v>6</v>
      </c>
      <c r="AC370" s="2" t="s">
        <v>100</v>
      </c>
      <c r="AD370" s="4"/>
      <c r="AE370" s="4"/>
      <c r="AF370" s="6">
        <v>64</v>
      </c>
      <c r="AG370" s="6">
        <v>47</v>
      </c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105</v>
      </c>
      <c r="BK370" s="8">
        <v>7040.6</v>
      </c>
      <c r="BL370" s="2" t="s">
        <v>1511</v>
      </c>
      <c r="BM370" s="7"/>
      <c r="BN370" s="7"/>
      <c r="BO370" s="4"/>
      <c r="BP370" s="8"/>
      <c r="BQ370" s="4"/>
      <c r="BR370" s="8"/>
      <c r="BS370" s="7"/>
      <c r="BT370" s="7"/>
      <c r="BU370" s="2" t="s">
        <v>147</v>
      </c>
      <c r="BV370" s="2" t="s">
        <v>97</v>
      </c>
      <c r="BW370" s="2" t="s">
        <v>100</v>
      </c>
      <c r="BX370" s="2" t="s">
        <v>100</v>
      </c>
      <c r="BY370" s="2" t="s">
        <v>112</v>
      </c>
      <c r="BZ370" s="2" t="s">
        <v>100</v>
      </c>
    </row>
    <row r="371">
      <c r="A371" s="2" t="s">
        <v>1512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1513</v>
      </c>
      <c r="G371" s="2" t="s">
        <v>786</v>
      </c>
      <c r="H371" s="2" t="s">
        <v>1514</v>
      </c>
      <c r="I371" s="2" t="s">
        <v>1308</v>
      </c>
      <c r="J371" s="2" t="s">
        <v>95</v>
      </c>
      <c r="K371" s="2" t="s">
        <v>1515</v>
      </c>
      <c r="L371" s="3">
        <v>70.5</v>
      </c>
      <c r="M371" s="3">
        <v>74.02</v>
      </c>
      <c r="N371" s="3">
        <v>149.99</v>
      </c>
      <c r="O371" s="2" t="s">
        <v>97</v>
      </c>
      <c r="P371" s="2" t="s">
        <v>182</v>
      </c>
      <c r="Q371" s="2" t="s">
        <v>99</v>
      </c>
      <c r="R371" s="2" t="s">
        <v>100</v>
      </c>
      <c r="S371" s="2" t="s">
        <v>1516</v>
      </c>
      <c r="T371" s="2" t="s">
        <v>100</v>
      </c>
      <c r="U371" s="2" t="s">
        <v>403</v>
      </c>
      <c r="V371" s="2" t="s">
        <v>491</v>
      </c>
      <c r="W371" s="2" t="s">
        <v>104</v>
      </c>
      <c r="X371" s="2" t="s">
        <v>201</v>
      </c>
      <c r="Y371" s="2" t="s">
        <v>106</v>
      </c>
      <c r="Z371" s="4">
        <v>459</v>
      </c>
      <c r="AA371" s="4">
        <f>=ROUNDDOWN(21.8571428571429,0)</f>
      </c>
      <c r="AB371" s="5">
        <v>21</v>
      </c>
      <c r="AC371" s="2" t="s">
        <v>130</v>
      </c>
      <c r="AD371" s="4">
        <v>300</v>
      </c>
      <c r="AE371" s="4">
        <v>790</v>
      </c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>
        <v>507</v>
      </c>
      <c r="BK371" s="8">
        <v>37926.5</v>
      </c>
      <c r="BL371" s="2" t="s">
        <v>1517</v>
      </c>
      <c r="BM371" s="7"/>
      <c r="BN371" s="7"/>
      <c r="BO371" s="4"/>
      <c r="BP371" s="8"/>
      <c r="BQ371" s="4"/>
      <c r="BR371" s="8"/>
      <c r="BS371" s="7"/>
      <c r="BT371" s="7"/>
      <c r="BU371" s="2" t="s">
        <v>147</v>
      </c>
      <c r="BV371" s="2" t="s">
        <v>97</v>
      </c>
      <c r="BW371" s="2" t="s">
        <v>100</v>
      </c>
      <c r="BX371" s="2" t="s">
        <v>100</v>
      </c>
      <c r="BY371" s="2" t="s">
        <v>112</v>
      </c>
      <c r="BZ371" s="2" t="s">
        <v>100</v>
      </c>
    </row>
    <row r="372">
      <c r="A372" s="2" t="s">
        <v>1518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1513</v>
      </c>
      <c r="G372" s="2" t="s">
        <v>786</v>
      </c>
      <c r="H372" s="2" t="s">
        <v>1514</v>
      </c>
      <c r="I372" s="2" t="s">
        <v>1308</v>
      </c>
      <c r="J372" s="2" t="s">
        <v>114</v>
      </c>
      <c r="K372" s="2" t="s">
        <v>1515</v>
      </c>
      <c r="L372" s="3">
        <v>79.9</v>
      </c>
      <c r="M372" s="3">
        <v>83.89</v>
      </c>
      <c r="N372" s="3">
        <v>169.99</v>
      </c>
      <c r="O372" s="2" t="s">
        <v>97</v>
      </c>
      <c r="P372" s="2" t="s">
        <v>182</v>
      </c>
      <c r="Q372" s="2" t="s">
        <v>99</v>
      </c>
      <c r="R372" s="2" t="s">
        <v>100</v>
      </c>
      <c r="S372" s="2" t="s">
        <v>1516</v>
      </c>
      <c r="T372" s="2" t="s">
        <v>100</v>
      </c>
      <c r="U372" s="2" t="s">
        <v>403</v>
      </c>
      <c r="V372" s="2" t="s">
        <v>491</v>
      </c>
      <c r="W372" s="2" t="s">
        <v>104</v>
      </c>
      <c r="X372" s="2" t="s">
        <v>201</v>
      </c>
      <c r="Y372" s="2" t="s">
        <v>106</v>
      </c>
      <c r="Z372" s="4">
        <v>223</v>
      </c>
      <c r="AA372" s="4">
        <f>=ROUNDDOWN(27.5308641975309,0)</f>
      </c>
      <c r="AB372" s="5">
        <v>8.1</v>
      </c>
      <c r="AC372" s="2" t="s">
        <v>130</v>
      </c>
      <c r="AD372" s="4">
        <v>50</v>
      </c>
      <c r="AE372" s="4">
        <v>220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193</v>
      </c>
      <c r="BK372" s="8">
        <v>16372.06</v>
      </c>
      <c r="BL372" s="2" t="s">
        <v>1519</v>
      </c>
      <c r="BM372" s="7"/>
      <c r="BN372" s="7"/>
      <c r="BO372" s="4"/>
      <c r="BP372" s="8"/>
      <c r="BQ372" s="4"/>
      <c r="BR372" s="8"/>
      <c r="BS372" s="7"/>
      <c r="BT372" s="7"/>
      <c r="BU372" s="2" t="s">
        <v>147</v>
      </c>
      <c r="BV372" s="2" t="s">
        <v>97</v>
      </c>
      <c r="BW372" s="2" t="s">
        <v>100</v>
      </c>
      <c r="BX372" s="2" t="s">
        <v>100</v>
      </c>
      <c r="BY372" s="2" t="s">
        <v>112</v>
      </c>
      <c r="BZ372" s="2" t="s">
        <v>100</v>
      </c>
    </row>
    <row r="373">
      <c r="A373" s="2" t="s">
        <v>1520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1513</v>
      </c>
      <c r="G373" s="2" t="s">
        <v>786</v>
      </c>
      <c r="H373" s="2" t="s">
        <v>1514</v>
      </c>
      <c r="I373" s="2" t="s">
        <v>1308</v>
      </c>
      <c r="J373" s="2" t="s">
        <v>118</v>
      </c>
      <c r="K373" s="2" t="s">
        <v>1515</v>
      </c>
      <c r="L373" s="3">
        <v>78.2</v>
      </c>
      <c r="M373" s="3">
        <v>82.11</v>
      </c>
      <c r="N373" s="3">
        <v>169.99</v>
      </c>
      <c r="O373" s="2" t="s">
        <v>97</v>
      </c>
      <c r="P373" s="2" t="s">
        <v>182</v>
      </c>
      <c r="Q373" s="2" t="s">
        <v>99</v>
      </c>
      <c r="R373" s="2" t="s">
        <v>100</v>
      </c>
      <c r="S373" s="2" t="s">
        <v>1521</v>
      </c>
      <c r="T373" s="2" t="s">
        <v>100</v>
      </c>
      <c r="U373" s="2" t="s">
        <v>403</v>
      </c>
      <c r="V373" s="2" t="s">
        <v>491</v>
      </c>
      <c r="W373" s="2" t="s">
        <v>104</v>
      </c>
      <c r="X373" s="2" t="s">
        <v>201</v>
      </c>
      <c r="Y373" s="2" t="s">
        <v>106</v>
      </c>
      <c r="Z373" s="4">
        <v>125</v>
      </c>
      <c r="AA373" s="4">
        <f>=ROUNDDOWN(17.8571428571429,0)</f>
      </c>
      <c r="AB373" s="5">
        <v>7</v>
      </c>
      <c r="AC373" s="2" t="s">
        <v>130</v>
      </c>
      <c r="AD373" s="4">
        <v>30</v>
      </c>
      <c r="AE373" s="4">
        <v>170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126</v>
      </c>
      <c r="BK373" s="8">
        <v>10758.81</v>
      </c>
      <c r="BL373" s="2" t="s">
        <v>1522</v>
      </c>
      <c r="BM373" s="7"/>
      <c r="BN373" s="7"/>
      <c r="BO373" s="4"/>
      <c r="BP373" s="8"/>
      <c r="BQ373" s="4"/>
      <c r="BR373" s="8"/>
      <c r="BS373" s="7"/>
      <c r="BT373" s="7"/>
      <c r="BU373" s="2" t="s">
        <v>147</v>
      </c>
      <c r="BV373" s="2" t="s">
        <v>97</v>
      </c>
      <c r="BW373" s="2" t="s">
        <v>100</v>
      </c>
      <c r="BX373" s="2" t="s">
        <v>100</v>
      </c>
      <c r="BY373" s="2" t="s">
        <v>112</v>
      </c>
      <c r="BZ373" s="2" t="s">
        <v>100</v>
      </c>
    </row>
    <row r="374">
      <c r="A374" s="2" t="s">
        <v>1523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1524</v>
      </c>
      <c r="G374" s="2" t="s">
        <v>1525</v>
      </c>
      <c r="H374" s="2" t="s">
        <v>1526</v>
      </c>
      <c r="I374" s="2" t="s">
        <v>1527</v>
      </c>
      <c r="J374" s="2" t="s">
        <v>844</v>
      </c>
      <c r="K374" s="2" t="s">
        <v>1528</v>
      </c>
      <c r="L374" s="3">
        <v>36.57</v>
      </c>
      <c r="M374" s="3">
        <v>38.4</v>
      </c>
      <c r="N374" s="3">
        <v>79.99</v>
      </c>
      <c r="O374" s="2" t="s">
        <v>97</v>
      </c>
      <c r="P374" s="2" t="s">
        <v>182</v>
      </c>
      <c r="Q374" s="2" t="s">
        <v>99</v>
      </c>
      <c r="R374" s="2" t="s">
        <v>100</v>
      </c>
      <c r="S374" s="2" t="s">
        <v>1529</v>
      </c>
      <c r="T374" s="2" t="s">
        <v>184</v>
      </c>
      <c r="U374" s="2" t="s">
        <v>1482</v>
      </c>
      <c r="V374" s="2" t="s">
        <v>991</v>
      </c>
      <c r="W374" s="2" t="s">
        <v>1403</v>
      </c>
      <c r="X374" s="2" t="s">
        <v>1530</v>
      </c>
      <c r="Y374" s="2" t="s">
        <v>1531</v>
      </c>
      <c r="Z374" s="4">
        <v>204</v>
      </c>
      <c r="AA374" s="4">
        <f>=ROUNDDOWN(17,0)</f>
      </c>
      <c r="AB374" s="5">
        <v>12</v>
      </c>
      <c r="AC374" s="2" t="s">
        <v>1532</v>
      </c>
      <c r="AD374" s="4">
        <v>340</v>
      </c>
      <c r="AE374" s="4">
        <v>340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94</v>
      </c>
      <c r="BK374" s="8">
        <v>3894.75</v>
      </c>
      <c r="BL374" s="2" t="s">
        <v>470</v>
      </c>
      <c r="BM374" s="7"/>
      <c r="BN374" s="7"/>
      <c r="BO374" s="4"/>
      <c r="BP374" s="8"/>
      <c r="BQ374" s="4"/>
      <c r="BR374" s="8"/>
      <c r="BS374" s="7"/>
      <c r="BT374" s="7"/>
      <c r="BU374" s="2" t="s">
        <v>1171</v>
      </c>
      <c r="BV374" s="2" t="s">
        <v>97</v>
      </c>
      <c r="BW374" s="2" t="s">
        <v>100</v>
      </c>
      <c r="BX374" s="2" t="s">
        <v>100</v>
      </c>
      <c r="BY374" s="2" t="s">
        <v>112</v>
      </c>
      <c r="BZ374" s="2" t="s">
        <v>100</v>
      </c>
    </row>
    <row r="375">
      <c r="A375" s="2" t="s">
        <v>1533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1524</v>
      </c>
      <c r="G375" s="2" t="s">
        <v>1525</v>
      </c>
      <c r="H375" s="2" t="s">
        <v>1526</v>
      </c>
      <c r="I375" s="2" t="s">
        <v>1527</v>
      </c>
      <c r="J375" s="2" t="s">
        <v>850</v>
      </c>
      <c r="K375" s="2" t="s">
        <v>1528</v>
      </c>
      <c r="L375" s="3">
        <v>41.14</v>
      </c>
      <c r="M375" s="3">
        <v>43.2</v>
      </c>
      <c r="N375" s="3">
        <v>89.99</v>
      </c>
      <c r="O375" s="2" t="s">
        <v>97</v>
      </c>
      <c r="P375" s="2" t="s">
        <v>182</v>
      </c>
      <c r="Q375" s="2" t="s">
        <v>99</v>
      </c>
      <c r="R375" s="2" t="s">
        <v>100</v>
      </c>
      <c r="S375" s="2" t="s">
        <v>1529</v>
      </c>
      <c r="T375" s="2" t="s">
        <v>184</v>
      </c>
      <c r="U375" s="2" t="s">
        <v>1482</v>
      </c>
      <c r="V375" s="2" t="s">
        <v>991</v>
      </c>
      <c r="W375" s="2" t="s">
        <v>1403</v>
      </c>
      <c r="X375" s="2" t="s">
        <v>1530</v>
      </c>
      <c r="Y375" s="2" t="s">
        <v>1534</v>
      </c>
      <c r="Z375" s="4">
        <v>202</v>
      </c>
      <c r="AA375" s="4">
        <f>=ROUNDDOWN(18.3636363636364,0)</f>
      </c>
      <c r="AB375" s="5">
        <v>11</v>
      </c>
      <c r="AC375" s="2" t="s">
        <v>1532</v>
      </c>
      <c r="AD375" s="4">
        <v>310</v>
      </c>
      <c r="AE375" s="4">
        <v>310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78</v>
      </c>
      <c r="BK375" s="8">
        <v>3519.93</v>
      </c>
      <c r="BL375" s="2" t="s">
        <v>1535</v>
      </c>
      <c r="BM375" s="7"/>
      <c r="BN375" s="7"/>
      <c r="BO375" s="4"/>
      <c r="BP375" s="8"/>
      <c r="BQ375" s="4"/>
      <c r="BR375" s="8"/>
      <c r="BS375" s="7"/>
      <c r="BT375" s="7"/>
      <c r="BU375" s="2" t="s">
        <v>1171</v>
      </c>
      <c r="BV375" s="2" t="s">
        <v>97</v>
      </c>
      <c r="BW375" s="2" t="s">
        <v>100</v>
      </c>
      <c r="BX375" s="2" t="s">
        <v>100</v>
      </c>
      <c r="BY375" s="2" t="s">
        <v>112</v>
      </c>
      <c r="BZ375" s="2" t="s">
        <v>100</v>
      </c>
    </row>
    <row r="376">
      <c r="A376" s="2" t="s">
        <v>1536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1537</v>
      </c>
      <c r="G376" s="2" t="s">
        <v>1538</v>
      </c>
      <c r="H376" s="2" t="s">
        <v>1539</v>
      </c>
      <c r="I376" s="2" t="s">
        <v>1540</v>
      </c>
      <c r="J376" s="2" t="s">
        <v>95</v>
      </c>
      <c r="K376" s="2" t="s">
        <v>158</v>
      </c>
      <c r="L376" s="3">
        <v>74.45</v>
      </c>
      <c r="M376" s="3">
        <v>78.17</v>
      </c>
      <c r="N376" s="3">
        <v>154.99</v>
      </c>
      <c r="O376" s="2" t="s">
        <v>97</v>
      </c>
      <c r="P376" s="2" t="s">
        <v>143</v>
      </c>
      <c r="Q376" s="2" t="s">
        <v>99</v>
      </c>
      <c r="R376" s="2" t="s">
        <v>100</v>
      </c>
      <c r="S376" s="2" t="s">
        <v>1541</v>
      </c>
      <c r="T376" s="2" t="s">
        <v>100</v>
      </c>
      <c r="U376" s="2" t="s">
        <v>403</v>
      </c>
      <c r="V376" s="2" t="s">
        <v>491</v>
      </c>
      <c r="W376" s="2" t="s">
        <v>1530</v>
      </c>
      <c r="X376" s="2" t="s">
        <v>1542</v>
      </c>
      <c r="Y376" s="2" t="s">
        <v>1543</v>
      </c>
      <c r="Z376" s="4">
        <v>870</v>
      </c>
      <c r="AA376" s="4">
        <f>=ROUNDDOWN(27.1875,0)</f>
      </c>
      <c r="AB376" s="5">
        <v>32</v>
      </c>
      <c r="AC376" s="2" t="s">
        <v>527</v>
      </c>
      <c r="AD376" s="4">
        <v>50</v>
      </c>
      <c r="AE376" s="4">
        <v>380</v>
      </c>
      <c r="AF376" s="6">
        <v>65</v>
      </c>
      <c r="AG376" s="6">
        <v>73</v>
      </c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627</v>
      </c>
      <c r="BK376" s="8">
        <v>52278.95</v>
      </c>
      <c r="BL376" s="2" t="s">
        <v>1544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97</v>
      </c>
      <c r="BW376" s="2" t="s">
        <v>580</v>
      </c>
      <c r="BX376" s="2" t="s">
        <v>100</v>
      </c>
      <c r="BY376" s="2" t="s">
        <v>112</v>
      </c>
      <c r="BZ376" s="2" t="s">
        <v>100</v>
      </c>
    </row>
    <row r="377">
      <c r="A377" s="2" t="s">
        <v>1545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1537</v>
      </c>
      <c r="G377" s="2" t="s">
        <v>1538</v>
      </c>
      <c r="H377" s="2" t="s">
        <v>1539</v>
      </c>
      <c r="I377" s="2" t="s">
        <v>1540</v>
      </c>
      <c r="J377" s="2" t="s">
        <v>114</v>
      </c>
      <c r="K377" s="2" t="s">
        <v>158</v>
      </c>
      <c r="L377" s="3">
        <v>83.74</v>
      </c>
      <c r="M377" s="3">
        <v>87.93</v>
      </c>
      <c r="N377" s="3">
        <v>174.99</v>
      </c>
      <c r="O377" s="2" t="s">
        <v>97</v>
      </c>
      <c r="P377" s="2" t="s">
        <v>143</v>
      </c>
      <c r="Q377" s="2" t="s">
        <v>99</v>
      </c>
      <c r="R377" s="2" t="s">
        <v>100</v>
      </c>
      <c r="S377" s="2" t="s">
        <v>1541</v>
      </c>
      <c r="T377" s="2" t="s">
        <v>100</v>
      </c>
      <c r="U377" s="2" t="s">
        <v>403</v>
      </c>
      <c r="V377" s="2" t="s">
        <v>491</v>
      </c>
      <c r="W377" s="2" t="s">
        <v>1530</v>
      </c>
      <c r="X377" s="2" t="s">
        <v>1542</v>
      </c>
      <c r="Y377" s="2" t="s">
        <v>1543</v>
      </c>
      <c r="Z377" s="4">
        <v>988</v>
      </c>
      <c r="AA377" s="4">
        <f>=ROUNDDOWN(32.9333333333333,0)</f>
      </c>
      <c r="AB377" s="5">
        <v>30</v>
      </c>
      <c r="AC377" s="2" t="s">
        <v>1546</v>
      </c>
      <c r="AD377" s="4">
        <v>240</v>
      </c>
      <c r="AE377" s="4">
        <v>240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615</v>
      </c>
      <c r="BK377" s="8">
        <v>59279.29</v>
      </c>
      <c r="BL377" s="2" t="s">
        <v>1547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97</v>
      </c>
      <c r="BW377" s="2" t="s">
        <v>580</v>
      </c>
      <c r="BX377" s="2" t="s">
        <v>100</v>
      </c>
      <c r="BY377" s="2" t="s">
        <v>112</v>
      </c>
      <c r="BZ377" s="2" t="s">
        <v>100</v>
      </c>
    </row>
    <row r="378">
      <c r="A378" s="2" t="s">
        <v>1548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1537</v>
      </c>
      <c r="G378" s="2" t="s">
        <v>1538</v>
      </c>
      <c r="H378" s="2" t="s">
        <v>1539</v>
      </c>
      <c r="I378" s="2" t="s">
        <v>1540</v>
      </c>
      <c r="J378" s="2" t="s">
        <v>118</v>
      </c>
      <c r="K378" s="2" t="s">
        <v>158</v>
      </c>
      <c r="L378" s="3">
        <v>83.74</v>
      </c>
      <c r="M378" s="3">
        <v>87.93</v>
      </c>
      <c r="N378" s="3">
        <v>174.99</v>
      </c>
      <c r="O378" s="2" t="s">
        <v>97</v>
      </c>
      <c r="P378" s="2" t="s">
        <v>143</v>
      </c>
      <c r="Q378" s="2" t="s">
        <v>99</v>
      </c>
      <c r="R378" s="2" t="s">
        <v>100</v>
      </c>
      <c r="S378" s="2" t="s">
        <v>1541</v>
      </c>
      <c r="T378" s="2" t="s">
        <v>100</v>
      </c>
      <c r="U378" s="2" t="s">
        <v>403</v>
      </c>
      <c r="V378" s="2" t="s">
        <v>491</v>
      </c>
      <c r="W378" s="2" t="s">
        <v>1530</v>
      </c>
      <c r="X378" s="2" t="s">
        <v>1542</v>
      </c>
      <c r="Y378" s="2" t="s">
        <v>1543</v>
      </c>
      <c r="Z378" s="4">
        <v>369</v>
      </c>
      <c r="AA378" s="4">
        <f>=ROUNDDOWN(23.0625,0)</f>
      </c>
      <c r="AB378" s="5">
        <v>16</v>
      </c>
      <c r="AC378" s="2" t="s">
        <v>527</v>
      </c>
      <c r="AD378" s="4">
        <v>30</v>
      </c>
      <c r="AE378" s="4">
        <v>340</v>
      </c>
      <c r="AF378" s="6">
        <v>65</v>
      </c>
      <c r="AG378" s="6">
        <v>73</v>
      </c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265</v>
      </c>
      <c r="BK378" s="8">
        <v>25710.83</v>
      </c>
      <c r="BL378" s="2" t="s">
        <v>1549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580</v>
      </c>
      <c r="BX378" s="2" t="s">
        <v>100</v>
      </c>
      <c r="BY378" s="2" t="s">
        <v>112</v>
      </c>
      <c r="BZ378" s="2" t="s">
        <v>100</v>
      </c>
    </row>
    <row r="379">
      <c r="A379" s="2" t="s">
        <v>1550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1537</v>
      </c>
      <c r="G379" s="2" t="s">
        <v>1538</v>
      </c>
      <c r="H379" s="2" t="s">
        <v>1539</v>
      </c>
      <c r="I379" s="2" t="s">
        <v>1540</v>
      </c>
      <c r="J379" s="2" t="s">
        <v>95</v>
      </c>
      <c r="K379" s="2" t="s">
        <v>298</v>
      </c>
      <c r="L379" s="3">
        <v>74.45</v>
      </c>
      <c r="M379" s="3">
        <v>78.17</v>
      </c>
      <c r="N379" s="3">
        <v>154.99</v>
      </c>
      <c r="O379" s="2" t="s">
        <v>97</v>
      </c>
      <c r="P379" s="2" t="s">
        <v>1265</v>
      </c>
      <c r="Q379" s="2" t="s">
        <v>99</v>
      </c>
      <c r="R379" s="2" t="s">
        <v>100</v>
      </c>
      <c r="S379" s="2" t="s">
        <v>1551</v>
      </c>
      <c r="T379" s="2" t="s">
        <v>100</v>
      </c>
      <c r="U379" s="2" t="s">
        <v>403</v>
      </c>
      <c r="V379" s="2" t="s">
        <v>491</v>
      </c>
      <c r="W379" s="2" t="s">
        <v>1530</v>
      </c>
      <c r="X379" s="2" t="s">
        <v>733</v>
      </c>
      <c r="Y379" s="2" t="s">
        <v>1552</v>
      </c>
      <c r="Z379" s="4">
        <v>687</v>
      </c>
      <c r="AA379" s="4">
        <f>=ROUNDDOWN(85.875,0)</f>
      </c>
      <c r="AB379" s="5">
        <v>8</v>
      </c>
      <c r="AC379" s="2" t="s">
        <v>100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109</v>
      </c>
      <c r="BK379" s="8">
        <v>9020.84</v>
      </c>
      <c r="BL379" s="2" t="s">
        <v>1553</v>
      </c>
      <c r="BM379" s="7"/>
      <c r="BN379" s="7"/>
      <c r="BO379" s="4"/>
      <c r="BP379" s="8"/>
      <c r="BQ379" s="4"/>
      <c r="BR379" s="8"/>
      <c r="BS379" s="7"/>
      <c r="BT379" s="7"/>
      <c r="BU379" s="2" t="s">
        <v>147</v>
      </c>
      <c r="BV379" s="2" t="s">
        <v>97</v>
      </c>
      <c r="BW379" s="2" t="s">
        <v>100</v>
      </c>
      <c r="BX379" s="2" t="s">
        <v>100</v>
      </c>
      <c r="BY379" s="2" t="s">
        <v>112</v>
      </c>
      <c r="BZ379" s="2" t="s">
        <v>100</v>
      </c>
    </row>
    <row r="380">
      <c r="A380" s="2" t="s">
        <v>1554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1537</v>
      </c>
      <c r="G380" s="2" t="s">
        <v>1538</v>
      </c>
      <c r="H380" s="2" t="s">
        <v>1539</v>
      </c>
      <c r="I380" s="2" t="s">
        <v>1540</v>
      </c>
      <c r="J380" s="2" t="s">
        <v>114</v>
      </c>
      <c r="K380" s="2" t="s">
        <v>298</v>
      </c>
      <c r="L380" s="3">
        <v>83.74</v>
      </c>
      <c r="M380" s="3">
        <v>87.93</v>
      </c>
      <c r="N380" s="3">
        <v>174.99</v>
      </c>
      <c r="O380" s="2" t="s">
        <v>97</v>
      </c>
      <c r="P380" s="2" t="s">
        <v>1265</v>
      </c>
      <c r="Q380" s="2" t="s">
        <v>99</v>
      </c>
      <c r="R380" s="2" t="s">
        <v>100</v>
      </c>
      <c r="S380" s="2" t="s">
        <v>1551</v>
      </c>
      <c r="T380" s="2" t="s">
        <v>100</v>
      </c>
      <c r="U380" s="2" t="s">
        <v>403</v>
      </c>
      <c r="V380" s="2" t="s">
        <v>491</v>
      </c>
      <c r="W380" s="2" t="s">
        <v>1530</v>
      </c>
      <c r="X380" s="2" t="s">
        <v>733</v>
      </c>
      <c r="Y380" s="2" t="s">
        <v>1552</v>
      </c>
      <c r="Z380" s="4">
        <v>402</v>
      </c>
      <c r="AA380" s="4">
        <f>=ROUNDDOWN(44.6666666666667,0)</f>
      </c>
      <c r="AB380" s="5">
        <v>9</v>
      </c>
      <c r="AC380" s="2" t="s">
        <v>100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155</v>
      </c>
      <c r="BK380" s="8">
        <v>14958.59</v>
      </c>
      <c r="BL380" s="2" t="s">
        <v>1555</v>
      </c>
      <c r="BM380" s="7"/>
      <c r="BN380" s="7"/>
      <c r="BO380" s="4"/>
      <c r="BP380" s="8"/>
      <c r="BQ380" s="4"/>
      <c r="BR380" s="8"/>
      <c r="BS380" s="7"/>
      <c r="BT380" s="7"/>
      <c r="BU380" s="2" t="s">
        <v>147</v>
      </c>
      <c r="BV380" s="2" t="s">
        <v>97</v>
      </c>
      <c r="BW380" s="2" t="s">
        <v>100</v>
      </c>
      <c r="BX380" s="2" t="s">
        <v>100</v>
      </c>
      <c r="BY380" s="2" t="s">
        <v>112</v>
      </c>
      <c r="BZ380" s="2" t="s">
        <v>100</v>
      </c>
    </row>
    <row r="381">
      <c r="A381" s="2" t="s">
        <v>1556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1537</v>
      </c>
      <c r="G381" s="2" t="s">
        <v>1538</v>
      </c>
      <c r="H381" s="2" t="s">
        <v>1539</v>
      </c>
      <c r="I381" s="2" t="s">
        <v>1540</v>
      </c>
      <c r="J381" s="2" t="s">
        <v>118</v>
      </c>
      <c r="K381" s="2" t="s">
        <v>298</v>
      </c>
      <c r="L381" s="3">
        <v>83.74</v>
      </c>
      <c r="M381" s="3">
        <v>87.93</v>
      </c>
      <c r="N381" s="3">
        <v>174.99</v>
      </c>
      <c r="O381" s="2" t="s">
        <v>97</v>
      </c>
      <c r="P381" s="2" t="s">
        <v>1265</v>
      </c>
      <c r="Q381" s="2" t="s">
        <v>99</v>
      </c>
      <c r="R381" s="2" t="s">
        <v>100</v>
      </c>
      <c r="S381" s="2" t="s">
        <v>1551</v>
      </c>
      <c r="T381" s="2" t="s">
        <v>100</v>
      </c>
      <c r="U381" s="2" t="s">
        <v>403</v>
      </c>
      <c r="V381" s="2" t="s">
        <v>491</v>
      </c>
      <c r="W381" s="2" t="s">
        <v>1530</v>
      </c>
      <c r="X381" s="2" t="s">
        <v>733</v>
      </c>
      <c r="Y381" s="2" t="s">
        <v>1552</v>
      </c>
      <c r="Z381" s="4">
        <v>270</v>
      </c>
      <c r="AA381" s="4">
        <f>=ROUNDDOWN(54,0)</f>
      </c>
      <c r="AB381" s="5">
        <v>5</v>
      </c>
      <c r="AC381" s="2" t="s">
        <v>100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>
        <v>37</v>
      </c>
      <c r="BK381" s="8">
        <v>3355.28</v>
      </c>
      <c r="BL381" s="2" t="s">
        <v>1557</v>
      </c>
      <c r="BM381" s="7"/>
      <c r="BN381" s="7"/>
      <c r="BO381" s="4"/>
      <c r="BP381" s="8"/>
      <c r="BQ381" s="4"/>
      <c r="BR381" s="8"/>
      <c r="BS381" s="7"/>
      <c r="BT381" s="7"/>
      <c r="BU381" s="2" t="s">
        <v>147</v>
      </c>
      <c r="BV381" s="2" t="s">
        <v>97</v>
      </c>
      <c r="BW381" s="2" t="s">
        <v>100</v>
      </c>
      <c r="BX381" s="2" t="s">
        <v>100</v>
      </c>
      <c r="BY381" s="2" t="s">
        <v>112</v>
      </c>
      <c r="BZ381" s="2" t="s">
        <v>100</v>
      </c>
    </row>
    <row r="382">
      <c r="A382" s="2" t="s">
        <v>1558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1559</v>
      </c>
      <c r="G382" s="2" t="s">
        <v>1560</v>
      </c>
      <c r="H382" s="2" t="s">
        <v>1561</v>
      </c>
      <c r="I382" s="2" t="s">
        <v>757</v>
      </c>
      <c r="J382" s="2" t="s">
        <v>95</v>
      </c>
      <c r="K382" s="2" t="s">
        <v>96</v>
      </c>
      <c r="L382" s="3">
        <v>63</v>
      </c>
      <c r="M382" s="3">
        <v>66.15</v>
      </c>
      <c r="N382" s="3">
        <v>139.99</v>
      </c>
      <c r="O382" s="2" t="s">
        <v>97</v>
      </c>
      <c r="P382" s="2" t="s">
        <v>98</v>
      </c>
      <c r="Q382" s="2" t="s">
        <v>99</v>
      </c>
      <c r="R382" s="2" t="s">
        <v>100</v>
      </c>
      <c r="S382" s="2" t="s">
        <v>1562</v>
      </c>
      <c r="T382" s="2" t="s">
        <v>100</v>
      </c>
      <c r="U382" s="2" t="s">
        <v>102</v>
      </c>
      <c r="V382" s="2" t="s">
        <v>103</v>
      </c>
      <c r="W382" s="2" t="s">
        <v>312</v>
      </c>
      <c r="X382" s="2" t="s">
        <v>105</v>
      </c>
      <c r="Y382" s="2" t="s">
        <v>106</v>
      </c>
      <c r="Z382" s="4">
        <v>558</v>
      </c>
      <c r="AA382" s="4">
        <f>=ROUNDDOWN(46.5,0)</f>
      </c>
      <c r="AB382" s="5">
        <v>12</v>
      </c>
      <c r="AC382" s="2" t="s">
        <v>100</v>
      </c>
      <c r="AD382" s="4"/>
      <c r="AE382" s="4"/>
      <c r="AF382" s="6">
        <v>65</v>
      </c>
      <c r="AG382" s="6"/>
      <c r="AH382" s="7">
        <v>0.8909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204</v>
      </c>
      <c r="BK382" s="8">
        <v>13594.18</v>
      </c>
      <c r="BL382" s="2" t="s">
        <v>1357</v>
      </c>
      <c r="BM382" s="7"/>
      <c r="BN382" s="7"/>
      <c r="BO382" s="4"/>
      <c r="BP382" s="8"/>
      <c r="BQ382" s="4"/>
      <c r="BR382" s="8"/>
      <c r="BS382" s="7"/>
      <c r="BT382" s="7"/>
      <c r="BU382" s="2" t="s">
        <v>147</v>
      </c>
      <c r="BV382" s="2" t="s">
        <v>97</v>
      </c>
      <c r="BW382" s="2" t="s">
        <v>100</v>
      </c>
      <c r="BX382" s="2" t="s">
        <v>100</v>
      </c>
      <c r="BY382" s="2" t="s">
        <v>112</v>
      </c>
      <c r="BZ382" s="2" t="s">
        <v>100</v>
      </c>
    </row>
    <row r="383">
      <c r="A383" s="2" t="s">
        <v>1563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1559</v>
      </c>
      <c r="G383" s="2" t="s">
        <v>1560</v>
      </c>
      <c r="H383" s="2" t="s">
        <v>1561</v>
      </c>
      <c r="I383" s="2" t="s">
        <v>757</v>
      </c>
      <c r="J383" s="2" t="s">
        <v>114</v>
      </c>
      <c r="K383" s="2" t="s">
        <v>96</v>
      </c>
      <c r="L383" s="3">
        <v>73.6</v>
      </c>
      <c r="M383" s="3">
        <v>77.28</v>
      </c>
      <c r="N383" s="3">
        <v>159.99</v>
      </c>
      <c r="O383" s="2" t="s">
        <v>97</v>
      </c>
      <c r="P383" s="2" t="s">
        <v>98</v>
      </c>
      <c r="Q383" s="2" t="s">
        <v>99</v>
      </c>
      <c r="R383" s="2" t="s">
        <v>100</v>
      </c>
      <c r="S383" s="2" t="s">
        <v>1562</v>
      </c>
      <c r="T383" s="2" t="s">
        <v>100</v>
      </c>
      <c r="U383" s="2" t="s">
        <v>102</v>
      </c>
      <c r="V383" s="2" t="s">
        <v>103</v>
      </c>
      <c r="W383" s="2" t="s">
        <v>312</v>
      </c>
      <c r="X383" s="2" t="s">
        <v>105</v>
      </c>
      <c r="Y383" s="2" t="s">
        <v>106</v>
      </c>
      <c r="Z383" s="4">
        <v>290</v>
      </c>
      <c r="AA383" s="4">
        <f>=ROUNDDOWN(41.4285714285714,0)</f>
      </c>
      <c r="AB383" s="5">
        <v>7</v>
      </c>
      <c r="AC383" s="2" t="s">
        <v>100</v>
      </c>
      <c r="AD383" s="4"/>
      <c r="AE383" s="4"/>
      <c r="AF383" s="6">
        <v>65</v>
      </c>
      <c r="AG383" s="6"/>
      <c r="AH383" s="7">
        <v>0.7879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114</v>
      </c>
      <c r="BK383" s="8">
        <v>8861.73</v>
      </c>
      <c r="BL383" s="2" t="s">
        <v>1564</v>
      </c>
      <c r="BM383" s="7"/>
      <c r="BN383" s="7"/>
      <c r="BO383" s="4"/>
      <c r="BP383" s="8"/>
      <c r="BQ383" s="4"/>
      <c r="BR383" s="8"/>
      <c r="BS383" s="7"/>
      <c r="BT383" s="7"/>
      <c r="BU383" s="2" t="s">
        <v>147</v>
      </c>
      <c r="BV383" s="2" t="s">
        <v>97</v>
      </c>
      <c r="BW383" s="2" t="s">
        <v>100</v>
      </c>
      <c r="BX383" s="2" t="s">
        <v>100</v>
      </c>
      <c r="BY383" s="2" t="s">
        <v>112</v>
      </c>
      <c r="BZ383" s="2" t="s">
        <v>100</v>
      </c>
    </row>
    <row r="384">
      <c r="A384" s="2" t="s">
        <v>1565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1559</v>
      </c>
      <c r="G384" s="2" t="s">
        <v>1560</v>
      </c>
      <c r="H384" s="2" t="s">
        <v>1561</v>
      </c>
      <c r="I384" s="2" t="s">
        <v>757</v>
      </c>
      <c r="J384" s="2" t="s">
        <v>118</v>
      </c>
      <c r="K384" s="2" t="s">
        <v>96</v>
      </c>
      <c r="L384" s="3">
        <v>75.2</v>
      </c>
      <c r="M384" s="3">
        <v>78.96</v>
      </c>
      <c r="N384" s="3">
        <v>159.99</v>
      </c>
      <c r="O384" s="2" t="s">
        <v>97</v>
      </c>
      <c r="P384" s="2" t="s">
        <v>98</v>
      </c>
      <c r="Q384" s="2" t="s">
        <v>99</v>
      </c>
      <c r="R384" s="2" t="s">
        <v>100</v>
      </c>
      <c r="S384" s="2" t="s">
        <v>1562</v>
      </c>
      <c r="T384" s="2" t="s">
        <v>100</v>
      </c>
      <c r="U384" s="2" t="s">
        <v>102</v>
      </c>
      <c r="V384" s="2" t="s">
        <v>103</v>
      </c>
      <c r="W384" s="2" t="s">
        <v>312</v>
      </c>
      <c r="X384" s="2" t="s">
        <v>105</v>
      </c>
      <c r="Y384" s="2" t="s">
        <v>106</v>
      </c>
      <c r="Z384" s="4">
        <v>344</v>
      </c>
      <c r="AA384" s="4">
        <f>=ROUNDDOWN(43,0)</f>
      </c>
      <c r="AB384" s="5">
        <v>8</v>
      </c>
      <c r="AC384" s="2" t="s">
        <v>100</v>
      </c>
      <c r="AD384" s="4"/>
      <c r="AE384" s="4"/>
      <c r="AF384" s="6">
        <v>65</v>
      </c>
      <c r="AG384" s="6"/>
      <c r="AH384" s="7">
        <v>0.8909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117</v>
      </c>
      <c r="BK384" s="8">
        <v>9364.69</v>
      </c>
      <c r="BL384" s="2" t="s">
        <v>1566</v>
      </c>
      <c r="BM384" s="7"/>
      <c r="BN384" s="7"/>
      <c r="BO384" s="4"/>
      <c r="BP384" s="8"/>
      <c r="BQ384" s="4"/>
      <c r="BR384" s="8"/>
      <c r="BS384" s="7"/>
      <c r="BT384" s="7"/>
      <c r="BU384" s="2" t="s">
        <v>147</v>
      </c>
      <c r="BV384" s="2" t="s">
        <v>97</v>
      </c>
      <c r="BW384" s="2" t="s">
        <v>100</v>
      </c>
      <c r="BX384" s="2" t="s">
        <v>100</v>
      </c>
      <c r="BY384" s="2" t="s">
        <v>112</v>
      </c>
      <c r="BZ384" s="2" t="s">
        <v>100</v>
      </c>
    </row>
    <row r="385">
      <c r="A385" s="2" t="s">
        <v>1567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1568</v>
      </c>
      <c r="G385" s="2" t="s">
        <v>1569</v>
      </c>
      <c r="H385" s="2" t="s">
        <v>1570</v>
      </c>
      <c r="I385" s="2" t="s">
        <v>1571</v>
      </c>
      <c r="J385" s="2" t="s">
        <v>95</v>
      </c>
      <c r="K385" s="2" t="s">
        <v>158</v>
      </c>
      <c r="L385" s="3">
        <v>45.71</v>
      </c>
      <c r="M385" s="3">
        <v>48</v>
      </c>
      <c r="N385" s="3">
        <v>99.99</v>
      </c>
      <c r="O385" s="2" t="s">
        <v>97</v>
      </c>
      <c r="P385" s="2" t="s">
        <v>182</v>
      </c>
      <c r="Q385" s="2" t="s">
        <v>99</v>
      </c>
      <c r="R385" s="2" t="s">
        <v>100</v>
      </c>
      <c r="S385" s="2" t="s">
        <v>1572</v>
      </c>
      <c r="T385" s="2" t="s">
        <v>184</v>
      </c>
      <c r="U385" s="2" t="s">
        <v>102</v>
      </c>
      <c r="V385" s="2" t="s">
        <v>561</v>
      </c>
      <c r="W385" s="2" t="s">
        <v>602</v>
      </c>
      <c r="X385" s="2" t="s">
        <v>104</v>
      </c>
      <c r="Y385" s="2" t="s">
        <v>1573</v>
      </c>
      <c r="Z385" s="4">
        <v>194</v>
      </c>
      <c r="AA385" s="4">
        <f>=ROUNDDOWN(12.9333333333333,0)</f>
      </c>
      <c r="AB385" s="5">
        <v>15</v>
      </c>
      <c r="AC385" s="2" t="s">
        <v>1574</v>
      </c>
      <c r="AD385" s="4">
        <v>410</v>
      </c>
      <c r="AE385" s="4">
        <v>410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198</v>
      </c>
      <c r="BK385" s="8">
        <v>9134.4</v>
      </c>
      <c r="BL385" s="2" t="s">
        <v>1575</v>
      </c>
      <c r="BM385" s="7"/>
      <c r="BN385" s="7"/>
      <c r="BO385" s="4"/>
      <c r="BP385" s="8"/>
      <c r="BQ385" s="4"/>
      <c r="BR385" s="8"/>
      <c r="BS385" s="7"/>
      <c r="BT385" s="7"/>
      <c r="BU385" s="2" t="s">
        <v>1171</v>
      </c>
      <c r="BV385" s="2" t="s">
        <v>97</v>
      </c>
      <c r="BW385" s="2" t="s">
        <v>100</v>
      </c>
      <c r="BX385" s="2" t="s">
        <v>100</v>
      </c>
      <c r="BY385" s="2" t="s">
        <v>112</v>
      </c>
      <c r="BZ385" s="2" t="s">
        <v>100</v>
      </c>
    </row>
    <row r="386">
      <c r="A386" s="2" t="s">
        <v>1576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1568</v>
      </c>
      <c r="G386" s="2" t="s">
        <v>1569</v>
      </c>
      <c r="H386" s="2" t="s">
        <v>1570</v>
      </c>
      <c r="I386" s="2" t="s">
        <v>1571</v>
      </c>
      <c r="J386" s="2" t="s">
        <v>114</v>
      </c>
      <c r="K386" s="2" t="s">
        <v>158</v>
      </c>
      <c r="L386" s="3">
        <v>50.28</v>
      </c>
      <c r="M386" s="3">
        <v>52.79</v>
      </c>
      <c r="N386" s="3">
        <v>109.99</v>
      </c>
      <c r="O386" s="2" t="s">
        <v>97</v>
      </c>
      <c r="P386" s="2" t="s">
        <v>182</v>
      </c>
      <c r="Q386" s="2" t="s">
        <v>99</v>
      </c>
      <c r="R386" s="2" t="s">
        <v>100</v>
      </c>
      <c r="S386" s="2" t="s">
        <v>1572</v>
      </c>
      <c r="T386" s="2" t="s">
        <v>184</v>
      </c>
      <c r="U386" s="2" t="s">
        <v>102</v>
      </c>
      <c r="V386" s="2" t="s">
        <v>561</v>
      </c>
      <c r="W386" s="2" t="s">
        <v>602</v>
      </c>
      <c r="X386" s="2" t="s">
        <v>104</v>
      </c>
      <c r="Y386" s="2" t="s">
        <v>1573</v>
      </c>
      <c r="Z386" s="4">
        <v>172</v>
      </c>
      <c r="AA386" s="4">
        <f>=ROUNDDOWN(17.2,0)</f>
      </c>
      <c r="AB386" s="5">
        <v>10</v>
      </c>
      <c r="AC386" s="2" t="s">
        <v>1574</v>
      </c>
      <c r="AD386" s="4">
        <v>270</v>
      </c>
      <c r="AE386" s="4">
        <v>270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92</v>
      </c>
      <c r="BK386" s="8">
        <v>4556.92</v>
      </c>
      <c r="BL386" s="2" t="s">
        <v>1577</v>
      </c>
      <c r="BM386" s="7"/>
      <c r="BN386" s="7"/>
      <c r="BO386" s="4"/>
      <c r="BP386" s="8"/>
      <c r="BQ386" s="4"/>
      <c r="BR386" s="8"/>
      <c r="BS386" s="7"/>
      <c r="BT386" s="7"/>
      <c r="BU386" s="2" t="s">
        <v>1171</v>
      </c>
      <c r="BV386" s="2" t="s">
        <v>97</v>
      </c>
      <c r="BW386" s="2" t="s">
        <v>100</v>
      </c>
      <c r="BX386" s="2" t="s">
        <v>100</v>
      </c>
      <c r="BY386" s="2" t="s">
        <v>112</v>
      </c>
      <c r="BZ386" s="2" t="s">
        <v>100</v>
      </c>
    </row>
    <row r="387">
      <c r="A387" s="2" t="s">
        <v>1578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1568</v>
      </c>
      <c r="G387" s="2" t="s">
        <v>1569</v>
      </c>
      <c r="H387" s="2" t="s">
        <v>1570</v>
      </c>
      <c r="I387" s="2" t="s">
        <v>1571</v>
      </c>
      <c r="J387" s="2" t="s">
        <v>118</v>
      </c>
      <c r="K387" s="2" t="s">
        <v>158</v>
      </c>
      <c r="L387" s="3">
        <v>50.28</v>
      </c>
      <c r="M387" s="3">
        <v>52.79</v>
      </c>
      <c r="N387" s="3">
        <v>109.99</v>
      </c>
      <c r="O387" s="2" t="s">
        <v>97</v>
      </c>
      <c r="P387" s="2" t="s">
        <v>182</v>
      </c>
      <c r="Q387" s="2" t="s">
        <v>99</v>
      </c>
      <c r="R387" s="2" t="s">
        <v>100</v>
      </c>
      <c r="S387" s="2" t="s">
        <v>1572</v>
      </c>
      <c r="T387" s="2" t="s">
        <v>184</v>
      </c>
      <c r="U387" s="2" t="s">
        <v>102</v>
      </c>
      <c r="V387" s="2" t="s">
        <v>561</v>
      </c>
      <c r="W387" s="2" t="s">
        <v>602</v>
      </c>
      <c r="X387" s="2" t="s">
        <v>104</v>
      </c>
      <c r="Y387" s="2" t="s">
        <v>1573</v>
      </c>
      <c r="Z387" s="4">
        <v>76</v>
      </c>
      <c r="AA387" s="4">
        <f>=ROUNDDOWN(15.2,0)</f>
      </c>
      <c r="AB387" s="5">
        <v>5</v>
      </c>
      <c r="AC387" s="2" t="s">
        <v>1574</v>
      </c>
      <c r="AD387" s="4">
        <v>120</v>
      </c>
      <c r="AE387" s="4">
        <v>120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44</v>
      </c>
      <c r="BK387" s="8">
        <v>2210.88</v>
      </c>
      <c r="BL387" s="2" t="s">
        <v>1579</v>
      </c>
      <c r="BM387" s="7"/>
      <c r="BN387" s="7"/>
      <c r="BO387" s="4"/>
      <c r="BP387" s="8"/>
      <c r="BQ387" s="4"/>
      <c r="BR387" s="8"/>
      <c r="BS387" s="7"/>
      <c r="BT387" s="7"/>
      <c r="BU387" s="2" t="s">
        <v>1171</v>
      </c>
      <c r="BV387" s="2" t="s">
        <v>97</v>
      </c>
      <c r="BW387" s="2" t="s">
        <v>100</v>
      </c>
      <c r="BX387" s="2" t="s">
        <v>100</v>
      </c>
      <c r="BY387" s="2" t="s">
        <v>112</v>
      </c>
      <c r="BZ387" s="2" t="s">
        <v>100</v>
      </c>
    </row>
    <row r="388">
      <c r="A388" s="2" t="s">
        <v>1580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1568</v>
      </c>
      <c r="G388" s="2" t="s">
        <v>1569</v>
      </c>
      <c r="H388" s="2" t="s">
        <v>1570</v>
      </c>
      <c r="I388" s="2" t="s">
        <v>1571</v>
      </c>
      <c r="J388" s="2" t="s">
        <v>95</v>
      </c>
      <c r="K388" s="2" t="s">
        <v>1581</v>
      </c>
      <c r="L388" s="3">
        <v>45.71</v>
      </c>
      <c r="M388" s="3">
        <v>48</v>
      </c>
      <c r="N388" s="3">
        <v>99.99</v>
      </c>
      <c r="O388" s="2" t="s">
        <v>97</v>
      </c>
      <c r="P388" s="2" t="s">
        <v>182</v>
      </c>
      <c r="Q388" s="2" t="s">
        <v>99</v>
      </c>
      <c r="R388" s="2" t="s">
        <v>100</v>
      </c>
      <c r="S388" s="2" t="s">
        <v>1582</v>
      </c>
      <c r="T388" s="2" t="s">
        <v>184</v>
      </c>
      <c r="U388" s="2" t="s">
        <v>102</v>
      </c>
      <c r="V388" s="2" t="s">
        <v>561</v>
      </c>
      <c r="W388" s="2" t="s">
        <v>602</v>
      </c>
      <c r="X388" s="2" t="s">
        <v>104</v>
      </c>
      <c r="Y388" s="2" t="s">
        <v>1583</v>
      </c>
      <c r="Z388" s="4">
        <v>200</v>
      </c>
      <c r="AA388" s="4">
        <f>=ROUNDDOWN(14.2857142857143,0)</f>
      </c>
      <c r="AB388" s="5">
        <v>14</v>
      </c>
      <c r="AC388" s="2" t="s">
        <v>1574</v>
      </c>
      <c r="AD388" s="4">
        <v>320</v>
      </c>
      <c r="AE388" s="4">
        <v>320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128</v>
      </c>
      <c r="BK388" s="8">
        <v>6101.76</v>
      </c>
      <c r="BL388" s="2" t="s">
        <v>1579</v>
      </c>
      <c r="BM388" s="7"/>
      <c r="BN388" s="7"/>
      <c r="BO388" s="4"/>
      <c r="BP388" s="8"/>
      <c r="BQ388" s="4"/>
      <c r="BR388" s="8"/>
      <c r="BS388" s="7"/>
      <c r="BT388" s="7"/>
      <c r="BU388" s="2" t="s">
        <v>1171</v>
      </c>
      <c r="BV388" s="2" t="s">
        <v>97</v>
      </c>
      <c r="BW388" s="2" t="s">
        <v>100</v>
      </c>
      <c r="BX388" s="2" t="s">
        <v>100</v>
      </c>
      <c r="BY388" s="2" t="s">
        <v>112</v>
      </c>
      <c r="BZ388" s="2" t="s">
        <v>100</v>
      </c>
    </row>
    <row r="389">
      <c r="A389" s="2" t="s">
        <v>1584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1568</v>
      </c>
      <c r="G389" s="2" t="s">
        <v>1569</v>
      </c>
      <c r="H389" s="2" t="s">
        <v>1570</v>
      </c>
      <c r="I389" s="2" t="s">
        <v>1571</v>
      </c>
      <c r="J389" s="2" t="s">
        <v>114</v>
      </c>
      <c r="K389" s="2" t="s">
        <v>1581</v>
      </c>
      <c r="L389" s="3">
        <v>50.28</v>
      </c>
      <c r="M389" s="3">
        <v>52.79</v>
      </c>
      <c r="N389" s="3">
        <v>109.99</v>
      </c>
      <c r="O389" s="2" t="s">
        <v>97</v>
      </c>
      <c r="P389" s="2" t="s">
        <v>182</v>
      </c>
      <c r="Q389" s="2" t="s">
        <v>99</v>
      </c>
      <c r="R389" s="2" t="s">
        <v>100</v>
      </c>
      <c r="S389" s="2" t="s">
        <v>1582</v>
      </c>
      <c r="T389" s="2" t="s">
        <v>184</v>
      </c>
      <c r="U389" s="2" t="s">
        <v>102</v>
      </c>
      <c r="V389" s="2" t="s">
        <v>561</v>
      </c>
      <c r="W389" s="2" t="s">
        <v>602</v>
      </c>
      <c r="X389" s="2" t="s">
        <v>104</v>
      </c>
      <c r="Y389" s="2" t="s">
        <v>1583</v>
      </c>
      <c r="Z389" s="4">
        <v>158</v>
      </c>
      <c r="AA389" s="4">
        <f>=ROUNDDOWN(15.8,0)</f>
      </c>
      <c r="AB389" s="5">
        <v>10</v>
      </c>
      <c r="AC389" s="2" t="s">
        <v>1574</v>
      </c>
      <c r="AD389" s="4">
        <v>260</v>
      </c>
      <c r="AE389" s="4">
        <v>260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90</v>
      </c>
      <c r="BK389" s="8">
        <v>4799.39</v>
      </c>
      <c r="BL389" s="2" t="s">
        <v>470</v>
      </c>
      <c r="BM389" s="7"/>
      <c r="BN389" s="7"/>
      <c r="BO389" s="4"/>
      <c r="BP389" s="8"/>
      <c r="BQ389" s="4"/>
      <c r="BR389" s="8"/>
      <c r="BS389" s="7"/>
      <c r="BT389" s="7"/>
      <c r="BU389" s="2" t="s">
        <v>1171</v>
      </c>
      <c r="BV389" s="2" t="s">
        <v>97</v>
      </c>
      <c r="BW389" s="2" t="s">
        <v>100</v>
      </c>
      <c r="BX389" s="2" t="s">
        <v>100</v>
      </c>
      <c r="BY389" s="2" t="s">
        <v>112</v>
      </c>
      <c r="BZ389" s="2" t="s">
        <v>100</v>
      </c>
    </row>
    <row r="390">
      <c r="A390" s="2" t="s">
        <v>1585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1568</v>
      </c>
      <c r="G390" s="2" t="s">
        <v>1569</v>
      </c>
      <c r="H390" s="2" t="s">
        <v>1570</v>
      </c>
      <c r="I390" s="2" t="s">
        <v>1571</v>
      </c>
      <c r="J390" s="2" t="s">
        <v>118</v>
      </c>
      <c r="K390" s="2" t="s">
        <v>1581</v>
      </c>
      <c r="L390" s="3">
        <v>50.28</v>
      </c>
      <c r="M390" s="3">
        <v>52.79</v>
      </c>
      <c r="N390" s="3">
        <v>109.99</v>
      </c>
      <c r="O390" s="2" t="s">
        <v>97</v>
      </c>
      <c r="P390" s="2" t="s">
        <v>182</v>
      </c>
      <c r="Q390" s="2" t="s">
        <v>99</v>
      </c>
      <c r="R390" s="2" t="s">
        <v>100</v>
      </c>
      <c r="S390" s="2" t="s">
        <v>1582</v>
      </c>
      <c r="T390" s="2" t="s">
        <v>184</v>
      </c>
      <c r="U390" s="2" t="s">
        <v>102</v>
      </c>
      <c r="V390" s="2" t="s">
        <v>561</v>
      </c>
      <c r="W390" s="2" t="s">
        <v>602</v>
      </c>
      <c r="X390" s="2" t="s">
        <v>104</v>
      </c>
      <c r="Y390" s="2" t="s">
        <v>1583</v>
      </c>
      <c r="Z390" s="4">
        <v>155</v>
      </c>
      <c r="AA390" s="4">
        <f>=ROUNDDOWN(31,0)</f>
      </c>
      <c r="AB390" s="5">
        <v>5</v>
      </c>
      <c r="AC390" s="2" t="s">
        <v>1574</v>
      </c>
      <c r="AD390" s="4">
        <v>220</v>
      </c>
      <c r="AE390" s="4">
        <v>220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45</v>
      </c>
      <c r="BK390" s="8">
        <v>2396.28</v>
      </c>
      <c r="BL390" s="2" t="s">
        <v>1586</v>
      </c>
      <c r="BM390" s="7"/>
      <c r="BN390" s="7"/>
      <c r="BO390" s="4"/>
      <c r="BP390" s="8"/>
      <c r="BQ390" s="4"/>
      <c r="BR390" s="8"/>
      <c r="BS390" s="7"/>
      <c r="BT390" s="7"/>
      <c r="BU390" s="2" t="s">
        <v>1171</v>
      </c>
      <c r="BV390" s="2" t="s">
        <v>97</v>
      </c>
      <c r="BW390" s="2" t="s">
        <v>100</v>
      </c>
      <c r="BX390" s="2" t="s">
        <v>100</v>
      </c>
      <c r="BY390" s="2" t="s">
        <v>112</v>
      </c>
      <c r="BZ390" s="2" t="s">
        <v>100</v>
      </c>
    </row>
    <row r="391">
      <c r="A391" s="2" t="s">
        <v>1587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1588</v>
      </c>
      <c r="G391" s="2" t="s">
        <v>1589</v>
      </c>
      <c r="H391" s="2" t="s">
        <v>1590</v>
      </c>
      <c r="I391" s="2" t="s">
        <v>1591</v>
      </c>
      <c r="J391" s="2" t="s">
        <v>844</v>
      </c>
      <c r="K391" s="2" t="s">
        <v>1592</v>
      </c>
      <c r="L391" s="3">
        <v>57.14</v>
      </c>
      <c r="M391" s="3">
        <v>60</v>
      </c>
      <c r="N391" s="3">
        <v>119.99</v>
      </c>
      <c r="O391" s="2" t="s">
        <v>229</v>
      </c>
      <c r="P391" s="2" t="s">
        <v>198</v>
      </c>
      <c r="Q391" s="2" t="s">
        <v>99</v>
      </c>
      <c r="R391" s="2" t="s">
        <v>100</v>
      </c>
      <c r="S391" s="2" t="s">
        <v>1593</v>
      </c>
      <c r="T391" s="2" t="s">
        <v>732</v>
      </c>
      <c r="U391" s="2" t="s">
        <v>790</v>
      </c>
      <c r="V391" s="2" t="s">
        <v>491</v>
      </c>
      <c r="W391" s="2" t="s">
        <v>733</v>
      </c>
      <c r="X391" s="2" t="s">
        <v>759</v>
      </c>
      <c r="Y391" s="2" t="s">
        <v>1594</v>
      </c>
      <c r="Z391" s="4">
        <v>253</v>
      </c>
      <c r="AA391" s="4">
        <f>=ROUNDDOWN(194.615384615385,0)</f>
      </c>
      <c r="AB391" s="5">
        <v>1.3</v>
      </c>
      <c r="AC391" s="2" t="s">
        <v>100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30</v>
      </c>
      <c r="BK391" s="8">
        <v>1666.84</v>
      </c>
      <c r="BL391" s="2" t="s">
        <v>1595</v>
      </c>
      <c r="BM391" s="7"/>
      <c r="BN391" s="7"/>
      <c r="BO391" s="4"/>
      <c r="BP391" s="8"/>
      <c r="BQ391" s="4"/>
      <c r="BR391" s="8"/>
      <c r="BS391" s="7"/>
      <c r="BT391" s="7"/>
      <c r="BU391" s="2" t="s">
        <v>147</v>
      </c>
      <c r="BV391" s="2" t="s">
        <v>97</v>
      </c>
      <c r="BW391" s="2" t="s">
        <v>100</v>
      </c>
      <c r="BX391" s="2" t="s">
        <v>100</v>
      </c>
      <c r="BY391" s="2" t="s">
        <v>112</v>
      </c>
      <c r="BZ391" s="2" t="s">
        <v>100</v>
      </c>
    </row>
    <row r="392">
      <c r="A392" s="2" t="s">
        <v>1596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1588</v>
      </c>
      <c r="G392" s="2" t="s">
        <v>1589</v>
      </c>
      <c r="H392" s="2" t="s">
        <v>1590</v>
      </c>
      <c r="I392" s="2" t="s">
        <v>1591</v>
      </c>
      <c r="J392" s="2" t="s">
        <v>850</v>
      </c>
      <c r="K392" s="2" t="s">
        <v>1592</v>
      </c>
      <c r="L392" s="3">
        <v>61.9</v>
      </c>
      <c r="M392" s="3">
        <v>65</v>
      </c>
      <c r="N392" s="3">
        <v>129.99</v>
      </c>
      <c r="O392" s="2" t="s">
        <v>229</v>
      </c>
      <c r="P392" s="2" t="s">
        <v>198</v>
      </c>
      <c r="Q392" s="2" t="s">
        <v>99</v>
      </c>
      <c r="R392" s="2" t="s">
        <v>100</v>
      </c>
      <c r="S392" s="2" t="s">
        <v>1593</v>
      </c>
      <c r="T392" s="2" t="s">
        <v>732</v>
      </c>
      <c r="U392" s="2" t="s">
        <v>790</v>
      </c>
      <c r="V392" s="2" t="s">
        <v>491</v>
      </c>
      <c r="W392" s="2" t="s">
        <v>733</v>
      </c>
      <c r="X392" s="2" t="s">
        <v>759</v>
      </c>
      <c r="Y392" s="2" t="s">
        <v>1594</v>
      </c>
      <c r="Z392" s="4">
        <v>188</v>
      </c>
      <c r="AA392" s="4">
        <f>=ROUNDDOWN(81.7391304347826,0)</f>
      </c>
      <c r="AB392" s="5">
        <v>2.3</v>
      </c>
      <c r="AC392" s="2" t="s">
        <v>100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33</v>
      </c>
      <c r="BK392" s="8">
        <v>1947.34</v>
      </c>
      <c r="BL392" s="2" t="s">
        <v>1597</v>
      </c>
      <c r="BM392" s="7"/>
      <c r="BN392" s="7"/>
      <c r="BO392" s="4"/>
      <c r="BP392" s="8"/>
      <c r="BQ392" s="4"/>
      <c r="BR392" s="8"/>
      <c r="BS392" s="7"/>
      <c r="BT392" s="7"/>
      <c r="BU392" s="2" t="s">
        <v>147</v>
      </c>
      <c r="BV392" s="2" t="s">
        <v>97</v>
      </c>
      <c r="BW392" s="2" t="s">
        <v>100</v>
      </c>
      <c r="BX392" s="2" t="s">
        <v>100</v>
      </c>
      <c r="BY392" s="2" t="s">
        <v>112</v>
      </c>
      <c r="BZ392" s="2" t="s">
        <v>100</v>
      </c>
    </row>
    <row r="393">
      <c r="A393" s="2" t="s">
        <v>1598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1599</v>
      </c>
      <c r="G393" s="2" t="s">
        <v>1600</v>
      </c>
      <c r="H393" s="2" t="s">
        <v>1601</v>
      </c>
      <c r="I393" s="2" t="s">
        <v>977</v>
      </c>
      <c r="J393" s="2" t="s">
        <v>118</v>
      </c>
      <c r="K393" s="2" t="s">
        <v>247</v>
      </c>
      <c r="L393" s="3">
        <v>72</v>
      </c>
      <c r="M393" s="3">
        <v>75.6</v>
      </c>
      <c r="N393" s="3">
        <v>159.99</v>
      </c>
      <c r="O393" s="2" t="s">
        <v>1148</v>
      </c>
      <c r="P393" s="2" t="s">
        <v>1602</v>
      </c>
      <c r="Q393" s="2" t="s">
        <v>99</v>
      </c>
      <c r="R393" s="2" t="s">
        <v>100</v>
      </c>
      <c r="S393" s="2" t="s">
        <v>1603</v>
      </c>
      <c r="T393" s="2" t="s">
        <v>100</v>
      </c>
      <c r="U393" s="2" t="s">
        <v>102</v>
      </c>
      <c r="V393" s="2" t="s">
        <v>906</v>
      </c>
      <c r="W393" s="2" t="s">
        <v>906</v>
      </c>
      <c r="X393" s="2" t="s">
        <v>907</v>
      </c>
      <c r="Y393" s="2" t="s">
        <v>1604</v>
      </c>
      <c r="Z393" s="4"/>
      <c r="AA393" s="4">
        <f>=ROUNDDOWN({0},0)</f>
      </c>
      <c r="AB393" s="5"/>
      <c r="AC393" s="2" t="s">
        <v>100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100</v>
      </c>
      <c r="BM393" s="7"/>
      <c r="BN393" s="7"/>
      <c r="BO393" s="4"/>
      <c r="BP393" s="8"/>
      <c r="BQ393" s="4"/>
      <c r="BR393" s="8"/>
      <c r="BS393" s="7"/>
      <c r="BT393" s="7"/>
      <c r="BU393" s="2" t="s">
        <v>147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100</v>
      </c>
    </row>
    <row r="394">
      <c r="A394" s="2" t="s">
        <v>1605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1606</v>
      </c>
      <c r="G394" s="2" t="s">
        <v>901</v>
      </c>
      <c r="H394" s="2" t="s">
        <v>901</v>
      </c>
      <c r="I394" s="2" t="s">
        <v>1607</v>
      </c>
      <c r="J394" s="2" t="s">
        <v>844</v>
      </c>
      <c r="K394" s="2" t="s">
        <v>158</v>
      </c>
      <c r="L394" s="3">
        <v>36</v>
      </c>
      <c r="M394" s="3">
        <v>37.8</v>
      </c>
      <c r="N394" s="3">
        <v>79.99</v>
      </c>
      <c r="O394" s="2" t="s">
        <v>550</v>
      </c>
      <c r="P394" s="2" t="s">
        <v>1608</v>
      </c>
      <c r="Q394" s="2" t="s">
        <v>99</v>
      </c>
      <c r="R394" s="2" t="s">
        <v>1609</v>
      </c>
      <c r="S394" s="2" t="s">
        <v>100</v>
      </c>
      <c r="T394" s="2" t="s">
        <v>184</v>
      </c>
      <c r="U394" s="2" t="s">
        <v>1610</v>
      </c>
      <c r="V394" s="2" t="s">
        <v>561</v>
      </c>
      <c r="W394" s="2" t="s">
        <v>602</v>
      </c>
      <c r="X394" s="2" t="s">
        <v>906</v>
      </c>
      <c r="Y394" s="2" t="s">
        <v>1611</v>
      </c>
      <c r="Z394" s="4"/>
      <c r="AA394" s="4">
        <f>=ROUNDDOWN({0},0)</f>
      </c>
      <c r="AB394" s="5"/>
      <c r="AC394" s="2" t="s">
        <v>100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/>
      <c r="BK394" s="8"/>
      <c r="BL394" s="2" t="s">
        <v>1612</v>
      </c>
      <c r="BM394" s="7"/>
      <c r="BN394" s="7"/>
      <c r="BO394" s="4"/>
      <c r="BP394" s="8"/>
      <c r="BQ394" s="4"/>
      <c r="BR394" s="8"/>
      <c r="BS394" s="7"/>
      <c r="BT394" s="7"/>
      <c r="BU394" s="2" t="s">
        <v>147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100</v>
      </c>
    </row>
    <row r="395">
      <c r="A395" s="2" t="s">
        <v>1613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1606</v>
      </c>
      <c r="G395" s="2" t="s">
        <v>901</v>
      </c>
      <c r="H395" s="2" t="s">
        <v>901</v>
      </c>
      <c r="I395" s="2" t="s">
        <v>1607</v>
      </c>
      <c r="J395" s="2" t="s">
        <v>850</v>
      </c>
      <c r="K395" s="2" t="s">
        <v>158</v>
      </c>
      <c r="L395" s="3">
        <v>46</v>
      </c>
      <c r="M395" s="3">
        <v>48.3</v>
      </c>
      <c r="N395" s="3">
        <v>99.99</v>
      </c>
      <c r="O395" s="2" t="s">
        <v>550</v>
      </c>
      <c r="P395" s="2" t="s">
        <v>1608</v>
      </c>
      <c r="Q395" s="2" t="s">
        <v>99</v>
      </c>
      <c r="R395" s="2" t="s">
        <v>1609</v>
      </c>
      <c r="S395" s="2" t="s">
        <v>100</v>
      </c>
      <c r="T395" s="2" t="s">
        <v>184</v>
      </c>
      <c r="U395" s="2" t="s">
        <v>1610</v>
      </c>
      <c r="V395" s="2" t="s">
        <v>561</v>
      </c>
      <c r="W395" s="2" t="s">
        <v>602</v>
      </c>
      <c r="X395" s="2" t="s">
        <v>906</v>
      </c>
      <c r="Y395" s="2" t="s">
        <v>1611</v>
      </c>
      <c r="Z395" s="4"/>
      <c r="AA395" s="4">
        <f>=ROUNDDOWN({0},0)</f>
      </c>
      <c r="AB395" s="5"/>
      <c r="AC395" s="2" t="s">
        <v>100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/>
      <c r="BK395" s="8"/>
      <c r="BL395" s="2" t="s">
        <v>1612</v>
      </c>
      <c r="BM395" s="7"/>
      <c r="BN395" s="7"/>
      <c r="BO395" s="4"/>
      <c r="BP395" s="8"/>
      <c r="BQ395" s="4"/>
      <c r="BR395" s="8"/>
      <c r="BS395" s="7"/>
      <c r="BT395" s="7"/>
      <c r="BU395" s="2" t="s">
        <v>147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100</v>
      </c>
    </row>
    <row r="396">
      <c r="A396" s="2" t="s">
        <v>1614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1615</v>
      </c>
      <c r="G396" s="2" t="s">
        <v>1616</v>
      </c>
      <c r="H396" s="2" t="s">
        <v>1617</v>
      </c>
      <c r="I396" s="2" t="s">
        <v>1618</v>
      </c>
      <c r="J396" s="2" t="s">
        <v>95</v>
      </c>
      <c r="K396" s="2" t="s">
        <v>333</v>
      </c>
      <c r="L396" s="3">
        <v>42.85</v>
      </c>
      <c r="M396" s="3">
        <v>44.99</v>
      </c>
      <c r="N396" s="3">
        <v>89.99</v>
      </c>
      <c r="O396" s="2" t="s">
        <v>97</v>
      </c>
      <c r="P396" s="2" t="s">
        <v>1166</v>
      </c>
      <c r="Q396" s="2" t="s">
        <v>99</v>
      </c>
      <c r="R396" s="2" t="s">
        <v>100</v>
      </c>
      <c r="S396" s="2" t="s">
        <v>1619</v>
      </c>
      <c r="T396" s="2" t="s">
        <v>184</v>
      </c>
      <c r="U396" s="2" t="s">
        <v>102</v>
      </c>
      <c r="V396" s="2" t="s">
        <v>561</v>
      </c>
      <c r="W396" s="2" t="s">
        <v>104</v>
      </c>
      <c r="X396" s="2" t="s">
        <v>1288</v>
      </c>
      <c r="Y396" s="2" t="s">
        <v>1620</v>
      </c>
      <c r="Z396" s="4">
        <v>294</v>
      </c>
      <c r="AA396" s="4">
        <f>=ROUNDDOWN(29.4,0)</f>
      </c>
      <c r="AB396" s="5">
        <v>10</v>
      </c>
      <c r="AC396" s="2" t="s">
        <v>100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44</v>
      </c>
      <c r="BK396" s="8">
        <v>2066.77</v>
      </c>
      <c r="BL396" s="2" t="s">
        <v>1621</v>
      </c>
      <c r="BM396" s="7"/>
      <c r="BN396" s="7"/>
      <c r="BO396" s="4"/>
      <c r="BP396" s="8"/>
      <c r="BQ396" s="4"/>
      <c r="BR396" s="8"/>
      <c r="BS396" s="7"/>
      <c r="BT396" s="7"/>
      <c r="BU396" s="2" t="s">
        <v>1171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100</v>
      </c>
    </row>
    <row r="397">
      <c r="A397" s="2" t="s">
        <v>1622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1615</v>
      </c>
      <c r="G397" s="2" t="s">
        <v>1616</v>
      </c>
      <c r="H397" s="2" t="s">
        <v>1617</v>
      </c>
      <c r="I397" s="2" t="s">
        <v>1618</v>
      </c>
      <c r="J397" s="2" t="s">
        <v>114</v>
      </c>
      <c r="K397" s="2" t="s">
        <v>333</v>
      </c>
      <c r="L397" s="3">
        <v>47.61</v>
      </c>
      <c r="M397" s="3">
        <v>49.99</v>
      </c>
      <c r="N397" s="3">
        <v>99.99</v>
      </c>
      <c r="O397" s="2" t="s">
        <v>97</v>
      </c>
      <c r="P397" s="2" t="s">
        <v>1166</v>
      </c>
      <c r="Q397" s="2" t="s">
        <v>99</v>
      </c>
      <c r="R397" s="2" t="s">
        <v>100</v>
      </c>
      <c r="S397" s="2" t="s">
        <v>1619</v>
      </c>
      <c r="T397" s="2" t="s">
        <v>184</v>
      </c>
      <c r="U397" s="2" t="s">
        <v>102</v>
      </c>
      <c r="V397" s="2" t="s">
        <v>561</v>
      </c>
      <c r="W397" s="2" t="s">
        <v>104</v>
      </c>
      <c r="X397" s="2" t="s">
        <v>1288</v>
      </c>
      <c r="Y397" s="2" t="s">
        <v>1620</v>
      </c>
      <c r="Z397" s="4">
        <v>311</v>
      </c>
      <c r="AA397" s="4">
        <f>=ROUNDDOWN(38.875,0)</f>
      </c>
      <c r="AB397" s="5">
        <v>8</v>
      </c>
      <c r="AC397" s="2" t="s">
        <v>100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56</v>
      </c>
      <c r="BK397" s="8">
        <v>2882.08</v>
      </c>
      <c r="BL397" s="2" t="s">
        <v>1623</v>
      </c>
      <c r="BM397" s="7"/>
      <c r="BN397" s="7"/>
      <c r="BO397" s="4"/>
      <c r="BP397" s="8"/>
      <c r="BQ397" s="4"/>
      <c r="BR397" s="8"/>
      <c r="BS397" s="7"/>
      <c r="BT397" s="7"/>
      <c r="BU397" s="2" t="s">
        <v>1171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100</v>
      </c>
    </row>
    <row r="398">
      <c r="A398" s="2" t="s">
        <v>1624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1615</v>
      </c>
      <c r="G398" s="2" t="s">
        <v>1616</v>
      </c>
      <c r="H398" s="2" t="s">
        <v>1617</v>
      </c>
      <c r="I398" s="2" t="s">
        <v>1618</v>
      </c>
      <c r="J398" s="2" t="s">
        <v>118</v>
      </c>
      <c r="K398" s="2" t="s">
        <v>333</v>
      </c>
      <c r="L398" s="3">
        <v>47.61</v>
      </c>
      <c r="M398" s="3">
        <v>49.99</v>
      </c>
      <c r="N398" s="3">
        <v>99.99</v>
      </c>
      <c r="O398" s="2" t="s">
        <v>97</v>
      </c>
      <c r="P398" s="2" t="s">
        <v>1166</v>
      </c>
      <c r="Q398" s="2" t="s">
        <v>99</v>
      </c>
      <c r="R398" s="2" t="s">
        <v>100</v>
      </c>
      <c r="S398" s="2" t="s">
        <v>1619</v>
      </c>
      <c r="T398" s="2" t="s">
        <v>184</v>
      </c>
      <c r="U398" s="2" t="s">
        <v>102</v>
      </c>
      <c r="V398" s="2" t="s">
        <v>561</v>
      </c>
      <c r="W398" s="2" t="s">
        <v>104</v>
      </c>
      <c r="X398" s="2" t="s">
        <v>1288</v>
      </c>
      <c r="Y398" s="2" t="s">
        <v>1625</v>
      </c>
      <c r="Z398" s="4">
        <v>146</v>
      </c>
      <c r="AA398" s="4">
        <f>=ROUNDDOWN(24.3333333333333,0)</f>
      </c>
      <c r="AB398" s="5">
        <v>6</v>
      </c>
      <c r="AC398" s="2" t="s">
        <v>100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34</v>
      </c>
      <c r="BK398" s="8">
        <v>1734.63</v>
      </c>
      <c r="BL398" s="2" t="s">
        <v>1623</v>
      </c>
      <c r="BM398" s="7"/>
      <c r="BN398" s="7"/>
      <c r="BO398" s="4"/>
      <c r="BP398" s="8"/>
      <c r="BQ398" s="4"/>
      <c r="BR398" s="8"/>
      <c r="BS398" s="7"/>
      <c r="BT398" s="7"/>
      <c r="BU398" s="2" t="s">
        <v>1171</v>
      </c>
      <c r="BV398" s="2" t="s">
        <v>97</v>
      </c>
      <c r="BW398" s="2" t="s">
        <v>100</v>
      </c>
      <c r="BX398" s="2" t="s">
        <v>100</v>
      </c>
      <c r="BY398" s="2" t="s">
        <v>112</v>
      </c>
      <c r="BZ398" s="2" t="s">
        <v>100</v>
      </c>
    </row>
    <row r="399">
      <c r="A399" s="2" t="s">
        <v>1626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1615</v>
      </c>
      <c r="G399" s="2" t="s">
        <v>1616</v>
      </c>
      <c r="H399" s="2" t="s">
        <v>1617</v>
      </c>
      <c r="I399" s="2" t="s">
        <v>1618</v>
      </c>
      <c r="J399" s="2" t="s">
        <v>95</v>
      </c>
      <c r="K399" s="2" t="s">
        <v>622</v>
      </c>
      <c r="L399" s="3">
        <v>42.85</v>
      </c>
      <c r="M399" s="3">
        <v>44.99</v>
      </c>
      <c r="N399" s="3">
        <v>89.99</v>
      </c>
      <c r="O399" s="2" t="s">
        <v>97</v>
      </c>
      <c r="P399" s="2" t="s">
        <v>1166</v>
      </c>
      <c r="Q399" s="2" t="s">
        <v>99</v>
      </c>
      <c r="R399" s="2" t="s">
        <v>100</v>
      </c>
      <c r="S399" s="2" t="s">
        <v>1627</v>
      </c>
      <c r="T399" s="2" t="s">
        <v>184</v>
      </c>
      <c r="U399" s="2" t="s">
        <v>102</v>
      </c>
      <c r="V399" s="2" t="s">
        <v>561</v>
      </c>
      <c r="W399" s="2" t="s">
        <v>104</v>
      </c>
      <c r="X399" s="2" t="s">
        <v>1288</v>
      </c>
      <c r="Y399" s="2" t="s">
        <v>1625</v>
      </c>
      <c r="Z399" s="4">
        <v>259</v>
      </c>
      <c r="AA399" s="4">
        <f>=ROUNDDOWN(25.9,0)</f>
      </c>
      <c r="AB399" s="5">
        <v>10</v>
      </c>
      <c r="AC399" s="2" t="s">
        <v>100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71</v>
      </c>
      <c r="BK399" s="8">
        <v>3532.14</v>
      </c>
      <c r="BL399" s="2" t="s">
        <v>1628</v>
      </c>
      <c r="BM399" s="7"/>
      <c r="BN399" s="7"/>
      <c r="BO399" s="4"/>
      <c r="BP399" s="8"/>
      <c r="BQ399" s="4"/>
      <c r="BR399" s="8"/>
      <c r="BS399" s="7"/>
      <c r="BT399" s="7"/>
      <c r="BU399" s="2" t="s">
        <v>1171</v>
      </c>
      <c r="BV399" s="2" t="s">
        <v>97</v>
      </c>
      <c r="BW399" s="2" t="s">
        <v>100</v>
      </c>
      <c r="BX399" s="2" t="s">
        <v>100</v>
      </c>
      <c r="BY399" s="2" t="s">
        <v>112</v>
      </c>
      <c r="BZ399" s="2" t="s">
        <v>100</v>
      </c>
    </row>
    <row r="400">
      <c r="A400" s="2" t="s">
        <v>1629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1615</v>
      </c>
      <c r="G400" s="2" t="s">
        <v>1616</v>
      </c>
      <c r="H400" s="2" t="s">
        <v>1617</v>
      </c>
      <c r="I400" s="2" t="s">
        <v>1618</v>
      </c>
      <c r="J400" s="2" t="s">
        <v>114</v>
      </c>
      <c r="K400" s="2" t="s">
        <v>622</v>
      </c>
      <c r="L400" s="3">
        <v>47.61</v>
      </c>
      <c r="M400" s="3">
        <v>49.99</v>
      </c>
      <c r="N400" s="3">
        <v>99.99</v>
      </c>
      <c r="O400" s="2" t="s">
        <v>97</v>
      </c>
      <c r="P400" s="2" t="s">
        <v>1166</v>
      </c>
      <c r="Q400" s="2" t="s">
        <v>99</v>
      </c>
      <c r="R400" s="2" t="s">
        <v>100</v>
      </c>
      <c r="S400" s="2" t="s">
        <v>1627</v>
      </c>
      <c r="T400" s="2" t="s">
        <v>184</v>
      </c>
      <c r="U400" s="2" t="s">
        <v>102</v>
      </c>
      <c r="V400" s="2" t="s">
        <v>561</v>
      </c>
      <c r="W400" s="2" t="s">
        <v>104</v>
      </c>
      <c r="X400" s="2" t="s">
        <v>1288</v>
      </c>
      <c r="Y400" s="2" t="s">
        <v>1625</v>
      </c>
      <c r="Z400" s="4">
        <v>298</v>
      </c>
      <c r="AA400" s="4">
        <f>=ROUNDDOWN(37.25,0)</f>
      </c>
      <c r="AB400" s="5">
        <v>8</v>
      </c>
      <c r="AC400" s="2" t="s">
        <v>100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70</v>
      </c>
      <c r="BK400" s="8">
        <v>3665.42</v>
      </c>
      <c r="BL400" s="2" t="s">
        <v>1630</v>
      </c>
      <c r="BM400" s="7"/>
      <c r="BN400" s="7"/>
      <c r="BO400" s="4"/>
      <c r="BP400" s="8"/>
      <c r="BQ400" s="4"/>
      <c r="BR400" s="8"/>
      <c r="BS400" s="7"/>
      <c r="BT400" s="7"/>
      <c r="BU400" s="2" t="s">
        <v>1171</v>
      </c>
      <c r="BV400" s="2" t="s">
        <v>97</v>
      </c>
      <c r="BW400" s="2" t="s">
        <v>100</v>
      </c>
      <c r="BX400" s="2" t="s">
        <v>100</v>
      </c>
      <c r="BY400" s="2" t="s">
        <v>112</v>
      </c>
      <c r="BZ400" s="2" t="s">
        <v>100</v>
      </c>
    </row>
    <row r="401">
      <c r="A401" s="2" t="s">
        <v>1631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1615</v>
      </c>
      <c r="G401" s="2" t="s">
        <v>1616</v>
      </c>
      <c r="H401" s="2" t="s">
        <v>1617</v>
      </c>
      <c r="I401" s="2" t="s">
        <v>1618</v>
      </c>
      <c r="J401" s="2" t="s">
        <v>118</v>
      </c>
      <c r="K401" s="2" t="s">
        <v>622</v>
      </c>
      <c r="L401" s="3">
        <v>47.61</v>
      </c>
      <c r="M401" s="3">
        <v>49.99</v>
      </c>
      <c r="N401" s="3">
        <v>99.99</v>
      </c>
      <c r="O401" s="2" t="s">
        <v>97</v>
      </c>
      <c r="P401" s="2" t="s">
        <v>1166</v>
      </c>
      <c r="Q401" s="2" t="s">
        <v>99</v>
      </c>
      <c r="R401" s="2" t="s">
        <v>100</v>
      </c>
      <c r="S401" s="2" t="s">
        <v>1627</v>
      </c>
      <c r="T401" s="2" t="s">
        <v>184</v>
      </c>
      <c r="U401" s="2" t="s">
        <v>102</v>
      </c>
      <c r="V401" s="2" t="s">
        <v>561</v>
      </c>
      <c r="W401" s="2" t="s">
        <v>104</v>
      </c>
      <c r="X401" s="2" t="s">
        <v>1288</v>
      </c>
      <c r="Y401" s="2" t="s">
        <v>1625</v>
      </c>
      <c r="Z401" s="4">
        <v>142</v>
      </c>
      <c r="AA401" s="4">
        <f>=ROUNDDOWN(23.6666666666667,0)</f>
      </c>
      <c r="AB401" s="5">
        <v>6</v>
      </c>
      <c r="AC401" s="2" t="s">
        <v>100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38</v>
      </c>
      <c r="BK401" s="8">
        <v>1998.61</v>
      </c>
      <c r="BL401" s="2" t="s">
        <v>1632</v>
      </c>
      <c r="BM401" s="7"/>
      <c r="BN401" s="7"/>
      <c r="BO401" s="4"/>
      <c r="BP401" s="8"/>
      <c r="BQ401" s="4"/>
      <c r="BR401" s="8"/>
      <c r="BS401" s="7"/>
      <c r="BT401" s="7"/>
      <c r="BU401" s="2" t="s">
        <v>1171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1633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1634</v>
      </c>
      <c r="G402" s="2" t="s">
        <v>1634</v>
      </c>
      <c r="H402" s="2" t="s">
        <v>1635</v>
      </c>
      <c r="I402" s="2" t="s">
        <v>1636</v>
      </c>
      <c r="J402" s="2" t="s">
        <v>844</v>
      </c>
      <c r="K402" s="2" t="s">
        <v>1637</v>
      </c>
      <c r="L402" s="3">
        <v>57.14</v>
      </c>
      <c r="M402" s="3">
        <v>60</v>
      </c>
      <c r="N402" s="3">
        <v>119.99</v>
      </c>
      <c r="O402" s="2" t="s">
        <v>229</v>
      </c>
      <c r="P402" s="2" t="s">
        <v>198</v>
      </c>
      <c r="Q402" s="2" t="s">
        <v>99</v>
      </c>
      <c r="R402" s="2" t="s">
        <v>100</v>
      </c>
      <c r="S402" s="2" t="s">
        <v>1638</v>
      </c>
      <c r="T402" s="2" t="s">
        <v>184</v>
      </c>
      <c r="U402" s="2" t="s">
        <v>790</v>
      </c>
      <c r="V402" s="2" t="s">
        <v>561</v>
      </c>
      <c r="W402" s="2" t="s">
        <v>1530</v>
      </c>
      <c r="X402" s="2" t="s">
        <v>759</v>
      </c>
      <c r="Y402" s="2" t="s">
        <v>915</v>
      </c>
      <c r="Z402" s="4">
        <v>10</v>
      </c>
      <c r="AA402" s="4">
        <f>=ROUNDDOWN(3.03030303030303,0)</f>
      </c>
      <c r="AB402" s="5">
        <v>3.3</v>
      </c>
      <c r="AC402" s="2" t="s">
        <v>100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95</v>
      </c>
      <c r="BK402" s="8">
        <v>5012</v>
      </c>
      <c r="BL402" s="2" t="s">
        <v>1639</v>
      </c>
      <c r="BM402" s="7"/>
      <c r="BN402" s="7"/>
      <c r="BO402" s="4"/>
      <c r="BP402" s="8"/>
      <c r="BQ402" s="4"/>
      <c r="BR402" s="8"/>
      <c r="BS402" s="7"/>
      <c r="BT402" s="7"/>
      <c r="BU402" s="2" t="s">
        <v>147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1640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1634</v>
      </c>
      <c r="G403" s="2" t="s">
        <v>1634</v>
      </c>
      <c r="H403" s="2" t="s">
        <v>1635</v>
      </c>
      <c r="I403" s="2" t="s">
        <v>1636</v>
      </c>
      <c r="J403" s="2" t="s">
        <v>850</v>
      </c>
      <c r="K403" s="2" t="s">
        <v>1637</v>
      </c>
      <c r="L403" s="3">
        <v>66.66</v>
      </c>
      <c r="M403" s="3">
        <v>69.99</v>
      </c>
      <c r="N403" s="3">
        <v>139.99</v>
      </c>
      <c r="O403" s="2" t="s">
        <v>229</v>
      </c>
      <c r="P403" s="2" t="s">
        <v>198</v>
      </c>
      <c r="Q403" s="2" t="s">
        <v>99</v>
      </c>
      <c r="R403" s="2" t="s">
        <v>100</v>
      </c>
      <c r="S403" s="2" t="s">
        <v>1638</v>
      </c>
      <c r="T403" s="2" t="s">
        <v>184</v>
      </c>
      <c r="U403" s="2" t="s">
        <v>790</v>
      </c>
      <c r="V403" s="2" t="s">
        <v>561</v>
      </c>
      <c r="W403" s="2" t="s">
        <v>1530</v>
      </c>
      <c r="X403" s="2" t="s">
        <v>759</v>
      </c>
      <c r="Y403" s="2" t="s">
        <v>915</v>
      </c>
      <c r="Z403" s="4">
        <v>148</v>
      </c>
      <c r="AA403" s="4">
        <f>=ROUNDDOWN(61.6666666666667,0)</f>
      </c>
      <c r="AB403" s="5">
        <v>2.4</v>
      </c>
      <c r="AC403" s="2" t="s">
        <v>100</v>
      </c>
      <c r="AD403" s="4"/>
      <c r="AE403" s="4"/>
      <c r="AF403" s="6">
        <v>68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116</v>
      </c>
      <c r="BK403" s="8">
        <v>6933.27</v>
      </c>
      <c r="BL403" s="2" t="s">
        <v>1641</v>
      </c>
      <c r="BM403" s="7"/>
      <c r="BN403" s="7"/>
      <c r="BO403" s="4"/>
      <c r="BP403" s="8"/>
      <c r="BQ403" s="4"/>
      <c r="BR403" s="8"/>
      <c r="BS403" s="7"/>
      <c r="BT403" s="7"/>
      <c r="BU403" s="2" t="s">
        <v>147</v>
      </c>
      <c r="BV403" s="2" t="s">
        <v>97</v>
      </c>
      <c r="BW403" s="2" t="s">
        <v>100</v>
      </c>
      <c r="BX403" s="2" t="s">
        <v>100</v>
      </c>
      <c r="BY403" s="2" t="s">
        <v>112</v>
      </c>
      <c r="BZ403" s="2" t="s">
        <v>100</v>
      </c>
    </row>
    <row r="404">
      <c r="A404" s="2" t="s">
        <v>1642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1643</v>
      </c>
      <c r="G404" s="2" t="s">
        <v>1014</v>
      </c>
      <c r="H404" s="2" t="s">
        <v>1014</v>
      </c>
      <c r="I404" s="2" t="s">
        <v>1607</v>
      </c>
      <c r="J404" s="2" t="s">
        <v>95</v>
      </c>
      <c r="K404" s="2" t="s">
        <v>1412</v>
      </c>
      <c r="L404" s="3">
        <v>45</v>
      </c>
      <c r="M404" s="3">
        <v>47.25</v>
      </c>
      <c r="N404" s="3">
        <v>99.99</v>
      </c>
      <c r="O404" s="2" t="s">
        <v>550</v>
      </c>
      <c r="P404" s="2" t="s">
        <v>1608</v>
      </c>
      <c r="Q404" s="2" t="s">
        <v>99</v>
      </c>
      <c r="R404" s="2" t="s">
        <v>1609</v>
      </c>
      <c r="S404" s="2" t="s">
        <v>100</v>
      </c>
      <c r="T404" s="2" t="s">
        <v>732</v>
      </c>
      <c r="U404" s="2" t="s">
        <v>1610</v>
      </c>
      <c r="V404" s="2" t="s">
        <v>1275</v>
      </c>
      <c r="W404" s="2" t="s">
        <v>808</v>
      </c>
      <c r="X404" s="2" t="s">
        <v>733</v>
      </c>
      <c r="Y404" s="2" t="s">
        <v>1644</v>
      </c>
      <c r="Z404" s="4"/>
      <c r="AA404" s="4">
        <f>=ROUNDDOWN({0},0)</f>
      </c>
      <c r="AB404" s="5"/>
      <c r="AC404" s="2" t="s">
        <v>100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 t="s">
        <v>100</v>
      </c>
      <c r="BF404" s="8" t="s">
        <v>100</v>
      </c>
      <c r="BG404" s="7" t="s">
        <v>100</v>
      </c>
      <c r="BH404" s="7" t="s">
        <v>100</v>
      </c>
      <c r="BI404" s="7"/>
      <c r="BJ404" s="4"/>
      <c r="BK404" s="8"/>
      <c r="BL404" s="2" t="s">
        <v>1645</v>
      </c>
      <c r="BM404" s="7"/>
      <c r="BN404" s="7"/>
      <c r="BO404" s="4"/>
      <c r="BP404" s="8"/>
      <c r="BQ404" s="4"/>
      <c r="BR404" s="8"/>
      <c r="BS404" s="7"/>
      <c r="BT404" s="7"/>
      <c r="BU404" s="2" t="s">
        <v>147</v>
      </c>
      <c r="BV404" s="2" t="s">
        <v>97</v>
      </c>
      <c r="BW404" s="2" t="s">
        <v>100</v>
      </c>
      <c r="BX404" s="2" t="s">
        <v>100</v>
      </c>
      <c r="BY404" s="2" t="s">
        <v>112</v>
      </c>
      <c r="BZ404" s="2" t="s">
        <v>100</v>
      </c>
    </row>
    <row r="405">
      <c r="A405" s="2" t="s">
        <v>1646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1643</v>
      </c>
      <c r="G405" s="2" t="s">
        <v>1014</v>
      </c>
      <c r="H405" s="2" t="s">
        <v>1014</v>
      </c>
      <c r="I405" s="2" t="s">
        <v>1607</v>
      </c>
      <c r="J405" s="2" t="s">
        <v>114</v>
      </c>
      <c r="K405" s="2" t="s">
        <v>1412</v>
      </c>
      <c r="L405" s="3">
        <v>55</v>
      </c>
      <c r="M405" s="3">
        <v>57.75</v>
      </c>
      <c r="N405" s="3">
        <v>119.99</v>
      </c>
      <c r="O405" s="2" t="s">
        <v>550</v>
      </c>
      <c r="P405" s="2" t="s">
        <v>1608</v>
      </c>
      <c r="Q405" s="2" t="s">
        <v>99</v>
      </c>
      <c r="R405" s="2" t="s">
        <v>1609</v>
      </c>
      <c r="S405" s="2" t="s">
        <v>100</v>
      </c>
      <c r="T405" s="2" t="s">
        <v>732</v>
      </c>
      <c r="U405" s="2" t="s">
        <v>1610</v>
      </c>
      <c r="V405" s="2" t="s">
        <v>1275</v>
      </c>
      <c r="W405" s="2" t="s">
        <v>808</v>
      </c>
      <c r="X405" s="2" t="s">
        <v>733</v>
      </c>
      <c r="Y405" s="2" t="s">
        <v>1644</v>
      </c>
      <c r="Z405" s="4"/>
      <c r="AA405" s="4">
        <f>=ROUNDDOWN({0},0)</f>
      </c>
      <c r="AB405" s="5"/>
      <c r="AC405" s="2" t="s">
        <v>100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/>
      <c r="BK405" s="8"/>
      <c r="BL405" s="2" t="s">
        <v>1645</v>
      </c>
      <c r="BM405" s="7"/>
      <c r="BN405" s="7"/>
      <c r="BO405" s="4"/>
      <c r="BP405" s="8"/>
      <c r="BQ405" s="4"/>
      <c r="BR405" s="8"/>
      <c r="BS405" s="7"/>
      <c r="BT405" s="7"/>
      <c r="BU405" s="2" t="s">
        <v>147</v>
      </c>
      <c r="BV405" s="2" t="s">
        <v>97</v>
      </c>
      <c r="BW405" s="2" t="s">
        <v>100</v>
      </c>
      <c r="BX405" s="2" t="s">
        <v>100</v>
      </c>
      <c r="BY405" s="2" t="s">
        <v>112</v>
      </c>
      <c r="BZ405" s="2" t="s">
        <v>100</v>
      </c>
    </row>
    <row r="406">
      <c r="A406" s="2" t="s">
        <v>1647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1648</v>
      </c>
      <c r="G406" s="2" t="s">
        <v>1649</v>
      </c>
      <c r="H406" s="2" t="s">
        <v>1650</v>
      </c>
      <c r="I406" s="2" t="s">
        <v>1651</v>
      </c>
      <c r="J406" s="2" t="s">
        <v>844</v>
      </c>
      <c r="K406" s="2" t="s">
        <v>650</v>
      </c>
      <c r="L406" s="3">
        <v>45.71</v>
      </c>
      <c r="M406" s="3">
        <v>48</v>
      </c>
      <c r="N406" s="3">
        <v>99.99</v>
      </c>
      <c r="O406" s="2" t="s">
        <v>97</v>
      </c>
      <c r="P406" s="2" t="s">
        <v>1166</v>
      </c>
      <c r="Q406" s="2" t="s">
        <v>99</v>
      </c>
      <c r="R406" s="2" t="s">
        <v>100</v>
      </c>
      <c r="S406" s="2" t="s">
        <v>1652</v>
      </c>
      <c r="T406" s="2" t="s">
        <v>1653</v>
      </c>
      <c r="U406" s="2" t="s">
        <v>790</v>
      </c>
      <c r="V406" s="2" t="s">
        <v>601</v>
      </c>
      <c r="W406" s="2" t="s">
        <v>1190</v>
      </c>
      <c r="X406" s="2" t="s">
        <v>100</v>
      </c>
      <c r="Y406" s="2" t="s">
        <v>1654</v>
      </c>
      <c r="Z406" s="4">
        <v>402</v>
      </c>
      <c r="AA406" s="4">
        <f>=ROUNDDOWN(182.727272727273,0)</f>
      </c>
      <c r="AB406" s="5">
        <v>2.2</v>
      </c>
      <c r="AC406" s="2" t="s">
        <v>100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30</v>
      </c>
      <c r="BK406" s="8">
        <v>1546.6</v>
      </c>
      <c r="BL406" s="2" t="s">
        <v>1655</v>
      </c>
      <c r="BM406" s="7"/>
      <c r="BN406" s="7"/>
      <c r="BO406" s="4"/>
      <c r="BP406" s="8"/>
      <c r="BQ406" s="4"/>
      <c r="BR406" s="8"/>
      <c r="BS406" s="7"/>
      <c r="BT406" s="7"/>
      <c r="BU406" s="2" t="s">
        <v>1171</v>
      </c>
      <c r="BV406" s="2" t="s">
        <v>97</v>
      </c>
      <c r="BW406" s="2" t="s">
        <v>100</v>
      </c>
      <c r="BX406" s="2" t="s">
        <v>100</v>
      </c>
      <c r="BY406" s="2" t="s">
        <v>112</v>
      </c>
      <c r="BZ406" s="2" t="s">
        <v>100</v>
      </c>
    </row>
    <row r="407">
      <c r="A407" s="2" t="s">
        <v>1656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1648</v>
      </c>
      <c r="G407" s="2" t="s">
        <v>1649</v>
      </c>
      <c r="H407" s="2" t="s">
        <v>1650</v>
      </c>
      <c r="I407" s="2" t="s">
        <v>1651</v>
      </c>
      <c r="J407" s="2" t="s">
        <v>850</v>
      </c>
      <c r="K407" s="2" t="s">
        <v>650</v>
      </c>
      <c r="L407" s="3">
        <v>50.28</v>
      </c>
      <c r="M407" s="3">
        <v>52.79</v>
      </c>
      <c r="N407" s="3">
        <v>109.99</v>
      </c>
      <c r="O407" s="2" t="s">
        <v>97</v>
      </c>
      <c r="P407" s="2" t="s">
        <v>1166</v>
      </c>
      <c r="Q407" s="2" t="s">
        <v>99</v>
      </c>
      <c r="R407" s="2" t="s">
        <v>100</v>
      </c>
      <c r="S407" s="2" t="s">
        <v>1652</v>
      </c>
      <c r="T407" s="2" t="s">
        <v>1653</v>
      </c>
      <c r="U407" s="2" t="s">
        <v>790</v>
      </c>
      <c r="V407" s="2" t="s">
        <v>601</v>
      </c>
      <c r="W407" s="2" t="s">
        <v>1190</v>
      </c>
      <c r="X407" s="2" t="s">
        <v>100</v>
      </c>
      <c r="Y407" s="2" t="s">
        <v>1657</v>
      </c>
      <c r="Z407" s="4">
        <v>320</v>
      </c>
      <c r="AA407" s="4">
        <f>=ROUNDDOWN(118.518518518519,0)</f>
      </c>
      <c r="AB407" s="5">
        <v>2.7</v>
      </c>
      <c r="AC407" s="2" t="s">
        <v>100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100</v>
      </c>
      <c r="AW407" s="8" t="s">
        <v>100</v>
      </c>
      <c r="AX407" s="4" t="s">
        <v>100</v>
      </c>
      <c r="AY407" s="8" t="s">
        <v>100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38</v>
      </c>
      <c r="BK407" s="8">
        <v>2117.12</v>
      </c>
      <c r="BL407" s="2" t="s">
        <v>1658</v>
      </c>
      <c r="BM407" s="7"/>
      <c r="BN407" s="7"/>
      <c r="BO407" s="4"/>
      <c r="BP407" s="8"/>
      <c r="BQ407" s="4"/>
      <c r="BR407" s="8"/>
      <c r="BS407" s="7"/>
      <c r="BT407" s="7"/>
      <c r="BU407" s="2" t="s">
        <v>1171</v>
      </c>
      <c r="BV407" s="2" t="s">
        <v>97</v>
      </c>
      <c r="BW407" s="2" t="s">
        <v>100</v>
      </c>
      <c r="BX407" s="2" t="s">
        <v>100</v>
      </c>
      <c r="BY407" s="2" t="s">
        <v>112</v>
      </c>
      <c r="BZ407" s="2" t="s">
        <v>100</v>
      </c>
    </row>
    <row r="408">
      <c r="A408" s="2" t="s">
        <v>1659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1648</v>
      </c>
      <c r="G408" s="2" t="s">
        <v>1649</v>
      </c>
      <c r="H408" s="2" t="s">
        <v>1650</v>
      </c>
      <c r="I408" s="2" t="s">
        <v>1651</v>
      </c>
      <c r="J408" s="2" t="s">
        <v>844</v>
      </c>
      <c r="K408" s="2" t="s">
        <v>1660</v>
      </c>
      <c r="L408" s="3">
        <v>45.71</v>
      </c>
      <c r="M408" s="3">
        <v>48</v>
      </c>
      <c r="N408" s="3">
        <v>99.99</v>
      </c>
      <c r="O408" s="2" t="s">
        <v>97</v>
      </c>
      <c r="P408" s="2" t="s">
        <v>1166</v>
      </c>
      <c r="Q408" s="2" t="s">
        <v>99</v>
      </c>
      <c r="R408" s="2" t="s">
        <v>100</v>
      </c>
      <c r="S408" s="2" t="s">
        <v>1661</v>
      </c>
      <c r="T408" s="2" t="s">
        <v>1653</v>
      </c>
      <c r="U408" s="2" t="s">
        <v>790</v>
      </c>
      <c r="V408" s="2" t="s">
        <v>601</v>
      </c>
      <c r="W408" s="2" t="s">
        <v>1190</v>
      </c>
      <c r="X408" s="2" t="s">
        <v>100</v>
      </c>
      <c r="Y408" s="2" t="s">
        <v>1654</v>
      </c>
      <c r="Z408" s="4">
        <v>392</v>
      </c>
      <c r="AA408" s="4">
        <f>=ROUNDDOWN(103.157894736842,0)</f>
      </c>
      <c r="AB408" s="5">
        <v>3.8</v>
      </c>
      <c r="AC408" s="2" t="s">
        <v>100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44</v>
      </c>
      <c r="BK408" s="8">
        <v>2173.35</v>
      </c>
      <c r="BL408" s="2" t="s">
        <v>1662</v>
      </c>
      <c r="BM408" s="7"/>
      <c r="BN408" s="7"/>
      <c r="BO408" s="4"/>
      <c r="BP408" s="8"/>
      <c r="BQ408" s="4"/>
      <c r="BR408" s="8"/>
      <c r="BS408" s="7"/>
      <c r="BT408" s="7"/>
      <c r="BU408" s="2" t="s">
        <v>1171</v>
      </c>
      <c r="BV408" s="2" t="s">
        <v>97</v>
      </c>
      <c r="BW408" s="2" t="s">
        <v>100</v>
      </c>
      <c r="BX408" s="2" t="s">
        <v>100</v>
      </c>
      <c r="BY408" s="2" t="s">
        <v>112</v>
      </c>
      <c r="BZ408" s="2" t="s">
        <v>100</v>
      </c>
    </row>
    <row r="409">
      <c r="A409" s="2" t="s">
        <v>1663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1648</v>
      </c>
      <c r="G409" s="2" t="s">
        <v>1649</v>
      </c>
      <c r="H409" s="2" t="s">
        <v>1650</v>
      </c>
      <c r="I409" s="2" t="s">
        <v>1651</v>
      </c>
      <c r="J409" s="2" t="s">
        <v>850</v>
      </c>
      <c r="K409" s="2" t="s">
        <v>1660</v>
      </c>
      <c r="L409" s="3">
        <v>50.28</v>
      </c>
      <c r="M409" s="3">
        <v>52.79</v>
      </c>
      <c r="N409" s="3">
        <v>109.99</v>
      </c>
      <c r="O409" s="2" t="s">
        <v>97</v>
      </c>
      <c r="P409" s="2" t="s">
        <v>1166</v>
      </c>
      <c r="Q409" s="2" t="s">
        <v>99</v>
      </c>
      <c r="R409" s="2" t="s">
        <v>100</v>
      </c>
      <c r="S409" s="2" t="s">
        <v>1661</v>
      </c>
      <c r="T409" s="2" t="s">
        <v>1653</v>
      </c>
      <c r="U409" s="2" t="s">
        <v>790</v>
      </c>
      <c r="V409" s="2" t="s">
        <v>601</v>
      </c>
      <c r="W409" s="2" t="s">
        <v>1190</v>
      </c>
      <c r="X409" s="2" t="s">
        <v>100</v>
      </c>
      <c r="Y409" s="2" t="s">
        <v>1654</v>
      </c>
      <c r="Z409" s="4">
        <v>270</v>
      </c>
      <c r="AA409" s="4">
        <f>=ROUNDDOWN(45.7627118644068,0)</f>
      </c>
      <c r="AB409" s="5">
        <v>5.9</v>
      </c>
      <c r="AC409" s="2" t="s">
        <v>100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88</v>
      </c>
      <c r="BK409" s="8">
        <v>4948.25</v>
      </c>
      <c r="BL409" s="2" t="s">
        <v>1664</v>
      </c>
      <c r="BM409" s="7"/>
      <c r="BN409" s="7"/>
      <c r="BO409" s="4"/>
      <c r="BP409" s="8"/>
      <c r="BQ409" s="4"/>
      <c r="BR409" s="8"/>
      <c r="BS409" s="7"/>
      <c r="BT409" s="7"/>
      <c r="BU409" s="2" t="s">
        <v>1171</v>
      </c>
      <c r="BV409" s="2" t="s">
        <v>97</v>
      </c>
      <c r="BW409" s="2" t="s">
        <v>100</v>
      </c>
      <c r="BX409" s="2" t="s">
        <v>100</v>
      </c>
      <c r="BY409" s="2" t="s">
        <v>112</v>
      </c>
      <c r="BZ409" s="2" t="s">
        <v>100</v>
      </c>
    </row>
    <row r="410">
      <c r="A410" s="2" t="s">
        <v>1665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1648</v>
      </c>
      <c r="G410" s="2" t="s">
        <v>1649</v>
      </c>
      <c r="H410" s="2" t="s">
        <v>1650</v>
      </c>
      <c r="I410" s="2" t="s">
        <v>1651</v>
      </c>
      <c r="J410" s="2" t="s">
        <v>844</v>
      </c>
      <c r="K410" s="2" t="s">
        <v>1592</v>
      </c>
      <c r="L410" s="3">
        <v>45.71</v>
      </c>
      <c r="M410" s="3">
        <v>48</v>
      </c>
      <c r="N410" s="3">
        <v>99.99</v>
      </c>
      <c r="O410" s="2" t="s">
        <v>97</v>
      </c>
      <c r="P410" s="2" t="s">
        <v>1166</v>
      </c>
      <c r="Q410" s="2" t="s">
        <v>99</v>
      </c>
      <c r="R410" s="2" t="s">
        <v>100</v>
      </c>
      <c r="S410" s="2" t="s">
        <v>1666</v>
      </c>
      <c r="T410" s="2" t="s">
        <v>1653</v>
      </c>
      <c r="U410" s="2" t="s">
        <v>790</v>
      </c>
      <c r="V410" s="2" t="s">
        <v>601</v>
      </c>
      <c r="W410" s="2" t="s">
        <v>1190</v>
      </c>
      <c r="X410" s="2" t="s">
        <v>100</v>
      </c>
      <c r="Y410" s="2" t="s">
        <v>1654</v>
      </c>
      <c r="Z410" s="4">
        <v>373</v>
      </c>
      <c r="AA410" s="4">
        <f>=ROUNDDOWN(93.25,0)</f>
      </c>
      <c r="AB410" s="5">
        <v>4</v>
      </c>
      <c r="AC410" s="2" t="s">
        <v>100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62</v>
      </c>
      <c r="BK410" s="8">
        <v>3120.5</v>
      </c>
      <c r="BL410" s="2" t="s">
        <v>1667</v>
      </c>
      <c r="BM410" s="7"/>
      <c r="BN410" s="7"/>
      <c r="BO410" s="4"/>
      <c r="BP410" s="8"/>
      <c r="BQ410" s="4"/>
      <c r="BR410" s="8"/>
      <c r="BS410" s="7"/>
      <c r="BT410" s="7"/>
      <c r="BU410" s="2" t="s">
        <v>1171</v>
      </c>
      <c r="BV410" s="2" t="s">
        <v>97</v>
      </c>
      <c r="BW410" s="2" t="s">
        <v>100</v>
      </c>
      <c r="BX410" s="2" t="s">
        <v>100</v>
      </c>
      <c r="BY410" s="2" t="s">
        <v>112</v>
      </c>
      <c r="BZ410" s="2" t="s">
        <v>100</v>
      </c>
    </row>
    <row r="411">
      <c r="A411" s="2" t="s">
        <v>1668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1648</v>
      </c>
      <c r="G411" s="2" t="s">
        <v>1649</v>
      </c>
      <c r="H411" s="2" t="s">
        <v>1650</v>
      </c>
      <c r="I411" s="2" t="s">
        <v>1651</v>
      </c>
      <c r="J411" s="2" t="s">
        <v>850</v>
      </c>
      <c r="K411" s="2" t="s">
        <v>1592</v>
      </c>
      <c r="L411" s="3">
        <v>50.28</v>
      </c>
      <c r="M411" s="3">
        <v>52.79</v>
      </c>
      <c r="N411" s="3">
        <v>109.99</v>
      </c>
      <c r="O411" s="2" t="s">
        <v>97</v>
      </c>
      <c r="P411" s="2" t="s">
        <v>1166</v>
      </c>
      <c r="Q411" s="2" t="s">
        <v>99</v>
      </c>
      <c r="R411" s="2" t="s">
        <v>100</v>
      </c>
      <c r="S411" s="2" t="s">
        <v>1666</v>
      </c>
      <c r="T411" s="2" t="s">
        <v>1653</v>
      </c>
      <c r="U411" s="2" t="s">
        <v>790</v>
      </c>
      <c r="V411" s="2" t="s">
        <v>601</v>
      </c>
      <c r="W411" s="2" t="s">
        <v>1190</v>
      </c>
      <c r="X411" s="2" t="s">
        <v>100</v>
      </c>
      <c r="Y411" s="2" t="s">
        <v>1654</v>
      </c>
      <c r="Z411" s="4">
        <v>242</v>
      </c>
      <c r="AA411" s="4">
        <f>=ROUNDDOWN(65.4054054054054,0)</f>
      </c>
      <c r="AB411" s="5">
        <v>3.7</v>
      </c>
      <c r="AC411" s="2" t="s">
        <v>100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117</v>
      </c>
      <c r="BK411" s="8">
        <v>6505</v>
      </c>
      <c r="BL411" s="2" t="s">
        <v>1658</v>
      </c>
      <c r="BM411" s="7"/>
      <c r="BN411" s="7"/>
      <c r="BO411" s="4"/>
      <c r="BP411" s="8"/>
      <c r="BQ411" s="4"/>
      <c r="BR411" s="8"/>
      <c r="BS411" s="7"/>
      <c r="BT411" s="7"/>
      <c r="BU411" s="2" t="s">
        <v>1171</v>
      </c>
      <c r="BV411" s="2" t="s">
        <v>97</v>
      </c>
      <c r="BW411" s="2" t="s">
        <v>100</v>
      </c>
      <c r="BX411" s="2" t="s">
        <v>100</v>
      </c>
      <c r="BY411" s="2" t="s">
        <v>112</v>
      </c>
      <c r="BZ411" s="2" t="s">
        <v>100</v>
      </c>
    </row>
    <row r="412">
      <c r="A412" s="2" t="s">
        <v>1669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1670</v>
      </c>
      <c r="G412" s="2" t="s">
        <v>1671</v>
      </c>
      <c r="H412" s="2" t="s">
        <v>1672</v>
      </c>
      <c r="I412" s="2" t="s">
        <v>1218</v>
      </c>
      <c r="J412" s="2" t="s">
        <v>844</v>
      </c>
      <c r="K412" s="2" t="s">
        <v>142</v>
      </c>
      <c r="L412" s="3">
        <v>41.14</v>
      </c>
      <c r="M412" s="3">
        <v>43.2</v>
      </c>
      <c r="N412" s="3">
        <v>89.99</v>
      </c>
      <c r="O412" s="2" t="s">
        <v>97</v>
      </c>
      <c r="P412" s="2" t="s">
        <v>1166</v>
      </c>
      <c r="Q412" s="2" t="s">
        <v>99</v>
      </c>
      <c r="R412" s="2" t="s">
        <v>100</v>
      </c>
      <c r="S412" s="2" t="s">
        <v>1673</v>
      </c>
      <c r="T412" s="2" t="s">
        <v>1168</v>
      </c>
      <c r="U412" s="2" t="s">
        <v>490</v>
      </c>
      <c r="V412" s="2" t="s">
        <v>103</v>
      </c>
      <c r="W412" s="2" t="s">
        <v>405</v>
      </c>
      <c r="X412" s="2" t="s">
        <v>100</v>
      </c>
      <c r="Y412" s="2" t="s">
        <v>1220</v>
      </c>
      <c r="Z412" s="4">
        <v>217</v>
      </c>
      <c r="AA412" s="4">
        <f>=ROUNDDOWN(135.625,0)</f>
      </c>
      <c r="AB412" s="5">
        <v>1.6</v>
      </c>
      <c r="AC412" s="2" t="s">
        <v>1221</v>
      </c>
      <c r="AD412" s="4">
        <v>220</v>
      </c>
      <c r="AE412" s="4">
        <v>220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3</v>
      </c>
      <c r="BK412" s="8">
        <v>139.95</v>
      </c>
      <c r="BL412" s="2" t="s">
        <v>1674</v>
      </c>
      <c r="BM412" s="7"/>
      <c r="BN412" s="7"/>
      <c r="BO412" s="4"/>
      <c r="BP412" s="8"/>
      <c r="BQ412" s="4"/>
      <c r="BR412" s="8"/>
      <c r="BS412" s="7"/>
      <c r="BT412" s="7"/>
      <c r="BU412" s="2" t="s">
        <v>1171</v>
      </c>
      <c r="BV412" s="2" t="s">
        <v>97</v>
      </c>
      <c r="BW412" s="2" t="s">
        <v>100</v>
      </c>
      <c r="BX412" s="2" t="s">
        <v>100</v>
      </c>
      <c r="BY412" s="2" t="s">
        <v>112</v>
      </c>
      <c r="BZ412" s="2" t="s">
        <v>100</v>
      </c>
    </row>
    <row r="413">
      <c r="A413" s="2" t="s">
        <v>1675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1670</v>
      </c>
      <c r="G413" s="2" t="s">
        <v>1671</v>
      </c>
      <c r="H413" s="2" t="s">
        <v>1672</v>
      </c>
      <c r="I413" s="2" t="s">
        <v>1218</v>
      </c>
      <c r="J413" s="2" t="s">
        <v>850</v>
      </c>
      <c r="K413" s="2" t="s">
        <v>142</v>
      </c>
      <c r="L413" s="3">
        <v>45.71</v>
      </c>
      <c r="M413" s="3">
        <v>48</v>
      </c>
      <c r="N413" s="3">
        <v>99.99</v>
      </c>
      <c r="O413" s="2" t="s">
        <v>97</v>
      </c>
      <c r="P413" s="2" t="s">
        <v>1166</v>
      </c>
      <c r="Q413" s="2" t="s">
        <v>99</v>
      </c>
      <c r="R413" s="2" t="s">
        <v>100</v>
      </c>
      <c r="S413" s="2" t="s">
        <v>1673</v>
      </c>
      <c r="T413" s="2" t="s">
        <v>1168</v>
      </c>
      <c r="U413" s="2" t="s">
        <v>490</v>
      </c>
      <c r="V413" s="2" t="s">
        <v>103</v>
      </c>
      <c r="W413" s="2" t="s">
        <v>405</v>
      </c>
      <c r="X413" s="2" t="s">
        <v>100</v>
      </c>
      <c r="Y413" s="2" t="s">
        <v>1220</v>
      </c>
      <c r="Z413" s="4">
        <v>180</v>
      </c>
      <c r="AA413" s="4">
        <f>=ROUNDDOWN({0},0)</f>
      </c>
      <c r="AB413" s="5"/>
      <c r="AC413" s="2" t="s">
        <v>1221</v>
      </c>
      <c r="AD413" s="4">
        <v>180</v>
      </c>
      <c r="AE413" s="4">
        <v>180</v>
      </c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/>
      <c r="BK413" s="8"/>
      <c r="BL413" s="2" t="s">
        <v>100</v>
      </c>
      <c r="BM413" s="7"/>
      <c r="BN413" s="7"/>
      <c r="BO413" s="4"/>
      <c r="BP413" s="8"/>
      <c r="BQ413" s="4"/>
      <c r="BR413" s="8"/>
      <c r="BS413" s="7"/>
      <c r="BT413" s="7"/>
      <c r="BU413" s="2" t="s">
        <v>1171</v>
      </c>
      <c r="BV413" s="2" t="s">
        <v>97</v>
      </c>
      <c r="BW413" s="2" t="s">
        <v>100</v>
      </c>
      <c r="BX413" s="2" t="s">
        <v>100</v>
      </c>
      <c r="BY413" s="2" t="s">
        <v>112</v>
      </c>
      <c r="BZ413" s="2" t="s">
        <v>100</v>
      </c>
    </row>
    <row r="414">
      <c r="A414" s="2" t="s">
        <v>1676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1670</v>
      </c>
      <c r="G414" s="2" t="s">
        <v>1671</v>
      </c>
      <c r="H414" s="2" t="s">
        <v>1672</v>
      </c>
      <c r="I414" s="2" t="s">
        <v>1218</v>
      </c>
      <c r="J414" s="2" t="s">
        <v>844</v>
      </c>
      <c r="K414" s="2" t="s">
        <v>676</v>
      </c>
      <c r="L414" s="3">
        <v>41.14</v>
      </c>
      <c r="M414" s="3">
        <v>43.2</v>
      </c>
      <c r="N414" s="3">
        <v>89.99</v>
      </c>
      <c r="O414" s="2" t="s">
        <v>97</v>
      </c>
      <c r="P414" s="2" t="s">
        <v>1166</v>
      </c>
      <c r="Q414" s="2" t="s">
        <v>99</v>
      </c>
      <c r="R414" s="2" t="s">
        <v>100</v>
      </c>
      <c r="S414" s="2" t="s">
        <v>1677</v>
      </c>
      <c r="T414" s="2" t="s">
        <v>1168</v>
      </c>
      <c r="U414" s="2" t="s">
        <v>490</v>
      </c>
      <c r="V414" s="2" t="s">
        <v>103</v>
      </c>
      <c r="W414" s="2" t="s">
        <v>405</v>
      </c>
      <c r="X414" s="2" t="s">
        <v>100</v>
      </c>
      <c r="Y414" s="2" t="s">
        <v>1220</v>
      </c>
      <c r="Z414" s="4">
        <v>218</v>
      </c>
      <c r="AA414" s="4">
        <f>=ROUNDDOWN(198.181818181818,0)</f>
      </c>
      <c r="AB414" s="5">
        <v>1.1</v>
      </c>
      <c r="AC414" s="2" t="s">
        <v>1221</v>
      </c>
      <c r="AD414" s="4">
        <v>220</v>
      </c>
      <c r="AE414" s="4">
        <v>220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2</v>
      </c>
      <c r="BK414" s="8">
        <v>93.3</v>
      </c>
      <c r="BL414" s="2" t="s">
        <v>1678</v>
      </c>
      <c r="BM414" s="7"/>
      <c r="BN414" s="7"/>
      <c r="BO414" s="4"/>
      <c r="BP414" s="8"/>
      <c r="BQ414" s="4"/>
      <c r="BR414" s="8"/>
      <c r="BS414" s="7"/>
      <c r="BT414" s="7"/>
      <c r="BU414" s="2" t="s">
        <v>1171</v>
      </c>
      <c r="BV414" s="2" t="s">
        <v>97</v>
      </c>
      <c r="BW414" s="2" t="s">
        <v>100</v>
      </c>
      <c r="BX414" s="2" t="s">
        <v>100</v>
      </c>
      <c r="BY414" s="2" t="s">
        <v>112</v>
      </c>
      <c r="BZ414" s="2" t="s">
        <v>100</v>
      </c>
    </row>
    <row r="415">
      <c r="A415" s="2" t="s">
        <v>1679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1670</v>
      </c>
      <c r="G415" s="2" t="s">
        <v>1671</v>
      </c>
      <c r="H415" s="2" t="s">
        <v>1672</v>
      </c>
      <c r="I415" s="2" t="s">
        <v>1218</v>
      </c>
      <c r="J415" s="2" t="s">
        <v>850</v>
      </c>
      <c r="K415" s="2" t="s">
        <v>676</v>
      </c>
      <c r="L415" s="3">
        <v>45.71</v>
      </c>
      <c r="M415" s="3">
        <v>48</v>
      </c>
      <c r="N415" s="3">
        <v>99.99</v>
      </c>
      <c r="O415" s="2" t="s">
        <v>97</v>
      </c>
      <c r="P415" s="2" t="s">
        <v>1166</v>
      </c>
      <c r="Q415" s="2" t="s">
        <v>99</v>
      </c>
      <c r="R415" s="2" t="s">
        <v>100</v>
      </c>
      <c r="S415" s="2" t="s">
        <v>1677</v>
      </c>
      <c r="T415" s="2" t="s">
        <v>1168</v>
      </c>
      <c r="U415" s="2" t="s">
        <v>490</v>
      </c>
      <c r="V415" s="2" t="s">
        <v>103</v>
      </c>
      <c r="W415" s="2" t="s">
        <v>405</v>
      </c>
      <c r="X415" s="2" t="s">
        <v>100</v>
      </c>
      <c r="Y415" s="2" t="s">
        <v>1220</v>
      </c>
      <c r="Z415" s="4">
        <v>180</v>
      </c>
      <c r="AA415" s="4">
        <f>=ROUNDDOWN({0},0)</f>
      </c>
      <c r="AB415" s="5"/>
      <c r="AC415" s="2" t="s">
        <v>1221</v>
      </c>
      <c r="AD415" s="4">
        <v>180</v>
      </c>
      <c r="AE415" s="4">
        <v>180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/>
      <c r="BK415" s="8"/>
      <c r="BL415" s="2" t="s">
        <v>100</v>
      </c>
      <c r="BM415" s="7"/>
      <c r="BN415" s="7"/>
      <c r="BO415" s="4"/>
      <c r="BP415" s="8"/>
      <c r="BQ415" s="4"/>
      <c r="BR415" s="8"/>
      <c r="BS415" s="7"/>
      <c r="BT415" s="7"/>
      <c r="BU415" s="2" t="s">
        <v>1171</v>
      </c>
      <c r="BV415" s="2" t="s">
        <v>97</v>
      </c>
      <c r="BW415" s="2" t="s">
        <v>100</v>
      </c>
      <c r="BX415" s="2" t="s">
        <v>100</v>
      </c>
      <c r="BY415" s="2" t="s">
        <v>112</v>
      </c>
      <c r="BZ415" s="2" t="s">
        <v>100</v>
      </c>
    </row>
    <row r="416">
      <c r="A416" s="2" t="s">
        <v>1680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1681</v>
      </c>
      <c r="G416" s="2" t="s">
        <v>1682</v>
      </c>
      <c r="H416" s="2" t="s">
        <v>1683</v>
      </c>
      <c r="I416" s="2" t="s">
        <v>1684</v>
      </c>
      <c r="J416" s="2" t="s">
        <v>95</v>
      </c>
      <c r="K416" s="2" t="s">
        <v>323</v>
      </c>
      <c r="L416" s="3">
        <v>67.2</v>
      </c>
      <c r="M416" s="3">
        <v>70.55</v>
      </c>
      <c r="N416" s="3">
        <v>139.99</v>
      </c>
      <c r="O416" s="2" t="s">
        <v>97</v>
      </c>
      <c r="P416" s="2" t="s">
        <v>198</v>
      </c>
      <c r="Q416" s="2" t="s">
        <v>99</v>
      </c>
      <c r="R416" s="2" t="s">
        <v>100</v>
      </c>
      <c r="S416" s="2" t="s">
        <v>1685</v>
      </c>
      <c r="T416" s="2" t="s">
        <v>100</v>
      </c>
      <c r="U416" s="2" t="s">
        <v>403</v>
      </c>
      <c r="V416" s="2" t="s">
        <v>1287</v>
      </c>
      <c r="W416" s="2" t="s">
        <v>104</v>
      </c>
      <c r="X416" s="2" t="s">
        <v>1686</v>
      </c>
      <c r="Y416" s="2" t="s">
        <v>106</v>
      </c>
      <c r="Z416" s="4">
        <v>424</v>
      </c>
      <c r="AA416" s="4">
        <f>=ROUNDDOWN(35.3333333333333,0)</f>
      </c>
      <c r="AB416" s="5">
        <v>12</v>
      </c>
      <c r="AC416" s="2" t="s">
        <v>269</v>
      </c>
      <c r="AD416" s="4">
        <v>30</v>
      </c>
      <c r="AE416" s="4">
        <v>170</v>
      </c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215</v>
      </c>
      <c r="BK416" s="8">
        <v>14909.34</v>
      </c>
      <c r="BL416" s="2" t="s">
        <v>1687</v>
      </c>
      <c r="BM416" s="7"/>
      <c r="BN416" s="7"/>
      <c r="BO416" s="4"/>
      <c r="BP416" s="8"/>
      <c r="BQ416" s="4"/>
      <c r="BR416" s="8"/>
      <c r="BS416" s="7"/>
      <c r="BT416" s="7"/>
      <c r="BU416" s="2" t="s">
        <v>147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1688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1681</v>
      </c>
      <c r="G417" s="2" t="s">
        <v>1682</v>
      </c>
      <c r="H417" s="2" t="s">
        <v>1683</v>
      </c>
      <c r="I417" s="2" t="s">
        <v>1684</v>
      </c>
      <c r="J417" s="2" t="s">
        <v>114</v>
      </c>
      <c r="K417" s="2" t="s">
        <v>323</v>
      </c>
      <c r="L417" s="3">
        <v>78.4</v>
      </c>
      <c r="M417" s="3">
        <v>82.31</v>
      </c>
      <c r="N417" s="3">
        <v>159.99</v>
      </c>
      <c r="O417" s="2" t="s">
        <v>97</v>
      </c>
      <c r="P417" s="2" t="s">
        <v>198</v>
      </c>
      <c r="Q417" s="2" t="s">
        <v>99</v>
      </c>
      <c r="R417" s="2" t="s">
        <v>100</v>
      </c>
      <c r="S417" s="2" t="s">
        <v>1685</v>
      </c>
      <c r="T417" s="2" t="s">
        <v>100</v>
      </c>
      <c r="U417" s="2" t="s">
        <v>403</v>
      </c>
      <c r="V417" s="2" t="s">
        <v>1287</v>
      </c>
      <c r="W417" s="2" t="s">
        <v>104</v>
      </c>
      <c r="X417" s="2" t="s">
        <v>1686</v>
      </c>
      <c r="Y417" s="2" t="s">
        <v>106</v>
      </c>
      <c r="Z417" s="4">
        <v>308</v>
      </c>
      <c r="AA417" s="4">
        <f>=ROUNDDOWN(34.2222222222222,0)</f>
      </c>
      <c r="AB417" s="5">
        <v>9</v>
      </c>
      <c r="AC417" s="2" t="s">
        <v>269</v>
      </c>
      <c r="AD417" s="4">
        <v>30</v>
      </c>
      <c r="AE417" s="4">
        <v>140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162</v>
      </c>
      <c r="BK417" s="8">
        <v>13073.64</v>
      </c>
      <c r="BL417" s="2" t="s">
        <v>1689</v>
      </c>
      <c r="BM417" s="7"/>
      <c r="BN417" s="7"/>
      <c r="BO417" s="4"/>
      <c r="BP417" s="8"/>
      <c r="BQ417" s="4"/>
      <c r="BR417" s="8"/>
      <c r="BS417" s="7"/>
      <c r="BT417" s="7"/>
      <c r="BU417" s="2" t="s">
        <v>147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1690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1681</v>
      </c>
      <c r="G418" s="2" t="s">
        <v>1682</v>
      </c>
      <c r="H418" s="2" t="s">
        <v>1683</v>
      </c>
      <c r="I418" s="2" t="s">
        <v>1684</v>
      </c>
      <c r="J418" s="2" t="s">
        <v>118</v>
      </c>
      <c r="K418" s="2" t="s">
        <v>323</v>
      </c>
      <c r="L418" s="3">
        <v>78.4</v>
      </c>
      <c r="M418" s="3">
        <v>82.31</v>
      </c>
      <c r="N418" s="3">
        <v>159.99</v>
      </c>
      <c r="O418" s="2" t="s">
        <v>97</v>
      </c>
      <c r="P418" s="2" t="s">
        <v>198</v>
      </c>
      <c r="Q418" s="2" t="s">
        <v>99</v>
      </c>
      <c r="R418" s="2" t="s">
        <v>100</v>
      </c>
      <c r="S418" s="2" t="s">
        <v>1685</v>
      </c>
      <c r="T418" s="2" t="s">
        <v>100</v>
      </c>
      <c r="U418" s="2" t="s">
        <v>403</v>
      </c>
      <c r="V418" s="2" t="s">
        <v>1287</v>
      </c>
      <c r="W418" s="2" t="s">
        <v>104</v>
      </c>
      <c r="X418" s="2" t="s">
        <v>1686</v>
      </c>
      <c r="Y418" s="2" t="s">
        <v>106</v>
      </c>
      <c r="Z418" s="4">
        <v>208</v>
      </c>
      <c r="AA418" s="4">
        <f>=ROUNDDOWN(41.6,0)</f>
      </c>
      <c r="AB418" s="5">
        <v>5</v>
      </c>
      <c r="AC418" s="2" t="s">
        <v>847</v>
      </c>
      <c r="AD418" s="4">
        <v>40</v>
      </c>
      <c r="AE418" s="4">
        <v>40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74</v>
      </c>
      <c r="BK418" s="8">
        <v>5976</v>
      </c>
      <c r="BL418" s="2" t="s">
        <v>1691</v>
      </c>
      <c r="BM418" s="7"/>
      <c r="BN418" s="7"/>
      <c r="BO418" s="4"/>
      <c r="BP418" s="8"/>
      <c r="BQ418" s="4"/>
      <c r="BR418" s="8"/>
      <c r="BS418" s="7"/>
      <c r="BT418" s="7"/>
      <c r="BU418" s="2" t="s">
        <v>147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1692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1693</v>
      </c>
      <c r="G419" s="2" t="s">
        <v>1067</v>
      </c>
      <c r="H419" s="2" t="s">
        <v>1694</v>
      </c>
      <c r="I419" s="2" t="s">
        <v>1218</v>
      </c>
      <c r="J419" s="2" t="s">
        <v>844</v>
      </c>
      <c r="K419" s="2" t="s">
        <v>1695</v>
      </c>
      <c r="L419" s="3">
        <v>41.14</v>
      </c>
      <c r="M419" s="3">
        <v>43.2</v>
      </c>
      <c r="N419" s="3">
        <v>89.99</v>
      </c>
      <c r="O419" s="2" t="s">
        <v>97</v>
      </c>
      <c r="P419" s="2" t="s">
        <v>1166</v>
      </c>
      <c r="Q419" s="2" t="s">
        <v>99</v>
      </c>
      <c r="R419" s="2" t="s">
        <v>100</v>
      </c>
      <c r="S419" s="2" t="s">
        <v>1696</v>
      </c>
      <c r="T419" s="2" t="s">
        <v>1168</v>
      </c>
      <c r="U419" s="2" t="s">
        <v>490</v>
      </c>
      <c r="V419" s="2" t="s">
        <v>561</v>
      </c>
      <c r="W419" s="2" t="s">
        <v>405</v>
      </c>
      <c r="X419" s="2" t="s">
        <v>104</v>
      </c>
      <c r="Y419" s="2" t="s">
        <v>1697</v>
      </c>
      <c r="Z419" s="4">
        <v>201</v>
      </c>
      <c r="AA419" s="4">
        <f>=ROUNDDOWN({0},0)</f>
      </c>
      <c r="AB419" s="5"/>
      <c r="AC419" s="2" t="s">
        <v>1698</v>
      </c>
      <c r="AD419" s="4">
        <v>200</v>
      </c>
      <c r="AE419" s="4">
        <v>200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/>
      <c r="BK419" s="8"/>
      <c r="BL419" s="2" t="s">
        <v>100</v>
      </c>
      <c r="BM419" s="7"/>
      <c r="BN419" s="7"/>
      <c r="BO419" s="4"/>
      <c r="BP419" s="8"/>
      <c r="BQ419" s="4"/>
      <c r="BR419" s="8"/>
      <c r="BS419" s="7"/>
      <c r="BT419" s="7"/>
      <c r="BU419" s="2" t="s">
        <v>1171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1699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1693</v>
      </c>
      <c r="G420" s="2" t="s">
        <v>1067</v>
      </c>
      <c r="H420" s="2" t="s">
        <v>1694</v>
      </c>
      <c r="I420" s="2" t="s">
        <v>1218</v>
      </c>
      <c r="J420" s="2" t="s">
        <v>850</v>
      </c>
      <c r="K420" s="2" t="s">
        <v>1695</v>
      </c>
      <c r="L420" s="3">
        <v>45.71</v>
      </c>
      <c r="M420" s="3">
        <v>48</v>
      </c>
      <c r="N420" s="3">
        <v>99.99</v>
      </c>
      <c r="O420" s="2" t="s">
        <v>97</v>
      </c>
      <c r="P420" s="2" t="s">
        <v>1166</v>
      </c>
      <c r="Q420" s="2" t="s">
        <v>99</v>
      </c>
      <c r="R420" s="2" t="s">
        <v>100</v>
      </c>
      <c r="S420" s="2" t="s">
        <v>1696</v>
      </c>
      <c r="T420" s="2" t="s">
        <v>1168</v>
      </c>
      <c r="U420" s="2" t="s">
        <v>490</v>
      </c>
      <c r="V420" s="2" t="s">
        <v>561</v>
      </c>
      <c r="W420" s="2" t="s">
        <v>405</v>
      </c>
      <c r="X420" s="2" t="s">
        <v>104</v>
      </c>
      <c r="Y420" s="2" t="s">
        <v>1697</v>
      </c>
      <c r="Z420" s="4">
        <v>200</v>
      </c>
      <c r="AA420" s="4">
        <f>=ROUNDDOWN({0},0)</f>
      </c>
      <c r="AB420" s="5"/>
      <c r="AC420" s="2" t="s">
        <v>1698</v>
      </c>
      <c r="AD420" s="4">
        <v>200</v>
      </c>
      <c r="AE420" s="4">
        <v>200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/>
      <c r="BK420" s="8"/>
      <c r="BL420" s="2" t="s">
        <v>100</v>
      </c>
      <c r="BM420" s="7"/>
      <c r="BN420" s="7"/>
      <c r="BO420" s="4"/>
      <c r="BP420" s="8"/>
      <c r="BQ420" s="4"/>
      <c r="BR420" s="8"/>
      <c r="BS420" s="7"/>
      <c r="BT420" s="7"/>
      <c r="BU420" s="2" t="s">
        <v>1171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1700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1693</v>
      </c>
      <c r="G421" s="2" t="s">
        <v>1067</v>
      </c>
      <c r="H421" s="2" t="s">
        <v>1694</v>
      </c>
      <c r="I421" s="2" t="s">
        <v>1218</v>
      </c>
      <c r="J421" s="2" t="s">
        <v>844</v>
      </c>
      <c r="K421" s="2" t="s">
        <v>1701</v>
      </c>
      <c r="L421" s="3">
        <v>41.14</v>
      </c>
      <c r="M421" s="3">
        <v>43.2</v>
      </c>
      <c r="N421" s="3">
        <v>89.99</v>
      </c>
      <c r="O421" s="2" t="s">
        <v>97</v>
      </c>
      <c r="P421" s="2" t="s">
        <v>1166</v>
      </c>
      <c r="Q421" s="2" t="s">
        <v>99</v>
      </c>
      <c r="R421" s="2" t="s">
        <v>100</v>
      </c>
      <c r="S421" s="2" t="s">
        <v>1702</v>
      </c>
      <c r="T421" s="2" t="s">
        <v>1168</v>
      </c>
      <c r="U421" s="2" t="s">
        <v>490</v>
      </c>
      <c r="V421" s="2" t="s">
        <v>561</v>
      </c>
      <c r="W421" s="2" t="s">
        <v>405</v>
      </c>
      <c r="X421" s="2" t="s">
        <v>104</v>
      </c>
      <c r="Y421" s="2" t="s">
        <v>1697</v>
      </c>
      <c r="Z421" s="4">
        <v>219</v>
      </c>
      <c r="AA421" s="4">
        <f>=ROUNDDOWN({0},0)</f>
      </c>
      <c r="AB421" s="5"/>
      <c r="AC421" s="2" t="s">
        <v>1698</v>
      </c>
      <c r="AD421" s="4">
        <v>220</v>
      </c>
      <c r="AE421" s="4">
        <v>220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/>
      <c r="BK421" s="8"/>
      <c r="BL421" s="2" t="s">
        <v>100</v>
      </c>
      <c r="BM421" s="7"/>
      <c r="BN421" s="7"/>
      <c r="BO421" s="4"/>
      <c r="BP421" s="8"/>
      <c r="BQ421" s="4"/>
      <c r="BR421" s="8"/>
      <c r="BS421" s="7"/>
      <c r="BT421" s="7"/>
      <c r="BU421" s="2" t="s">
        <v>1171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1703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1693</v>
      </c>
      <c r="G422" s="2" t="s">
        <v>1067</v>
      </c>
      <c r="H422" s="2" t="s">
        <v>1694</v>
      </c>
      <c r="I422" s="2" t="s">
        <v>1218</v>
      </c>
      <c r="J422" s="2" t="s">
        <v>850</v>
      </c>
      <c r="K422" s="2" t="s">
        <v>1701</v>
      </c>
      <c r="L422" s="3">
        <v>45.71</v>
      </c>
      <c r="M422" s="3">
        <v>48</v>
      </c>
      <c r="N422" s="3">
        <v>99.99</v>
      </c>
      <c r="O422" s="2" t="s">
        <v>97</v>
      </c>
      <c r="P422" s="2" t="s">
        <v>1166</v>
      </c>
      <c r="Q422" s="2" t="s">
        <v>99</v>
      </c>
      <c r="R422" s="2" t="s">
        <v>100</v>
      </c>
      <c r="S422" s="2" t="s">
        <v>1702</v>
      </c>
      <c r="T422" s="2" t="s">
        <v>1168</v>
      </c>
      <c r="U422" s="2" t="s">
        <v>490</v>
      </c>
      <c r="V422" s="2" t="s">
        <v>561</v>
      </c>
      <c r="W422" s="2" t="s">
        <v>405</v>
      </c>
      <c r="X422" s="2" t="s">
        <v>104</v>
      </c>
      <c r="Y422" s="2" t="s">
        <v>1697</v>
      </c>
      <c r="Z422" s="4">
        <v>180</v>
      </c>
      <c r="AA422" s="4">
        <f>=ROUNDDOWN({0},0)</f>
      </c>
      <c r="AB422" s="5"/>
      <c r="AC422" s="2" t="s">
        <v>1698</v>
      </c>
      <c r="AD422" s="4">
        <v>180</v>
      </c>
      <c r="AE422" s="4">
        <v>180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/>
      <c r="BK422" s="8"/>
      <c r="BL422" s="2" t="s">
        <v>100</v>
      </c>
      <c r="BM422" s="7"/>
      <c r="BN422" s="7"/>
      <c r="BO422" s="4"/>
      <c r="BP422" s="8"/>
      <c r="BQ422" s="4"/>
      <c r="BR422" s="8"/>
      <c r="BS422" s="7"/>
      <c r="BT422" s="7"/>
      <c r="BU422" s="2" t="s">
        <v>1171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1704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1705</v>
      </c>
      <c r="G423" s="2" t="s">
        <v>1706</v>
      </c>
      <c r="H423" s="2" t="s">
        <v>1707</v>
      </c>
      <c r="I423" s="2" t="s">
        <v>1708</v>
      </c>
      <c r="J423" s="2" t="s">
        <v>95</v>
      </c>
      <c r="K423" s="2" t="s">
        <v>713</v>
      </c>
      <c r="L423" s="3">
        <v>69</v>
      </c>
      <c r="M423" s="3">
        <v>72.45</v>
      </c>
      <c r="N423" s="3">
        <v>149.99</v>
      </c>
      <c r="O423" s="2" t="s">
        <v>97</v>
      </c>
      <c r="P423" s="2" t="s">
        <v>198</v>
      </c>
      <c r="Q423" s="2" t="s">
        <v>99</v>
      </c>
      <c r="R423" s="2" t="s">
        <v>100</v>
      </c>
      <c r="S423" s="2" t="s">
        <v>1709</v>
      </c>
      <c r="T423" s="2" t="s">
        <v>100</v>
      </c>
      <c r="U423" s="2" t="s">
        <v>102</v>
      </c>
      <c r="V423" s="2" t="s">
        <v>455</v>
      </c>
      <c r="W423" s="2" t="s">
        <v>1530</v>
      </c>
      <c r="X423" s="2" t="s">
        <v>201</v>
      </c>
      <c r="Y423" s="2" t="s">
        <v>1322</v>
      </c>
      <c r="Z423" s="4">
        <v>118</v>
      </c>
      <c r="AA423" s="4">
        <f>=ROUNDDOWN(4.35424354243542,0)</f>
      </c>
      <c r="AB423" s="5">
        <v>27.1</v>
      </c>
      <c r="AC423" s="2" t="s">
        <v>100</v>
      </c>
      <c r="AD423" s="4"/>
      <c r="AE423" s="4"/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278</v>
      </c>
      <c r="BK423" s="8">
        <v>15229.49</v>
      </c>
      <c r="BL423" s="2" t="s">
        <v>1710</v>
      </c>
      <c r="BM423" s="7"/>
      <c r="BN423" s="7"/>
      <c r="BO423" s="4"/>
      <c r="BP423" s="8"/>
      <c r="BQ423" s="4"/>
      <c r="BR423" s="8"/>
      <c r="BS423" s="7"/>
      <c r="BT423" s="7"/>
      <c r="BU423" s="2" t="s">
        <v>147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1711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1705</v>
      </c>
      <c r="G424" s="2" t="s">
        <v>1706</v>
      </c>
      <c r="H424" s="2" t="s">
        <v>1707</v>
      </c>
      <c r="I424" s="2" t="s">
        <v>1708</v>
      </c>
      <c r="J424" s="2" t="s">
        <v>114</v>
      </c>
      <c r="K424" s="2" t="s">
        <v>713</v>
      </c>
      <c r="L424" s="3">
        <v>78.2</v>
      </c>
      <c r="M424" s="3">
        <v>82.11</v>
      </c>
      <c r="N424" s="3">
        <v>169.99</v>
      </c>
      <c r="O424" s="2" t="s">
        <v>97</v>
      </c>
      <c r="P424" s="2" t="s">
        <v>198</v>
      </c>
      <c r="Q424" s="2" t="s">
        <v>99</v>
      </c>
      <c r="R424" s="2" t="s">
        <v>100</v>
      </c>
      <c r="S424" s="2" t="s">
        <v>1709</v>
      </c>
      <c r="T424" s="2" t="s">
        <v>100</v>
      </c>
      <c r="U424" s="2" t="s">
        <v>102</v>
      </c>
      <c r="V424" s="2" t="s">
        <v>455</v>
      </c>
      <c r="W424" s="2" t="s">
        <v>1530</v>
      </c>
      <c r="X424" s="2" t="s">
        <v>201</v>
      </c>
      <c r="Y424" s="2" t="s">
        <v>1322</v>
      </c>
      <c r="Z424" s="4">
        <v>193</v>
      </c>
      <c r="AA424" s="4">
        <f>=ROUNDDOWN(12.8666666666667,0)</f>
      </c>
      <c r="AB424" s="5">
        <v>15</v>
      </c>
      <c r="AC424" s="2" t="s">
        <v>100</v>
      </c>
      <c r="AD424" s="4"/>
      <c r="AE424" s="4"/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216</v>
      </c>
      <c r="BK424" s="8">
        <v>13982.55</v>
      </c>
      <c r="BL424" s="2" t="s">
        <v>1712</v>
      </c>
      <c r="BM424" s="7"/>
      <c r="BN424" s="7"/>
      <c r="BO424" s="4"/>
      <c r="BP424" s="8"/>
      <c r="BQ424" s="4"/>
      <c r="BR424" s="8"/>
      <c r="BS424" s="7"/>
      <c r="BT424" s="7"/>
      <c r="BU424" s="2" t="s">
        <v>147</v>
      </c>
      <c r="BV424" s="2" t="s">
        <v>97</v>
      </c>
      <c r="BW424" s="2" t="s">
        <v>100</v>
      </c>
      <c r="BX424" s="2" t="s">
        <v>100</v>
      </c>
      <c r="BY424" s="2" t="s">
        <v>112</v>
      </c>
      <c r="BZ424" s="2" t="s">
        <v>100</v>
      </c>
    </row>
    <row r="425">
      <c r="A425" s="2" t="s">
        <v>1713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1705</v>
      </c>
      <c r="G425" s="2" t="s">
        <v>1706</v>
      </c>
      <c r="H425" s="2" t="s">
        <v>1707</v>
      </c>
      <c r="I425" s="2" t="s">
        <v>1708</v>
      </c>
      <c r="J425" s="2" t="s">
        <v>118</v>
      </c>
      <c r="K425" s="2" t="s">
        <v>713</v>
      </c>
      <c r="L425" s="3">
        <v>78.2</v>
      </c>
      <c r="M425" s="3">
        <v>82.11</v>
      </c>
      <c r="N425" s="3">
        <v>169.99</v>
      </c>
      <c r="O425" s="2" t="s">
        <v>97</v>
      </c>
      <c r="P425" s="2" t="s">
        <v>198</v>
      </c>
      <c r="Q425" s="2" t="s">
        <v>99</v>
      </c>
      <c r="R425" s="2" t="s">
        <v>100</v>
      </c>
      <c r="S425" s="2" t="s">
        <v>1709</v>
      </c>
      <c r="T425" s="2" t="s">
        <v>100</v>
      </c>
      <c r="U425" s="2" t="s">
        <v>102</v>
      </c>
      <c r="V425" s="2" t="s">
        <v>455</v>
      </c>
      <c r="W425" s="2" t="s">
        <v>1530</v>
      </c>
      <c r="X425" s="2" t="s">
        <v>201</v>
      </c>
      <c r="Y425" s="2" t="s">
        <v>1322</v>
      </c>
      <c r="Z425" s="4">
        <v>76</v>
      </c>
      <c r="AA425" s="4">
        <f>=ROUNDDOWN(12.6666666666667,0)</f>
      </c>
      <c r="AB425" s="5">
        <v>6</v>
      </c>
      <c r="AC425" s="2" t="s">
        <v>100</v>
      </c>
      <c r="AD425" s="4"/>
      <c r="AE425" s="4"/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102</v>
      </c>
      <c r="BK425" s="8">
        <v>6071.07</v>
      </c>
      <c r="BL425" s="2" t="s">
        <v>1714</v>
      </c>
      <c r="BM425" s="7"/>
      <c r="BN425" s="7"/>
      <c r="BO425" s="4"/>
      <c r="BP425" s="8"/>
      <c r="BQ425" s="4"/>
      <c r="BR425" s="8"/>
      <c r="BS425" s="7"/>
      <c r="BT425" s="7"/>
      <c r="BU425" s="2" t="s">
        <v>147</v>
      </c>
      <c r="BV425" s="2" t="s">
        <v>97</v>
      </c>
      <c r="BW425" s="2" t="s">
        <v>100</v>
      </c>
      <c r="BX425" s="2" t="s">
        <v>100</v>
      </c>
      <c r="BY425" s="2" t="s">
        <v>112</v>
      </c>
      <c r="BZ425" s="2" t="s">
        <v>100</v>
      </c>
    </row>
    <row r="426">
      <c r="A426" s="2" t="s">
        <v>1715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1716</v>
      </c>
      <c r="G426" s="2" t="s">
        <v>1717</v>
      </c>
      <c r="H426" s="2" t="s">
        <v>1718</v>
      </c>
      <c r="I426" s="2" t="s">
        <v>1719</v>
      </c>
      <c r="J426" s="2" t="s">
        <v>95</v>
      </c>
      <c r="K426" s="2" t="s">
        <v>96</v>
      </c>
      <c r="L426" s="3">
        <v>75.2</v>
      </c>
      <c r="M426" s="3">
        <v>78.96</v>
      </c>
      <c r="N426" s="3">
        <v>159.99</v>
      </c>
      <c r="O426" s="2" t="s">
        <v>97</v>
      </c>
      <c r="P426" s="2" t="s">
        <v>198</v>
      </c>
      <c r="Q426" s="2" t="s">
        <v>99</v>
      </c>
      <c r="R426" s="2" t="s">
        <v>100</v>
      </c>
      <c r="S426" s="2" t="s">
        <v>1720</v>
      </c>
      <c r="T426" s="2" t="s">
        <v>100</v>
      </c>
      <c r="U426" s="2" t="s">
        <v>807</v>
      </c>
      <c r="V426" s="2" t="s">
        <v>491</v>
      </c>
      <c r="W426" s="2" t="s">
        <v>104</v>
      </c>
      <c r="X426" s="2" t="s">
        <v>791</v>
      </c>
      <c r="Y426" s="2" t="s">
        <v>106</v>
      </c>
      <c r="Z426" s="4">
        <v>444</v>
      </c>
      <c r="AA426" s="4">
        <f>=ROUNDDOWN(49.3333333333333,0)</f>
      </c>
      <c r="AB426" s="5">
        <v>9</v>
      </c>
      <c r="AC426" s="2" t="s">
        <v>936</v>
      </c>
      <c r="AD426" s="4">
        <v>120</v>
      </c>
      <c r="AE426" s="4">
        <v>160</v>
      </c>
      <c r="AF426" s="6">
        <v>65</v>
      </c>
      <c r="AG426" s="6">
        <v>73</v>
      </c>
      <c r="AH426" s="7">
        <v>0.9273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180</v>
      </c>
      <c r="BK426" s="8">
        <v>13839.88</v>
      </c>
      <c r="BL426" s="2" t="s">
        <v>1721</v>
      </c>
      <c r="BM426" s="7"/>
      <c r="BN426" s="7"/>
      <c r="BO426" s="4"/>
      <c r="BP426" s="8"/>
      <c r="BQ426" s="4"/>
      <c r="BR426" s="8"/>
      <c r="BS426" s="7"/>
      <c r="BT426" s="7"/>
      <c r="BU426" s="2" t="s">
        <v>147</v>
      </c>
      <c r="BV426" s="2" t="s">
        <v>97</v>
      </c>
      <c r="BW426" s="2" t="s">
        <v>100</v>
      </c>
      <c r="BX426" s="2" t="s">
        <v>100</v>
      </c>
      <c r="BY426" s="2" t="s">
        <v>112</v>
      </c>
      <c r="BZ426" s="2" t="s">
        <v>100</v>
      </c>
    </row>
    <row r="427">
      <c r="A427" s="2" t="s">
        <v>1722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1716</v>
      </c>
      <c r="G427" s="2" t="s">
        <v>1717</v>
      </c>
      <c r="H427" s="2" t="s">
        <v>1718</v>
      </c>
      <c r="I427" s="2" t="s">
        <v>1719</v>
      </c>
      <c r="J427" s="2" t="s">
        <v>114</v>
      </c>
      <c r="K427" s="2" t="s">
        <v>96</v>
      </c>
      <c r="L427" s="3">
        <v>84.6</v>
      </c>
      <c r="M427" s="3">
        <v>88.83</v>
      </c>
      <c r="N427" s="3">
        <v>179.99</v>
      </c>
      <c r="O427" s="2" t="s">
        <v>97</v>
      </c>
      <c r="P427" s="2" t="s">
        <v>198</v>
      </c>
      <c r="Q427" s="2" t="s">
        <v>99</v>
      </c>
      <c r="R427" s="2" t="s">
        <v>100</v>
      </c>
      <c r="S427" s="2" t="s">
        <v>1720</v>
      </c>
      <c r="T427" s="2" t="s">
        <v>100</v>
      </c>
      <c r="U427" s="2" t="s">
        <v>807</v>
      </c>
      <c r="V427" s="2" t="s">
        <v>491</v>
      </c>
      <c r="W427" s="2" t="s">
        <v>104</v>
      </c>
      <c r="X427" s="2" t="s">
        <v>791</v>
      </c>
      <c r="Y427" s="2" t="s">
        <v>1723</v>
      </c>
      <c r="Z427" s="4">
        <v>269</v>
      </c>
      <c r="AA427" s="4">
        <f>=ROUNDDOWN(26.9,0)</f>
      </c>
      <c r="AB427" s="5">
        <v>10</v>
      </c>
      <c r="AC427" s="2" t="s">
        <v>936</v>
      </c>
      <c r="AD427" s="4">
        <v>120</v>
      </c>
      <c r="AE427" s="4">
        <v>120</v>
      </c>
      <c r="AF427" s="6">
        <v>65</v>
      </c>
      <c r="AG427" s="6">
        <v>73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185</v>
      </c>
      <c r="BK427" s="8">
        <v>16075.32</v>
      </c>
      <c r="BL427" s="2" t="s">
        <v>1724</v>
      </c>
      <c r="BM427" s="7"/>
      <c r="BN427" s="7"/>
      <c r="BO427" s="4"/>
      <c r="BP427" s="8"/>
      <c r="BQ427" s="4"/>
      <c r="BR427" s="8"/>
      <c r="BS427" s="7"/>
      <c r="BT427" s="7"/>
      <c r="BU427" s="2" t="s">
        <v>147</v>
      </c>
      <c r="BV427" s="2" t="s">
        <v>97</v>
      </c>
      <c r="BW427" s="2" t="s">
        <v>100</v>
      </c>
      <c r="BX427" s="2" t="s">
        <v>100</v>
      </c>
      <c r="BY427" s="2" t="s">
        <v>112</v>
      </c>
      <c r="BZ427" s="2" t="s">
        <v>100</v>
      </c>
    </row>
    <row r="428">
      <c r="A428" s="2" t="s">
        <v>1725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1716</v>
      </c>
      <c r="G428" s="2" t="s">
        <v>1717</v>
      </c>
      <c r="H428" s="2" t="s">
        <v>1718</v>
      </c>
      <c r="I428" s="2" t="s">
        <v>1719</v>
      </c>
      <c r="J428" s="2" t="s">
        <v>118</v>
      </c>
      <c r="K428" s="2" t="s">
        <v>96</v>
      </c>
      <c r="L428" s="3">
        <v>84.6</v>
      </c>
      <c r="M428" s="3">
        <v>88.83</v>
      </c>
      <c r="N428" s="3">
        <v>179.99</v>
      </c>
      <c r="O428" s="2" t="s">
        <v>97</v>
      </c>
      <c r="P428" s="2" t="s">
        <v>198</v>
      </c>
      <c r="Q428" s="2" t="s">
        <v>99</v>
      </c>
      <c r="R428" s="2" t="s">
        <v>100</v>
      </c>
      <c r="S428" s="2" t="s">
        <v>1720</v>
      </c>
      <c r="T428" s="2" t="s">
        <v>100</v>
      </c>
      <c r="U428" s="2" t="s">
        <v>807</v>
      </c>
      <c r="V428" s="2" t="s">
        <v>491</v>
      </c>
      <c r="W428" s="2" t="s">
        <v>104</v>
      </c>
      <c r="X428" s="2" t="s">
        <v>791</v>
      </c>
      <c r="Y428" s="2" t="s">
        <v>162</v>
      </c>
      <c r="Z428" s="4">
        <v>190</v>
      </c>
      <c r="AA428" s="4">
        <f>=ROUNDDOWN(27.1428571428571,0)</f>
      </c>
      <c r="AB428" s="5">
        <v>7</v>
      </c>
      <c r="AC428" s="2" t="s">
        <v>936</v>
      </c>
      <c r="AD428" s="4">
        <v>50</v>
      </c>
      <c r="AE428" s="4">
        <v>120</v>
      </c>
      <c r="AF428" s="6">
        <v>65</v>
      </c>
      <c r="AG428" s="6">
        <v>73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101</v>
      </c>
      <c r="BK428" s="8">
        <v>8684.93</v>
      </c>
      <c r="BL428" s="2" t="s">
        <v>1726</v>
      </c>
      <c r="BM428" s="7"/>
      <c r="BN428" s="7"/>
      <c r="BO428" s="4"/>
      <c r="BP428" s="8"/>
      <c r="BQ428" s="4"/>
      <c r="BR428" s="8"/>
      <c r="BS428" s="7"/>
      <c r="BT428" s="7"/>
      <c r="BU428" s="2" t="s">
        <v>147</v>
      </c>
      <c r="BV428" s="2" t="s">
        <v>97</v>
      </c>
      <c r="BW428" s="2" t="s">
        <v>100</v>
      </c>
      <c r="BX428" s="2" t="s">
        <v>100</v>
      </c>
      <c r="BY428" s="2" t="s">
        <v>112</v>
      </c>
      <c r="BZ428" s="2" t="s">
        <v>100</v>
      </c>
    </row>
    <row r="429">
      <c r="A429" s="2" t="s">
        <v>1727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1728</v>
      </c>
      <c r="G429" s="2" t="s">
        <v>1729</v>
      </c>
      <c r="H429" s="2" t="s">
        <v>1031</v>
      </c>
      <c r="I429" s="2" t="s">
        <v>1730</v>
      </c>
      <c r="J429" s="2" t="s">
        <v>844</v>
      </c>
      <c r="K429" s="2" t="s">
        <v>635</v>
      </c>
      <c r="L429" s="3">
        <v>61.73</v>
      </c>
      <c r="M429" s="3">
        <v>64.82</v>
      </c>
      <c r="N429" s="3">
        <v>129.99</v>
      </c>
      <c r="O429" s="2" t="s">
        <v>97</v>
      </c>
      <c r="P429" s="2" t="s">
        <v>143</v>
      </c>
      <c r="Q429" s="2" t="s">
        <v>99</v>
      </c>
      <c r="R429" s="2" t="s">
        <v>100</v>
      </c>
      <c r="S429" s="2" t="s">
        <v>1731</v>
      </c>
      <c r="T429" s="2" t="s">
        <v>100</v>
      </c>
      <c r="U429" s="2" t="s">
        <v>490</v>
      </c>
      <c r="V429" s="2" t="s">
        <v>601</v>
      </c>
      <c r="W429" s="2" t="s">
        <v>733</v>
      </c>
      <c r="X429" s="2" t="s">
        <v>1732</v>
      </c>
      <c r="Y429" s="2" t="s">
        <v>1733</v>
      </c>
      <c r="Z429" s="4">
        <v>503</v>
      </c>
      <c r="AA429" s="4">
        <f>=ROUNDDOWN(23.952380952381,0)</f>
      </c>
      <c r="AB429" s="5">
        <v>21</v>
      </c>
      <c r="AC429" s="2" t="s">
        <v>589</v>
      </c>
      <c r="AD429" s="4">
        <v>320</v>
      </c>
      <c r="AE429" s="4">
        <v>320</v>
      </c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482</v>
      </c>
      <c r="BK429" s="8">
        <v>34916.21</v>
      </c>
      <c r="BL429" s="2" t="s">
        <v>1734</v>
      </c>
      <c r="BM429" s="7"/>
      <c r="BN429" s="7"/>
      <c r="BO429" s="4"/>
      <c r="BP429" s="8"/>
      <c r="BQ429" s="4"/>
      <c r="BR429" s="8"/>
      <c r="BS429" s="7"/>
      <c r="BT429" s="7"/>
      <c r="BU429" s="2" t="s">
        <v>147</v>
      </c>
      <c r="BV429" s="2" t="s">
        <v>97</v>
      </c>
      <c r="BW429" s="2" t="s">
        <v>100</v>
      </c>
      <c r="BX429" s="2" t="s">
        <v>100</v>
      </c>
      <c r="BY429" s="2" t="s">
        <v>112</v>
      </c>
      <c r="BZ429" s="2" t="s">
        <v>100</v>
      </c>
    </row>
    <row r="430">
      <c r="A430" s="2" t="s">
        <v>1735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1728</v>
      </c>
      <c r="G430" s="2" t="s">
        <v>1729</v>
      </c>
      <c r="H430" s="2" t="s">
        <v>1031</v>
      </c>
      <c r="I430" s="2" t="s">
        <v>1730</v>
      </c>
      <c r="J430" s="2" t="s">
        <v>850</v>
      </c>
      <c r="K430" s="2" t="s">
        <v>635</v>
      </c>
      <c r="L430" s="3">
        <v>67.5</v>
      </c>
      <c r="M430" s="3">
        <v>70.88</v>
      </c>
      <c r="N430" s="3">
        <v>139.99</v>
      </c>
      <c r="O430" s="2" t="s">
        <v>97</v>
      </c>
      <c r="P430" s="2" t="s">
        <v>143</v>
      </c>
      <c r="Q430" s="2" t="s">
        <v>99</v>
      </c>
      <c r="R430" s="2" t="s">
        <v>100</v>
      </c>
      <c r="S430" s="2" t="s">
        <v>1731</v>
      </c>
      <c r="T430" s="2" t="s">
        <v>100</v>
      </c>
      <c r="U430" s="2" t="s">
        <v>490</v>
      </c>
      <c r="V430" s="2" t="s">
        <v>601</v>
      </c>
      <c r="W430" s="2" t="s">
        <v>733</v>
      </c>
      <c r="X430" s="2" t="s">
        <v>1732</v>
      </c>
      <c r="Y430" s="2" t="s">
        <v>1733</v>
      </c>
      <c r="Z430" s="4">
        <v>572</v>
      </c>
      <c r="AA430" s="4">
        <f>=ROUNDDOWN(22.88,0)</f>
      </c>
      <c r="AB430" s="5">
        <v>25</v>
      </c>
      <c r="AC430" s="2" t="s">
        <v>589</v>
      </c>
      <c r="AD430" s="4">
        <v>480</v>
      </c>
      <c r="AE430" s="4">
        <v>480</v>
      </c>
      <c r="AF430" s="6">
        <v>66</v>
      </c>
      <c r="AG430" s="6">
        <v>49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705</v>
      </c>
      <c r="BK430" s="8">
        <v>55352.03</v>
      </c>
      <c r="BL430" s="2" t="s">
        <v>1734</v>
      </c>
      <c r="BM430" s="7"/>
      <c r="BN430" s="7"/>
      <c r="BO430" s="4"/>
      <c r="BP430" s="8"/>
      <c r="BQ430" s="4"/>
      <c r="BR430" s="8"/>
      <c r="BS430" s="7"/>
      <c r="BT430" s="7"/>
      <c r="BU430" s="2" t="s">
        <v>147</v>
      </c>
      <c r="BV430" s="2" t="s">
        <v>97</v>
      </c>
      <c r="BW430" s="2" t="s">
        <v>100</v>
      </c>
      <c r="BX430" s="2" t="s">
        <v>100</v>
      </c>
      <c r="BY430" s="2" t="s">
        <v>112</v>
      </c>
      <c r="BZ430" s="2" t="s">
        <v>100</v>
      </c>
    </row>
    <row r="431">
      <c r="A431" s="2" t="s">
        <v>1736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1737</v>
      </c>
      <c r="G431" s="2" t="s">
        <v>1738</v>
      </c>
      <c r="H431" s="2" t="s">
        <v>1739</v>
      </c>
      <c r="I431" s="2" t="s">
        <v>196</v>
      </c>
      <c r="J431" s="2" t="s">
        <v>95</v>
      </c>
      <c r="K431" s="2" t="s">
        <v>158</v>
      </c>
      <c r="L431" s="3">
        <v>67.2</v>
      </c>
      <c r="M431" s="3">
        <v>70.55</v>
      </c>
      <c r="N431" s="3">
        <v>139.99</v>
      </c>
      <c r="O431" s="2" t="s">
        <v>229</v>
      </c>
      <c r="P431" s="2" t="s">
        <v>198</v>
      </c>
      <c r="Q431" s="2" t="s">
        <v>99</v>
      </c>
      <c r="R431" s="2" t="s">
        <v>100</v>
      </c>
      <c r="S431" s="2" t="s">
        <v>1740</v>
      </c>
      <c r="T431" s="2" t="s">
        <v>100</v>
      </c>
      <c r="U431" s="2" t="s">
        <v>102</v>
      </c>
      <c r="V431" s="2" t="s">
        <v>1741</v>
      </c>
      <c r="W431" s="2" t="s">
        <v>1530</v>
      </c>
      <c r="X431" s="2" t="s">
        <v>1742</v>
      </c>
      <c r="Y431" s="2" t="s">
        <v>106</v>
      </c>
      <c r="Z431" s="4">
        <v>42</v>
      </c>
      <c r="AA431" s="4">
        <f>=ROUNDDOWN(6,0)</f>
      </c>
      <c r="AB431" s="5">
        <v>7</v>
      </c>
      <c r="AC431" s="2" t="s">
        <v>100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143</v>
      </c>
      <c r="BK431" s="8">
        <v>8209.52</v>
      </c>
      <c r="BL431" s="2" t="s">
        <v>1743</v>
      </c>
      <c r="BM431" s="7"/>
      <c r="BN431" s="7"/>
      <c r="BO431" s="4"/>
      <c r="BP431" s="8"/>
      <c r="BQ431" s="4"/>
      <c r="BR431" s="8"/>
      <c r="BS431" s="7"/>
      <c r="BT431" s="7"/>
      <c r="BU431" s="2" t="s">
        <v>147</v>
      </c>
      <c r="BV431" s="2" t="s">
        <v>97</v>
      </c>
      <c r="BW431" s="2" t="s">
        <v>100</v>
      </c>
      <c r="BX431" s="2" t="s">
        <v>100</v>
      </c>
      <c r="BY431" s="2" t="s">
        <v>112</v>
      </c>
      <c r="BZ431" s="2" t="s">
        <v>100</v>
      </c>
    </row>
    <row r="432">
      <c r="A432" s="2" t="s">
        <v>1744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1737</v>
      </c>
      <c r="G432" s="2" t="s">
        <v>1738</v>
      </c>
      <c r="H432" s="2" t="s">
        <v>1739</v>
      </c>
      <c r="I432" s="2" t="s">
        <v>196</v>
      </c>
      <c r="J432" s="2" t="s">
        <v>114</v>
      </c>
      <c r="K432" s="2" t="s">
        <v>158</v>
      </c>
      <c r="L432" s="3">
        <v>76.8</v>
      </c>
      <c r="M432" s="3">
        <v>80.63</v>
      </c>
      <c r="N432" s="3">
        <v>159.99</v>
      </c>
      <c r="O432" s="2" t="s">
        <v>229</v>
      </c>
      <c r="P432" s="2" t="s">
        <v>198</v>
      </c>
      <c r="Q432" s="2" t="s">
        <v>99</v>
      </c>
      <c r="R432" s="2" t="s">
        <v>100</v>
      </c>
      <c r="S432" s="2" t="s">
        <v>1740</v>
      </c>
      <c r="T432" s="2" t="s">
        <v>100</v>
      </c>
      <c r="U432" s="2" t="s">
        <v>102</v>
      </c>
      <c r="V432" s="2" t="s">
        <v>1741</v>
      </c>
      <c r="W432" s="2" t="s">
        <v>1530</v>
      </c>
      <c r="X432" s="2" t="s">
        <v>1742</v>
      </c>
      <c r="Y432" s="2" t="s">
        <v>106</v>
      </c>
      <c r="Z432" s="4">
        <v>81</v>
      </c>
      <c r="AA432" s="4">
        <f>=ROUNDDOWN(16.2,0)</f>
      </c>
      <c r="AB432" s="5">
        <v>5</v>
      </c>
      <c r="AC432" s="2" t="s">
        <v>100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109</v>
      </c>
      <c r="BK432" s="8">
        <v>6826.32</v>
      </c>
      <c r="BL432" s="2" t="s">
        <v>1463</v>
      </c>
      <c r="BM432" s="7"/>
      <c r="BN432" s="7"/>
      <c r="BO432" s="4"/>
      <c r="BP432" s="8"/>
      <c r="BQ432" s="4"/>
      <c r="BR432" s="8"/>
      <c r="BS432" s="7"/>
      <c r="BT432" s="7"/>
      <c r="BU432" s="2" t="s">
        <v>147</v>
      </c>
      <c r="BV432" s="2" t="s">
        <v>97</v>
      </c>
      <c r="BW432" s="2" t="s">
        <v>100</v>
      </c>
      <c r="BX432" s="2" t="s">
        <v>100</v>
      </c>
      <c r="BY432" s="2" t="s">
        <v>112</v>
      </c>
      <c r="BZ432" s="2" t="s">
        <v>100</v>
      </c>
    </row>
    <row r="433">
      <c r="A433" s="2" t="s">
        <v>1745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1737</v>
      </c>
      <c r="G433" s="2" t="s">
        <v>1738</v>
      </c>
      <c r="H433" s="2" t="s">
        <v>1739</v>
      </c>
      <c r="I433" s="2" t="s">
        <v>196</v>
      </c>
      <c r="J433" s="2" t="s">
        <v>118</v>
      </c>
      <c r="K433" s="2" t="s">
        <v>158</v>
      </c>
      <c r="L433" s="3">
        <v>76.8</v>
      </c>
      <c r="M433" s="3">
        <v>80.63</v>
      </c>
      <c r="N433" s="3">
        <v>159.99</v>
      </c>
      <c r="O433" s="2" t="s">
        <v>229</v>
      </c>
      <c r="P433" s="2" t="s">
        <v>198</v>
      </c>
      <c r="Q433" s="2" t="s">
        <v>99</v>
      </c>
      <c r="R433" s="2" t="s">
        <v>100</v>
      </c>
      <c r="S433" s="2" t="s">
        <v>1740</v>
      </c>
      <c r="T433" s="2" t="s">
        <v>100</v>
      </c>
      <c r="U433" s="2" t="s">
        <v>102</v>
      </c>
      <c r="V433" s="2" t="s">
        <v>1741</v>
      </c>
      <c r="W433" s="2" t="s">
        <v>1530</v>
      </c>
      <c r="X433" s="2" t="s">
        <v>1742</v>
      </c>
      <c r="Y433" s="2" t="s">
        <v>106</v>
      </c>
      <c r="Z433" s="4">
        <v>14</v>
      </c>
      <c r="AA433" s="4">
        <f>=ROUNDDOWN(4.66666666666667,0)</f>
      </c>
      <c r="AB433" s="5">
        <v>3</v>
      </c>
      <c r="AC433" s="2" t="s">
        <v>100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68</v>
      </c>
      <c r="BK433" s="8">
        <v>4354.29</v>
      </c>
      <c r="BL433" s="2" t="s">
        <v>1746</v>
      </c>
      <c r="BM433" s="7"/>
      <c r="BN433" s="7"/>
      <c r="BO433" s="4"/>
      <c r="BP433" s="8"/>
      <c r="BQ433" s="4"/>
      <c r="BR433" s="8"/>
      <c r="BS433" s="7"/>
      <c r="BT433" s="7"/>
      <c r="BU433" s="2" t="s">
        <v>147</v>
      </c>
      <c r="BV433" s="2" t="s">
        <v>97</v>
      </c>
      <c r="BW433" s="2" t="s">
        <v>100</v>
      </c>
      <c r="BX433" s="2" t="s">
        <v>100</v>
      </c>
      <c r="BY433" s="2" t="s">
        <v>112</v>
      </c>
      <c r="BZ433" s="2" t="s">
        <v>100</v>
      </c>
    </row>
    <row r="434">
      <c r="A434" s="2" t="s">
        <v>1747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1748</v>
      </c>
      <c r="G434" s="2" t="s">
        <v>1749</v>
      </c>
      <c r="H434" s="2" t="s">
        <v>1750</v>
      </c>
      <c r="I434" s="2" t="s">
        <v>1751</v>
      </c>
      <c r="J434" s="2" t="s">
        <v>114</v>
      </c>
      <c r="K434" s="2" t="s">
        <v>1660</v>
      </c>
      <c r="L434" s="3">
        <v>67.2</v>
      </c>
      <c r="M434" s="3">
        <v>70.56</v>
      </c>
      <c r="N434" s="3">
        <v>139.99</v>
      </c>
      <c r="O434" s="2" t="s">
        <v>1148</v>
      </c>
      <c r="P434" s="2" t="s">
        <v>198</v>
      </c>
      <c r="Q434" s="2" t="s">
        <v>99</v>
      </c>
      <c r="R434" s="2" t="s">
        <v>100</v>
      </c>
      <c r="S434" s="2" t="s">
        <v>100</v>
      </c>
      <c r="T434" s="2" t="s">
        <v>100</v>
      </c>
      <c r="U434" s="2" t="s">
        <v>102</v>
      </c>
      <c r="V434" s="2" t="s">
        <v>1752</v>
      </c>
      <c r="W434" s="2" t="s">
        <v>104</v>
      </c>
      <c r="X434" s="2" t="s">
        <v>1753</v>
      </c>
      <c r="Y434" s="2" t="s">
        <v>1754</v>
      </c>
      <c r="Z434" s="4"/>
      <c r="AA434" s="4">
        <f>=ROUNDDOWN({0},0)</f>
      </c>
      <c r="AB434" s="5"/>
      <c r="AC434" s="2" t="s">
        <v>100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100</v>
      </c>
      <c r="BM434" s="7"/>
      <c r="BN434" s="7"/>
      <c r="BO434" s="4"/>
      <c r="BP434" s="8"/>
      <c r="BQ434" s="4"/>
      <c r="BR434" s="8"/>
      <c r="BS434" s="7"/>
      <c r="BT434" s="7"/>
      <c r="BU434" s="2" t="s">
        <v>147</v>
      </c>
      <c r="BV434" s="2" t="s">
        <v>97</v>
      </c>
      <c r="BW434" s="2" t="s">
        <v>100</v>
      </c>
      <c r="BX434" s="2" t="s">
        <v>100</v>
      </c>
      <c r="BY434" s="2" t="s">
        <v>112</v>
      </c>
      <c r="BZ434" s="2" t="s">
        <v>100</v>
      </c>
    </row>
    <row r="435">
      <c r="A435" s="2" t="s">
        <v>1755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1756</v>
      </c>
      <c r="G435" s="2" t="s">
        <v>1757</v>
      </c>
      <c r="H435" s="2" t="s">
        <v>1758</v>
      </c>
      <c r="I435" s="2" t="s">
        <v>1759</v>
      </c>
      <c r="J435" s="2" t="s">
        <v>844</v>
      </c>
      <c r="K435" s="2" t="s">
        <v>197</v>
      </c>
      <c r="L435" s="3">
        <v>36.57</v>
      </c>
      <c r="M435" s="3">
        <v>38.4</v>
      </c>
      <c r="N435" s="3">
        <v>79.99</v>
      </c>
      <c r="O435" s="2" t="s">
        <v>97</v>
      </c>
      <c r="P435" s="2" t="s">
        <v>1166</v>
      </c>
      <c r="Q435" s="2" t="s">
        <v>99</v>
      </c>
      <c r="R435" s="2" t="s">
        <v>100</v>
      </c>
      <c r="S435" s="2" t="s">
        <v>1760</v>
      </c>
      <c r="T435" s="2" t="s">
        <v>184</v>
      </c>
      <c r="U435" s="2" t="s">
        <v>1482</v>
      </c>
      <c r="V435" s="2" t="s">
        <v>491</v>
      </c>
      <c r="W435" s="2" t="s">
        <v>1288</v>
      </c>
      <c r="X435" s="2" t="s">
        <v>759</v>
      </c>
      <c r="Y435" s="2" t="s">
        <v>1761</v>
      </c>
      <c r="Z435" s="4">
        <v>144</v>
      </c>
      <c r="AA435" s="4">
        <f>=ROUNDDOWN(205.714285714286,0)</f>
      </c>
      <c r="AB435" s="5">
        <v>0.7</v>
      </c>
      <c r="AC435" s="2" t="s">
        <v>659</v>
      </c>
      <c r="AD435" s="4">
        <v>150</v>
      </c>
      <c r="AE435" s="4">
        <v>150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6</v>
      </c>
      <c r="BK435" s="8">
        <v>248.82</v>
      </c>
      <c r="BL435" s="2" t="s">
        <v>1674</v>
      </c>
      <c r="BM435" s="7"/>
      <c r="BN435" s="7"/>
      <c r="BO435" s="4"/>
      <c r="BP435" s="8"/>
      <c r="BQ435" s="4"/>
      <c r="BR435" s="8"/>
      <c r="BS435" s="7"/>
      <c r="BT435" s="7"/>
      <c r="BU435" s="2" t="s">
        <v>1171</v>
      </c>
      <c r="BV435" s="2" t="s">
        <v>97</v>
      </c>
      <c r="BW435" s="2" t="s">
        <v>100</v>
      </c>
      <c r="BX435" s="2" t="s">
        <v>100</v>
      </c>
      <c r="BY435" s="2" t="s">
        <v>112</v>
      </c>
      <c r="BZ435" s="2" t="s">
        <v>100</v>
      </c>
    </row>
    <row r="436">
      <c r="A436" s="2" t="s">
        <v>1762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1756</v>
      </c>
      <c r="G436" s="2" t="s">
        <v>1757</v>
      </c>
      <c r="H436" s="2" t="s">
        <v>1758</v>
      </c>
      <c r="I436" s="2" t="s">
        <v>1759</v>
      </c>
      <c r="J436" s="2" t="s">
        <v>850</v>
      </c>
      <c r="K436" s="2" t="s">
        <v>197</v>
      </c>
      <c r="L436" s="3">
        <v>41.14</v>
      </c>
      <c r="M436" s="3">
        <v>43.2</v>
      </c>
      <c r="N436" s="3">
        <v>89.99</v>
      </c>
      <c r="O436" s="2" t="s">
        <v>97</v>
      </c>
      <c r="P436" s="2" t="s">
        <v>1166</v>
      </c>
      <c r="Q436" s="2" t="s">
        <v>99</v>
      </c>
      <c r="R436" s="2" t="s">
        <v>100</v>
      </c>
      <c r="S436" s="2" t="s">
        <v>1760</v>
      </c>
      <c r="T436" s="2" t="s">
        <v>184</v>
      </c>
      <c r="U436" s="2" t="s">
        <v>1482</v>
      </c>
      <c r="V436" s="2" t="s">
        <v>491</v>
      </c>
      <c r="W436" s="2" t="s">
        <v>1288</v>
      </c>
      <c r="X436" s="2" t="s">
        <v>759</v>
      </c>
      <c r="Y436" s="2" t="s">
        <v>1761</v>
      </c>
      <c r="Z436" s="4">
        <v>109</v>
      </c>
      <c r="AA436" s="4">
        <f>=ROUNDDOWN(109,0)</f>
      </c>
      <c r="AB436" s="5">
        <v>1</v>
      </c>
      <c r="AC436" s="2" t="s">
        <v>659</v>
      </c>
      <c r="AD436" s="4">
        <v>120</v>
      </c>
      <c r="AE436" s="4">
        <v>120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2</v>
      </c>
      <c r="BK436" s="8">
        <v>93.3</v>
      </c>
      <c r="BL436" s="2" t="s">
        <v>1674</v>
      </c>
      <c r="BM436" s="7"/>
      <c r="BN436" s="7"/>
      <c r="BO436" s="4"/>
      <c r="BP436" s="8"/>
      <c r="BQ436" s="4"/>
      <c r="BR436" s="8"/>
      <c r="BS436" s="7"/>
      <c r="BT436" s="7"/>
      <c r="BU436" s="2" t="s">
        <v>1171</v>
      </c>
      <c r="BV436" s="2" t="s">
        <v>97</v>
      </c>
      <c r="BW436" s="2" t="s">
        <v>100</v>
      </c>
      <c r="BX436" s="2" t="s">
        <v>100</v>
      </c>
      <c r="BY436" s="2" t="s">
        <v>112</v>
      </c>
      <c r="BZ436" s="2" t="s">
        <v>100</v>
      </c>
    </row>
    <row r="437">
      <c r="A437" s="2" t="s">
        <v>1763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1764</v>
      </c>
      <c r="G437" s="2" t="s">
        <v>1765</v>
      </c>
      <c r="H437" s="2" t="s">
        <v>1766</v>
      </c>
      <c r="I437" s="2" t="s">
        <v>870</v>
      </c>
      <c r="J437" s="2" t="s">
        <v>95</v>
      </c>
      <c r="K437" s="2" t="s">
        <v>1767</v>
      </c>
      <c r="L437" s="3">
        <v>75</v>
      </c>
      <c r="M437" s="3">
        <v>78.74</v>
      </c>
      <c r="N437" s="3">
        <v>149.99</v>
      </c>
      <c r="O437" s="2" t="s">
        <v>97</v>
      </c>
      <c r="P437" s="2" t="s">
        <v>1265</v>
      </c>
      <c r="Q437" s="2" t="s">
        <v>99</v>
      </c>
      <c r="R437" s="2" t="s">
        <v>100</v>
      </c>
      <c r="S437" s="2" t="s">
        <v>1768</v>
      </c>
      <c r="T437" s="2" t="s">
        <v>100</v>
      </c>
      <c r="U437" s="2" t="s">
        <v>102</v>
      </c>
      <c r="V437" s="2" t="s">
        <v>491</v>
      </c>
      <c r="W437" s="2" t="s">
        <v>104</v>
      </c>
      <c r="X437" s="2" t="s">
        <v>284</v>
      </c>
      <c r="Y437" s="2" t="s">
        <v>1769</v>
      </c>
      <c r="Z437" s="4">
        <v>293</v>
      </c>
      <c r="AA437" s="4">
        <f>=ROUNDDOWN(29.3,0)</f>
      </c>
      <c r="AB437" s="5">
        <v>10</v>
      </c>
      <c r="AC437" s="2" t="s">
        <v>1328</v>
      </c>
      <c r="AD437" s="4">
        <v>80</v>
      </c>
      <c r="AE437" s="4">
        <v>80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162</v>
      </c>
      <c r="BK437" s="8">
        <v>13777.93</v>
      </c>
      <c r="BL437" s="2" t="s">
        <v>1770</v>
      </c>
      <c r="BM437" s="7"/>
      <c r="BN437" s="7"/>
      <c r="BO437" s="4"/>
      <c r="BP437" s="8"/>
      <c r="BQ437" s="4"/>
      <c r="BR437" s="8"/>
      <c r="BS437" s="7"/>
      <c r="BT437" s="7"/>
      <c r="BU437" s="2" t="s">
        <v>147</v>
      </c>
      <c r="BV437" s="2" t="s">
        <v>97</v>
      </c>
      <c r="BW437" s="2" t="s">
        <v>100</v>
      </c>
      <c r="BX437" s="2" t="s">
        <v>100</v>
      </c>
      <c r="BY437" s="2" t="s">
        <v>112</v>
      </c>
      <c r="BZ437" s="2" t="s">
        <v>100</v>
      </c>
    </row>
    <row r="438">
      <c r="A438" s="2" t="s">
        <v>1771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1764</v>
      </c>
      <c r="G438" s="2" t="s">
        <v>1765</v>
      </c>
      <c r="H438" s="2" t="s">
        <v>1766</v>
      </c>
      <c r="I438" s="2" t="s">
        <v>870</v>
      </c>
      <c r="J438" s="2" t="s">
        <v>114</v>
      </c>
      <c r="K438" s="2" t="s">
        <v>1767</v>
      </c>
      <c r="L438" s="3">
        <v>85</v>
      </c>
      <c r="M438" s="3">
        <v>89.24</v>
      </c>
      <c r="N438" s="3">
        <v>169.99</v>
      </c>
      <c r="O438" s="2" t="s">
        <v>97</v>
      </c>
      <c r="P438" s="2" t="s">
        <v>1265</v>
      </c>
      <c r="Q438" s="2" t="s">
        <v>99</v>
      </c>
      <c r="R438" s="2" t="s">
        <v>100</v>
      </c>
      <c r="S438" s="2" t="s">
        <v>1768</v>
      </c>
      <c r="T438" s="2" t="s">
        <v>100</v>
      </c>
      <c r="U438" s="2" t="s">
        <v>102</v>
      </c>
      <c r="V438" s="2" t="s">
        <v>491</v>
      </c>
      <c r="W438" s="2" t="s">
        <v>104</v>
      </c>
      <c r="X438" s="2" t="s">
        <v>284</v>
      </c>
      <c r="Y438" s="2" t="s">
        <v>1769</v>
      </c>
      <c r="Z438" s="4">
        <v>182</v>
      </c>
      <c r="AA438" s="4">
        <f>=ROUNDDOWN(35.6862745098039,0)</f>
      </c>
      <c r="AB438" s="5">
        <v>5.1</v>
      </c>
      <c r="AC438" s="2" t="s">
        <v>1328</v>
      </c>
      <c r="AD438" s="4">
        <v>50</v>
      </c>
      <c r="AE438" s="4">
        <v>50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67</v>
      </c>
      <c r="BK438" s="8">
        <v>6528.39</v>
      </c>
      <c r="BL438" s="2" t="s">
        <v>1772</v>
      </c>
      <c r="BM438" s="7"/>
      <c r="BN438" s="7"/>
      <c r="BO438" s="4"/>
      <c r="BP438" s="8"/>
      <c r="BQ438" s="4"/>
      <c r="BR438" s="8"/>
      <c r="BS438" s="7"/>
      <c r="BT438" s="7"/>
      <c r="BU438" s="2" t="s">
        <v>147</v>
      </c>
      <c r="BV438" s="2" t="s">
        <v>97</v>
      </c>
      <c r="BW438" s="2" t="s">
        <v>100</v>
      </c>
      <c r="BX438" s="2" t="s">
        <v>100</v>
      </c>
      <c r="BY438" s="2" t="s">
        <v>112</v>
      </c>
      <c r="BZ438" s="2" t="s">
        <v>100</v>
      </c>
    </row>
    <row r="439">
      <c r="A439" s="2" t="s">
        <v>1773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1764</v>
      </c>
      <c r="G439" s="2" t="s">
        <v>1765</v>
      </c>
      <c r="H439" s="2" t="s">
        <v>1766</v>
      </c>
      <c r="I439" s="2" t="s">
        <v>870</v>
      </c>
      <c r="J439" s="2" t="s">
        <v>118</v>
      </c>
      <c r="K439" s="2" t="s">
        <v>1767</v>
      </c>
      <c r="L439" s="3">
        <v>85</v>
      </c>
      <c r="M439" s="3">
        <v>89.24</v>
      </c>
      <c r="N439" s="3">
        <v>169.99</v>
      </c>
      <c r="O439" s="2" t="s">
        <v>97</v>
      </c>
      <c r="P439" s="2" t="s">
        <v>1265</v>
      </c>
      <c r="Q439" s="2" t="s">
        <v>99</v>
      </c>
      <c r="R439" s="2" t="s">
        <v>100</v>
      </c>
      <c r="S439" s="2" t="s">
        <v>1768</v>
      </c>
      <c r="T439" s="2" t="s">
        <v>100</v>
      </c>
      <c r="U439" s="2" t="s">
        <v>102</v>
      </c>
      <c r="V439" s="2" t="s">
        <v>491</v>
      </c>
      <c r="W439" s="2" t="s">
        <v>104</v>
      </c>
      <c r="X439" s="2" t="s">
        <v>284</v>
      </c>
      <c r="Y439" s="2" t="s">
        <v>1769</v>
      </c>
      <c r="Z439" s="4">
        <v>155</v>
      </c>
      <c r="AA439" s="4">
        <f>=ROUNDDOWN(31,0)</f>
      </c>
      <c r="AB439" s="5">
        <v>5</v>
      </c>
      <c r="AC439" s="2" t="s">
        <v>1328</v>
      </c>
      <c r="AD439" s="4">
        <v>30</v>
      </c>
      <c r="AE439" s="4">
        <v>30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62</v>
      </c>
      <c r="BK439" s="8">
        <v>5848.92</v>
      </c>
      <c r="BL439" s="2" t="s">
        <v>1774</v>
      </c>
      <c r="BM439" s="7"/>
      <c r="BN439" s="7"/>
      <c r="BO439" s="4"/>
      <c r="BP439" s="8"/>
      <c r="BQ439" s="4"/>
      <c r="BR439" s="8"/>
      <c r="BS439" s="7"/>
      <c r="BT439" s="7"/>
      <c r="BU439" s="2" t="s">
        <v>147</v>
      </c>
      <c r="BV439" s="2" t="s">
        <v>97</v>
      </c>
      <c r="BW439" s="2" t="s">
        <v>100</v>
      </c>
      <c r="BX439" s="2" t="s">
        <v>100</v>
      </c>
      <c r="BY439" s="2" t="s">
        <v>112</v>
      </c>
      <c r="BZ439" s="2" t="s">
        <v>100</v>
      </c>
    </row>
    <row r="440">
      <c r="A440" s="2" t="s">
        <v>1775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1776</v>
      </c>
      <c r="G440" s="2" t="s">
        <v>1777</v>
      </c>
      <c r="H440" s="2" t="s">
        <v>1778</v>
      </c>
      <c r="I440" s="2" t="s">
        <v>1779</v>
      </c>
      <c r="J440" s="2" t="s">
        <v>844</v>
      </c>
      <c r="K440" s="2" t="s">
        <v>323</v>
      </c>
      <c r="L440" s="3">
        <v>36.57</v>
      </c>
      <c r="M440" s="3">
        <v>38.4</v>
      </c>
      <c r="N440" s="3">
        <v>79.99</v>
      </c>
      <c r="O440" s="2" t="s">
        <v>97</v>
      </c>
      <c r="P440" s="2" t="s">
        <v>1166</v>
      </c>
      <c r="Q440" s="2" t="s">
        <v>99</v>
      </c>
      <c r="R440" s="2" t="s">
        <v>100</v>
      </c>
      <c r="S440" s="2" t="s">
        <v>1780</v>
      </c>
      <c r="T440" s="2" t="s">
        <v>1168</v>
      </c>
      <c r="U440" s="2" t="s">
        <v>790</v>
      </c>
      <c r="V440" s="2" t="s">
        <v>1741</v>
      </c>
      <c r="W440" s="2" t="s">
        <v>1454</v>
      </c>
      <c r="X440" s="2" t="s">
        <v>312</v>
      </c>
      <c r="Y440" s="2" t="s">
        <v>1781</v>
      </c>
      <c r="Z440" s="4"/>
      <c r="AA440" s="4">
        <f>=ROUNDDOWN({0},0)</f>
      </c>
      <c r="AB440" s="5">
        <v>2.1</v>
      </c>
      <c r="AC440" s="2" t="s">
        <v>919</v>
      </c>
      <c r="AD440" s="4">
        <v>240</v>
      </c>
      <c r="AE440" s="4">
        <v>487</v>
      </c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/>
      <c r="BK440" s="8"/>
      <c r="BL440" s="2" t="s">
        <v>100</v>
      </c>
      <c r="BM440" s="7"/>
      <c r="BN440" s="7"/>
      <c r="BO440" s="4"/>
      <c r="BP440" s="8"/>
      <c r="BQ440" s="4"/>
      <c r="BR440" s="8"/>
      <c r="BS440" s="7"/>
      <c r="BT440" s="7"/>
      <c r="BU440" s="2" t="s">
        <v>1171</v>
      </c>
      <c r="BV440" s="2" t="s">
        <v>97</v>
      </c>
      <c r="BW440" s="2" t="s">
        <v>100</v>
      </c>
      <c r="BX440" s="2" t="s">
        <v>100</v>
      </c>
      <c r="BY440" s="2" t="s">
        <v>112</v>
      </c>
      <c r="BZ440" s="2" t="s">
        <v>100</v>
      </c>
    </row>
    <row r="441">
      <c r="A441" s="2" t="s">
        <v>1782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1776</v>
      </c>
      <c r="G441" s="2" t="s">
        <v>1777</v>
      </c>
      <c r="H441" s="2" t="s">
        <v>1778</v>
      </c>
      <c r="I441" s="2" t="s">
        <v>1779</v>
      </c>
      <c r="J441" s="2" t="s">
        <v>850</v>
      </c>
      <c r="K441" s="2" t="s">
        <v>323</v>
      </c>
      <c r="L441" s="3">
        <v>41.14</v>
      </c>
      <c r="M441" s="3">
        <v>43.2</v>
      </c>
      <c r="N441" s="3">
        <v>89.99</v>
      </c>
      <c r="O441" s="2" t="s">
        <v>97</v>
      </c>
      <c r="P441" s="2" t="s">
        <v>1166</v>
      </c>
      <c r="Q441" s="2" t="s">
        <v>99</v>
      </c>
      <c r="R441" s="2" t="s">
        <v>100</v>
      </c>
      <c r="S441" s="2" t="s">
        <v>1780</v>
      </c>
      <c r="T441" s="2" t="s">
        <v>1168</v>
      </c>
      <c r="U441" s="2" t="s">
        <v>790</v>
      </c>
      <c r="V441" s="2" t="s">
        <v>1741</v>
      </c>
      <c r="W441" s="2" t="s">
        <v>1454</v>
      </c>
      <c r="X441" s="2" t="s">
        <v>312</v>
      </c>
      <c r="Y441" s="2" t="s">
        <v>1781</v>
      </c>
      <c r="Z441" s="4"/>
      <c r="AA441" s="4">
        <f>=ROUNDDOWN({0},0)</f>
      </c>
      <c r="AB441" s="5">
        <v>2.1</v>
      </c>
      <c r="AC441" s="2" t="s">
        <v>919</v>
      </c>
      <c r="AD441" s="4">
        <v>160</v>
      </c>
      <c r="AE441" s="4">
        <v>327</v>
      </c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/>
      <c r="BK441" s="8"/>
      <c r="BL441" s="2" t="s">
        <v>100</v>
      </c>
      <c r="BM441" s="7"/>
      <c r="BN441" s="7"/>
      <c r="BO441" s="4"/>
      <c r="BP441" s="8"/>
      <c r="BQ441" s="4"/>
      <c r="BR441" s="8"/>
      <c r="BS441" s="7"/>
      <c r="BT441" s="7"/>
      <c r="BU441" s="2" t="s">
        <v>1171</v>
      </c>
      <c r="BV441" s="2" t="s">
        <v>97</v>
      </c>
      <c r="BW441" s="2" t="s">
        <v>100</v>
      </c>
      <c r="BX441" s="2" t="s">
        <v>100</v>
      </c>
      <c r="BY441" s="2" t="s">
        <v>112</v>
      </c>
      <c r="BZ441" s="2" t="s">
        <v>100</v>
      </c>
    </row>
    <row r="442">
      <c r="A442" s="2" t="s">
        <v>1783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1784</v>
      </c>
      <c r="G442" s="2" t="s">
        <v>1785</v>
      </c>
      <c r="H442" s="2" t="s">
        <v>1786</v>
      </c>
      <c r="I442" s="2" t="s">
        <v>196</v>
      </c>
      <c r="J442" s="2" t="s">
        <v>95</v>
      </c>
      <c r="K442" s="2" t="s">
        <v>158</v>
      </c>
      <c r="L442" s="3">
        <v>67.2</v>
      </c>
      <c r="M442" s="3">
        <v>70.55</v>
      </c>
      <c r="N442" s="3">
        <v>139.99</v>
      </c>
      <c r="O442" s="2" t="s">
        <v>97</v>
      </c>
      <c r="P442" s="2" t="s">
        <v>198</v>
      </c>
      <c r="Q442" s="2" t="s">
        <v>99</v>
      </c>
      <c r="R442" s="2" t="s">
        <v>100</v>
      </c>
      <c r="S442" s="2" t="s">
        <v>1787</v>
      </c>
      <c r="T442" s="2" t="s">
        <v>100</v>
      </c>
      <c r="U442" s="2" t="s">
        <v>102</v>
      </c>
      <c r="V442" s="2" t="s">
        <v>1275</v>
      </c>
      <c r="W442" s="2" t="s">
        <v>104</v>
      </c>
      <c r="X442" s="2" t="s">
        <v>201</v>
      </c>
      <c r="Y442" s="2" t="s">
        <v>106</v>
      </c>
      <c r="Z442" s="4">
        <v>330</v>
      </c>
      <c r="AA442" s="4">
        <f>=ROUNDDOWN(25.3846153846154,0)</f>
      </c>
      <c r="AB442" s="5">
        <v>13</v>
      </c>
      <c r="AC442" s="2" t="s">
        <v>589</v>
      </c>
      <c r="AD442" s="4">
        <v>170</v>
      </c>
      <c r="AE442" s="4">
        <v>170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230</v>
      </c>
      <c r="BK442" s="8">
        <v>15612.4</v>
      </c>
      <c r="BL442" s="2" t="s">
        <v>1788</v>
      </c>
      <c r="BM442" s="7"/>
      <c r="BN442" s="7"/>
      <c r="BO442" s="4"/>
      <c r="BP442" s="8"/>
      <c r="BQ442" s="4"/>
      <c r="BR442" s="8"/>
      <c r="BS442" s="7"/>
      <c r="BT442" s="7"/>
      <c r="BU442" s="2" t="s">
        <v>147</v>
      </c>
      <c r="BV442" s="2" t="s">
        <v>97</v>
      </c>
      <c r="BW442" s="2" t="s">
        <v>100</v>
      </c>
      <c r="BX442" s="2" t="s">
        <v>100</v>
      </c>
      <c r="BY442" s="2" t="s">
        <v>112</v>
      </c>
      <c r="BZ442" s="2" t="s">
        <v>100</v>
      </c>
    </row>
    <row r="443">
      <c r="A443" s="2" t="s">
        <v>1789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1784</v>
      </c>
      <c r="G443" s="2" t="s">
        <v>1785</v>
      </c>
      <c r="H443" s="2" t="s">
        <v>1786</v>
      </c>
      <c r="I443" s="2" t="s">
        <v>196</v>
      </c>
      <c r="J443" s="2" t="s">
        <v>114</v>
      </c>
      <c r="K443" s="2" t="s">
        <v>158</v>
      </c>
      <c r="L443" s="3">
        <v>76.8</v>
      </c>
      <c r="M443" s="3">
        <v>80.63</v>
      </c>
      <c r="N443" s="3">
        <v>159.99</v>
      </c>
      <c r="O443" s="2" t="s">
        <v>97</v>
      </c>
      <c r="P443" s="2" t="s">
        <v>198</v>
      </c>
      <c r="Q443" s="2" t="s">
        <v>99</v>
      </c>
      <c r="R443" s="2" t="s">
        <v>100</v>
      </c>
      <c r="S443" s="2" t="s">
        <v>1787</v>
      </c>
      <c r="T443" s="2" t="s">
        <v>100</v>
      </c>
      <c r="U443" s="2" t="s">
        <v>102</v>
      </c>
      <c r="V443" s="2" t="s">
        <v>1275</v>
      </c>
      <c r="W443" s="2" t="s">
        <v>104</v>
      </c>
      <c r="X443" s="2" t="s">
        <v>201</v>
      </c>
      <c r="Y443" s="2" t="s">
        <v>106</v>
      </c>
      <c r="Z443" s="4">
        <v>260</v>
      </c>
      <c r="AA443" s="4">
        <f>=ROUNDDOWN(32.5,0)</f>
      </c>
      <c r="AB443" s="5">
        <v>8</v>
      </c>
      <c r="AC443" s="2" t="s">
        <v>100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138</v>
      </c>
      <c r="BK443" s="8">
        <v>10800.02</v>
      </c>
      <c r="BL443" s="2" t="s">
        <v>1790</v>
      </c>
      <c r="BM443" s="7"/>
      <c r="BN443" s="7"/>
      <c r="BO443" s="4"/>
      <c r="BP443" s="8"/>
      <c r="BQ443" s="4"/>
      <c r="BR443" s="8"/>
      <c r="BS443" s="7"/>
      <c r="BT443" s="7"/>
      <c r="BU443" s="2" t="s">
        <v>147</v>
      </c>
      <c r="BV443" s="2" t="s">
        <v>97</v>
      </c>
      <c r="BW443" s="2" t="s">
        <v>100</v>
      </c>
      <c r="BX443" s="2" t="s">
        <v>100</v>
      </c>
      <c r="BY443" s="2" t="s">
        <v>112</v>
      </c>
      <c r="BZ443" s="2" t="s">
        <v>100</v>
      </c>
    </row>
    <row r="444">
      <c r="A444" s="2" t="s">
        <v>1791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1784</v>
      </c>
      <c r="G444" s="2" t="s">
        <v>1785</v>
      </c>
      <c r="H444" s="2" t="s">
        <v>1786</v>
      </c>
      <c r="I444" s="2" t="s">
        <v>196</v>
      </c>
      <c r="J444" s="2" t="s">
        <v>118</v>
      </c>
      <c r="K444" s="2" t="s">
        <v>158</v>
      </c>
      <c r="L444" s="3">
        <v>76.8</v>
      </c>
      <c r="M444" s="3">
        <v>80.63</v>
      </c>
      <c r="N444" s="3">
        <v>159.99</v>
      </c>
      <c r="O444" s="2" t="s">
        <v>97</v>
      </c>
      <c r="P444" s="2" t="s">
        <v>198</v>
      </c>
      <c r="Q444" s="2" t="s">
        <v>99</v>
      </c>
      <c r="R444" s="2" t="s">
        <v>100</v>
      </c>
      <c r="S444" s="2" t="s">
        <v>1787</v>
      </c>
      <c r="T444" s="2" t="s">
        <v>100</v>
      </c>
      <c r="U444" s="2" t="s">
        <v>102</v>
      </c>
      <c r="V444" s="2" t="s">
        <v>1275</v>
      </c>
      <c r="W444" s="2" t="s">
        <v>104</v>
      </c>
      <c r="X444" s="2" t="s">
        <v>201</v>
      </c>
      <c r="Y444" s="2" t="s">
        <v>106</v>
      </c>
      <c r="Z444" s="4">
        <v>187</v>
      </c>
      <c r="AA444" s="4">
        <f>=ROUNDDOWN(46.75,0)</f>
      </c>
      <c r="AB444" s="5">
        <v>4</v>
      </c>
      <c r="AC444" s="2" t="s">
        <v>100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48</v>
      </c>
      <c r="BK444" s="8">
        <v>3717.32</v>
      </c>
      <c r="BL444" s="2" t="s">
        <v>1792</v>
      </c>
      <c r="BM444" s="7"/>
      <c r="BN444" s="7"/>
      <c r="BO444" s="4"/>
      <c r="BP444" s="8"/>
      <c r="BQ444" s="4"/>
      <c r="BR444" s="8"/>
      <c r="BS444" s="7"/>
      <c r="BT444" s="7"/>
      <c r="BU444" s="2" t="s">
        <v>147</v>
      </c>
      <c r="BV444" s="2" t="s">
        <v>97</v>
      </c>
      <c r="BW444" s="2" t="s">
        <v>100</v>
      </c>
      <c r="BX444" s="2" t="s">
        <v>100</v>
      </c>
      <c r="BY444" s="2" t="s">
        <v>112</v>
      </c>
      <c r="BZ444" s="2" t="s">
        <v>100</v>
      </c>
    </row>
    <row r="445">
      <c r="A445" s="2" t="s">
        <v>1793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1794</v>
      </c>
      <c r="G445" s="2" t="s">
        <v>1795</v>
      </c>
      <c r="H445" s="2" t="s">
        <v>1796</v>
      </c>
      <c r="I445" s="2" t="s">
        <v>1708</v>
      </c>
      <c r="J445" s="2" t="s">
        <v>95</v>
      </c>
      <c r="K445" s="2" t="s">
        <v>1592</v>
      </c>
      <c r="L445" s="3">
        <v>70.5</v>
      </c>
      <c r="M445" s="3">
        <v>74.02</v>
      </c>
      <c r="N445" s="3">
        <v>149.99</v>
      </c>
      <c r="O445" s="2" t="s">
        <v>550</v>
      </c>
      <c r="P445" s="2" t="s">
        <v>198</v>
      </c>
      <c r="Q445" s="2" t="s">
        <v>99</v>
      </c>
      <c r="R445" s="2" t="s">
        <v>100</v>
      </c>
      <c r="S445" s="2" t="s">
        <v>1797</v>
      </c>
      <c r="T445" s="2" t="s">
        <v>100</v>
      </c>
      <c r="U445" s="2" t="s">
        <v>102</v>
      </c>
      <c r="V445" s="2" t="s">
        <v>455</v>
      </c>
      <c r="W445" s="2" t="s">
        <v>104</v>
      </c>
      <c r="X445" s="2" t="s">
        <v>201</v>
      </c>
      <c r="Y445" s="2" t="s">
        <v>1754</v>
      </c>
      <c r="Z445" s="4"/>
      <c r="AA445" s="4">
        <f>=ROUNDDOWN({0},0)</f>
      </c>
      <c r="AB445" s="5">
        <v>8</v>
      </c>
      <c r="AC445" s="2" t="s">
        <v>100</v>
      </c>
      <c r="AD445" s="4"/>
      <c r="AE445" s="4"/>
      <c r="AF445" s="6">
        <v>65</v>
      </c>
      <c r="AG445" s="6"/>
      <c r="AH445" s="7">
        <v>0.1879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/>
      <c r="BD445" s="8"/>
      <c r="BE445" s="4"/>
      <c r="BF445" s="8"/>
      <c r="BG445" s="7"/>
      <c r="BH445" s="7"/>
      <c r="BI445" s="7"/>
      <c r="BJ445" s="4"/>
      <c r="BK445" s="8"/>
      <c r="BL445" s="2" t="s">
        <v>1798</v>
      </c>
      <c r="BM445" s="7"/>
      <c r="BN445" s="7"/>
      <c r="BO445" s="4"/>
      <c r="BP445" s="8"/>
      <c r="BQ445" s="4"/>
      <c r="BR445" s="8"/>
      <c r="BS445" s="7"/>
      <c r="BT445" s="7"/>
      <c r="BU445" s="2" t="s">
        <v>147</v>
      </c>
      <c r="BV445" s="2" t="s">
        <v>97</v>
      </c>
      <c r="BW445" s="2" t="s">
        <v>100</v>
      </c>
      <c r="BX445" s="2" t="s">
        <v>100</v>
      </c>
      <c r="BY445" s="2" t="s">
        <v>112</v>
      </c>
      <c r="BZ445" s="2" t="s">
        <v>100</v>
      </c>
    </row>
    <row r="446">
      <c r="A446" s="2" t="s">
        <v>1799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1800</v>
      </c>
      <c r="G446" s="2" t="s">
        <v>1801</v>
      </c>
      <c r="H446" s="2" t="s">
        <v>1802</v>
      </c>
      <c r="I446" s="2" t="s">
        <v>1803</v>
      </c>
      <c r="J446" s="2" t="s">
        <v>95</v>
      </c>
      <c r="K446" s="2" t="s">
        <v>197</v>
      </c>
      <c r="L446" s="3">
        <v>63.7</v>
      </c>
      <c r="M446" s="3">
        <v>66.89</v>
      </c>
      <c r="N446" s="3">
        <v>129.99</v>
      </c>
      <c r="O446" s="2" t="s">
        <v>229</v>
      </c>
      <c r="P446" s="2" t="s">
        <v>198</v>
      </c>
      <c r="Q446" s="2" t="s">
        <v>99</v>
      </c>
      <c r="R446" s="2" t="s">
        <v>100</v>
      </c>
      <c r="S446" s="2" t="s">
        <v>1804</v>
      </c>
      <c r="T446" s="2" t="s">
        <v>100</v>
      </c>
      <c r="U446" s="2" t="s">
        <v>102</v>
      </c>
      <c r="V446" s="2" t="s">
        <v>1122</v>
      </c>
      <c r="W446" s="2" t="s">
        <v>1190</v>
      </c>
      <c r="X446" s="2" t="s">
        <v>602</v>
      </c>
      <c r="Y446" s="2" t="s">
        <v>1805</v>
      </c>
      <c r="Z446" s="4">
        <v>62</v>
      </c>
      <c r="AA446" s="4">
        <f>=ROUNDDOWN(14.4186046511628,0)</f>
      </c>
      <c r="AB446" s="5">
        <v>4.3</v>
      </c>
      <c r="AC446" s="2" t="s">
        <v>100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>
        <v>178</v>
      </c>
      <c r="BK446" s="8">
        <v>11324.37</v>
      </c>
      <c r="BL446" s="2" t="s">
        <v>1806</v>
      </c>
      <c r="BM446" s="7"/>
      <c r="BN446" s="7"/>
      <c r="BO446" s="4"/>
      <c r="BP446" s="8"/>
      <c r="BQ446" s="4"/>
      <c r="BR446" s="8"/>
      <c r="BS446" s="7"/>
      <c r="BT446" s="7"/>
      <c r="BU446" s="2" t="s">
        <v>147</v>
      </c>
      <c r="BV446" s="2" t="s">
        <v>97</v>
      </c>
      <c r="BW446" s="2" t="s">
        <v>100</v>
      </c>
      <c r="BX446" s="2" t="s">
        <v>100</v>
      </c>
      <c r="BY446" s="2" t="s">
        <v>112</v>
      </c>
      <c r="BZ446" s="2" t="s">
        <v>100</v>
      </c>
    </row>
    <row r="447">
      <c r="A447" s="2" t="s">
        <v>1807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1808</v>
      </c>
      <c r="G447" s="2" t="s">
        <v>1809</v>
      </c>
      <c r="H447" s="2" t="s">
        <v>1810</v>
      </c>
      <c r="I447" s="2" t="s">
        <v>1811</v>
      </c>
      <c r="J447" s="2" t="s">
        <v>850</v>
      </c>
      <c r="K447" s="2" t="s">
        <v>158</v>
      </c>
      <c r="L447" s="3">
        <v>57.6</v>
      </c>
      <c r="M447" s="3">
        <v>60.48</v>
      </c>
      <c r="N447" s="3">
        <v>119.99</v>
      </c>
      <c r="O447" s="2" t="s">
        <v>229</v>
      </c>
      <c r="P447" s="2" t="s">
        <v>198</v>
      </c>
      <c r="Q447" s="2" t="s">
        <v>99</v>
      </c>
      <c r="R447" s="2" t="s">
        <v>100</v>
      </c>
      <c r="S447" s="2" t="s">
        <v>100</v>
      </c>
      <c r="T447" s="2" t="s">
        <v>1812</v>
      </c>
      <c r="U447" s="2" t="s">
        <v>102</v>
      </c>
      <c r="V447" s="2" t="s">
        <v>1020</v>
      </c>
      <c r="W447" s="2" t="s">
        <v>759</v>
      </c>
      <c r="X447" s="2" t="s">
        <v>602</v>
      </c>
      <c r="Y447" s="2" t="s">
        <v>1813</v>
      </c>
      <c r="Z447" s="4"/>
      <c r="AA447" s="4">
        <f>=ROUNDDOWN({0},0)</f>
      </c>
      <c r="AB447" s="5"/>
      <c r="AC447" s="2" t="s">
        <v>100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100</v>
      </c>
      <c r="BM447" s="7"/>
      <c r="BN447" s="7"/>
      <c r="BO447" s="4"/>
      <c r="BP447" s="8"/>
      <c r="BQ447" s="4"/>
      <c r="BR447" s="8"/>
      <c r="BS447" s="7"/>
      <c r="BT447" s="7"/>
      <c r="BU447" s="2" t="s">
        <v>147</v>
      </c>
      <c r="BV447" s="2" t="s">
        <v>97</v>
      </c>
      <c r="BW447" s="2" t="s">
        <v>100</v>
      </c>
      <c r="BX447" s="2" t="s">
        <v>100</v>
      </c>
      <c r="BY447" s="2" t="s">
        <v>112</v>
      </c>
      <c r="BZ447" s="2" t="s">
        <v>100</v>
      </c>
    </row>
    <row r="448">
      <c r="A448" s="2" t="s">
        <v>1814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1815</v>
      </c>
      <c r="G448" s="2" t="s">
        <v>1816</v>
      </c>
      <c r="H448" s="2" t="s">
        <v>1817</v>
      </c>
      <c r="I448" s="2" t="s">
        <v>804</v>
      </c>
      <c r="J448" s="2" t="s">
        <v>95</v>
      </c>
      <c r="K448" s="2" t="s">
        <v>713</v>
      </c>
      <c r="L448" s="3">
        <v>83.3</v>
      </c>
      <c r="M448" s="3">
        <v>87.46</v>
      </c>
      <c r="N448" s="3">
        <v>169.99</v>
      </c>
      <c r="O448" s="2" t="s">
        <v>97</v>
      </c>
      <c r="P448" s="2" t="s">
        <v>198</v>
      </c>
      <c r="Q448" s="2" t="s">
        <v>99</v>
      </c>
      <c r="R448" s="2" t="s">
        <v>100</v>
      </c>
      <c r="S448" s="2" t="s">
        <v>1818</v>
      </c>
      <c r="T448" s="2" t="s">
        <v>100</v>
      </c>
      <c r="U448" s="2" t="s">
        <v>807</v>
      </c>
      <c r="V448" s="2" t="s">
        <v>491</v>
      </c>
      <c r="W448" s="2" t="s">
        <v>733</v>
      </c>
      <c r="X448" s="2" t="s">
        <v>791</v>
      </c>
      <c r="Y448" s="2" t="s">
        <v>106</v>
      </c>
      <c r="Z448" s="4">
        <v>470</v>
      </c>
      <c r="AA448" s="4">
        <f>=ROUNDDOWN(36.1538461538462,0)</f>
      </c>
      <c r="AB448" s="5">
        <v>13</v>
      </c>
      <c r="AC448" s="2" t="s">
        <v>100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328</v>
      </c>
      <c r="BK448" s="8">
        <v>25772.37</v>
      </c>
      <c r="BL448" s="2" t="s">
        <v>1819</v>
      </c>
      <c r="BM448" s="7"/>
      <c r="BN448" s="7"/>
      <c r="BO448" s="4"/>
      <c r="BP448" s="8"/>
      <c r="BQ448" s="4"/>
      <c r="BR448" s="8"/>
      <c r="BS448" s="7"/>
      <c r="BT448" s="7"/>
      <c r="BU448" s="2" t="s">
        <v>147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1820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1815</v>
      </c>
      <c r="G449" s="2" t="s">
        <v>1816</v>
      </c>
      <c r="H449" s="2" t="s">
        <v>1817</v>
      </c>
      <c r="I449" s="2" t="s">
        <v>804</v>
      </c>
      <c r="J449" s="2" t="s">
        <v>114</v>
      </c>
      <c r="K449" s="2" t="s">
        <v>713</v>
      </c>
      <c r="L449" s="3">
        <v>93.1</v>
      </c>
      <c r="M449" s="3">
        <v>97.75</v>
      </c>
      <c r="N449" s="3">
        <v>189.99</v>
      </c>
      <c r="O449" s="2" t="s">
        <v>97</v>
      </c>
      <c r="P449" s="2" t="s">
        <v>198</v>
      </c>
      <c r="Q449" s="2" t="s">
        <v>99</v>
      </c>
      <c r="R449" s="2" t="s">
        <v>100</v>
      </c>
      <c r="S449" s="2" t="s">
        <v>1818</v>
      </c>
      <c r="T449" s="2" t="s">
        <v>100</v>
      </c>
      <c r="U449" s="2" t="s">
        <v>807</v>
      </c>
      <c r="V449" s="2" t="s">
        <v>491</v>
      </c>
      <c r="W449" s="2" t="s">
        <v>733</v>
      </c>
      <c r="X449" s="2" t="s">
        <v>791</v>
      </c>
      <c r="Y449" s="2" t="s">
        <v>106</v>
      </c>
      <c r="Z449" s="4">
        <v>220</v>
      </c>
      <c r="AA449" s="4">
        <f>=ROUNDDOWN(22,0)</f>
      </c>
      <c r="AB449" s="5">
        <v>10</v>
      </c>
      <c r="AC449" s="2" t="s">
        <v>100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199</v>
      </c>
      <c r="BK449" s="8">
        <v>18005.5</v>
      </c>
      <c r="BL449" s="2" t="s">
        <v>1112</v>
      </c>
      <c r="BM449" s="7"/>
      <c r="BN449" s="7"/>
      <c r="BO449" s="4"/>
      <c r="BP449" s="8"/>
      <c r="BQ449" s="4"/>
      <c r="BR449" s="8"/>
      <c r="BS449" s="7"/>
      <c r="BT449" s="7"/>
      <c r="BU449" s="2" t="s">
        <v>147</v>
      </c>
      <c r="BV449" s="2" t="s">
        <v>97</v>
      </c>
      <c r="BW449" s="2" t="s">
        <v>100</v>
      </c>
      <c r="BX449" s="2" t="s">
        <v>100</v>
      </c>
      <c r="BY449" s="2" t="s">
        <v>112</v>
      </c>
      <c r="BZ449" s="2" t="s">
        <v>100</v>
      </c>
    </row>
    <row r="450">
      <c r="A450" s="2" t="s">
        <v>1821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1815</v>
      </c>
      <c r="G450" s="2" t="s">
        <v>1816</v>
      </c>
      <c r="H450" s="2" t="s">
        <v>1817</v>
      </c>
      <c r="I450" s="2" t="s">
        <v>804</v>
      </c>
      <c r="J450" s="2" t="s">
        <v>118</v>
      </c>
      <c r="K450" s="2" t="s">
        <v>713</v>
      </c>
      <c r="L450" s="3">
        <v>93.1</v>
      </c>
      <c r="M450" s="3">
        <v>97.75</v>
      </c>
      <c r="N450" s="3">
        <v>189.99</v>
      </c>
      <c r="O450" s="2" t="s">
        <v>97</v>
      </c>
      <c r="P450" s="2" t="s">
        <v>198</v>
      </c>
      <c r="Q450" s="2" t="s">
        <v>99</v>
      </c>
      <c r="R450" s="2" t="s">
        <v>100</v>
      </c>
      <c r="S450" s="2" t="s">
        <v>1818</v>
      </c>
      <c r="T450" s="2" t="s">
        <v>100</v>
      </c>
      <c r="U450" s="2" t="s">
        <v>807</v>
      </c>
      <c r="V450" s="2" t="s">
        <v>491</v>
      </c>
      <c r="W450" s="2" t="s">
        <v>733</v>
      </c>
      <c r="X450" s="2" t="s">
        <v>791</v>
      </c>
      <c r="Y450" s="2" t="s">
        <v>106</v>
      </c>
      <c r="Z450" s="4">
        <v>211</v>
      </c>
      <c r="AA450" s="4">
        <f>=ROUNDDOWN(42.2,0)</f>
      </c>
      <c r="AB450" s="5">
        <v>5</v>
      </c>
      <c r="AC450" s="2" t="s">
        <v>100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104</v>
      </c>
      <c r="BK450" s="8">
        <v>9325.02</v>
      </c>
      <c r="BL450" s="2" t="s">
        <v>1822</v>
      </c>
      <c r="BM450" s="7"/>
      <c r="BN450" s="7"/>
      <c r="BO450" s="4"/>
      <c r="BP450" s="8"/>
      <c r="BQ450" s="4"/>
      <c r="BR450" s="8"/>
      <c r="BS450" s="7"/>
      <c r="BT450" s="7"/>
      <c r="BU450" s="2" t="s">
        <v>147</v>
      </c>
      <c r="BV450" s="2" t="s">
        <v>97</v>
      </c>
      <c r="BW450" s="2" t="s">
        <v>100</v>
      </c>
      <c r="BX450" s="2" t="s">
        <v>100</v>
      </c>
      <c r="BY450" s="2" t="s">
        <v>112</v>
      </c>
      <c r="BZ450" s="2" t="s">
        <v>100</v>
      </c>
    </row>
    <row r="451">
      <c r="A451" s="2" t="s">
        <v>1823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1824</v>
      </c>
      <c r="G451" s="2" t="s">
        <v>1825</v>
      </c>
      <c r="H451" s="2" t="s">
        <v>1826</v>
      </c>
      <c r="I451" s="2" t="s">
        <v>1827</v>
      </c>
      <c r="J451" s="2" t="s">
        <v>844</v>
      </c>
      <c r="K451" s="2" t="s">
        <v>1828</v>
      </c>
      <c r="L451" s="3">
        <v>72</v>
      </c>
      <c r="M451" s="3">
        <v>75.59</v>
      </c>
      <c r="N451" s="3">
        <v>149.99</v>
      </c>
      <c r="O451" s="2" t="s">
        <v>97</v>
      </c>
      <c r="P451" s="2" t="s">
        <v>198</v>
      </c>
      <c r="Q451" s="2" t="s">
        <v>99</v>
      </c>
      <c r="R451" s="2" t="s">
        <v>100</v>
      </c>
      <c r="S451" s="2" t="s">
        <v>1829</v>
      </c>
      <c r="T451" s="2" t="s">
        <v>100</v>
      </c>
      <c r="U451" s="2" t="s">
        <v>102</v>
      </c>
      <c r="V451" s="2" t="s">
        <v>455</v>
      </c>
      <c r="W451" s="2" t="s">
        <v>1530</v>
      </c>
      <c r="X451" s="2" t="s">
        <v>907</v>
      </c>
      <c r="Y451" s="2" t="s">
        <v>106</v>
      </c>
      <c r="Z451" s="4">
        <v>250</v>
      </c>
      <c r="AA451" s="4">
        <f>=ROUNDDOWN(17.8571428571429,0)</f>
      </c>
      <c r="AB451" s="5">
        <v>14</v>
      </c>
      <c r="AC451" s="2" t="s">
        <v>100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>
        <v>1</v>
      </c>
      <c r="BF451" s="8">
        <v>68.54</v>
      </c>
      <c r="BG451" s="7" t="s">
        <v>100</v>
      </c>
      <c r="BH451" s="7" t="s">
        <v>100</v>
      </c>
      <c r="BI451" s="7"/>
      <c r="BJ451" s="4">
        <v>146</v>
      </c>
      <c r="BK451" s="8">
        <v>10561.66</v>
      </c>
      <c r="BL451" s="2" t="s">
        <v>1830</v>
      </c>
      <c r="BM451" s="7"/>
      <c r="BN451" s="7"/>
      <c r="BO451" s="4"/>
      <c r="BP451" s="8"/>
      <c r="BQ451" s="4"/>
      <c r="BR451" s="8"/>
      <c r="BS451" s="7"/>
      <c r="BT451" s="7"/>
      <c r="BU451" s="2" t="s">
        <v>147</v>
      </c>
      <c r="BV451" s="2" t="s">
        <v>97</v>
      </c>
      <c r="BW451" s="2" t="s">
        <v>100</v>
      </c>
      <c r="BX451" s="2" t="s">
        <v>100</v>
      </c>
      <c r="BY451" s="2" t="s">
        <v>112</v>
      </c>
      <c r="BZ451" s="2" t="s">
        <v>100</v>
      </c>
    </row>
    <row r="452">
      <c r="A452" s="2" t="s">
        <v>1831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1824</v>
      </c>
      <c r="G452" s="2" t="s">
        <v>1825</v>
      </c>
      <c r="H452" s="2" t="s">
        <v>1826</v>
      </c>
      <c r="I452" s="2" t="s">
        <v>1827</v>
      </c>
      <c r="J452" s="2" t="s">
        <v>850</v>
      </c>
      <c r="K452" s="2" t="s">
        <v>1828</v>
      </c>
      <c r="L452" s="3">
        <v>81.6</v>
      </c>
      <c r="M452" s="3">
        <v>85.67</v>
      </c>
      <c r="N452" s="3">
        <v>169.99</v>
      </c>
      <c r="O452" s="2" t="s">
        <v>97</v>
      </c>
      <c r="P452" s="2" t="s">
        <v>198</v>
      </c>
      <c r="Q452" s="2" t="s">
        <v>99</v>
      </c>
      <c r="R452" s="2" t="s">
        <v>100</v>
      </c>
      <c r="S452" s="2" t="s">
        <v>1829</v>
      </c>
      <c r="T452" s="2" t="s">
        <v>100</v>
      </c>
      <c r="U452" s="2" t="s">
        <v>102</v>
      </c>
      <c r="V452" s="2" t="s">
        <v>455</v>
      </c>
      <c r="W452" s="2" t="s">
        <v>1530</v>
      </c>
      <c r="X452" s="2" t="s">
        <v>907</v>
      </c>
      <c r="Y452" s="2" t="s">
        <v>106</v>
      </c>
      <c r="Z452" s="4">
        <v>277</v>
      </c>
      <c r="AA452" s="4">
        <f>=ROUNDDOWN(18.4666666666667,0)</f>
      </c>
      <c r="AB452" s="5">
        <v>15</v>
      </c>
      <c r="AC452" s="2" t="s">
        <v>100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 t="s">
        <v>100</v>
      </c>
      <c r="BF452" s="8" t="s">
        <v>100</v>
      </c>
      <c r="BG452" s="7" t="s">
        <v>100</v>
      </c>
      <c r="BH452" s="7" t="s">
        <v>100</v>
      </c>
      <c r="BI452" s="7"/>
      <c r="BJ452" s="4">
        <v>163</v>
      </c>
      <c r="BK452" s="8">
        <v>13491.38</v>
      </c>
      <c r="BL452" s="2" t="s">
        <v>1832</v>
      </c>
      <c r="BM452" s="7"/>
      <c r="BN452" s="7"/>
      <c r="BO452" s="4"/>
      <c r="BP452" s="8"/>
      <c r="BQ452" s="4"/>
      <c r="BR452" s="8"/>
      <c r="BS452" s="7"/>
      <c r="BT452" s="7"/>
      <c r="BU452" s="2" t="s">
        <v>147</v>
      </c>
      <c r="BV452" s="2" t="s">
        <v>97</v>
      </c>
      <c r="BW452" s="2" t="s">
        <v>100</v>
      </c>
      <c r="BX452" s="2" t="s">
        <v>100</v>
      </c>
      <c r="BY452" s="2" t="s">
        <v>112</v>
      </c>
      <c r="BZ452" s="2" t="s">
        <v>100</v>
      </c>
    </row>
    <row r="453">
      <c r="A453" s="2" t="s">
        <v>1833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1824</v>
      </c>
      <c r="G453" s="2" t="s">
        <v>1825</v>
      </c>
      <c r="H453" s="2" t="s">
        <v>1826</v>
      </c>
      <c r="I453" s="2" t="s">
        <v>549</v>
      </c>
      <c r="J453" s="2" t="s">
        <v>850</v>
      </c>
      <c r="K453" s="2" t="s">
        <v>1592</v>
      </c>
      <c r="L453" s="3">
        <v>81.6</v>
      </c>
      <c r="M453" s="3">
        <v>85.67</v>
      </c>
      <c r="N453" s="3">
        <v>169.99</v>
      </c>
      <c r="O453" s="2" t="s">
        <v>229</v>
      </c>
      <c r="P453" s="2" t="s">
        <v>198</v>
      </c>
      <c r="Q453" s="2" t="s">
        <v>99</v>
      </c>
      <c r="R453" s="2" t="s">
        <v>100</v>
      </c>
      <c r="S453" s="2" t="s">
        <v>1834</v>
      </c>
      <c r="T453" s="2" t="s">
        <v>100</v>
      </c>
      <c r="U453" s="2" t="s">
        <v>102</v>
      </c>
      <c r="V453" s="2" t="s">
        <v>455</v>
      </c>
      <c r="W453" s="2" t="s">
        <v>1530</v>
      </c>
      <c r="X453" s="2" t="s">
        <v>907</v>
      </c>
      <c r="Y453" s="2" t="s">
        <v>106</v>
      </c>
      <c r="Z453" s="4"/>
      <c r="AA453" s="4">
        <f>=ROUNDDOWN({0},0)</f>
      </c>
      <c r="AB453" s="5"/>
      <c r="AC453" s="2" t="s">
        <v>100</v>
      </c>
      <c r="AD453" s="4"/>
      <c r="AE453" s="4"/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>
        <v>0</v>
      </c>
      <c r="AP453" s="4"/>
      <c r="AQ453" s="8"/>
      <c r="AR453" s="4">
        <v>1</v>
      </c>
      <c r="AS453" s="8">
        <v>68.54</v>
      </c>
      <c r="AT453" s="7">
        <v>-1</v>
      </c>
      <c r="AU453" s="7">
        <v>-1</v>
      </c>
      <c r="AV453" s="4"/>
      <c r="AW453" s="8"/>
      <c r="AX453" s="4">
        <v>1</v>
      </c>
      <c r="AY453" s="8">
        <v>68.54</v>
      </c>
      <c r="AZ453" s="7">
        <v>-1</v>
      </c>
      <c r="BA453" s="7">
        <v>-1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/>
      <c r="BK453" s="8"/>
      <c r="BL453" s="2" t="s">
        <v>1835</v>
      </c>
      <c r="BM453" s="7"/>
      <c r="BN453" s="7"/>
      <c r="BO453" s="4"/>
      <c r="BP453" s="8"/>
      <c r="BQ453" s="4">
        <v>1</v>
      </c>
      <c r="BR453" s="8">
        <v>68.54</v>
      </c>
      <c r="BS453" s="7">
        <v>-1</v>
      </c>
      <c r="BT453" s="7">
        <v>-1</v>
      </c>
      <c r="BU453" s="2" t="s">
        <v>109</v>
      </c>
      <c r="BV453" s="2" t="s">
        <v>552</v>
      </c>
      <c r="BW453" s="2" t="s">
        <v>217</v>
      </c>
      <c r="BX453" s="2" t="s">
        <v>1836</v>
      </c>
      <c r="BY453" s="2" t="s">
        <v>112</v>
      </c>
      <c r="BZ453" s="2" t="s">
        <v>100</v>
      </c>
    </row>
    <row r="454">
      <c r="A454" s="2" t="s">
        <v>1837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1838</v>
      </c>
      <c r="G454" s="2" t="s">
        <v>1839</v>
      </c>
      <c r="H454" s="2" t="s">
        <v>1840</v>
      </c>
      <c r="I454" s="2" t="s">
        <v>1841</v>
      </c>
      <c r="J454" s="2" t="s">
        <v>95</v>
      </c>
      <c r="K454" s="2" t="s">
        <v>158</v>
      </c>
      <c r="L454" s="3">
        <v>52.38</v>
      </c>
      <c r="M454" s="3">
        <v>55</v>
      </c>
      <c r="N454" s="3">
        <v>109.99</v>
      </c>
      <c r="O454" s="2" t="s">
        <v>97</v>
      </c>
      <c r="P454" s="2" t="s">
        <v>198</v>
      </c>
      <c r="Q454" s="2" t="s">
        <v>99</v>
      </c>
      <c r="R454" s="2" t="s">
        <v>100</v>
      </c>
      <c r="S454" s="2" t="s">
        <v>1842</v>
      </c>
      <c r="T454" s="2" t="s">
        <v>100</v>
      </c>
      <c r="U454" s="2" t="s">
        <v>403</v>
      </c>
      <c r="V454" s="2" t="s">
        <v>200</v>
      </c>
      <c r="W454" s="2" t="s">
        <v>104</v>
      </c>
      <c r="X454" s="2" t="s">
        <v>1190</v>
      </c>
      <c r="Y454" s="2" t="s">
        <v>1843</v>
      </c>
      <c r="Z454" s="4">
        <v>53</v>
      </c>
      <c r="AA454" s="4">
        <f>=ROUNDDOWN(2.69035532994924,0)</f>
      </c>
      <c r="AB454" s="5">
        <v>19.7</v>
      </c>
      <c r="AC454" s="2" t="s">
        <v>100</v>
      </c>
      <c r="AD454" s="4"/>
      <c r="AE454" s="4"/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306</v>
      </c>
      <c r="BK454" s="8">
        <v>11979.62</v>
      </c>
      <c r="BL454" s="2" t="s">
        <v>1746</v>
      </c>
      <c r="BM454" s="7"/>
      <c r="BN454" s="7"/>
      <c r="BO454" s="4"/>
      <c r="BP454" s="8"/>
      <c r="BQ454" s="4"/>
      <c r="BR454" s="8"/>
      <c r="BS454" s="7"/>
      <c r="BT454" s="7"/>
      <c r="BU454" s="2" t="s">
        <v>147</v>
      </c>
      <c r="BV454" s="2" t="s">
        <v>97</v>
      </c>
      <c r="BW454" s="2" t="s">
        <v>100</v>
      </c>
      <c r="BX454" s="2" t="s">
        <v>100</v>
      </c>
      <c r="BY454" s="2" t="s">
        <v>112</v>
      </c>
      <c r="BZ454" s="2" t="s">
        <v>100</v>
      </c>
    </row>
    <row r="455">
      <c r="A455" s="2" t="s">
        <v>1844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1838</v>
      </c>
      <c r="G455" s="2" t="s">
        <v>1839</v>
      </c>
      <c r="H455" s="2" t="s">
        <v>1840</v>
      </c>
      <c r="I455" s="2" t="s">
        <v>1841</v>
      </c>
      <c r="J455" s="2" t="s">
        <v>114</v>
      </c>
      <c r="K455" s="2" t="s">
        <v>158</v>
      </c>
      <c r="L455" s="3">
        <v>61.9</v>
      </c>
      <c r="M455" s="3">
        <v>65</v>
      </c>
      <c r="N455" s="3">
        <v>129.99</v>
      </c>
      <c r="O455" s="2" t="s">
        <v>97</v>
      </c>
      <c r="P455" s="2" t="s">
        <v>198</v>
      </c>
      <c r="Q455" s="2" t="s">
        <v>99</v>
      </c>
      <c r="R455" s="2" t="s">
        <v>100</v>
      </c>
      <c r="S455" s="2" t="s">
        <v>1842</v>
      </c>
      <c r="T455" s="2" t="s">
        <v>100</v>
      </c>
      <c r="U455" s="2" t="s">
        <v>403</v>
      </c>
      <c r="V455" s="2" t="s">
        <v>200</v>
      </c>
      <c r="W455" s="2" t="s">
        <v>104</v>
      </c>
      <c r="X455" s="2" t="s">
        <v>1190</v>
      </c>
      <c r="Y455" s="2" t="s">
        <v>1843</v>
      </c>
      <c r="Z455" s="4">
        <v>132</v>
      </c>
      <c r="AA455" s="4">
        <f>=ROUNDDOWN(15.7142857142857,0)</f>
      </c>
      <c r="AB455" s="5">
        <v>8.4</v>
      </c>
      <c r="AC455" s="2" t="s">
        <v>100</v>
      </c>
      <c r="AD455" s="4"/>
      <c r="AE455" s="4"/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100</v>
      </c>
      <c r="AW455" s="8" t="s">
        <v>100</v>
      </c>
      <c r="AX455" s="4" t="s">
        <v>100</v>
      </c>
      <c r="AY455" s="8" t="s">
        <v>100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132</v>
      </c>
      <c r="BK455" s="8">
        <v>6604.4</v>
      </c>
      <c r="BL455" s="2" t="s">
        <v>831</v>
      </c>
      <c r="BM455" s="7"/>
      <c r="BN455" s="7"/>
      <c r="BO455" s="4"/>
      <c r="BP455" s="8"/>
      <c r="BQ455" s="4"/>
      <c r="BR455" s="8"/>
      <c r="BS455" s="7"/>
      <c r="BT455" s="7"/>
      <c r="BU455" s="2" t="s">
        <v>147</v>
      </c>
      <c r="BV455" s="2" t="s">
        <v>97</v>
      </c>
      <c r="BW455" s="2" t="s">
        <v>100</v>
      </c>
      <c r="BX455" s="2" t="s">
        <v>100</v>
      </c>
      <c r="BY455" s="2" t="s">
        <v>112</v>
      </c>
      <c r="BZ455" s="2" t="s">
        <v>100</v>
      </c>
    </row>
    <row r="456">
      <c r="A456" s="2" t="s">
        <v>1845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1838</v>
      </c>
      <c r="G456" s="2" t="s">
        <v>1839</v>
      </c>
      <c r="H456" s="2" t="s">
        <v>1840</v>
      </c>
      <c r="I456" s="2" t="s">
        <v>1841</v>
      </c>
      <c r="J456" s="2" t="s">
        <v>118</v>
      </c>
      <c r="K456" s="2" t="s">
        <v>158</v>
      </c>
      <c r="L456" s="3">
        <v>61.9</v>
      </c>
      <c r="M456" s="3">
        <v>65</v>
      </c>
      <c r="N456" s="3">
        <v>129.99</v>
      </c>
      <c r="O456" s="2" t="s">
        <v>97</v>
      </c>
      <c r="P456" s="2" t="s">
        <v>198</v>
      </c>
      <c r="Q456" s="2" t="s">
        <v>99</v>
      </c>
      <c r="R456" s="2" t="s">
        <v>100</v>
      </c>
      <c r="S456" s="2" t="s">
        <v>1842</v>
      </c>
      <c r="T456" s="2" t="s">
        <v>100</v>
      </c>
      <c r="U456" s="2" t="s">
        <v>403</v>
      </c>
      <c r="V456" s="2" t="s">
        <v>200</v>
      </c>
      <c r="W456" s="2" t="s">
        <v>104</v>
      </c>
      <c r="X456" s="2" t="s">
        <v>1190</v>
      </c>
      <c r="Y456" s="2" t="s">
        <v>1846</v>
      </c>
      <c r="Z456" s="4">
        <v>59</v>
      </c>
      <c r="AA456" s="4">
        <f>=ROUNDDOWN(11.8,0)</f>
      </c>
      <c r="AB456" s="5">
        <v>5</v>
      </c>
      <c r="AC456" s="2" t="s">
        <v>100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90</v>
      </c>
      <c r="BK456" s="8">
        <v>4221.16</v>
      </c>
      <c r="BL456" s="2" t="s">
        <v>863</v>
      </c>
      <c r="BM456" s="7"/>
      <c r="BN456" s="7"/>
      <c r="BO456" s="4"/>
      <c r="BP456" s="8"/>
      <c r="BQ456" s="4"/>
      <c r="BR456" s="8"/>
      <c r="BS456" s="7"/>
      <c r="BT456" s="7"/>
      <c r="BU456" s="2" t="s">
        <v>147</v>
      </c>
      <c r="BV456" s="2" t="s">
        <v>97</v>
      </c>
      <c r="BW456" s="2" t="s">
        <v>100</v>
      </c>
      <c r="BX456" s="2" t="s">
        <v>100</v>
      </c>
      <c r="BY456" s="2" t="s">
        <v>112</v>
      </c>
      <c r="BZ456" s="2" t="s">
        <v>100</v>
      </c>
    </row>
    <row r="457">
      <c r="A457" s="2" t="s">
        <v>1847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1848</v>
      </c>
      <c r="G457" s="2" t="s">
        <v>1849</v>
      </c>
      <c r="H457" s="2" t="s">
        <v>1850</v>
      </c>
      <c r="I457" s="2" t="s">
        <v>904</v>
      </c>
      <c r="J457" s="2" t="s">
        <v>844</v>
      </c>
      <c r="K457" s="2" t="s">
        <v>158</v>
      </c>
      <c r="L457" s="3">
        <v>57.14</v>
      </c>
      <c r="M457" s="3">
        <v>60</v>
      </c>
      <c r="N457" s="3">
        <v>119.99</v>
      </c>
      <c r="O457" s="2" t="s">
        <v>97</v>
      </c>
      <c r="P457" s="2" t="s">
        <v>198</v>
      </c>
      <c r="Q457" s="2" t="s">
        <v>99</v>
      </c>
      <c r="R457" s="2" t="s">
        <v>100</v>
      </c>
      <c r="S457" s="2" t="s">
        <v>1851</v>
      </c>
      <c r="T457" s="2" t="s">
        <v>184</v>
      </c>
      <c r="U457" s="2" t="s">
        <v>403</v>
      </c>
      <c r="V457" s="2" t="s">
        <v>1275</v>
      </c>
      <c r="W457" s="2" t="s">
        <v>104</v>
      </c>
      <c r="X457" s="2" t="s">
        <v>1852</v>
      </c>
      <c r="Y457" s="2" t="s">
        <v>1853</v>
      </c>
      <c r="Z457" s="4">
        <v>359</v>
      </c>
      <c r="AA457" s="4">
        <f>=ROUNDDOWN(47.8666666666667,0)</f>
      </c>
      <c r="AB457" s="5">
        <v>7.5</v>
      </c>
      <c r="AC457" s="2" t="s">
        <v>100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298</v>
      </c>
      <c r="BK457" s="8">
        <v>18998.57</v>
      </c>
      <c r="BL457" s="2" t="s">
        <v>1854</v>
      </c>
      <c r="BM457" s="7"/>
      <c r="BN457" s="7"/>
      <c r="BO457" s="4"/>
      <c r="BP457" s="8"/>
      <c r="BQ457" s="4"/>
      <c r="BR457" s="8"/>
      <c r="BS457" s="7"/>
      <c r="BT457" s="7"/>
      <c r="BU457" s="2" t="s">
        <v>147</v>
      </c>
      <c r="BV457" s="2" t="s">
        <v>97</v>
      </c>
      <c r="BW457" s="2" t="s">
        <v>100</v>
      </c>
      <c r="BX457" s="2" t="s">
        <v>100</v>
      </c>
      <c r="BY457" s="2" t="s">
        <v>112</v>
      </c>
      <c r="BZ457" s="2" t="s">
        <v>100</v>
      </c>
    </row>
    <row r="458">
      <c r="A458" s="2" t="s">
        <v>1855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1848</v>
      </c>
      <c r="G458" s="2" t="s">
        <v>1849</v>
      </c>
      <c r="H458" s="2" t="s">
        <v>1850</v>
      </c>
      <c r="I458" s="2" t="s">
        <v>904</v>
      </c>
      <c r="J458" s="2" t="s">
        <v>850</v>
      </c>
      <c r="K458" s="2" t="s">
        <v>158</v>
      </c>
      <c r="L458" s="3">
        <v>66.66</v>
      </c>
      <c r="M458" s="3">
        <v>69.99</v>
      </c>
      <c r="N458" s="3">
        <v>139.99</v>
      </c>
      <c r="O458" s="2" t="s">
        <v>97</v>
      </c>
      <c r="P458" s="2" t="s">
        <v>198</v>
      </c>
      <c r="Q458" s="2" t="s">
        <v>99</v>
      </c>
      <c r="R458" s="2" t="s">
        <v>100</v>
      </c>
      <c r="S458" s="2" t="s">
        <v>1851</v>
      </c>
      <c r="T458" s="2" t="s">
        <v>184</v>
      </c>
      <c r="U458" s="2" t="s">
        <v>403</v>
      </c>
      <c r="V458" s="2" t="s">
        <v>1275</v>
      </c>
      <c r="W458" s="2" t="s">
        <v>104</v>
      </c>
      <c r="X458" s="2" t="s">
        <v>1852</v>
      </c>
      <c r="Y458" s="2" t="s">
        <v>1853</v>
      </c>
      <c r="Z458" s="4">
        <v>367</v>
      </c>
      <c r="AA458" s="4">
        <f>=ROUNDDOWN(54.7761194029851,0)</f>
      </c>
      <c r="AB458" s="5">
        <v>6.7</v>
      </c>
      <c r="AC458" s="2" t="s">
        <v>100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176</v>
      </c>
      <c r="BK458" s="8">
        <v>12570.29</v>
      </c>
      <c r="BL458" s="2" t="s">
        <v>1854</v>
      </c>
      <c r="BM458" s="7"/>
      <c r="BN458" s="7"/>
      <c r="BO458" s="4"/>
      <c r="BP458" s="8"/>
      <c r="BQ458" s="4"/>
      <c r="BR458" s="8"/>
      <c r="BS458" s="7"/>
      <c r="BT458" s="7"/>
      <c r="BU458" s="2" t="s">
        <v>147</v>
      </c>
      <c r="BV458" s="2" t="s">
        <v>97</v>
      </c>
      <c r="BW458" s="2" t="s">
        <v>100</v>
      </c>
      <c r="BX458" s="2" t="s">
        <v>100</v>
      </c>
      <c r="BY458" s="2" t="s">
        <v>112</v>
      </c>
      <c r="BZ458" s="2" t="s">
        <v>100</v>
      </c>
    </row>
    <row r="459">
      <c r="A459" s="2" t="s">
        <v>1856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1857</v>
      </c>
      <c r="G459" s="2" t="s">
        <v>1858</v>
      </c>
      <c r="H459" s="2" t="s">
        <v>1859</v>
      </c>
      <c r="I459" s="2" t="s">
        <v>1334</v>
      </c>
      <c r="J459" s="2" t="s">
        <v>844</v>
      </c>
      <c r="K459" s="2" t="s">
        <v>298</v>
      </c>
      <c r="L459" s="3">
        <v>36.57</v>
      </c>
      <c r="M459" s="3">
        <v>38.4</v>
      </c>
      <c r="N459" s="3">
        <v>79.99</v>
      </c>
      <c r="O459" s="2" t="s">
        <v>97</v>
      </c>
      <c r="P459" s="2" t="s">
        <v>182</v>
      </c>
      <c r="Q459" s="2" t="s">
        <v>99</v>
      </c>
      <c r="R459" s="2" t="s">
        <v>100</v>
      </c>
      <c r="S459" s="2" t="s">
        <v>1860</v>
      </c>
      <c r="T459" s="2" t="s">
        <v>184</v>
      </c>
      <c r="U459" s="2" t="s">
        <v>790</v>
      </c>
      <c r="V459" s="2" t="s">
        <v>491</v>
      </c>
      <c r="W459" s="2" t="s">
        <v>808</v>
      </c>
      <c r="X459" s="2" t="s">
        <v>1288</v>
      </c>
      <c r="Y459" s="2" t="s">
        <v>1583</v>
      </c>
      <c r="Z459" s="4">
        <v>223</v>
      </c>
      <c r="AA459" s="4">
        <f>=ROUNDDOWN(7.68965517241379,0)</f>
      </c>
      <c r="AB459" s="5">
        <v>29</v>
      </c>
      <c r="AC459" s="2" t="s">
        <v>766</v>
      </c>
      <c r="AD459" s="4">
        <v>480</v>
      </c>
      <c r="AE459" s="4">
        <v>480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215</v>
      </c>
      <c r="BK459" s="8">
        <v>9226.84</v>
      </c>
      <c r="BL459" s="2" t="s">
        <v>1861</v>
      </c>
      <c r="BM459" s="7"/>
      <c r="BN459" s="7"/>
      <c r="BO459" s="4"/>
      <c r="BP459" s="8"/>
      <c r="BQ459" s="4"/>
      <c r="BR459" s="8"/>
      <c r="BS459" s="7"/>
      <c r="BT459" s="7"/>
      <c r="BU459" s="2" t="s">
        <v>1171</v>
      </c>
      <c r="BV459" s="2" t="s">
        <v>97</v>
      </c>
      <c r="BW459" s="2" t="s">
        <v>100</v>
      </c>
      <c r="BX459" s="2" t="s">
        <v>100</v>
      </c>
      <c r="BY459" s="2" t="s">
        <v>112</v>
      </c>
      <c r="BZ459" s="2" t="s">
        <v>100</v>
      </c>
    </row>
    <row r="460">
      <c r="A460" s="2" t="s">
        <v>1862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1857</v>
      </c>
      <c r="G460" s="2" t="s">
        <v>1858</v>
      </c>
      <c r="H460" s="2" t="s">
        <v>1859</v>
      </c>
      <c r="I460" s="2" t="s">
        <v>1334</v>
      </c>
      <c r="J460" s="2" t="s">
        <v>850</v>
      </c>
      <c r="K460" s="2" t="s">
        <v>298</v>
      </c>
      <c r="L460" s="3">
        <v>41.14</v>
      </c>
      <c r="M460" s="3">
        <v>43.2</v>
      </c>
      <c r="N460" s="3">
        <v>89.99</v>
      </c>
      <c r="O460" s="2" t="s">
        <v>97</v>
      </c>
      <c r="P460" s="2" t="s">
        <v>182</v>
      </c>
      <c r="Q460" s="2" t="s">
        <v>99</v>
      </c>
      <c r="R460" s="2" t="s">
        <v>100</v>
      </c>
      <c r="S460" s="2" t="s">
        <v>1860</v>
      </c>
      <c r="T460" s="2" t="s">
        <v>184</v>
      </c>
      <c r="U460" s="2" t="s">
        <v>790</v>
      </c>
      <c r="V460" s="2" t="s">
        <v>491</v>
      </c>
      <c r="W460" s="2" t="s">
        <v>808</v>
      </c>
      <c r="X460" s="2" t="s">
        <v>1288</v>
      </c>
      <c r="Y460" s="2" t="s">
        <v>1583</v>
      </c>
      <c r="Z460" s="4">
        <v>113</v>
      </c>
      <c r="AA460" s="4">
        <f>=ROUNDDOWN(5.65,0)</f>
      </c>
      <c r="AB460" s="5">
        <v>20</v>
      </c>
      <c r="AC460" s="2" t="s">
        <v>766</v>
      </c>
      <c r="AD460" s="4">
        <v>320</v>
      </c>
      <c r="AE460" s="4">
        <v>320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165</v>
      </c>
      <c r="BK460" s="8">
        <v>7813.43</v>
      </c>
      <c r="BL460" s="2" t="s">
        <v>1621</v>
      </c>
      <c r="BM460" s="7"/>
      <c r="BN460" s="7"/>
      <c r="BO460" s="4"/>
      <c r="BP460" s="8"/>
      <c r="BQ460" s="4"/>
      <c r="BR460" s="8"/>
      <c r="BS460" s="7"/>
      <c r="BT460" s="7"/>
      <c r="BU460" s="2" t="s">
        <v>1171</v>
      </c>
      <c r="BV460" s="2" t="s">
        <v>97</v>
      </c>
      <c r="BW460" s="2" t="s">
        <v>100</v>
      </c>
      <c r="BX460" s="2" t="s">
        <v>100</v>
      </c>
      <c r="BY460" s="2" t="s">
        <v>112</v>
      </c>
      <c r="BZ460" s="2" t="s">
        <v>100</v>
      </c>
    </row>
    <row r="461">
      <c r="A461" s="2" t="s">
        <v>1863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1864</v>
      </c>
      <c r="G461" s="2" t="s">
        <v>1865</v>
      </c>
      <c r="H461" s="2" t="s">
        <v>1866</v>
      </c>
      <c r="I461" s="2" t="s">
        <v>196</v>
      </c>
      <c r="J461" s="2" t="s">
        <v>95</v>
      </c>
      <c r="K461" s="2" t="s">
        <v>158</v>
      </c>
      <c r="L461" s="3">
        <v>57.6</v>
      </c>
      <c r="M461" s="3">
        <v>60.47</v>
      </c>
      <c r="N461" s="3">
        <v>119.99</v>
      </c>
      <c r="O461" s="2" t="s">
        <v>97</v>
      </c>
      <c r="P461" s="2" t="s">
        <v>182</v>
      </c>
      <c r="Q461" s="2" t="s">
        <v>99</v>
      </c>
      <c r="R461" s="2" t="s">
        <v>100</v>
      </c>
      <c r="S461" s="2" t="s">
        <v>1867</v>
      </c>
      <c r="T461" s="2" t="s">
        <v>100</v>
      </c>
      <c r="U461" s="2" t="s">
        <v>102</v>
      </c>
      <c r="V461" s="2" t="s">
        <v>404</v>
      </c>
      <c r="W461" s="2" t="s">
        <v>405</v>
      </c>
      <c r="X461" s="2" t="s">
        <v>456</v>
      </c>
      <c r="Y461" s="2" t="s">
        <v>106</v>
      </c>
      <c r="Z461" s="4">
        <v>255</v>
      </c>
      <c r="AA461" s="4">
        <f>=ROUNDDOWN(28.3333333333333,0)</f>
      </c>
      <c r="AB461" s="5">
        <v>9</v>
      </c>
      <c r="AC461" s="2" t="s">
        <v>382</v>
      </c>
      <c r="AD461" s="4">
        <v>180</v>
      </c>
      <c r="AE461" s="4">
        <v>210</v>
      </c>
      <c r="AF461" s="6">
        <v>65</v>
      </c>
      <c r="AG461" s="6"/>
      <c r="AH461" s="7">
        <v>0.9273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171</v>
      </c>
      <c r="BK461" s="8">
        <v>10043.55</v>
      </c>
      <c r="BL461" s="2" t="s">
        <v>1868</v>
      </c>
      <c r="BM461" s="7"/>
      <c r="BN461" s="7"/>
      <c r="BO461" s="4"/>
      <c r="BP461" s="8"/>
      <c r="BQ461" s="4"/>
      <c r="BR461" s="8"/>
      <c r="BS461" s="7"/>
      <c r="BT461" s="7"/>
      <c r="BU461" s="2" t="s">
        <v>147</v>
      </c>
      <c r="BV461" s="2" t="s">
        <v>97</v>
      </c>
      <c r="BW461" s="2" t="s">
        <v>100</v>
      </c>
      <c r="BX461" s="2" t="s">
        <v>100</v>
      </c>
      <c r="BY461" s="2" t="s">
        <v>112</v>
      </c>
      <c r="BZ461" s="2" t="s">
        <v>100</v>
      </c>
    </row>
    <row r="462">
      <c r="A462" s="2" t="s">
        <v>1869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1864</v>
      </c>
      <c r="G462" s="2" t="s">
        <v>1865</v>
      </c>
      <c r="H462" s="2" t="s">
        <v>1866</v>
      </c>
      <c r="I462" s="2" t="s">
        <v>196</v>
      </c>
      <c r="J462" s="2" t="s">
        <v>114</v>
      </c>
      <c r="K462" s="2" t="s">
        <v>158</v>
      </c>
      <c r="L462" s="3">
        <v>76.49</v>
      </c>
      <c r="M462" s="3">
        <v>80.32</v>
      </c>
      <c r="N462" s="3">
        <v>149.99</v>
      </c>
      <c r="O462" s="2" t="s">
        <v>97</v>
      </c>
      <c r="P462" s="2" t="s">
        <v>182</v>
      </c>
      <c r="Q462" s="2" t="s">
        <v>99</v>
      </c>
      <c r="R462" s="2" t="s">
        <v>100</v>
      </c>
      <c r="S462" s="2" t="s">
        <v>1867</v>
      </c>
      <c r="T462" s="2" t="s">
        <v>100</v>
      </c>
      <c r="U462" s="2" t="s">
        <v>102</v>
      </c>
      <c r="V462" s="2" t="s">
        <v>404</v>
      </c>
      <c r="W462" s="2" t="s">
        <v>405</v>
      </c>
      <c r="X462" s="2" t="s">
        <v>456</v>
      </c>
      <c r="Y462" s="2" t="s">
        <v>106</v>
      </c>
      <c r="Z462" s="4">
        <v>102</v>
      </c>
      <c r="AA462" s="4">
        <f>=ROUNDDOWN(10.2,0)</f>
      </c>
      <c r="AB462" s="5">
        <v>10</v>
      </c>
      <c r="AC462" s="2" t="s">
        <v>382</v>
      </c>
      <c r="AD462" s="4">
        <v>270</v>
      </c>
      <c r="AE462" s="4">
        <v>320</v>
      </c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231</v>
      </c>
      <c r="BK462" s="8">
        <v>18433.53</v>
      </c>
      <c r="BL462" s="2" t="s">
        <v>1870</v>
      </c>
      <c r="BM462" s="7"/>
      <c r="BN462" s="7"/>
      <c r="BO462" s="4"/>
      <c r="BP462" s="8"/>
      <c r="BQ462" s="4"/>
      <c r="BR462" s="8"/>
      <c r="BS462" s="7"/>
      <c r="BT462" s="7"/>
      <c r="BU462" s="2" t="s">
        <v>147</v>
      </c>
      <c r="BV462" s="2" t="s">
        <v>97</v>
      </c>
      <c r="BW462" s="2" t="s">
        <v>100</v>
      </c>
      <c r="BX462" s="2" t="s">
        <v>100</v>
      </c>
      <c r="BY462" s="2" t="s">
        <v>112</v>
      </c>
      <c r="BZ462" s="2" t="s">
        <v>100</v>
      </c>
    </row>
    <row r="463">
      <c r="A463" s="2" t="s">
        <v>1871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1864</v>
      </c>
      <c r="G463" s="2" t="s">
        <v>1865</v>
      </c>
      <c r="H463" s="2" t="s">
        <v>1866</v>
      </c>
      <c r="I463" s="2" t="s">
        <v>196</v>
      </c>
      <c r="J463" s="2" t="s">
        <v>118</v>
      </c>
      <c r="K463" s="2" t="s">
        <v>158</v>
      </c>
      <c r="L463" s="3">
        <v>76.49</v>
      </c>
      <c r="M463" s="3">
        <v>80.32</v>
      </c>
      <c r="N463" s="3">
        <v>149.99</v>
      </c>
      <c r="O463" s="2" t="s">
        <v>97</v>
      </c>
      <c r="P463" s="2" t="s">
        <v>182</v>
      </c>
      <c r="Q463" s="2" t="s">
        <v>99</v>
      </c>
      <c r="R463" s="2" t="s">
        <v>100</v>
      </c>
      <c r="S463" s="2" t="s">
        <v>1867</v>
      </c>
      <c r="T463" s="2" t="s">
        <v>100</v>
      </c>
      <c r="U463" s="2" t="s">
        <v>102</v>
      </c>
      <c r="V463" s="2" t="s">
        <v>404</v>
      </c>
      <c r="W463" s="2" t="s">
        <v>405</v>
      </c>
      <c r="X463" s="2" t="s">
        <v>456</v>
      </c>
      <c r="Y463" s="2" t="s">
        <v>106</v>
      </c>
      <c r="Z463" s="4">
        <v>149</v>
      </c>
      <c r="AA463" s="4">
        <f>=ROUNDDOWN(37.25,0)</f>
      </c>
      <c r="AB463" s="5">
        <v>4</v>
      </c>
      <c r="AC463" s="2" t="s">
        <v>382</v>
      </c>
      <c r="AD463" s="4">
        <v>30</v>
      </c>
      <c r="AE463" s="4">
        <v>60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64</v>
      </c>
      <c r="BK463" s="8">
        <v>5105.48</v>
      </c>
      <c r="BL463" s="2" t="s">
        <v>1138</v>
      </c>
      <c r="BM463" s="7"/>
      <c r="BN463" s="7"/>
      <c r="BO463" s="4"/>
      <c r="BP463" s="8"/>
      <c r="BQ463" s="4"/>
      <c r="BR463" s="8"/>
      <c r="BS463" s="7"/>
      <c r="BT463" s="7"/>
      <c r="BU463" s="2" t="s">
        <v>147</v>
      </c>
      <c r="BV463" s="2" t="s">
        <v>97</v>
      </c>
      <c r="BW463" s="2" t="s">
        <v>100</v>
      </c>
      <c r="BX463" s="2" t="s">
        <v>100</v>
      </c>
      <c r="BY463" s="2" t="s">
        <v>112</v>
      </c>
      <c r="BZ463" s="2" t="s">
        <v>100</v>
      </c>
    </row>
    <row r="464">
      <c r="A464" s="2" t="s">
        <v>1872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1864</v>
      </c>
      <c r="G464" s="2" t="s">
        <v>1865</v>
      </c>
      <c r="H464" s="2" t="s">
        <v>1866</v>
      </c>
      <c r="I464" s="2" t="s">
        <v>196</v>
      </c>
      <c r="J464" s="2" t="s">
        <v>95</v>
      </c>
      <c r="K464" s="2" t="s">
        <v>96</v>
      </c>
      <c r="L464" s="3">
        <v>57.6</v>
      </c>
      <c r="M464" s="3">
        <v>60.47</v>
      </c>
      <c r="N464" s="3">
        <v>119.99</v>
      </c>
      <c r="O464" s="2" t="s">
        <v>97</v>
      </c>
      <c r="P464" s="2" t="s">
        <v>182</v>
      </c>
      <c r="Q464" s="2" t="s">
        <v>99</v>
      </c>
      <c r="R464" s="2" t="s">
        <v>100</v>
      </c>
      <c r="S464" s="2" t="s">
        <v>1867</v>
      </c>
      <c r="T464" s="2" t="s">
        <v>100</v>
      </c>
      <c r="U464" s="2" t="s">
        <v>102</v>
      </c>
      <c r="V464" s="2" t="s">
        <v>404</v>
      </c>
      <c r="W464" s="2" t="s">
        <v>405</v>
      </c>
      <c r="X464" s="2" t="s">
        <v>456</v>
      </c>
      <c r="Y464" s="2" t="s">
        <v>106</v>
      </c>
      <c r="Z464" s="4">
        <v>303</v>
      </c>
      <c r="AA464" s="4">
        <f>=ROUNDDOWN(33.6666666666667,0)</f>
      </c>
      <c r="AB464" s="5">
        <v>9</v>
      </c>
      <c r="AC464" s="2" t="s">
        <v>356</v>
      </c>
      <c r="AD464" s="4">
        <v>105</v>
      </c>
      <c r="AE464" s="4">
        <v>105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218</v>
      </c>
      <c r="BK464" s="8">
        <v>12899.2</v>
      </c>
      <c r="BL464" s="2" t="s">
        <v>1873</v>
      </c>
      <c r="BM464" s="7"/>
      <c r="BN464" s="7"/>
      <c r="BO464" s="4"/>
      <c r="BP464" s="8"/>
      <c r="BQ464" s="4"/>
      <c r="BR464" s="8"/>
      <c r="BS464" s="7"/>
      <c r="BT464" s="7"/>
      <c r="BU464" s="2" t="s">
        <v>147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1874</v>
      </c>
      <c r="B465" s="2" t="s">
        <v>87</v>
      </c>
      <c r="C465" s="2" t="s">
        <v>88</v>
      </c>
      <c r="D465" s="2" t="s">
        <v>89</v>
      </c>
      <c r="E465" s="2" t="s">
        <v>90</v>
      </c>
      <c r="F465" s="2" t="s">
        <v>1864</v>
      </c>
      <c r="G465" s="2" t="s">
        <v>1865</v>
      </c>
      <c r="H465" s="2" t="s">
        <v>1866</v>
      </c>
      <c r="I465" s="2" t="s">
        <v>196</v>
      </c>
      <c r="J465" s="2" t="s">
        <v>114</v>
      </c>
      <c r="K465" s="2" t="s">
        <v>96</v>
      </c>
      <c r="L465" s="3">
        <v>76.49</v>
      </c>
      <c r="M465" s="3">
        <v>80.32</v>
      </c>
      <c r="N465" s="3">
        <v>149.99</v>
      </c>
      <c r="O465" s="2" t="s">
        <v>97</v>
      </c>
      <c r="P465" s="2" t="s">
        <v>182</v>
      </c>
      <c r="Q465" s="2" t="s">
        <v>99</v>
      </c>
      <c r="R465" s="2" t="s">
        <v>100</v>
      </c>
      <c r="S465" s="2" t="s">
        <v>1867</v>
      </c>
      <c r="T465" s="2" t="s">
        <v>100</v>
      </c>
      <c r="U465" s="2" t="s">
        <v>102</v>
      </c>
      <c r="V465" s="2" t="s">
        <v>404</v>
      </c>
      <c r="W465" s="2" t="s">
        <v>405</v>
      </c>
      <c r="X465" s="2" t="s">
        <v>456</v>
      </c>
      <c r="Y465" s="2" t="s">
        <v>106</v>
      </c>
      <c r="Z465" s="4">
        <v>281</v>
      </c>
      <c r="AA465" s="4">
        <f>=ROUNDDOWN(46.8333333333333,0)</f>
      </c>
      <c r="AB465" s="5">
        <v>6</v>
      </c>
      <c r="AC465" s="2" t="s">
        <v>356</v>
      </c>
      <c r="AD465" s="4">
        <v>100</v>
      </c>
      <c r="AE465" s="4">
        <v>100</v>
      </c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100</v>
      </c>
      <c r="AW465" s="8" t="s">
        <v>100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 t="s">
        <v>100</v>
      </c>
      <c r="BD465" s="8" t="s">
        <v>100</v>
      </c>
      <c r="BE465" s="4" t="s">
        <v>100</v>
      </c>
      <c r="BF465" s="8" t="s">
        <v>100</v>
      </c>
      <c r="BG465" s="7" t="s">
        <v>100</v>
      </c>
      <c r="BH465" s="7" t="s">
        <v>100</v>
      </c>
      <c r="BI465" s="7"/>
      <c r="BJ465" s="4">
        <v>143</v>
      </c>
      <c r="BK465" s="8">
        <v>11547.48</v>
      </c>
      <c r="BL465" s="2" t="s">
        <v>1875</v>
      </c>
      <c r="BM465" s="7"/>
      <c r="BN465" s="7"/>
      <c r="BO465" s="4"/>
      <c r="BP465" s="8"/>
      <c r="BQ465" s="4"/>
      <c r="BR465" s="8"/>
      <c r="BS465" s="7"/>
      <c r="BT465" s="7"/>
      <c r="BU465" s="2" t="s">
        <v>147</v>
      </c>
      <c r="BV465" s="2" t="s">
        <v>97</v>
      </c>
      <c r="BW465" s="2" t="s">
        <v>100</v>
      </c>
      <c r="BX465" s="2" t="s">
        <v>100</v>
      </c>
      <c r="BY465" s="2" t="s">
        <v>112</v>
      </c>
      <c r="BZ465" s="2" t="s">
        <v>100</v>
      </c>
    </row>
    <row r="466">
      <c r="A466" s="2" t="s">
        <v>1876</v>
      </c>
      <c r="B466" s="2" t="s">
        <v>87</v>
      </c>
      <c r="C466" s="2" t="s">
        <v>88</v>
      </c>
      <c r="D466" s="2" t="s">
        <v>89</v>
      </c>
      <c r="E466" s="2" t="s">
        <v>90</v>
      </c>
      <c r="F466" s="2" t="s">
        <v>1864</v>
      </c>
      <c r="G466" s="2" t="s">
        <v>1865</v>
      </c>
      <c r="H466" s="2" t="s">
        <v>1866</v>
      </c>
      <c r="I466" s="2" t="s">
        <v>196</v>
      </c>
      <c r="J466" s="2" t="s">
        <v>118</v>
      </c>
      <c r="K466" s="2" t="s">
        <v>96</v>
      </c>
      <c r="L466" s="3">
        <v>76.49</v>
      </c>
      <c r="M466" s="3">
        <v>80.32</v>
      </c>
      <c r="N466" s="3">
        <v>149.99</v>
      </c>
      <c r="O466" s="2" t="s">
        <v>97</v>
      </c>
      <c r="P466" s="2" t="s">
        <v>182</v>
      </c>
      <c r="Q466" s="2" t="s">
        <v>99</v>
      </c>
      <c r="R466" s="2" t="s">
        <v>100</v>
      </c>
      <c r="S466" s="2" t="s">
        <v>1867</v>
      </c>
      <c r="T466" s="2" t="s">
        <v>100</v>
      </c>
      <c r="U466" s="2" t="s">
        <v>102</v>
      </c>
      <c r="V466" s="2" t="s">
        <v>404</v>
      </c>
      <c r="W466" s="2" t="s">
        <v>405</v>
      </c>
      <c r="X466" s="2" t="s">
        <v>456</v>
      </c>
      <c r="Y466" s="2" t="s">
        <v>106</v>
      </c>
      <c r="Z466" s="4">
        <v>90</v>
      </c>
      <c r="AA466" s="4">
        <f>=ROUNDDOWN(15,0)</f>
      </c>
      <c r="AB466" s="5">
        <v>6</v>
      </c>
      <c r="AC466" s="2" t="s">
        <v>356</v>
      </c>
      <c r="AD466" s="4">
        <v>30</v>
      </c>
      <c r="AE466" s="4">
        <v>280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/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/>
      <c r="BJ466" s="4">
        <v>71</v>
      </c>
      <c r="BK466" s="8">
        <v>5705.5</v>
      </c>
      <c r="BL466" s="2" t="s">
        <v>1877</v>
      </c>
      <c r="BM466" s="7"/>
      <c r="BN466" s="7"/>
      <c r="BO466" s="4"/>
      <c r="BP466" s="8"/>
      <c r="BQ466" s="4"/>
      <c r="BR466" s="8"/>
      <c r="BS466" s="7"/>
      <c r="BT466" s="7"/>
      <c r="BU466" s="2" t="s">
        <v>147</v>
      </c>
      <c r="BV466" s="2" t="s">
        <v>97</v>
      </c>
      <c r="BW466" s="2" t="s">
        <v>100</v>
      </c>
      <c r="BX466" s="2" t="s">
        <v>100</v>
      </c>
      <c r="BY466" s="2" t="s">
        <v>112</v>
      </c>
      <c r="BZ466" s="2" t="s">
        <v>100</v>
      </c>
    </row>
    <row r="467">
      <c r="A467" s="2" t="s">
        <v>1878</v>
      </c>
      <c r="B467" s="2" t="s">
        <v>87</v>
      </c>
      <c r="C467" s="2" t="s">
        <v>88</v>
      </c>
      <c r="D467" s="2" t="s">
        <v>89</v>
      </c>
      <c r="E467" s="2" t="s">
        <v>90</v>
      </c>
      <c r="F467" s="2" t="s">
        <v>1879</v>
      </c>
      <c r="G467" s="2" t="s">
        <v>1880</v>
      </c>
      <c r="H467" s="2" t="s">
        <v>1881</v>
      </c>
      <c r="I467" s="2" t="s">
        <v>1882</v>
      </c>
      <c r="J467" s="2" t="s">
        <v>114</v>
      </c>
      <c r="K467" s="2" t="s">
        <v>635</v>
      </c>
      <c r="L467" s="3">
        <v>57.6</v>
      </c>
      <c r="M467" s="3">
        <v>60.48</v>
      </c>
      <c r="N467" s="3">
        <v>119.99</v>
      </c>
      <c r="O467" s="2" t="s">
        <v>229</v>
      </c>
      <c r="P467" s="2" t="s">
        <v>198</v>
      </c>
      <c r="Q467" s="2" t="s">
        <v>99</v>
      </c>
      <c r="R467" s="2" t="s">
        <v>100</v>
      </c>
      <c r="S467" s="2" t="s">
        <v>1883</v>
      </c>
      <c r="T467" s="2" t="s">
        <v>100</v>
      </c>
      <c r="U467" s="2" t="s">
        <v>790</v>
      </c>
      <c r="V467" s="2" t="s">
        <v>601</v>
      </c>
      <c r="W467" s="2" t="s">
        <v>104</v>
      </c>
      <c r="X467" s="2" t="s">
        <v>105</v>
      </c>
      <c r="Y467" s="2" t="s">
        <v>106</v>
      </c>
      <c r="Z467" s="4"/>
      <c r="AA467" s="4">
        <f>=ROUNDDOWN({0},0)</f>
      </c>
      <c r="AB467" s="5"/>
      <c r="AC467" s="2" t="s">
        <v>100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100</v>
      </c>
      <c r="BM467" s="7"/>
      <c r="BN467" s="7"/>
      <c r="BO467" s="4"/>
      <c r="BP467" s="8"/>
      <c r="BQ467" s="4"/>
      <c r="BR467" s="8"/>
      <c r="BS467" s="7"/>
      <c r="BT467" s="7"/>
      <c r="BU467" s="2" t="s">
        <v>147</v>
      </c>
      <c r="BV467" s="2" t="s">
        <v>97</v>
      </c>
      <c r="BW467" s="2" t="s">
        <v>100</v>
      </c>
      <c r="BX467" s="2" t="s">
        <v>100</v>
      </c>
      <c r="BY467" s="2" t="s">
        <v>112</v>
      </c>
      <c r="BZ467" s="2" t="s">
        <v>100</v>
      </c>
    </row>
    <row r="468">
      <c r="A468" s="2" t="s">
        <v>1884</v>
      </c>
      <c r="B468" s="2" t="s">
        <v>87</v>
      </c>
      <c r="C468" s="2" t="s">
        <v>88</v>
      </c>
      <c r="D468" s="2" t="s">
        <v>89</v>
      </c>
      <c r="E468" s="2" t="s">
        <v>90</v>
      </c>
      <c r="F468" s="2" t="s">
        <v>1885</v>
      </c>
      <c r="G468" s="2" t="s">
        <v>1886</v>
      </c>
      <c r="H468" s="2" t="s">
        <v>1887</v>
      </c>
      <c r="I468" s="2" t="s">
        <v>1888</v>
      </c>
      <c r="J468" s="2" t="s">
        <v>844</v>
      </c>
      <c r="K468" s="2" t="s">
        <v>197</v>
      </c>
      <c r="L468" s="3">
        <v>47.61</v>
      </c>
      <c r="M468" s="3">
        <v>49.99</v>
      </c>
      <c r="N468" s="3">
        <v>99.99</v>
      </c>
      <c r="O468" s="2" t="s">
        <v>97</v>
      </c>
      <c r="P468" s="2" t="s">
        <v>198</v>
      </c>
      <c r="Q468" s="2" t="s">
        <v>99</v>
      </c>
      <c r="R468" s="2" t="s">
        <v>100</v>
      </c>
      <c r="S468" s="2" t="s">
        <v>1889</v>
      </c>
      <c r="T468" s="2" t="s">
        <v>184</v>
      </c>
      <c r="U468" s="2" t="s">
        <v>102</v>
      </c>
      <c r="V468" s="2" t="s">
        <v>455</v>
      </c>
      <c r="W468" s="2" t="s">
        <v>104</v>
      </c>
      <c r="X468" s="2" t="s">
        <v>405</v>
      </c>
      <c r="Y468" s="2" t="s">
        <v>1890</v>
      </c>
      <c r="Z468" s="4">
        <v>255</v>
      </c>
      <c r="AA468" s="4">
        <f>=ROUNDDOWN(318.75,0)</f>
      </c>
      <c r="AB468" s="5">
        <v>0.8</v>
      </c>
      <c r="AC468" s="2" t="s">
        <v>100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100</v>
      </c>
      <c r="AW468" s="8" t="s">
        <v>100</v>
      </c>
      <c r="AX468" s="4" t="s">
        <v>100</v>
      </c>
      <c r="AY468" s="8" t="s">
        <v>100</v>
      </c>
      <c r="AZ468" s="7" t="s">
        <v>100</v>
      </c>
      <c r="BA468" s="7" t="s">
        <v>100</v>
      </c>
      <c r="BB468" s="7"/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/>
      <c r="BJ468" s="4">
        <v>37</v>
      </c>
      <c r="BK468" s="8">
        <v>1890.15</v>
      </c>
      <c r="BL468" s="2" t="s">
        <v>470</v>
      </c>
      <c r="BM468" s="7"/>
      <c r="BN468" s="7"/>
      <c r="BO468" s="4"/>
      <c r="BP468" s="8"/>
      <c r="BQ468" s="4"/>
      <c r="BR468" s="8"/>
      <c r="BS468" s="7"/>
      <c r="BT468" s="7"/>
      <c r="BU468" s="2" t="s">
        <v>147</v>
      </c>
      <c r="BV468" s="2" t="s">
        <v>97</v>
      </c>
      <c r="BW468" s="2" t="s">
        <v>100</v>
      </c>
      <c r="BX468" s="2" t="s">
        <v>100</v>
      </c>
      <c r="BY468" s="2" t="s">
        <v>112</v>
      </c>
      <c r="BZ468" s="2" t="s">
        <v>100</v>
      </c>
    </row>
    <row r="469">
      <c r="A469" s="2" t="s">
        <v>1891</v>
      </c>
      <c r="B469" s="2" t="s">
        <v>87</v>
      </c>
      <c r="C469" s="2" t="s">
        <v>88</v>
      </c>
      <c r="D469" s="2" t="s">
        <v>89</v>
      </c>
      <c r="E469" s="2" t="s">
        <v>90</v>
      </c>
      <c r="F469" s="2" t="s">
        <v>1885</v>
      </c>
      <c r="G469" s="2" t="s">
        <v>1886</v>
      </c>
      <c r="H469" s="2" t="s">
        <v>1887</v>
      </c>
      <c r="I469" s="2" t="s">
        <v>1888</v>
      </c>
      <c r="J469" s="2" t="s">
        <v>850</v>
      </c>
      <c r="K469" s="2" t="s">
        <v>197</v>
      </c>
      <c r="L469" s="3">
        <v>52.38</v>
      </c>
      <c r="M469" s="3">
        <v>55</v>
      </c>
      <c r="N469" s="3">
        <v>109.99</v>
      </c>
      <c r="O469" s="2" t="s">
        <v>97</v>
      </c>
      <c r="P469" s="2" t="s">
        <v>198</v>
      </c>
      <c r="Q469" s="2" t="s">
        <v>99</v>
      </c>
      <c r="R469" s="2" t="s">
        <v>100</v>
      </c>
      <c r="S469" s="2" t="s">
        <v>1889</v>
      </c>
      <c r="T469" s="2" t="s">
        <v>184</v>
      </c>
      <c r="U469" s="2" t="s">
        <v>102</v>
      </c>
      <c r="V469" s="2" t="s">
        <v>455</v>
      </c>
      <c r="W469" s="2" t="s">
        <v>104</v>
      </c>
      <c r="X469" s="2" t="s">
        <v>405</v>
      </c>
      <c r="Y469" s="2" t="s">
        <v>1892</v>
      </c>
      <c r="Z469" s="4">
        <v>253</v>
      </c>
      <c r="AA469" s="4">
        <f>=ROUNDDOWN(133.157894736842,0)</f>
      </c>
      <c r="AB469" s="5">
        <v>1.9</v>
      </c>
      <c r="AC469" s="2" t="s">
        <v>100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/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/>
      <c r="BJ469" s="4">
        <v>57</v>
      </c>
      <c r="BK469" s="8">
        <v>3349.91</v>
      </c>
      <c r="BL469" s="2" t="s">
        <v>1893</v>
      </c>
      <c r="BM469" s="7"/>
      <c r="BN469" s="7"/>
      <c r="BO469" s="4"/>
      <c r="BP469" s="8"/>
      <c r="BQ469" s="4"/>
      <c r="BR469" s="8"/>
      <c r="BS469" s="7"/>
      <c r="BT469" s="7"/>
      <c r="BU469" s="2" t="s">
        <v>147</v>
      </c>
      <c r="BV469" s="2" t="s">
        <v>97</v>
      </c>
      <c r="BW469" s="2" t="s">
        <v>100</v>
      </c>
      <c r="BX469" s="2" t="s">
        <v>100</v>
      </c>
      <c r="BY469" s="2" t="s">
        <v>112</v>
      </c>
      <c r="BZ469" s="2" t="s">
        <v>100</v>
      </c>
    </row>
    <row r="470">
      <c r="A470" s="2" t="s">
        <v>1894</v>
      </c>
      <c r="B470" s="2" t="s">
        <v>87</v>
      </c>
      <c r="C470" s="2" t="s">
        <v>88</v>
      </c>
      <c r="D470" s="2" t="s">
        <v>89</v>
      </c>
      <c r="E470" s="2" t="s">
        <v>90</v>
      </c>
      <c r="F470" s="2" t="s">
        <v>1895</v>
      </c>
      <c r="G470" s="2" t="s">
        <v>1896</v>
      </c>
      <c r="H470" s="2" t="s">
        <v>1897</v>
      </c>
      <c r="I470" s="2" t="s">
        <v>1898</v>
      </c>
      <c r="J470" s="2" t="s">
        <v>844</v>
      </c>
      <c r="K470" s="2" t="s">
        <v>1899</v>
      </c>
      <c r="L470" s="3">
        <v>36.57</v>
      </c>
      <c r="M470" s="3">
        <v>38.4</v>
      </c>
      <c r="N470" s="3">
        <v>79.99</v>
      </c>
      <c r="O470" s="2" t="s">
        <v>97</v>
      </c>
      <c r="P470" s="2" t="s">
        <v>1166</v>
      </c>
      <c r="Q470" s="2" t="s">
        <v>99</v>
      </c>
      <c r="R470" s="2" t="s">
        <v>100</v>
      </c>
      <c r="S470" s="2" t="s">
        <v>1900</v>
      </c>
      <c r="T470" s="2" t="s">
        <v>732</v>
      </c>
      <c r="U470" s="2" t="s">
        <v>1482</v>
      </c>
      <c r="V470" s="2" t="s">
        <v>561</v>
      </c>
      <c r="W470" s="2" t="s">
        <v>1288</v>
      </c>
      <c r="X470" s="2" t="s">
        <v>602</v>
      </c>
      <c r="Y470" s="2" t="s">
        <v>1901</v>
      </c>
      <c r="Z470" s="4">
        <v>314</v>
      </c>
      <c r="AA470" s="4">
        <f>=ROUNDDOWN(58.1481481481481,0)</f>
      </c>
      <c r="AB470" s="5">
        <v>5.4</v>
      </c>
      <c r="AC470" s="2" t="s">
        <v>100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100</v>
      </c>
      <c r="AW470" s="8" t="s">
        <v>100</v>
      </c>
      <c r="AX470" s="4" t="s">
        <v>100</v>
      </c>
      <c r="AY470" s="8" t="s">
        <v>100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/>
      <c r="BJ470" s="4">
        <v>61</v>
      </c>
      <c r="BK470" s="8">
        <v>2403.77</v>
      </c>
      <c r="BL470" s="2" t="s">
        <v>1902</v>
      </c>
      <c r="BM470" s="7"/>
      <c r="BN470" s="7"/>
      <c r="BO470" s="4"/>
      <c r="BP470" s="8"/>
      <c r="BQ470" s="4"/>
      <c r="BR470" s="8"/>
      <c r="BS470" s="7"/>
      <c r="BT470" s="7"/>
      <c r="BU470" s="2" t="s">
        <v>1171</v>
      </c>
      <c r="BV470" s="2" t="s">
        <v>97</v>
      </c>
      <c r="BW470" s="2" t="s">
        <v>100</v>
      </c>
      <c r="BX470" s="2" t="s">
        <v>100</v>
      </c>
      <c r="BY470" s="2" t="s">
        <v>112</v>
      </c>
      <c r="BZ470" s="2" t="s">
        <v>100</v>
      </c>
    </row>
    <row r="471">
      <c r="A471" s="2" t="s">
        <v>1903</v>
      </c>
      <c r="B471" s="2" t="s">
        <v>87</v>
      </c>
      <c r="C471" s="2" t="s">
        <v>88</v>
      </c>
      <c r="D471" s="2" t="s">
        <v>89</v>
      </c>
      <c r="E471" s="2" t="s">
        <v>90</v>
      </c>
      <c r="F471" s="2" t="s">
        <v>1895</v>
      </c>
      <c r="G471" s="2" t="s">
        <v>1896</v>
      </c>
      <c r="H471" s="2" t="s">
        <v>1897</v>
      </c>
      <c r="I471" s="2" t="s">
        <v>1898</v>
      </c>
      <c r="J471" s="2" t="s">
        <v>850</v>
      </c>
      <c r="K471" s="2" t="s">
        <v>1899</v>
      </c>
      <c r="L471" s="3">
        <v>41.14</v>
      </c>
      <c r="M471" s="3">
        <v>43.2</v>
      </c>
      <c r="N471" s="3">
        <v>89.99</v>
      </c>
      <c r="O471" s="2" t="s">
        <v>97</v>
      </c>
      <c r="P471" s="2" t="s">
        <v>1166</v>
      </c>
      <c r="Q471" s="2" t="s">
        <v>99</v>
      </c>
      <c r="R471" s="2" t="s">
        <v>100</v>
      </c>
      <c r="S471" s="2" t="s">
        <v>1900</v>
      </c>
      <c r="T471" s="2" t="s">
        <v>732</v>
      </c>
      <c r="U471" s="2" t="s">
        <v>1482</v>
      </c>
      <c r="V471" s="2" t="s">
        <v>561</v>
      </c>
      <c r="W471" s="2" t="s">
        <v>1288</v>
      </c>
      <c r="X471" s="2" t="s">
        <v>602</v>
      </c>
      <c r="Y471" s="2" t="s">
        <v>1904</v>
      </c>
      <c r="Z471" s="4">
        <v>226</v>
      </c>
      <c r="AA471" s="4">
        <f>=ROUNDDOWN(75.3333333333333,0)</f>
      </c>
      <c r="AB471" s="5">
        <v>3</v>
      </c>
      <c r="AC471" s="2" t="s">
        <v>100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/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/>
      <c r="BJ471" s="4">
        <v>42</v>
      </c>
      <c r="BK471" s="8">
        <v>1855.84</v>
      </c>
      <c r="BL471" s="2" t="s">
        <v>1623</v>
      </c>
      <c r="BM471" s="7"/>
      <c r="BN471" s="7"/>
      <c r="BO471" s="4"/>
      <c r="BP471" s="8"/>
      <c r="BQ471" s="4"/>
      <c r="BR471" s="8"/>
      <c r="BS471" s="7"/>
      <c r="BT471" s="7"/>
      <c r="BU471" s="2" t="s">
        <v>1171</v>
      </c>
      <c r="BV471" s="2" t="s">
        <v>97</v>
      </c>
      <c r="BW471" s="2" t="s">
        <v>100</v>
      </c>
      <c r="BX471" s="2" t="s">
        <v>100</v>
      </c>
      <c r="BY471" s="2" t="s">
        <v>112</v>
      </c>
      <c r="BZ471" s="2" t="s">
        <v>100</v>
      </c>
    </row>
    <row r="472">
      <c r="A472" s="2" t="s">
        <v>1905</v>
      </c>
      <c r="B472" s="2" t="s">
        <v>87</v>
      </c>
      <c r="C472" s="2" t="s">
        <v>88</v>
      </c>
      <c r="D472" s="2" t="s">
        <v>89</v>
      </c>
      <c r="E472" s="2" t="s">
        <v>90</v>
      </c>
      <c r="F472" s="2" t="s">
        <v>1906</v>
      </c>
      <c r="G472" s="2" t="s">
        <v>1907</v>
      </c>
      <c r="H472" s="2" t="s">
        <v>1561</v>
      </c>
      <c r="I472" s="2" t="s">
        <v>1908</v>
      </c>
      <c r="J472" s="2" t="s">
        <v>95</v>
      </c>
      <c r="K472" s="2" t="s">
        <v>333</v>
      </c>
      <c r="L472" s="3">
        <v>57.96</v>
      </c>
      <c r="M472" s="3">
        <v>60.86</v>
      </c>
      <c r="N472" s="3">
        <v>129.99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100</v>
      </c>
      <c r="T472" s="2" t="s">
        <v>100</v>
      </c>
      <c r="U472" s="2" t="s">
        <v>102</v>
      </c>
      <c r="V472" s="2" t="s">
        <v>1287</v>
      </c>
      <c r="W472" s="2" t="s">
        <v>312</v>
      </c>
      <c r="X472" s="2" t="s">
        <v>185</v>
      </c>
      <c r="Y472" s="2" t="s">
        <v>1909</v>
      </c>
      <c r="Z472" s="4">
        <v>580</v>
      </c>
      <c r="AA472" s="4">
        <f>=ROUNDDOWN(38.6666666666667,0)</f>
      </c>
      <c r="AB472" s="5">
        <v>15</v>
      </c>
      <c r="AC472" s="2" t="s">
        <v>430</v>
      </c>
      <c r="AD472" s="4">
        <v>190</v>
      </c>
      <c r="AE472" s="4">
        <v>1340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100</v>
      </c>
      <c r="AW472" s="8" t="s">
        <v>100</v>
      </c>
      <c r="AX472" s="4" t="s">
        <v>100</v>
      </c>
      <c r="AY472" s="8" t="s">
        <v>100</v>
      </c>
      <c r="AZ472" s="7" t="s">
        <v>100</v>
      </c>
      <c r="BA472" s="7" t="s">
        <v>100</v>
      </c>
      <c r="BB472" s="7"/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/>
      <c r="BJ472" s="4">
        <v>513</v>
      </c>
      <c r="BK472" s="8">
        <v>33285.77</v>
      </c>
      <c r="BL472" s="2" t="s">
        <v>1910</v>
      </c>
      <c r="BM472" s="7"/>
      <c r="BN472" s="7"/>
      <c r="BO472" s="4"/>
      <c r="BP472" s="8"/>
      <c r="BQ472" s="4"/>
      <c r="BR472" s="8"/>
      <c r="BS472" s="7"/>
      <c r="BT472" s="7"/>
      <c r="BU472" s="2" t="s">
        <v>147</v>
      </c>
      <c r="BV472" s="2" t="s">
        <v>97</v>
      </c>
      <c r="BW472" s="2" t="s">
        <v>100</v>
      </c>
      <c r="BX472" s="2" t="s">
        <v>100</v>
      </c>
      <c r="BY472" s="2" t="s">
        <v>112</v>
      </c>
      <c r="BZ472" s="2" t="s">
        <v>100</v>
      </c>
    </row>
    <row r="473">
      <c r="A473" s="2" t="s">
        <v>1911</v>
      </c>
      <c r="B473" s="2" t="s">
        <v>87</v>
      </c>
      <c r="C473" s="2" t="s">
        <v>88</v>
      </c>
      <c r="D473" s="2" t="s">
        <v>89</v>
      </c>
      <c r="E473" s="2" t="s">
        <v>90</v>
      </c>
      <c r="F473" s="2" t="s">
        <v>1906</v>
      </c>
      <c r="G473" s="2" t="s">
        <v>1907</v>
      </c>
      <c r="H473" s="2" t="s">
        <v>1561</v>
      </c>
      <c r="I473" s="2" t="s">
        <v>1908</v>
      </c>
      <c r="J473" s="2" t="s">
        <v>114</v>
      </c>
      <c r="K473" s="2" t="s">
        <v>333</v>
      </c>
      <c r="L473" s="3">
        <v>66.24</v>
      </c>
      <c r="M473" s="3">
        <v>69.55</v>
      </c>
      <c r="N473" s="3">
        <v>149.99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100</v>
      </c>
      <c r="T473" s="2" t="s">
        <v>100</v>
      </c>
      <c r="U473" s="2" t="s">
        <v>102</v>
      </c>
      <c r="V473" s="2" t="s">
        <v>1287</v>
      </c>
      <c r="W473" s="2" t="s">
        <v>312</v>
      </c>
      <c r="X473" s="2" t="s">
        <v>185</v>
      </c>
      <c r="Y473" s="2" t="s">
        <v>1909</v>
      </c>
      <c r="Z473" s="4">
        <v>459</v>
      </c>
      <c r="AA473" s="4">
        <f>=ROUNDDOWN(45.9,0)</f>
      </c>
      <c r="AB473" s="5">
        <v>10</v>
      </c>
      <c r="AC473" s="2" t="s">
        <v>430</v>
      </c>
      <c r="AD473" s="4">
        <v>60</v>
      </c>
      <c r="AE473" s="4">
        <v>820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/>
      <c r="BJ473" s="4">
        <v>352</v>
      </c>
      <c r="BK473" s="8">
        <v>25977.25</v>
      </c>
      <c r="BL473" s="2" t="s">
        <v>1912</v>
      </c>
      <c r="BM473" s="7"/>
      <c r="BN473" s="7"/>
      <c r="BO473" s="4"/>
      <c r="BP473" s="8"/>
      <c r="BQ473" s="4"/>
      <c r="BR473" s="8"/>
      <c r="BS473" s="7"/>
      <c r="BT473" s="7"/>
      <c r="BU473" s="2" t="s">
        <v>147</v>
      </c>
      <c r="BV473" s="2" t="s">
        <v>97</v>
      </c>
      <c r="BW473" s="2" t="s">
        <v>100</v>
      </c>
      <c r="BX473" s="2" t="s">
        <v>100</v>
      </c>
      <c r="BY473" s="2" t="s">
        <v>112</v>
      </c>
      <c r="BZ473" s="2" t="s">
        <v>100</v>
      </c>
    </row>
    <row r="474">
      <c r="A474" s="2" t="s">
        <v>1913</v>
      </c>
      <c r="B474" s="2" t="s">
        <v>87</v>
      </c>
      <c r="C474" s="2" t="s">
        <v>88</v>
      </c>
      <c r="D474" s="2" t="s">
        <v>89</v>
      </c>
      <c r="E474" s="2" t="s">
        <v>90</v>
      </c>
      <c r="F474" s="2" t="s">
        <v>1906</v>
      </c>
      <c r="G474" s="2" t="s">
        <v>1907</v>
      </c>
      <c r="H474" s="2" t="s">
        <v>1561</v>
      </c>
      <c r="I474" s="2" t="s">
        <v>1908</v>
      </c>
      <c r="J474" s="2" t="s">
        <v>118</v>
      </c>
      <c r="K474" s="2" t="s">
        <v>333</v>
      </c>
      <c r="L474" s="3">
        <v>66.24</v>
      </c>
      <c r="M474" s="3">
        <v>69.55</v>
      </c>
      <c r="N474" s="3">
        <v>149.99</v>
      </c>
      <c r="O474" s="2" t="s">
        <v>97</v>
      </c>
      <c r="P474" s="2" t="s">
        <v>98</v>
      </c>
      <c r="Q474" s="2" t="s">
        <v>99</v>
      </c>
      <c r="R474" s="2" t="s">
        <v>100</v>
      </c>
      <c r="S474" s="2" t="s">
        <v>100</v>
      </c>
      <c r="T474" s="2" t="s">
        <v>100</v>
      </c>
      <c r="U474" s="2" t="s">
        <v>102</v>
      </c>
      <c r="V474" s="2" t="s">
        <v>1287</v>
      </c>
      <c r="W474" s="2" t="s">
        <v>312</v>
      </c>
      <c r="X474" s="2" t="s">
        <v>185</v>
      </c>
      <c r="Y474" s="2" t="s">
        <v>1909</v>
      </c>
      <c r="Z474" s="4">
        <v>233</v>
      </c>
      <c r="AA474" s="4">
        <f>=ROUNDDOWN(58.25,0)</f>
      </c>
      <c r="AB474" s="5">
        <v>4</v>
      </c>
      <c r="AC474" s="2" t="s">
        <v>430</v>
      </c>
      <c r="AD474" s="4">
        <v>100</v>
      </c>
      <c r="AE474" s="4">
        <v>220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100</v>
      </c>
      <c r="AW474" s="8" t="s">
        <v>100</v>
      </c>
      <c r="AX474" s="4" t="s">
        <v>100</v>
      </c>
      <c r="AY474" s="8" t="s">
        <v>100</v>
      </c>
      <c r="AZ474" s="7" t="s">
        <v>100</v>
      </c>
      <c r="BA474" s="7" t="s">
        <v>100</v>
      </c>
      <c r="BB474" s="7"/>
      <c r="BC474" s="4" t="s">
        <v>100</v>
      </c>
      <c r="BD474" s="8" t="s">
        <v>100</v>
      </c>
      <c r="BE474" s="4" t="s">
        <v>100</v>
      </c>
      <c r="BF474" s="8" t="s">
        <v>100</v>
      </c>
      <c r="BG474" s="7" t="s">
        <v>100</v>
      </c>
      <c r="BH474" s="7" t="s">
        <v>100</v>
      </c>
      <c r="BI474" s="7"/>
      <c r="BJ474" s="4">
        <v>123</v>
      </c>
      <c r="BK474" s="8">
        <v>9208.64</v>
      </c>
      <c r="BL474" s="2" t="s">
        <v>1914</v>
      </c>
      <c r="BM474" s="7"/>
      <c r="BN474" s="7"/>
      <c r="BO474" s="4"/>
      <c r="BP474" s="8"/>
      <c r="BQ474" s="4"/>
      <c r="BR474" s="8"/>
      <c r="BS474" s="7"/>
      <c r="BT474" s="7"/>
      <c r="BU474" s="2" t="s">
        <v>147</v>
      </c>
      <c r="BV474" s="2" t="s">
        <v>97</v>
      </c>
      <c r="BW474" s="2" t="s">
        <v>100</v>
      </c>
      <c r="BX474" s="2" t="s">
        <v>100</v>
      </c>
      <c r="BY474" s="2" t="s">
        <v>112</v>
      </c>
      <c r="BZ474" s="2" t="s">
        <v>100</v>
      </c>
    </row>
    <row r="475">
      <c r="A475" s="2" t="s">
        <v>1915</v>
      </c>
      <c r="B475" s="2" t="s">
        <v>87</v>
      </c>
      <c r="C475" s="2" t="s">
        <v>88</v>
      </c>
      <c r="D475" s="2" t="s">
        <v>89</v>
      </c>
      <c r="E475" s="2" t="s">
        <v>90</v>
      </c>
      <c r="F475" s="2" t="s">
        <v>1906</v>
      </c>
      <c r="G475" s="2" t="s">
        <v>1907</v>
      </c>
      <c r="H475" s="2" t="s">
        <v>1561</v>
      </c>
      <c r="I475" s="2" t="s">
        <v>1908</v>
      </c>
      <c r="J475" s="2" t="s">
        <v>95</v>
      </c>
      <c r="K475" s="2" t="s">
        <v>1637</v>
      </c>
      <c r="L475" s="3">
        <v>57.96</v>
      </c>
      <c r="M475" s="3">
        <v>60.86</v>
      </c>
      <c r="N475" s="3">
        <v>129.99</v>
      </c>
      <c r="O475" s="2" t="s">
        <v>97</v>
      </c>
      <c r="P475" s="2" t="s">
        <v>143</v>
      </c>
      <c r="Q475" s="2" t="s">
        <v>99</v>
      </c>
      <c r="R475" s="2" t="s">
        <v>100</v>
      </c>
      <c r="S475" s="2" t="s">
        <v>1916</v>
      </c>
      <c r="T475" s="2" t="s">
        <v>100</v>
      </c>
      <c r="U475" s="2" t="s">
        <v>102</v>
      </c>
      <c r="V475" s="2" t="s">
        <v>1287</v>
      </c>
      <c r="W475" s="2" t="s">
        <v>312</v>
      </c>
      <c r="X475" s="2" t="s">
        <v>185</v>
      </c>
      <c r="Y475" s="2" t="s">
        <v>1917</v>
      </c>
      <c r="Z475" s="4">
        <v>577</v>
      </c>
      <c r="AA475" s="4">
        <f>=ROUNDDOWN(26.2272727272727,0)</f>
      </c>
      <c r="AB475" s="5">
        <v>22</v>
      </c>
      <c r="AC475" s="2" t="s">
        <v>126</v>
      </c>
      <c r="AD475" s="4">
        <v>200</v>
      </c>
      <c r="AE475" s="4">
        <v>1700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/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/>
      <c r="BJ475" s="4">
        <v>789</v>
      </c>
      <c r="BK475" s="8">
        <v>52280.41</v>
      </c>
      <c r="BL475" s="2" t="s">
        <v>1918</v>
      </c>
      <c r="BM475" s="7"/>
      <c r="BN475" s="7"/>
      <c r="BO475" s="4"/>
      <c r="BP475" s="8"/>
      <c r="BQ475" s="4"/>
      <c r="BR475" s="8"/>
      <c r="BS475" s="7"/>
      <c r="BT475" s="7"/>
      <c r="BU475" s="2" t="s">
        <v>109</v>
      </c>
      <c r="BV475" s="2" t="s">
        <v>97</v>
      </c>
      <c r="BW475" s="2" t="s">
        <v>580</v>
      </c>
      <c r="BX475" s="2" t="s">
        <v>100</v>
      </c>
      <c r="BY475" s="2" t="s">
        <v>112</v>
      </c>
      <c r="BZ475" s="2" t="s">
        <v>100</v>
      </c>
    </row>
    <row r="476">
      <c r="A476" s="2" t="s">
        <v>1919</v>
      </c>
      <c r="B476" s="2" t="s">
        <v>87</v>
      </c>
      <c r="C476" s="2" t="s">
        <v>88</v>
      </c>
      <c r="D476" s="2" t="s">
        <v>89</v>
      </c>
      <c r="E476" s="2" t="s">
        <v>90</v>
      </c>
      <c r="F476" s="2" t="s">
        <v>1906</v>
      </c>
      <c r="G476" s="2" t="s">
        <v>1907</v>
      </c>
      <c r="H476" s="2" t="s">
        <v>1561</v>
      </c>
      <c r="I476" s="2" t="s">
        <v>1908</v>
      </c>
      <c r="J476" s="2" t="s">
        <v>114</v>
      </c>
      <c r="K476" s="2" t="s">
        <v>1637</v>
      </c>
      <c r="L476" s="3">
        <v>66.24</v>
      </c>
      <c r="M476" s="3">
        <v>69.55</v>
      </c>
      <c r="N476" s="3">
        <v>149.99</v>
      </c>
      <c r="O476" s="2" t="s">
        <v>97</v>
      </c>
      <c r="P476" s="2" t="s">
        <v>143</v>
      </c>
      <c r="Q476" s="2" t="s">
        <v>99</v>
      </c>
      <c r="R476" s="2" t="s">
        <v>100</v>
      </c>
      <c r="S476" s="2" t="s">
        <v>1916</v>
      </c>
      <c r="T476" s="2" t="s">
        <v>100</v>
      </c>
      <c r="U476" s="2" t="s">
        <v>102</v>
      </c>
      <c r="V476" s="2" t="s">
        <v>1287</v>
      </c>
      <c r="W476" s="2" t="s">
        <v>312</v>
      </c>
      <c r="X476" s="2" t="s">
        <v>185</v>
      </c>
      <c r="Y476" s="2" t="s">
        <v>1917</v>
      </c>
      <c r="Z476" s="4">
        <v>325</v>
      </c>
      <c r="AA476" s="4">
        <f>=ROUNDDOWN(25,0)</f>
      </c>
      <c r="AB476" s="5">
        <v>13</v>
      </c>
      <c r="AC476" s="2" t="s">
        <v>126</v>
      </c>
      <c r="AD476" s="4">
        <v>250</v>
      </c>
      <c r="AE476" s="4">
        <v>790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/>
      <c r="BJ476" s="4">
        <v>593</v>
      </c>
      <c r="BK476" s="8">
        <v>45126.13</v>
      </c>
      <c r="BL476" s="2" t="s">
        <v>1920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580</v>
      </c>
      <c r="BX476" s="2" t="s">
        <v>100</v>
      </c>
      <c r="BY476" s="2" t="s">
        <v>112</v>
      </c>
      <c r="BZ476" s="2" t="s">
        <v>100</v>
      </c>
    </row>
    <row r="477">
      <c r="A477" s="2" t="s">
        <v>1921</v>
      </c>
      <c r="B477" s="2" t="s">
        <v>87</v>
      </c>
      <c r="C477" s="2" t="s">
        <v>88</v>
      </c>
      <c r="D477" s="2" t="s">
        <v>89</v>
      </c>
      <c r="E477" s="2" t="s">
        <v>90</v>
      </c>
      <c r="F477" s="2" t="s">
        <v>1906</v>
      </c>
      <c r="G477" s="2" t="s">
        <v>1907</v>
      </c>
      <c r="H477" s="2" t="s">
        <v>1561</v>
      </c>
      <c r="I477" s="2" t="s">
        <v>1908</v>
      </c>
      <c r="J477" s="2" t="s">
        <v>118</v>
      </c>
      <c r="K477" s="2" t="s">
        <v>1637</v>
      </c>
      <c r="L477" s="3">
        <v>66.24</v>
      </c>
      <c r="M477" s="3">
        <v>69.55</v>
      </c>
      <c r="N477" s="3">
        <v>149.99</v>
      </c>
      <c r="O477" s="2" t="s">
        <v>97</v>
      </c>
      <c r="P477" s="2" t="s">
        <v>143</v>
      </c>
      <c r="Q477" s="2" t="s">
        <v>99</v>
      </c>
      <c r="R477" s="2" t="s">
        <v>100</v>
      </c>
      <c r="S477" s="2" t="s">
        <v>1916</v>
      </c>
      <c r="T477" s="2" t="s">
        <v>100</v>
      </c>
      <c r="U477" s="2" t="s">
        <v>102</v>
      </c>
      <c r="V477" s="2" t="s">
        <v>1287</v>
      </c>
      <c r="W477" s="2" t="s">
        <v>312</v>
      </c>
      <c r="X477" s="2" t="s">
        <v>185</v>
      </c>
      <c r="Y477" s="2" t="s">
        <v>1917</v>
      </c>
      <c r="Z477" s="4">
        <v>244</v>
      </c>
      <c r="AA477" s="4">
        <f>=ROUNDDOWN(40.6666666666667,0)</f>
      </c>
      <c r="AB477" s="5">
        <v>6</v>
      </c>
      <c r="AC477" s="2" t="s">
        <v>847</v>
      </c>
      <c r="AD477" s="4">
        <v>100</v>
      </c>
      <c r="AE477" s="4">
        <v>300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/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/>
      <c r="BJ477" s="4">
        <v>133</v>
      </c>
      <c r="BK477" s="8">
        <v>10113.35</v>
      </c>
      <c r="BL477" s="2" t="s">
        <v>1922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97</v>
      </c>
      <c r="BW477" s="2" t="s">
        <v>580</v>
      </c>
      <c r="BX477" s="2" t="s">
        <v>100</v>
      </c>
      <c r="BY477" s="2" t="s">
        <v>112</v>
      </c>
      <c r="BZ477" s="2" t="s">
        <v>100</v>
      </c>
    </row>
    <row r="478">
      <c r="A478" s="2" t="s">
        <v>1923</v>
      </c>
      <c r="B478" s="2" t="s">
        <v>87</v>
      </c>
      <c r="C478" s="2" t="s">
        <v>88</v>
      </c>
      <c r="D478" s="2" t="s">
        <v>89</v>
      </c>
      <c r="E478" s="2" t="s">
        <v>90</v>
      </c>
      <c r="F478" s="2" t="s">
        <v>1906</v>
      </c>
      <c r="G478" s="2" t="s">
        <v>1907</v>
      </c>
      <c r="H478" s="2" t="s">
        <v>1561</v>
      </c>
      <c r="I478" s="2" t="s">
        <v>1908</v>
      </c>
      <c r="J478" s="2" t="s">
        <v>95</v>
      </c>
      <c r="K478" s="2" t="s">
        <v>96</v>
      </c>
      <c r="L478" s="3">
        <v>57.96</v>
      </c>
      <c r="M478" s="3">
        <v>60.86</v>
      </c>
      <c r="N478" s="3">
        <v>129.99</v>
      </c>
      <c r="O478" s="2" t="s">
        <v>97</v>
      </c>
      <c r="P478" s="2" t="s">
        <v>182</v>
      </c>
      <c r="Q478" s="2" t="s">
        <v>99</v>
      </c>
      <c r="R478" s="2" t="s">
        <v>100</v>
      </c>
      <c r="S478" s="2" t="s">
        <v>100</v>
      </c>
      <c r="T478" s="2" t="s">
        <v>100</v>
      </c>
      <c r="U478" s="2" t="s">
        <v>102</v>
      </c>
      <c r="V478" s="2" t="s">
        <v>1287</v>
      </c>
      <c r="W478" s="2" t="s">
        <v>312</v>
      </c>
      <c r="X478" s="2" t="s">
        <v>185</v>
      </c>
      <c r="Y478" s="2" t="s">
        <v>1924</v>
      </c>
      <c r="Z478" s="4">
        <v>462</v>
      </c>
      <c r="AA478" s="4">
        <f>=ROUNDDOWN(42,0)</f>
      </c>
      <c r="AB478" s="5">
        <v>11</v>
      </c>
      <c r="AC478" s="2" t="s">
        <v>430</v>
      </c>
      <c r="AD478" s="4">
        <v>100</v>
      </c>
      <c r="AE478" s="4">
        <v>600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100</v>
      </c>
      <c r="AW478" s="8" t="s">
        <v>100</v>
      </c>
      <c r="AX478" s="4" t="s">
        <v>100</v>
      </c>
      <c r="AY478" s="8" t="s">
        <v>100</v>
      </c>
      <c r="AZ478" s="7" t="s">
        <v>100</v>
      </c>
      <c r="BA478" s="7" t="s">
        <v>100</v>
      </c>
      <c r="BB478" s="7"/>
      <c r="BC478" s="4" t="s">
        <v>100</v>
      </c>
      <c r="BD478" s="8" t="s">
        <v>100</v>
      </c>
      <c r="BE478" s="4" t="s">
        <v>100</v>
      </c>
      <c r="BF478" s="8" t="s">
        <v>100</v>
      </c>
      <c r="BG478" s="7" t="s">
        <v>100</v>
      </c>
      <c r="BH478" s="7" t="s">
        <v>100</v>
      </c>
      <c r="BI478" s="7"/>
      <c r="BJ478" s="4">
        <v>301</v>
      </c>
      <c r="BK478" s="8">
        <v>19993.27</v>
      </c>
      <c r="BL478" s="2" t="s">
        <v>1925</v>
      </c>
      <c r="BM478" s="7"/>
      <c r="BN478" s="7"/>
      <c r="BO478" s="4"/>
      <c r="BP478" s="8"/>
      <c r="BQ478" s="4"/>
      <c r="BR478" s="8"/>
      <c r="BS478" s="7"/>
      <c r="BT478" s="7"/>
      <c r="BU478" s="2" t="s">
        <v>147</v>
      </c>
      <c r="BV478" s="2" t="s">
        <v>97</v>
      </c>
      <c r="BW478" s="2" t="s">
        <v>100</v>
      </c>
      <c r="BX478" s="2" t="s">
        <v>100</v>
      </c>
      <c r="BY478" s="2" t="s">
        <v>112</v>
      </c>
      <c r="BZ478" s="2" t="s">
        <v>100</v>
      </c>
    </row>
    <row r="479">
      <c r="A479" s="2" t="s">
        <v>1926</v>
      </c>
      <c r="B479" s="2" t="s">
        <v>87</v>
      </c>
      <c r="C479" s="2" t="s">
        <v>88</v>
      </c>
      <c r="D479" s="2" t="s">
        <v>89</v>
      </c>
      <c r="E479" s="2" t="s">
        <v>90</v>
      </c>
      <c r="F479" s="2" t="s">
        <v>1906</v>
      </c>
      <c r="G479" s="2" t="s">
        <v>1907</v>
      </c>
      <c r="H479" s="2" t="s">
        <v>1561</v>
      </c>
      <c r="I479" s="2" t="s">
        <v>1908</v>
      </c>
      <c r="J479" s="2" t="s">
        <v>114</v>
      </c>
      <c r="K479" s="2" t="s">
        <v>96</v>
      </c>
      <c r="L479" s="3">
        <v>66.24</v>
      </c>
      <c r="M479" s="3">
        <v>69.55</v>
      </c>
      <c r="N479" s="3">
        <v>149.99</v>
      </c>
      <c r="O479" s="2" t="s">
        <v>97</v>
      </c>
      <c r="P479" s="2" t="s">
        <v>182</v>
      </c>
      <c r="Q479" s="2" t="s">
        <v>99</v>
      </c>
      <c r="R479" s="2" t="s">
        <v>100</v>
      </c>
      <c r="S479" s="2" t="s">
        <v>100</v>
      </c>
      <c r="T479" s="2" t="s">
        <v>100</v>
      </c>
      <c r="U479" s="2" t="s">
        <v>102</v>
      </c>
      <c r="V479" s="2" t="s">
        <v>1287</v>
      </c>
      <c r="W479" s="2" t="s">
        <v>312</v>
      </c>
      <c r="X479" s="2" t="s">
        <v>185</v>
      </c>
      <c r="Y479" s="2" t="s">
        <v>1909</v>
      </c>
      <c r="Z479" s="4">
        <v>419</v>
      </c>
      <c r="AA479" s="4">
        <f>=ROUNDDOWN(69.8333333333333,0)</f>
      </c>
      <c r="AB479" s="5">
        <v>6</v>
      </c>
      <c r="AC479" s="2" t="s">
        <v>430</v>
      </c>
      <c r="AD479" s="4">
        <v>90</v>
      </c>
      <c r="AE479" s="4">
        <v>90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/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/>
      <c r="BJ479" s="4">
        <v>164</v>
      </c>
      <c r="BK479" s="8">
        <v>12434.23</v>
      </c>
      <c r="BL479" s="2" t="s">
        <v>1927</v>
      </c>
      <c r="BM479" s="7"/>
      <c r="BN479" s="7"/>
      <c r="BO479" s="4"/>
      <c r="BP479" s="8"/>
      <c r="BQ479" s="4"/>
      <c r="BR479" s="8"/>
      <c r="BS479" s="7"/>
      <c r="BT479" s="7"/>
      <c r="BU479" s="2" t="s">
        <v>147</v>
      </c>
      <c r="BV479" s="2" t="s">
        <v>97</v>
      </c>
      <c r="BW479" s="2" t="s">
        <v>100</v>
      </c>
      <c r="BX479" s="2" t="s">
        <v>100</v>
      </c>
      <c r="BY479" s="2" t="s">
        <v>112</v>
      </c>
      <c r="BZ479" s="2" t="s">
        <v>100</v>
      </c>
    </row>
    <row r="480">
      <c r="A480" s="2" t="s">
        <v>1928</v>
      </c>
      <c r="B480" s="2" t="s">
        <v>87</v>
      </c>
      <c r="C480" s="2" t="s">
        <v>88</v>
      </c>
      <c r="D480" s="2" t="s">
        <v>89</v>
      </c>
      <c r="E480" s="2" t="s">
        <v>90</v>
      </c>
      <c r="F480" s="2" t="s">
        <v>1906</v>
      </c>
      <c r="G480" s="2" t="s">
        <v>1907</v>
      </c>
      <c r="H480" s="2" t="s">
        <v>1561</v>
      </c>
      <c r="I480" s="2" t="s">
        <v>1908</v>
      </c>
      <c r="J480" s="2" t="s">
        <v>118</v>
      </c>
      <c r="K480" s="2" t="s">
        <v>96</v>
      </c>
      <c r="L480" s="3">
        <v>66.24</v>
      </c>
      <c r="M480" s="3">
        <v>69.55</v>
      </c>
      <c r="N480" s="3">
        <v>149.99</v>
      </c>
      <c r="O480" s="2" t="s">
        <v>97</v>
      </c>
      <c r="P480" s="2" t="s">
        <v>182</v>
      </c>
      <c r="Q480" s="2" t="s">
        <v>99</v>
      </c>
      <c r="R480" s="2" t="s">
        <v>100</v>
      </c>
      <c r="S480" s="2" t="s">
        <v>100</v>
      </c>
      <c r="T480" s="2" t="s">
        <v>100</v>
      </c>
      <c r="U480" s="2" t="s">
        <v>102</v>
      </c>
      <c r="V480" s="2" t="s">
        <v>1287</v>
      </c>
      <c r="W480" s="2" t="s">
        <v>312</v>
      </c>
      <c r="X480" s="2" t="s">
        <v>185</v>
      </c>
      <c r="Y480" s="2" t="s">
        <v>1909</v>
      </c>
      <c r="Z480" s="4">
        <v>481</v>
      </c>
      <c r="AA480" s="4">
        <f>=ROUNDDOWN(160.333333333333,0)</f>
      </c>
      <c r="AB480" s="5">
        <v>3</v>
      </c>
      <c r="AC480" s="2" t="s">
        <v>430</v>
      </c>
      <c r="AD480" s="4">
        <v>30</v>
      </c>
      <c r="AE480" s="4">
        <v>30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100</v>
      </c>
      <c r="AW480" s="8" t="s">
        <v>100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/>
      <c r="BC480" s="4" t="s">
        <v>100</v>
      </c>
      <c r="BD480" s="8" t="s">
        <v>100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/>
      <c r="BJ480" s="4">
        <v>63</v>
      </c>
      <c r="BK480" s="8">
        <v>4714.31</v>
      </c>
      <c r="BL480" s="2" t="s">
        <v>1929</v>
      </c>
      <c r="BM480" s="7"/>
      <c r="BN480" s="7"/>
      <c r="BO480" s="4"/>
      <c r="BP480" s="8"/>
      <c r="BQ480" s="4"/>
      <c r="BR480" s="8"/>
      <c r="BS480" s="7"/>
      <c r="BT480" s="7"/>
      <c r="BU480" s="2" t="s">
        <v>147</v>
      </c>
      <c r="BV480" s="2" t="s">
        <v>97</v>
      </c>
      <c r="BW480" s="2" t="s">
        <v>100</v>
      </c>
      <c r="BX480" s="2" t="s">
        <v>100</v>
      </c>
      <c r="BY480" s="2" t="s">
        <v>112</v>
      </c>
      <c r="BZ480" s="2" t="s">
        <v>100</v>
      </c>
    </row>
    <row r="481">
      <c r="A481" s="2" t="s">
        <v>1930</v>
      </c>
      <c r="B481" s="2" t="s">
        <v>87</v>
      </c>
      <c r="C481" s="2" t="s">
        <v>88</v>
      </c>
      <c r="D481" s="2" t="s">
        <v>89</v>
      </c>
      <c r="E481" s="2" t="s">
        <v>90</v>
      </c>
      <c r="F481" s="2" t="s">
        <v>1931</v>
      </c>
      <c r="G481" s="2" t="s">
        <v>1932</v>
      </c>
      <c r="H481" s="2" t="s">
        <v>1933</v>
      </c>
      <c r="I481" s="2" t="s">
        <v>1934</v>
      </c>
      <c r="J481" s="2" t="s">
        <v>844</v>
      </c>
      <c r="K481" s="2" t="s">
        <v>1935</v>
      </c>
      <c r="L481" s="3">
        <v>81.6</v>
      </c>
      <c r="M481" s="3">
        <v>85.67</v>
      </c>
      <c r="N481" s="3">
        <v>169.99</v>
      </c>
      <c r="O481" s="2" t="s">
        <v>229</v>
      </c>
      <c r="P481" s="2" t="s">
        <v>198</v>
      </c>
      <c r="Q481" s="2" t="s">
        <v>99</v>
      </c>
      <c r="R481" s="2" t="s">
        <v>100</v>
      </c>
      <c r="S481" s="2" t="s">
        <v>1936</v>
      </c>
      <c r="T481" s="2" t="s">
        <v>100</v>
      </c>
      <c r="U481" s="2" t="s">
        <v>1482</v>
      </c>
      <c r="V481" s="2" t="s">
        <v>455</v>
      </c>
      <c r="W481" s="2" t="s">
        <v>733</v>
      </c>
      <c r="X481" s="2" t="s">
        <v>1852</v>
      </c>
      <c r="Y481" s="2" t="s">
        <v>106</v>
      </c>
      <c r="Z481" s="4"/>
      <c r="AA481" s="4">
        <f>=ROUNDDOWN({0},0)</f>
      </c>
      <c r="AB481" s="5">
        <v>25.2</v>
      </c>
      <c r="AC481" s="2" t="s">
        <v>100</v>
      </c>
      <c r="AD481" s="4"/>
      <c r="AE481" s="4"/>
      <c r="AF481" s="6">
        <v>69</v>
      </c>
      <c r="AG481" s="6"/>
      <c r="AH481" s="7">
        <v>0.9879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/>
      <c r="BJ481" s="4">
        <v>286</v>
      </c>
      <c r="BK481" s="8">
        <v>14260.21</v>
      </c>
      <c r="BL481" s="2" t="s">
        <v>1937</v>
      </c>
      <c r="BM481" s="7"/>
      <c r="BN481" s="7"/>
      <c r="BO481" s="4"/>
      <c r="BP481" s="8"/>
      <c r="BQ481" s="4"/>
      <c r="BR481" s="8"/>
      <c r="BS481" s="7"/>
      <c r="BT481" s="7"/>
      <c r="BU481" s="2" t="s">
        <v>147</v>
      </c>
      <c r="BV481" s="2" t="s">
        <v>97</v>
      </c>
      <c r="BW481" s="2" t="s">
        <v>100</v>
      </c>
      <c r="BX481" s="2" t="s">
        <v>100</v>
      </c>
      <c r="BY481" s="2" t="s">
        <v>112</v>
      </c>
      <c r="BZ481" s="2" t="s">
        <v>100</v>
      </c>
    </row>
    <row r="482">
      <c r="A482" s="2" t="s">
        <v>1938</v>
      </c>
      <c r="B482" s="2" t="s">
        <v>87</v>
      </c>
      <c r="C482" s="2" t="s">
        <v>88</v>
      </c>
      <c r="D482" s="2" t="s">
        <v>89</v>
      </c>
      <c r="E482" s="2" t="s">
        <v>90</v>
      </c>
      <c r="F482" s="2" t="s">
        <v>1931</v>
      </c>
      <c r="G482" s="2" t="s">
        <v>1932</v>
      </c>
      <c r="H482" s="2" t="s">
        <v>1933</v>
      </c>
      <c r="I482" s="2" t="s">
        <v>1934</v>
      </c>
      <c r="J482" s="2" t="s">
        <v>850</v>
      </c>
      <c r="K482" s="2" t="s">
        <v>1935</v>
      </c>
      <c r="L482" s="3">
        <v>93.1</v>
      </c>
      <c r="M482" s="3">
        <v>97.75</v>
      </c>
      <c r="N482" s="3">
        <v>189.99</v>
      </c>
      <c r="O482" s="2" t="s">
        <v>229</v>
      </c>
      <c r="P482" s="2" t="s">
        <v>198</v>
      </c>
      <c r="Q482" s="2" t="s">
        <v>99</v>
      </c>
      <c r="R482" s="2" t="s">
        <v>100</v>
      </c>
      <c r="S482" s="2" t="s">
        <v>1936</v>
      </c>
      <c r="T482" s="2" t="s">
        <v>100</v>
      </c>
      <c r="U482" s="2" t="s">
        <v>1482</v>
      </c>
      <c r="V482" s="2" t="s">
        <v>455</v>
      </c>
      <c r="W482" s="2" t="s">
        <v>733</v>
      </c>
      <c r="X482" s="2" t="s">
        <v>1852</v>
      </c>
      <c r="Y482" s="2" t="s">
        <v>162</v>
      </c>
      <c r="Z482" s="4">
        <v>31</v>
      </c>
      <c r="AA482" s="4">
        <f>=ROUNDDOWN(2.69565217391304,0)</f>
      </c>
      <c r="AB482" s="5">
        <v>11.5</v>
      </c>
      <c r="AC482" s="2" t="s">
        <v>100</v>
      </c>
      <c r="AD482" s="4"/>
      <c r="AE482" s="4"/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/>
      <c r="BJ482" s="4">
        <v>177</v>
      </c>
      <c r="BK482" s="8">
        <v>12882.11</v>
      </c>
      <c r="BL482" s="2" t="s">
        <v>1939</v>
      </c>
      <c r="BM482" s="7"/>
      <c r="BN482" s="7"/>
      <c r="BO482" s="4"/>
      <c r="BP482" s="8"/>
      <c r="BQ482" s="4"/>
      <c r="BR482" s="8"/>
      <c r="BS482" s="7"/>
      <c r="BT482" s="7"/>
      <c r="BU482" s="2" t="s">
        <v>147</v>
      </c>
      <c r="BV482" s="2" t="s">
        <v>97</v>
      </c>
      <c r="BW482" s="2" t="s">
        <v>100</v>
      </c>
      <c r="BX482" s="2" t="s">
        <v>100</v>
      </c>
      <c r="BY482" s="2" t="s">
        <v>112</v>
      </c>
      <c r="BZ482" s="2" t="s">
        <v>100</v>
      </c>
    </row>
    <row r="483">
      <c r="A483" s="2" t="s">
        <v>1940</v>
      </c>
      <c r="B483" s="2" t="s">
        <v>87</v>
      </c>
      <c r="C483" s="2" t="s">
        <v>88</v>
      </c>
      <c r="D483" s="2" t="s">
        <v>89</v>
      </c>
      <c r="E483" s="2" t="s">
        <v>90</v>
      </c>
      <c r="F483" s="2" t="s">
        <v>1941</v>
      </c>
      <c r="G483" s="2" t="s">
        <v>557</v>
      </c>
      <c r="H483" s="2" t="s">
        <v>1942</v>
      </c>
      <c r="I483" s="2" t="s">
        <v>1943</v>
      </c>
      <c r="J483" s="2" t="s">
        <v>487</v>
      </c>
      <c r="K483" s="2" t="s">
        <v>1944</v>
      </c>
      <c r="L483" s="3">
        <v>72</v>
      </c>
      <c r="M483" s="3">
        <v>75.59</v>
      </c>
      <c r="N483" s="3">
        <v>149.99</v>
      </c>
      <c r="O483" s="2" t="s">
        <v>97</v>
      </c>
      <c r="P483" s="2" t="s">
        <v>198</v>
      </c>
      <c r="Q483" s="2" t="s">
        <v>99</v>
      </c>
      <c r="R483" s="2" t="s">
        <v>100</v>
      </c>
      <c r="S483" s="2" t="s">
        <v>1945</v>
      </c>
      <c r="T483" s="2" t="s">
        <v>100</v>
      </c>
      <c r="U483" s="2" t="s">
        <v>102</v>
      </c>
      <c r="V483" s="2" t="s">
        <v>491</v>
      </c>
      <c r="W483" s="2" t="s">
        <v>808</v>
      </c>
      <c r="X483" s="2" t="s">
        <v>809</v>
      </c>
      <c r="Y483" s="2" t="s">
        <v>106</v>
      </c>
      <c r="Z483" s="4">
        <v>75</v>
      </c>
      <c r="AA483" s="4">
        <f>=ROUNDDOWN(25,0)</f>
      </c>
      <c r="AB483" s="5">
        <v>3</v>
      </c>
      <c r="AC483" s="2" t="s">
        <v>100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/>
      <c r="BJ483" s="4">
        <v>61</v>
      </c>
      <c r="BK483" s="8">
        <v>4577.99</v>
      </c>
      <c r="BL483" s="2" t="s">
        <v>1946</v>
      </c>
      <c r="BM483" s="7"/>
      <c r="BN483" s="7"/>
      <c r="BO483" s="4"/>
      <c r="BP483" s="8"/>
      <c r="BQ483" s="4"/>
      <c r="BR483" s="8"/>
      <c r="BS483" s="7"/>
      <c r="BT483" s="7"/>
      <c r="BU483" s="2" t="s">
        <v>147</v>
      </c>
      <c r="BV483" s="2" t="s">
        <v>97</v>
      </c>
      <c r="BW483" s="2" t="s">
        <v>100</v>
      </c>
      <c r="BX483" s="2" t="s">
        <v>100</v>
      </c>
      <c r="BY483" s="2" t="s">
        <v>112</v>
      </c>
      <c r="BZ483" s="2" t="s">
        <v>100</v>
      </c>
    </row>
    <row r="484">
      <c r="A484" s="2" t="s">
        <v>1947</v>
      </c>
      <c r="B484" s="2" t="s">
        <v>87</v>
      </c>
      <c r="C484" s="2" t="s">
        <v>88</v>
      </c>
      <c r="D484" s="2" t="s">
        <v>89</v>
      </c>
      <c r="E484" s="2" t="s">
        <v>90</v>
      </c>
      <c r="F484" s="2" t="s">
        <v>1941</v>
      </c>
      <c r="G484" s="2" t="s">
        <v>557</v>
      </c>
      <c r="H484" s="2" t="s">
        <v>1942</v>
      </c>
      <c r="I484" s="2" t="s">
        <v>1943</v>
      </c>
      <c r="J484" s="2" t="s">
        <v>122</v>
      </c>
      <c r="K484" s="2" t="s">
        <v>1944</v>
      </c>
      <c r="L484" s="3">
        <v>76.8</v>
      </c>
      <c r="M484" s="3">
        <v>80.63</v>
      </c>
      <c r="N484" s="3">
        <v>159.99</v>
      </c>
      <c r="O484" s="2" t="s">
        <v>97</v>
      </c>
      <c r="P484" s="2" t="s">
        <v>198</v>
      </c>
      <c r="Q484" s="2" t="s">
        <v>99</v>
      </c>
      <c r="R484" s="2" t="s">
        <v>100</v>
      </c>
      <c r="S484" s="2" t="s">
        <v>1945</v>
      </c>
      <c r="T484" s="2" t="s">
        <v>100</v>
      </c>
      <c r="U484" s="2" t="s">
        <v>807</v>
      </c>
      <c r="V484" s="2" t="s">
        <v>491</v>
      </c>
      <c r="W484" s="2" t="s">
        <v>808</v>
      </c>
      <c r="X484" s="2" t="s">
        <v>809</v>
      </c>
      <c r="Y484" s="2" t="s">
        <v>106</v>
      </c>
      <c r="Z484" s="4">
        <v>90</v>
      </c>
      <c r="AA484" s="4">
        <f>=ROUNDDOWN(22.5,0)</f>
      </c>
      <c r="AB484" s="5">
        <v>4</v>
      </c>
      <c r="AC484" s="2" t="s">
        <v>100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/>
      <c r="BJ484" s="4">
        <v>72</v>
      </c>
      <c r="BK484" s="8">
        <v>5691.43</v>
      </c>
      <c r="BL484" s="2" t="s">
        <v>1948</v>
      </c>
      <c r="BM484" s="7"/>
      <c r="BN484" s="7"/>
      <c r="BO484" s="4"/>
      <c r="BP484" s="8"/>
      <c r="BQ484" s="4"/>
      <c r="BR484" s="8"/>
      <c r="BS484" s="7"/>
      <c r="BT484" s="7"/>
      <c r="BU484" s="2" t="s">
        <v>147</v>
      </c>
      <c r="BV484" s="2" t="s">
        <v>97</v>
      </c>
      <c r="BW484" s="2" t="s">
        <v>100</v>
      </c>
      <c r="BX484" s="2" t="s">
        <v>100</v>
      </c>
      <c r="BY484" s="2" t="s">
        <v>112</v>
      </c>
      <c r="BZ484" s="2" t="s">
        <v>100</v>
      </c>
    </row>
    <row r="485">
      <c r="A485" s="2" t="s">
        <v>1949</v>
      </c>
      <c r="B485" s="2" t="s">
        <v>87</v>
      </c>
      <c r="C485" s="2" t="s">
        <v>88</v>
      </c>
      <c r="D485" s="2" t="s">
        <v>89</v>
      </c>
      <c r="E485" s="2" t="s">
        <v>90</v>
      </c>
      <c r="F485" s="2" t="s">
        <v>1941</v>
      </c>
      <c r="G485" s="2" t="s">
        <v>557</v>
      </c>
      <c r="H485" s="2" t="s">
        <v>1942</v>
      </c>
      <c r="I485" s="2" t="s">
        <v>1943</v>
      </c>
      <c r="J485" s="2" t="s">
        <v>95</v>
      </c>
      <c r="K485" s="2" t="s">
        <v>1944</v>
      </c>
      <c r="L485" s="3">
        <v>81.6</v>
      </c>
      <c r="M485" s="3">
        <v>85.67</v>
      </c>
      <c r="N485" s="3">
        <v>169.99</v>
      </c>
      <c r="O485" s="2" t="s">
        <v>97</v>
      </c>
      <c r="P485" s="2" t="s">
        <v>198</v>
      </c>
      <c r="Q485" s="2" t="s">
        <v>99</v>
      </c>
      <c r="R485" s="2" t="s">
        <v>100</v>
      </c>
      <c r="S485" s="2" t="s">
        <v>1945</v>
      </c>
      <c r="T485" s="2" t="s">
        <v>100</v>
      </c>
      <c r="U485" s="2" t="s">
        <v>807</v>
      </c>
      <c r="V485" s="2" t="s">
        <v>491</v>
      </c>
      <c r="W485" s="2" t="s">
        <v>808</v>
      </c>
      <c r="X485" s="2" t="s">
        <v>809</v>
      </c>
      <c r="Y485" s="2" t="s">
        <v>106</v>
      </c>
      <c r="Z485" s="4">
        <v>175</v>
      </c>
      <c r="AA485" s="4">
        <f>=ROUNDDOWN(25,0)</f>
      </c>
      <c r="AB485" s="5">
        <v>7</v>
      </c>
      <c r="AC485" s="2" t="s">
        <v>100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/>
      <c r="BJ485" s="4">
        <v>147</v>
      </c>
      <c r="BK485" s="8">
        <v>12442.01</v>
      </c>
      <c r="BL485" s="2" t="s">
        <v>1950</v>
      </c>
      <c r="BM485" s="7"/>
      <c r="BN485" s="7"/>
      <c r="BO485" s="4"/>
      <c r="BP485" s="8"/>
      <c r="BQ485" s="4"/>
      <c r="BR485" s="8"/>
      <c r="BS485" s="7"/>
      <c r="BT485" s="7"/>
      <c r="BU485" s="2" t="s">
        <v>147</v>
      </c>
      <c r="BV485" s="2" t="s">
        <v>97</v>
      </c>
      <c r="BW485" s="2" t="s">
        <v>100</v>
      </c>
      <c r="BX485" s="2" t="s">
        <v>100</v>
      </c>
      <c r="BY485" s="2" t="s">
        <v>112</v>
      </c>
      <c r="BZ485" s="2" t="s">
        <v>100</v>
      </c>
    </row>
    <row r="486">
      <c r="A486" s="2" t="s">
        <v>1951</v>
      </c>
      <c r="B486" s="2" t="s">
        <v>87</v>
      </c>
      <c r="C486" s="2" t="s">
        <v>88</v>
      </c>
      <c r="D486" s="2" t="s">
        <v>89</v>
      </c>
      <c r="E486" s="2" t="s">
        <v>90</v>
      </c>
      <c r="F486" s="2" t="s">
        <v>1941</v>
      </c>
      <c r="G486" s="2" t="s">
        <v>557</v>
      </c>
      <c r="H486" s="2" t="s">
        <v>1942</v>
      </c>
      <c r="I486" s="2" t="s">
        <v>1943</v>
      </c>
      <c r="J486" s="2" t="s">
        <v>114</v>
      </c>
      <c r="K486" s="2" t="s">
        <v>1944</v>
      </c>
      <c r="L486" s="3">
        <v>93.1</v>
      </c>
      <c r="M486" s="3">
        <v>97.75</v>
      </c>
      <c r="N486" s="3">
        <v>189.99</v>
      </c>
      <c r="O486" s="2" t="s">
        <v>97</v>
      </c>
      <c r="P486" s="2" t="s">
        <v>198</v>
      </c>
      <c r="Q486" s="2" t="s">
        <v>99</v>
      </c>
      <c r="R486" s="2" t="s">
        <v>100</v>
      </c>
      <c r="S486" s="2" t="s">
        <v>1945</v>
      </c>
      <c r="T486" s="2" t="s">
        <v>100</v>
      </c>
      <c r="U486" s="2" t="s">
        <v>807</v>
      </c>
      <c r="V486" s="2" t="s">
        <v>491</v>
      </c>
      <c r="W486" s="2" t="s">
        <v>808</v>
      </c>
      <c r="X486" s="2" t="s">
        <v>809</v>
      </c>
      <c r="Y486" s="2" t="s">
        <v>106</v>
      </c>
      <c r="Z486" s="4">
        <v>35</v>
      </c>
      <c r="AA486" s="4">
        <f>=ROUNDDOWN(11.6666666666667,0)</f>
      </c>
      <c r="AB486" s="5">
        <v>3</v>
      </c>
      <c r="AC486" s="2" t="s">
        <v>100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/>
      <c r="BJ486" s="4">
        <v>81</v>
      </c>
      <c r="BK486" s="8">
        <v>7553.13</v>
      </c>
      <c r="BL486" s="2" t="s">
        <v>1950</v>
      </c>
      <c r="BM486" s="7"/>
      <c r="BN486" s="7"/>
      <c r="BO486" s="4"/>
      <c r="BP486" s="8"/>
      <c r="BQ486" s="4"/>
      <c r="BR486" s="8"/>
      <c r="BS486" s="7"/>
      <c r="BT486" s="7"/>
      <c r="BU486" s="2" t="s">
        <v>147</v>
      </c>
      <c r="BV486" s="2" t="s">
        <v>97</v>
      </c>
      <c r="BW486" s="2" t="s">
        <v>100</v>
      </c>
      <c r="BX486" s="2" t="s">
        <v>100</v>
      </c>
      <c r="BY486" s="2" t="s">
        <v>112</v>
      </c>
      <c r="BZ486" s="2" t="s">
        <v>100</v>
      </c>
    </row>
    <row r="487">
      <c r="A487" s="2" t="s">
        <v>1952</v>
      </c>
      <c r="B487" s="2" t="s">
        <v>87</v>
      </c>
      <c r="C487" s="2" t="s">
        <v>88</v>
      </c>
      <c r="D487" s="2" t="s">
        <v>89</v>
      </c>
      <c r="E487" s="2" t="s">
        <v>90</v>
      </c>
      <c r="F487" s="2" t="s">
        <v>1941</v>
      </c>
      <c r="G487" s="2" t="s">
        <v>557</v>
      </c>
      <c r="H487" s="2" t="s">
        <v>1942</v>
      </c>
      <c r="I487" s="2" t="s">
        <v>1943</v>
      </c>
      <c r="J487" s="2" t="s">
        <v>118</v>
      </c>
      <c r="K487" s="2" t="s">
        <v>1944</v>
      </c>
      <c r="L487" s="3">
        <v>93.1</v>
      </c>
      <c r="M487" s="3">
        <v>97.75</v>
      </c>
      <c r="N487" s="3">
        <v>189.99</v>
      </c>
      <c r="O487" s="2" t="s">
        <v>97</v>
      </c>
      <c r="P487" s="2" t="s">
        <v>198</v>
      </c>
      <c r="Q487" s="2" t="s">
        <v>99</v>
      </c>
      <c r="R487" s="2" t="s">
        <v>100</v>
      </c>
      <c r="S487" s="2" t="s">
        <v>1945</v>
      </c>
      <c r="T487" s="2" t="s">
        <v>100</v>
      </c>
      <c r="U487" s="2" t="s">
        <v>807</v>
      </c>
      <c r="V487" s="2" t="s">
        <v>491</v>
      </c>
      <c r="W487" s="2" t="s">
        <v>808</v>
      </c>
      <c r="X487" s="2" t="s">
        <v>809</v>
      </c>
      <c r="Y487" s="2" t="s">
        <v>106</v>
      </c>
      <c r="Z487" s="4">
        <v>110</v>
      </c>
      <c r="AA487" s="4">
        <f>=ROUNDDOWN(36.6666666666667,0)</f>
      </c>
      <c r="AB487" s="5">
        <v>3</v>
      </c>
      <c r="AC487" s="2" t="s">
        <v>100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>
        <v>38</v>
      </c>
      <c r="BK487" s="8">
        <v>3568.91</v>
      </c>
      <c r="BL487" s="2" t="s">
        <v>1948</v>
      </c>
      <c r="BM487" s="7"/>
      <c r="BN487" s="7"/>
      <c r="BO487" s="4"/>
      <c r="BP487" s="8"/>
      <c r="BQ487" s="4"/>
      <c r="BR487" s="8"/>
      <c r="BS487" s="7"/>
      <c r="BT487" s="7"/>
      <c r="BU487" s="2" t="s">
        <v>147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1953</v>
      </c>
      <c r="B488" s="2" t="s">
        <v>87</v>
      </c>
      <c r="C488" s="2" t="s">
        <v>88</v>
      </c>
      <c r="D488" s="2" t="s">
        <v>89</v>
      </c>
      <c r="E488" s="2" t="s">
        <v>90</v>
      </c>
      <c r="F488" s="2" t="s">
        <v>1954</v>
      </c>
      <c r="G488" s="2" t="s">
        <v>1955</v>
      </c>
      <c r="H488" s="2" t="s">
        <v>1956</v>
      </c>
      <c r="I488" s="2" t="s">
        <v>1882</v>
      </c>
      <c r="J488" s="2" t="s">
        <v>844</v>
      </c>
      <c r="K488" s="2" t="s">
        <v>142</v>
      </c>
      <c r="L488" s="3">
        <v>52.38</v>
      </c>
      <c r="M488" s="3">
        <v>55</v>
      </c>
      <c r="N488" s="3">
        <v>109.99</v>
      </c>
      <c r="O488" s="2" t="s">
        <v>97</v>
      </c>
      <c r="P488" s="2" t="s">
        <v>182</v>
      </c>
      <c r="Q488" s="2" t="s">
        <v>99</v>
      </c>
      <c r="R488" s="2" t="s">
        <v>100</v>
      </c>
      <c r="S488" s="2" t="s">
        <v>1957</v>
      </c>
      <c r="T488" s="2" t="s">
        <v>1958</v>
      </c>
      <c r="U488" s="2" t="s">
        <v>790</v>
      </c>
      <c r="V488" s="2" t="s">
        <v>1275</v>
      </c>
      <c r="W488" s="2" t="s">
        <v>1288</v>
      </c>
      <c r="X488" s="2" t="s">
        <v>1959</v>
      </c>
      <c r="Y488" s="2" t="s">
        <v>1644</v>
      </c>
      <c r="Z488" s="4">
        <v>281</v>
      </c>
      <c r="AA488" s="4">
        <f>=ROUNDDOWN(11.7083333333333,0)</f>
      </c>
      <c r="AB488" s="5">
        <v>24</v>
      </c>
      <c r="AC488" s="2" t="s">
        <v>919</v>
      </c>
      <c r="AD488" s="4">
        <v>170</v>
      </c>
      <c r="AE488" s="4">
        <v>740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518</v>
      </c>
      <c r="BK488" s="8">
        <v>29007.7</v>
      </c>
      <c r="BL488" s="2" t="s">
        <v>1960</v>
      </c>
      <c r="BM488" s="7"/>
      <c r="BN488" s="7"/>
      <c r="BO488" s="4"/>
      <c r="BP488" s="8"/>
      <c r="BQ488" s="4"/>
      <c r="BR488" s="8"/>
      <c r="BS488" s="7"/>
      <c r="BT488" s="7"/>
      <c r="BU488" s="2" t="s">
        <v>147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1961</v>
      </c>
      <c r="B489" s="2" t="s">
        <v>87</v>
      </c>
      <c r="C489" s="2" t="s">
        <v>88</v>
      </c>
      <c r="D489" s="2" t="s">
        <v>89</v>
      </c>
      <c r="E489" s="2" t="s">
        <v>90</v>
      </c>
      <c r="F489" s="2" t="s">
        <v>1954</v>
      </c>
      <c r="G489" s="2" t="s">
        <v>1955</v>
      </c>
      <c r="H489" s="2" t="s">
        <v>1956</v>
      </c>
      <c r="I489" s="2" t="s">
        <v>1882</v>
      </c>
      <c r="J489" s="2" t="s">
        <v>850</v>
      </c>
      <c r="K489" s="2" t="s">
        <v>142</v>
      </c>
      <c r="L489" s="3">
        <v>61.9</v>
      </c>
      <c r="M489" s="3">
        <v>65</v>
      </c>
      <c r="N489" s="3">
        <v>129.99</v>
      </c>
      <c r="O489" s="2" t="s">
        <v>97</v>
      </c>
      <c r="P489" s="2" t="s">
        <v>182</v>
      </c>
      <c r="Q489" s="2" t="s">
        <v>99</v>
      </c>
      <c r="R489" s="2" t="s">
        <v>100</v>
      </c>
      <c r="S489" s="2" t="s">
        <v>1957</v>
      </c>
      <c r="T489" s="2" t="s">
        <v>1958</v>
      </c>
      <c r="U489" s="2" t="s">
        <v>790</v>
      </c>
      <c r="V489" s="2" t="s">
        <v>1275</v>
      </c>
      <c r="W489" s="2" t="s">
        <v>1288</v>
      </c>
      <c r="X489" s="2" t="s">
        <v>1959</v>
      </c>
      <c r="Y489" s="2" t="s">
        <v>1644</v>
      </c>
      <c r="Z489" s="4">
        <v>144</v>
      </c>
      <c r="AA489" s="4">
        <f>=ROUNDDOWN(6.54545454545455,0)</f>
      </c>
      <c r="AB489" s="5">
        <v>22</v>
      </c>
      <c r="AC489" s="2" t="s">
        <v>919</v>
      </c>
      <c r="AD489" s="4">
        <v>160</v>
      </c>
      <c r="AE489" s="4">
        <v>860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400</v>
      </c>
      <c r="BK489" s="8">
        <v>26458.19</v>
      </c>
      <c r="BL489" s="2" t="s">
        <v>1470</v>
      </c>
      <c r="BM489" s="7"/>
      <c r="BN489" s="7"/>
      <c r="BO489" s="4"/>
      <c r="BP489" s="8"/>
      <c r="BQ489" s="4"/>
      <c r="BR489" s="8"/>
      <c r="BS489" s="7"/>
      <c r="BT489" s="7"/>
      <c r="BU489" s="2" t="s">
        <v>147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1962</v>
      </c>
      <c r="B490" s="2" t="s">
        <v>87</v>
      </c>
      <c r="C490" s="2" t="s">
        <v>88</v>
      </c>
      <c r="D490" s="2" t="s">
        <v>89</v>
      </c>
      <c r="E490" s="2" t="s">
        <v>90</v>
      </c>
      <c r="F490" s="2" t="s">
        <v>1963</v>
      </c>
      <c r="G490" s="2" t="s">
        <v>1964</v>
      </c>
      <c r="H490" s="2" t="s">
        <v>1965</v>
      </c>
      <c r="I490" s="2" t="s">
        <v>1401</v>
      </c>
      <c r="J490" s="2" t="s">
        <v>844</v>
      </c>
      <c r="K490" s="2" t="s">
        <v>123</v>
      </c>
      <c r="L490" s="3">
        <v>42.85</v>
      </c>
      <c r="M490" s="3">
        <v>44.99</v>
      </c>
      <c r="N490" s="3">
        <v>89.99</v>
      </c>
      <c r="O490" s="2" t="s">
        <v>97</v>
      </c>
      <c r="P490" s="2" t="s">
        <v>182</v>
      </c>
      <c r="Q490" s="2" t="s">
        <v>99</v>
      </c>
      <c r="R490" s="2" t="s">
        <v>100</v>
      </c>
      <c r="S490" s="2" t="s">
        <v>1966</v>
      </c>
      <c r="T490" s="2" t="s">
        <v>100</v>
      </c>
      <c r="U490" s="2" t="s">
        <v>790</v>
      </c>
      <c r="V490" s="2" t="s">
        <v>561</v>
      </c>
      <c r="W490" s="2" t="s">
        <v>1288</v>
      </c>
      <c r="X490" s="2" t="s">
        <v>759</v>
      </c>
      <c r="Y490" s="2" t="s">
        <v>1967</v>
      </c>
      <c r="Z490" s="4">
        <v>538</v>
      </c>
      <c r="AA490" s="4">
        <f>=ROUNDDOWN(38.4285714285714,0)</f>
      </c>
      <c r="AB490" s="5">
        <v>14</v>
      </c>
      <c r="AC490" s="2" t="s">
        <v>100</v>
      </c>
      <c r="AD490" s="4"/>
      <c r="AE490" s="4"/>
      <c r="AF490" s="6">
        <v>66</v>
      </c>
      <c r="AG490" s="6"/>
      <c r="AH490" s="7">
        <v>0.9152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306</v>
      </c>
      <c r="BK490" s="8">
        <v>14456.22</v>
      </c>
      <c r="BL490" s="2" t="s">
        <v>1968</v>
      </c>
      <c r="BM490" s="7"/>
      <c r="BN490" s="7"/>
      <c r="BO490" s="4"/>
      <c r="BP490" s="8"/>
      <c r="BQ490" s="4"/>
      <c r="BR490" s="8"/>
      <c r="BS490" s="7"/>
      <c r="BT490" s="7"/>
      <c r="BU490" s="2" t="s">
        <v>147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1969</v>
      </c>
      <c r="B491" s="2" t="s">
        <v>87</v>
      </c>
      <c r="C491" s="2" t="s">
        <v>88</v>
      </c>
      <c r="D491" s="2" t="s">
        <v>89</v>
      </c>
      <c r="E491" s="2" t="s">
        <v>90</v>
      </c>
      <c r="F491" s="2" t="s">
        <v>1963</v>
      </c>
      <c r="G491" s="2" t="s">
        <v>1964</v>
      </c>
      <c r="H491" s="2" t="s">
        <v>1965</v>
      </c>
      <c r="I491" s="2" t="s">
        <v>1401</v>
      </c>
      <c r="J491" s="2" t="s">
        <v>850</v>
      </c>
      <c r="K491" s="2" t="s">
        <v>123</v>
      </c>
      <c r="L491" s="3">
        <v>47.61</v>
      </c>
      <c r="M491" s="3">
        <v>49.99</v>
      </c>
      <c r="N491" s="3">
        <v>99.99</v>
      </c>
      <c r="O491" s="2" t="s">
        <v>97</v>
      </c>
      <c r="P491" s="2" t="s">
        <v>182</v>
      </c>
      <c r="Q491" s="2" t="s">
        <v>99</v>
      </c>
      <c r="R491" s="2" t="s">
        <v>100</v>
      </c>
      <c r="S491" s="2" t="s">
        <v>1966</v>
      </c>
      <c r="T491" s="2" t="s">
        <v>100</v>
      </c>
      <c r="U491" s="2" t="s">
        <v>790</v>
      </c>
      <c r="V491" s="2" t="s">
        <v>561</v>
      </c>
      <c r="W491" s="2" t="s">
        <v>1288</v>
      </c>
      <c r="X491" s="2" t="s">
        <v>759</v>
      </c>
      <c r="Y491" s="2" t="s">
        <v>1967</v>
      </c>
      <c r="Z491" s="4">
        <v>853</v>
      </c>
      <c r="AA491" s="4">
        <f>=ROUNDDOWN(53.3125,0)</f>
      </c>
      <c r="AB491" s="5">
        <v>16</v>
      </c>
      <c r="AC491" s="2" t="s">
        <v>100</v>
      </c>
      <c r="AD491" s="4"/>
      <c r="AE491" s="4"/>
      <c r="AF491" s="6">
        <v>66</v>
      </c>
      <c r="AG491" s="6"/>
      <c r="AH491" s="7">
        <v>0.9091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>
        <v>285</v>
      </c>
      <c r="BK491" s="8">
        <v>14979.06</v>
      </c>
      <c r="BL491" s="2" t="s">
        <v>1970</v>
      </c>
      <c r="BM491" s="7"/>
      <c r="BN491" s="7"/>
      <c r="BO491" s="4"/>
      <c r="BP491" s="8"/>
      <c r="BQ491" s="4"/>
      <c r="BR491" s="8"/>
      <c r="BS491" s="7"/>
      <c r="BT491" s="7"/>
      <c r="BU491" s="2" t="s">
        <v>147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1971</v>
      </c>
      <c r="B492" s="2" t="s">
        <v>87</v>
      </c>
      <c r="C492" s="2" t="s">
        <v>88</v>
      </c>
      <c r="D492" s="2" t="s">
        <v>89</v>
      </c>
      <c r="E492" s="2" t="s">
        <v>90</v>
      </c>
      <c r="F492" s="2" t="s">
        <v>1972</v>
      </c>
      <c r="G492" s="2" t="s">
        <v>1973</v>
      </c>
      <c r="H492" s="2" t="s">
        <v>1974</v>
      </c>
      <c r="I492" s="2" t="s">
        <v>1975</v>
      </c>
      <c r="J492" s="2" t="s">
        <v>95</v>
      </c>
      <c r="K492" s="2" t="s">
        <v>622</v>
      </c>
      <c r="L492" s="3">
        <v>66.29</v>
      </c>
      <c r="M492" s="3">
        <v>69.61</v>
      </c>
      <c r="N492" s="3">
        <v>129.99</v>
      </c>
      <c r="O492" s="2" t="s">
        <v>97</v>
      </c>
      <c r="P492" s="2" t="s">
        <v>182</v>
      </c>
      <c r="Q492" s="2" t="s">
        <v>99</v>
      </c>
      <c r="R492" s="2" t="s">
        <v>100</v>
      </c>
      <c r="S492" s="2" t="s">
        <v>1976</v>
      </c>
      <c r="T492" s="2" t="s">
        <v>100</v>
      </c>
      <c r="U492" s="2" t="s">
        <v>102</v>
      </c>
      <c r="V492" s="2" t="s">
        <v>103</v>
      </c>
      <c r="W492" s="2" t="s">
        <v>602</v>
      </c>
      <c r="X492" s="2" t="s">
        <v>406</v>
      </c>
      <c r="Y492" s="2" t="s">
        <v>106</v>
      </c>
      <c r="Z492" s="4">
        <v>500</v>
      </c>
      <c r="AA492" s="4">
        <f>=ROUNDDOWN(25,0)</f>
      </c>
      <c r="AB492" s="5">
        <v>20</v>
      </c>
      <c r="AC492" s="2" t="s">
        <v>909</v>
      </c>
      <c r="AD492" s="4">
        <v>240</v>
      </c>
      <c r="AE492" s="4">
        <v>460</v>
      </c>
      <c r="AF492" s="6">
        <v>64</v>
      </c>
      <c r="AG492" s="6">
        <v>47</v>
      </c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390</v>
      </c>
      <c r="BK492" s="8">
        <v>25806.79</v>
      </c>
      <c r="BL492" s="2" t="s">
        <v>1977</v>
      </c>
      <c r="BM492" s="7"/>
      <c r="BN492" s="7"/>
      <c r="BO492" s="4"/>
      <c r="BP492" s="8"/>
      <c r="BQ492" s="4"/>
      <c r="BR492" s="8"/>
      <c r="BS492" s="7"/>
      <c r="BT492" s="7"/>
      <c r="BU492" s="2" t="s">
        <v>147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1978</v>
      </c>
      <c r="B493" s="2" t="s">
        <v>87</v>
      </c>
      <c r="C493" s="2" t="s">
        <v>88</v>
      </c>
      <c r="D493" s="2" t="s">
        <v>89</v>
      </c>
      <c r="E493" s="2" t="s">
        <v>90</v>
      </c>
      <c r="F493" s="2" t="s">
        <v>1972</v>
      </c>
      <c r="G493" s="2" t="s">
        <v>1973</v>
      </c>
      <c r="H493" s="2" t="s">
        <v>1974</v>
      </c>
      <c r="I493" s="2" t="s">
        <v>1975</v>
      </c>
      <c r="J493" s="2" t="s">
        <v>114</v>
      </c>
      <c r="K493" s="2" t="s">
        <v>622</v>
      </c>
      <c r="L493" s="3">
        <v>76.49</v>
      </c>
      <c r="M493" s="3">
        <v>80.32</v>
      </c>
      <c r="N493" s="3">
        <v>149.99</v>
      </c>
      <c r="O493" s="2" t="s">
        <v>97</v>
      </c>
      <c r="P493" s="2" t="s">
        <v>182</v>
      </c>
      <c r="Q493" s="2" t="s">
        <v>99</v>
      </c>
      <c r="R493" s="2" t="s">
        <v>100</v>
      </c>
      <c r="S493" s="2" t="s">
        <v>1976</v>
      </c>
      <c r="T493" s="2" t="s">
        <v>100</v>
      </c>
      <c r="U493" s="2" t="s">
        <v>102</v>
      </c>
      <c r="V493" s="2" t="s">
        <v>103</v>
      </c>
      <c r="W493" s="2" t="s">
        <v>602</v>
      </c>
      <c r="X493" s="2" t="s">
        <v>406</v>
      </c>
      <c r="Y493" s="2" t="s">
        <v>106</v>
      </c>
      <c r="Z493" s="4">
        <v>371</v>
      </c>
      <c r="AA493" s="4">
        <f>=ROUNDDOWN(23.1875,0)</f>
      </c>
      <c r="AB493" s="5">
        <v>16</v>
      </c>
      <c r="AC493" s="2" t="s">
        <v>847</v>
      </c>
      <c r="AD493" s="4">
        <v>340</v>
      </c>
      <c r="AE493" s="4">
        <v>340</v>
      </c>
      <c r="AF493" s="6">
        <v>64</v>
      </c>
      <c r="AG493" s="6">
        <v>47</v>
      </c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>
        <v>357</v>
      </c>
      <c r="BK493" s="8">
        <v>27725.56</v>
      </c>
      <c r="BL493" s="2" t="s">
        <v>1979</v>
      </c>
      <c r="BM493" s="7"/>
      <c r="BN493" s="7"/>
      <c r="BO493" s="4"/>
      <c r="BP493" s="8"/>
      <c r="BQ493" s="4"/>
      <c r="BR493" s="8"/>
      <c r="BS493" s="7"/>
      <c r="BT493" s="7"/>
      <c r="BU493" s="2" t="s">
        <v>147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1980</v>
      </c>
      <c r="B494" s="2" t="s">
        <v>87</v>
      </c>
      <c r="C494" s="2" t="s">
        <v>88</v>
      </c>
      <c r="D494" s="2" t="s">
        <v>89</v>
      </c>
      <c r="E494" s="2" t="s">
        <v>90</v>
      </c>
      <c r="F494" s="2" t="s">
        <v>1972</v>
      </c>
      <c r="G494" s="2" t="s">
        <v>1973</v>
      </c>
      <c r="H494" s="2" t="s">
        <v>1974</v>
      </c>
      <c r="I494" s="2" t="s">
        <v>1975</v>
      </c>
      <c r="J494" s="2" t="s">
        <v>118</v>
      </c>
      <c r="K494" s="2" t="s">
        <v>622</v>
      </c>
      <c r="L494" s="3">
        <v>76.49</v>
      </c>
      <c r="M494" s="3">
        <v>80.32</v>
      </c>
      <c r="N494" s="3">
        <v>149.99</v>
      </c>
      <c r="O494" s="2" t="s">
        <v>97</v>
      </c>
      <c r="P494" s="2" t="s">
        <v>182</v>
      </c>
      <c r="Q494" s="2" t="s">
        <v>99</v>
      </c>
      <c r="R494" s="2" t="s">
        <v>100</v>
      </c>
      <c r="S494" s="2" t="s">
        <v>1976</v>
      </c>
      <c r="T494" s="2" t="s">
        <v>100</v>
      </c>
      <c r="U494" s="2" t="s">
        <v>102</v>
      </c>
      <c r="V494" s="2" t="s">
        <v>103</v>
      </c>
      <c r="W494" s="2" t="s">
        <v>602</v>
      </c>
      <c r="X494" s="2" t="s">
        <v>406</v>
      </c>
      <c r="Y494" s="2" t="s">
        <v>106</v>
      </c>
      <c r="Z494" s="4">
        <v>285</v>
      </c>
      <c r="AA494" s="4">
        <f>=ROUNDDOWN(47.5,0)</f>
      </c>
      <c r="AB494" s="5">
        <v>6</v>
      </c>
      <c r="AC494" s="2" t="s">
        <v>100</v>
      </c>
      <c r="AD494" s="4"/>
      <c r="AE494" s="4"/>
      <c r="AF494" s="6">
        <v>64</v>
      </c>
      <c r="AG494" s="6">
        <v>47</v>
      </c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106</v>
      </c>
      <c r="BK494" s="8">
        <v>8351.92</v>
      </c>
      <c r="BL494" s="2" t="s">
        <v>1981</v>
      </c>
      <c r="BM494" s="7"/>
      <c r="BN494" s="7"/>
      <c r="BO494" s="4"/>
      <c r="BP494" s="8"/>
      <c r="BQ494" s="4"/>
      <c r="BR494" s="8"/>
      <c r="BS494" s="7"/>
      <c r="BT494" s="7"/>
      <c r="BU494" s="2" t="s">
        <v>147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1982</v>
      </c>
      <c r="B495" s="2" t="s">
        <v>87</v>
      </c>
      <c r="C495" s="2" t="s">
        <v>88</v>
      </c>
      <c r="D495" s="2" t="s">
        <v>89</v>
      </c>
      <c r="E495" s="2" t="s">
        <v>90</v>
      </c>
      <c r="F495" s="2" t="s">
        <v>1983</v>
      </c>
      <c r="G495" s="2" t="s">
        <v>1984</v>
      </c>
      <c r="H495" s="2" t="s">
        <v>1985</v>
      </c>
      <c r="I495" s="2" t="s">
        <v>558</v>
      </c>
      <c r="J495" s="2" t="s">
        <v>95</v>
      </c>
      <c r="K495" s="2" t="s">
        <v>197</v>
      </c>
      <c r="L495" s="3">
        <v>66.66</v>
      </c>
      <c r="M495" s="3">
        <v>69.99</v>
      </c>
      <c r="N495" s="3">
        <v>139.99</v>
      </c>
      <c r="O495" s="2" t="s">
        <v>550</v>
      </c>
      <c r="P495" s="2" t="s">
        <v>198</v>
      </c>
      <c r="Q495" s="2" t="s">
        <v>99</v>
      </c>
      <c r="R495" s="2" t="s">
        <v>100</v>
      </c>
      <c r="S495" s="2" t="s">
        <v>1986</v>
      </c>
      <c r="T495" s="2" t="s">
        <v>100</v>
      </c>
      <c r="U495" s="2" t="s">
        <v>102</v>
      </c>
      <c r="V495" s="2" t="s">
        <v>1364</v>
      </c>
      <c r="W495" s="2" t="s">
        <v>405</v>
      </c>
      <c r="X495" s="2" t="s">
        <v>406</v>
      </c>
      <c r="Y495" s="2" t="s">
        <v>179</v>
      </c>
      <c r="Z495" s="4">
        <v>23</v>
      </c>
      <c r="AA495" s="4">
        <f>=ROUNDDOWN(3.38235294117647,0)</f>
      </c>
      <c r="AB495" s="5">
        <v>6.8</v>
      </c>
      <c r="AC495" s="2" t="s">
        <v>100</v>
      </c>
      <c r="AD495" s="4"/>
      <c r="AE495" s="4"/>
      <c r="AF495" s="6">
        <v>64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>
        <v>111</v>
      </c>
      <c r="BK495" s="8">
        <v>5992.44</v>
      </c>
      <c r="BL495" s="2" t="s">
        <v>1159</v>
      </c>
      <c r="BM495" s="7"/>
      <c r="BN495" s="7"/>
      <c r="BO495" s="4"/>
      <c r="BP495" s="8"/>
      <c r="BQ495" s="4"/>
      <c r="BR495" s="8"/>
      <c r="BS495" s="7"/>
      <c r="BT495" s="7"/>
      <c r="BU495" s="2" t="s">
        <v>147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1987</v>
      </c>
      <c r="B496" s="2" t="s">
        <v>87</v>
      </c>
      <c r="C496" s="2" t="s">
        <v>88</v>
      </c>
      <c r="D496" s="2" t="s">
        <v>89</v>
      </c>
      <c r="E496" s="2" t="s">
        <v>90</v>
      </c>
      <c r="F496" s="2" t="s">
        <v>1988</v>
      </c>
      <c r="G496" s="2" t="s">
        <v>1989</v>
      </c>
      <c r="H496" s="2" t="s">
        <v>1990</v>
      </c>
      <c r="I496" s="2" t="s">
        <v>1991</v>
      </c>
      <c r="J496" s="2" t="s">
        <v>844</v>
      </c>
      <c r="K496" s="2" t="s">
        <v>158</v>
      </c>
      <c r="L496" s="3">
        <v>52.8</v>
      </c>
      <c r="M496" s="3">
        <v>55.43</v>
      </c>
      <c r="N496" s="3">
        <v>109.99</v>
      </c>
      <c r="O496" s="2" t="s">
        <v>97</v>
      </c>
      <c r="P496" s="2" t="s">
        <v>98</v>
      </c>
      <c r="Q496" s="2" t="s">
        <v>99</v>
      </c>
      <c r="R496" s="2" t="s">
        <v>100</v>
      </c>
      <c r="S496" s="2" t="s">
        <v>1992</v>
      </c>
      <c r="T496" s="2" t="s">
        <v>184</v>
      </c>
      <c r="U496" s="2" t="s">
        <v>102</v>
      </c>
      <c r="V496" s="2" t="s">
        <v>491</v>
      </c>
      <c r="W496" s="2" t="s">
        <v>1288</v>
      </c>
      <c r="X496" s="2" t="s">
        <v>1732</v>
      </c>
      <c r="Y496" s="2" t="s">
        <v>1993</v>
      </c>
      <c r="Z496" s="4">
        <v>1039</v>
      </c>
      <c r="AA496" s="4">
        <f>=ROUNDDOWN(19.9807692307692,0)</f>
      </c>
      <c r="AB496" s="5">
        <v>52</v>
      </c>
      <c r="AC496" s="2" t="s">
        <v>430</v>
      </c>
      <c r="AD496" s="4">
        <v>320</v>
      </c>
      <c r="AE496" s="4">
        <v>1050</v>
      </c>
      <c r="AF496" s="6">
        <v>65</v>
      </c>
      <c r="AG496" s="6">
        <v>48</v>
      </c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827</v>
      </c>
      <c r="BK496" s="8">
        <v>45555.92</v>
      </c>
      <c r="BL496" s="2" t="s">
        <v>1994</v>
      </c>
      <c r="BM496" s="7"/>
      <c r="BN496" s="7"/>
      <c r="BO496" s="4"/>
      <c r="BP496" s="8"/>
      <c r="BQ496" s="4"/>
      <c r="BR496" s="8"/>
      <c r="BS496" s="7"/>
      <c r="BT496" s="7"/>
      <c r="BU496" s="2" t="s">
        <v>109</v>
      </c>
      <c r="BV496" s="2" t="s">
        <v>97</v>
      </c>
      <c r="BW496" s="2" t="s">
        <v>580</v>
      </c>
      <c r="BX496" s="2" t="s">
        <v>100</v>
      </c>
      <c r="BY496" s="2" t="s">
        <v>112</v>
      </c>
      <c r="BZ496" s="2" t="s">
        <v>100</v>
      </c>
    </row>
    <row r="497">
      <c r="A497" s="2" t="s">
        <v>1995</v>
      </c>
      <c r="B497" s="2" t="s">
        <v>87</v>
      </c>
      <c r="C497" s="2" t="s">
        <v>88</v>
      </c>
      <c r="D497" s="2" t="s">
        <v>89</v>
      </c>
      <c r="E497" s="2" t="s">
        <v>90</v>
      </c>
      <c r="F497" s="2" t="s">
        <v>1988</v>
      </c>
      <c r="G497" s="2" t="s">
        <v>1989</v>
      </c>
      <c r="H497" s="2" t="s">
        <v>1990</v>
      </c>
      <c r="I497" s="2" t="s">
        <v>1991</v>
      </c>
      <c r="J497" s="2" t="s">
        <v>850</v>
      </c>
      <c r="K497" s="2" t="s">
        <v>158</v>
      </c>
      <c r="L497" s="3">
        <v>63.7</v>
      </c>
      <c r="M497" s="3">
        <v>66.88</v>
      </c>
      <c r="N497" s="3">
        <v>129.99</v>
      </c>
      <c r="O497" s="2" t="s">
        <v>97</v>
      </c>
      <c r="P497" s="2" t="s">
        <v>98</v>
      </c>
      <c r="Q497" s="2" t="s">
        <v>99</v>
      </c>
      <c r="R497" s="2" t="s">
        <v>100</v>
      </c>
      <c r="S497" s="2" t="s">
        <v>1992</v>
      </c>
      <c r="T497" s="2" t="s">
        <v>184</v>
      </c>
      <c r="U497" s="2" t="s">
        <v>102</v>
      </c>
      <c r="V497" s="2" t="s">
        <v>491</v>
      </c>
      <c r="W497" s="2" t="s">
        <v>1288</v>
      </c>
      <c r="X497" s="2" t="s">
        <v>1732</v>
      </c>
      <c r="Y497" s="2" t="s">
        <v>1993</v>
      </c>
      <c r="Z497" s="4">
        <v>628</v>
      </c>
      <c r="AA497" s="4">
        <f>=ROUNDDOWN(12.56,0)</f>
      </c>
      <c r="AB497" s="5">
        <v>50</v>
      </c>
      <c r="AC497" s="2" t="s">
        <v>430</v>
      </c>
      <c r="AD497" s="4">
        <v>200</v>
      </c>
      <c r="AE497" s="4">
        <v>1180</v>
      </c>
      <c r="AF497" s="6">
        <v>65</v>
      </c>
      <c r="AG497" s="6">
        <v>48</v>
      </c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734</v>
      </c>
      <c r="BK497" s="8">
        <v>48905.22</v>
      </c>
      <c r="BL497" s="2" t="s">
        <v>1996</v>
      </c>
      <c r="BM497" s="7"/>
      <c r="BN497" s="7"/>
      <c r="BO497" s="4"/>
      <c r="BP497" s="8"/>
      <c r="BQ497" s="4"/>
      <c r="BR497" s="8"/>
      <c r="BS497" s="7"/>
      <c r="BT497" s="7"/>
      <c r="BU497" s="2" t="s">
        <v>109</v>
      </c>
      <c r="BV497" s="2" t="s">
        <v>97</v>
      </c>
      <c r="BW497" s="2" t="s">
        <v>580</v>
      </c>
      <c r="BX497" s="2" t="s">
        <v>100</v>
      </c>
      <c r="BY497" s="2" t="s">
        <v>112</v>
      </c>
      <c r="BZ497" s="2" t="s">
        <v>100</v>
      </c>
    </row>
    <row r="498">
      <c r="A498" s="2" t="s">
        <v>1997</v>
      </c>
      <c r="B498" s="2" t="s">
        <v>87</v>
      </c>
      <c r="C498" s="2" t="s">
        <v>88</v>
      </c>
      <c r="D498" s="2" t="s">
        <v>89</v>
      </c>
      <c r="E498" s="2" t="s">
        <v>90</v>
      </c>
      <c r="F498" s="2" t="s">
        <v>1988</v>
      </c>
      <c r="G498" s="2" t="s">
        <v>1989</v>
      </c>
      <c r="H498" s="2" t="s">
        <v>1990</v>
      </c>
      <c r="I498" s="2" t="s">
        <v>1991</v>
      </c>
      <c r="J498" s="2" t="s">
        <v>844</v>
      </c>
      <c r="K498" s="2" t="s">
        <v>1998</v>
      </c>
      <c r="L498" s="3">
        <v>52.8</v>
      </c>
      <c r="M498" s="3">
        <v>55.43</v>
      </c>
      <c r="N498" s="3">
        <v>109.99</v>
      </c>
      <c r="O498" s="2" t="s">
        <v>97</v>
      </c>
      <c r="P498" s="2" t="s">
        <v>1166</v>
      </c>
      <c r="Q498" s="2" t="s">
        <v>99</v>
      </c>
      <c r="R498" s="2" t="s">
        <v>100</v>
      </c>
      <c r="S498" s="2" t="s">
        <v>1999</v>
      </c>
      <c r="T498" s="2" t="s">
        <v>184</v>
      </c>
      <c r="U498" s="2" t="s">
        <v>102</v>
      </c>
      <c r="V498" s="2" t="s">
        <v>491</v>
      </c>
      <c r="W498" s="2" t="s">
        <v>1288</v>
      </c>
      <c r="X498" s="2" t="s">
        <v>1732</v>
      </c>
      <c r="Y498" s="2" t="s">
        <v>2000</v>
      </c>
      <c r="Z498" s="4">
        <v>584</v>
      </c>
      <c r="AA498" s="4">
        <f>=ROUNDDOWN(18.25,0)</f>
      </c>
      <c r="AB498" s="5">
        <v>32</v>
      </c>
      <c r="AC498" s="2" t="s">
        <v>847</v>
      </c>
      <c r="AD498" s="4">
        <v>400</v>
      </c>
      <c r="AE498" s="4">
        <v>400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38</v>
      </c>
      <c r="BK498" s="8">
        <v>2150.68</v>
      </c>
      <c r="BL498" s="2" t="s">
        <v>2001</v>
      </c>
      <c r="BM498" s="7"/>
      <c r="BN498" s="7"/>
      <c r="BO498" s="4"/>
      <c r="BP498" s="8"/>
      <c r="BQ498" s="4"/>
      <c r="BR498" s="8"/>
      <c r="BS498" s="7"/>
      <c r="BT498" s="7"/>
      <c r="BU498" s="2" t="s">
        <v>1171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2002</v>
      </c>
      <c r="B499" s="2" t="s">
        <v>87</v>
      </c>
      <c r="C499" s="2" t="s">
        <v>88</v>
      </c>
      <c r="D499" s="2" t="s">
        <v>89</v>
      </c>
      <c r="E499" s="2" t="s">
        <v>90</v>
      </c>
      <c r="F499" s="2" t="s">
        <v>1988</v>
      </c>
      <c r="G499" s="2" t="s">
        <v>1989</v>
      </c>
      <c r="H499" s="2" t="s">
        <v>1990</v>
      </c>
      <c r="I499" s="2" t="s">
        <v>1991</v>
      </c>
      <c r="J499" s="2" t="s">
        <v>850</v>
      </c>
      <c r="K499" s="2" t="s">
        <v>1998</v>
      </c>
      <c r="L499" s="3">
        <v>63.7</v>
      </c>
      <c r="M499" s="3">
        <v>66.88</v>
      </c>
      <c r="N499" s="3">
        <v>129.99</v>
      </c>
      <c r="O499" s="2" t="s">
        <v>97</v>
      </c>
      <c r="P499" s="2" t="s">
        <v>1166</v>
      </c>
      <c r="Q499" s="2" t="s">
        <v>99</v>
      </c>
      <c r="R499" s="2" t="s">
        <v>100</v>
      </c>
      <c r="S499" s="2" t="s">
        <v>1999</v>
      </c>
      <c r="T499" s="2" t="s">
        <v>184</v>
      </c>
      <c r="U499" s="2" t="s">
        <v>102</v>
      </c>
      <c r="V499" s="2" t="s">
        <v>491</v>
      </c>
      <c r="W499" s="2" t="s">
        <v>1288</v>
      </c>
      <c r="X499" s="2" t="s">
        <v>1732</v>
      </c>
      <c r="Y499" s="2" t="s">
        <v>2000</v>
      </c>
      <c r="Z499" s="4">
        <v>432</v>
      </c>
      <c r="AA499" s="4">
        <f>=ROUNDDOWN(16,0)</f>
      </c>
      <c r="AB499" s="5">
        <v>27</v>
      </c>
      <c r="AC499" s="2" t="s">
        <v>847</v>
      </c>
      <c r="AD499" s="4">
        <v>400</v>
      </c>
      <c r="AE499" s="4">
        <v>400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34</v>
      </c>
      <c r="BK499" s="8">
        <v>2306.26</v>
      </c>
      <c r="BL499" s="2" t="s">
        <v>2003</v>
      </c>
      <c r="BM499" s="7"/>
      <c r="BN499" s="7"/>
      <c r="BO499" s="4"/>
      <c r="BP499" s="8"/>
      <c r="BQ499" s="4"/>
      <c r="BR499" s="8"/>
      <c r="BS499" s="7"/>
      <c r="BT499" s="7"/>
      <c r="BU499" s="2" t="s">
        <v>1171</v>
      </c>
      <c r="BV499" s="2" t="s">
        <v>97</v>
      </c>
      <c r="BW499" s="2" t="s">
        <v>100</v>
      </c>
      <c r="BX499" s="2" t="s">
        <v>100</v>
      </c>
      <c r="BY499" s="2" t="s">
        <v>112</v>
      </c>
      <c r="BZ499" s="2" t="s">
        <v>100</v>
      </c>
    </row>
    <row r="500">
      <c r="A500" s="2" t="s">
        <v>2004</v>
      </c>
      <c r="B500" s="2" t="s">
        <v>87</v>
      </c>
      <c r="C500" s="2" t="s">
        <v>88</v>
      </c>
      <c r="D500" s="2" t="s">
        <v>89</v>
      </c>
      <c r="E500" s="2" t="s">
        <v>2005</v>
      </c>
      <c r="F500" s="2" t="s">
        <v>2006</v>
      </c>
      <c r="G500" s="2" t="s">
        <v>2007</v>
      </c>
      <c r="H500" s="2" t="s">
        <v>2008</v>
      </c>
      <c r="I500" s="2" t="s">
        <v>2009</v>
      </c>
      <c r="J500" s="2" t="s">
        <v>95</v>
      </c>
      <c r="K500" s="2" t="s">
        <v>197</v>
      </c>
      <c r="L500" s="3">
        <v>83.79</v>
      </c>
      <c r="M500" s="3">
        <v>87.98</v>
      </c>
      <c r="N500" s="3">
        <v>179.99</v>
      </c>
      <c r="O500" s="2" t="s">
        <v>97</v>
      </c>
      <c r="P500" s="2" t="s">
        <v>143</v>
      </c>
      <c r="Q500" s="2" t="s">
        <v>99</v>
      </c>
      <c r="R500" s="2" t="s">
        <v>100</v>
      </c>
      <c r="S500" s="2" t="s">
        <v>2010</v>
      </c>
      <c r="T500" s="2" t="s">
        <v>100</v>
      </c>
      <c r="U500" s="2" t="s">
        <v>2011</v>
      </c>
      <c r="V500" s="2" t="s">
        <v>1364</v>
      </c>
      <c r="W500" s="2" t="s">
        <v>405</v>
      </c>
      <c r="X500" s="2" t="s">
        <v>406</v>
      </c>
      <c r="Y500" s="2" t="s">
        <v>946</v>
      </c>
      <c r="Z500" s="4">
        <v>1190</v>
      </c>
      <c r="AA500" s="4">
        <f>=ROUNDDOWN(44.0740740740741,0)</f>
      </c>
      <c r="AB500" s="5">
        <v>27</v>
      </c>
      <c r="AC500" s="2" t="s">
        <v>145</v>
      </c>
      <c r="AD500" s="4">
        <v>90</v>
      </c>
      <c r="AE500" s="4">
        <v>140</v>
      </c>
      <c r="AF500" s="6">
        <v>65</v>
      </c>
      <c r="AG500" s="6">
        <v>48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>
        <v>0</v>
      </c>
      <c r="AP500" s="4">
        <v>1</v>
      </c>
      <c r="AQ500" s="8">
        <v>87.98</v>
      </c>
      <c r="AR500" s="4">
        <v>4</v>
      </c>
      <c r="AS500" s="8">
        <v>381.26</v>
      </c>
      <c r="AT500" s="7">
        <v>-0.75</v>
      </c>
      <c r="AU500" s="7">
        <v>-0.7692</v>
      </c>
      <c r="AV500" s="4">
        <v>4</v>
      </c>
      <c r="AW500" s="8">
        <v>385.67</v>
      </c>
      <c r="AX500" s="4">
        <v>5</v>
      </c>
      <c r="AY500" s="8">
        <v>491.51</v>
      </c>
      <c r="AZ500" s="7">
        <v>-0.2</v>
      </c>
      <c r="BA500" s="7">
        <v>-0.2153</v>
      </c>
      <c r="BB500" s="7">
        <v>0.2281</v>
      </c>
      <c r="BC500" s="4">
        <v>9</v>
      </c>
      <c r="BD500" s="8">
        <v>881.82</v>
      </c>
      <c r="BE500" s="4">
        <v>16</v>
      </c>
      <c r="BF500" s="8">
        <v>1645.97</v>
      </c>
      <c r="BG500" s="7">
        <v>-0.4375</v>
      </c>
      <c r="BH500" s="7">
        <v>-0.4643</v>
      </c>
      <c r="BI500" s="7">
        <v>0.4374</v>
      </c>
      <c r="BJ500" s="4">
        <v>567</v>
      </c>
      <c r="BK500" s="8">
        <v>51528.19</v>
      </c>
      <c r="BL500" s="2" t="s">
        <v>2012</v>
      </c>
      <c r="BM500" s="7">
        <v>0.0018</v>
      </c>
      <c r="BN500" s="7">
        <v>0.0017</v>
      </c>
      <c r="BO500" s="4">
        <v>1</v>
      </c>
      <c r="BP500" s="8">
        <v>87.98</v>
      </c>
      <c r="BQ500" s="4">
        <v>4</v>
      </c>
      <c r="BR500" s="8">
        <v>381.26</v>
      </c>
      <c r="BS500" s="7">
        <v>-0.75</v>
      </c>
      <c r="BT500" s="7">
        <v>-0.7692</v>
      </c>
      <c r="BU500" s="2" t="s">
        <v>109</v>
      </c>
      <c r="BV500" s="2" t="s">
        <v>97</v>
      </c>
      <c r="BW500" s="2" t="s">
        <v>110</v>
      </c>
      <c r="BX500" s="2" t="s">
        <v>2013</v>
      </c>
      <c r="BY500" s="2" t="s">
        <v>112</v>
      </c>
      <c r="BZ500" s="2" t="s">
        <v>100</v>
      </c>
    </row>
    <row r="501">
      <c r="A501" s="2" t="s">
        <v>2014</v>
      </c>
      <c r="B501" s="2" t="s">
        <v>87</v>
      </c>
      <c r="C501" s="2" t="s">
        <v>88</v>
      </c>
      <c r="D501" s="2" t="s">
        <v>89</v>
      </c>
      <c r="E501" s="2" t="s">
        <v>2005</v>
      </c>
      <c r="F501" s="2" t="s">
        <v>2006</v>
      </c>
      <c r="G501" s="2" t="s">
        <v>2007</v>
      </c>
      <c r="H501" s="2" t="s">
        <v>2008</v>
      </c>
      <c r="I501" s="2" t="s">
        <v>2009</v>
      </c>
      <c r="J501" s="2" t="s">
        <v>114</v>
      </c>
      <c r="K501" s="2" t="s">
        <v>197</v>
      </c>
      <c r="L501" s="3">
        <v>94.5</v>
      </c>
      <c r="M501" s="3">
        <v>99.22</v>
      </c>
      <c r="N501" s="3">
        <v>199.99</v>
      </c>
      <c r="O501" s="2" t="s">
        <v>97</v>
      </c>
      <c r="P501" s="2" t="s">
        <v>143</v>
      </c>
      <c r="Q501" s="2" t="s">
        <v>99</v>
      </c>
      <c r="R501" s="2" t="s">
        <v>100</v>
      </c>
      <c r="S501" s="2" t="s">
        <v>2010</v>
      </c>
      <c r="T501" s="2" t="s">
        <v>100</v>
      </c>
      <c r="U501" s="2" t="s">
        <v>2011</v>
      </c>
      <c r="V501" s="2" t="s">
        <v>1364</v>
      </c>
      <c r="W501" s="2" t="s">
        <v>405</v>
      </c>
      <c r="X501" s="2" t="s">
        <v>406</v>
      </c>
      <c r="Y501" s="2" t="s">
        <v>946</v>
      </c>
      <c r="Z501" s="4">
        <v>843</v>
      </c>
      <c r="AA501" s="4">
        <f>=ROUNDDOWN(28.1,0)</f>
      </c>
      <c r="AB501" s="5">
        <v>30</v>
      </c>
      <c r="AC501" s="2" t="s">
        <v>145</v>
      </c>
      <c r="AD501" s="4">
        <v>160</v>
      </c>
      <c r="AE501" s="4">
        <v>510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>
        <v>0</v>
      </c>
      <c r="AP501" s="4">
        <v>3</v>
      </c>
      <c r="AQ501" s="8">
        <v>297.69</v>
      </c>
      <c r="AR501" s="4">
        <v>1</v>
      </c>
      <c r="AS501" s="8">
        <v>110.25</v>
      </c>
      <c r="AT501" s="7">
        <v>2</v>
      </c>
      <c r="AU501" s="7">
        <v>1.7001</v>
      </c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>
        <v>0.7719</v>
      </c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 t="s">
        <v>100</v>
      </c>
      <c r="BJ501" s="4">
        <v>798</v>
      </c>
      <c r="BK501" s="8">
        <v>86790.08</v>
      </c>
      <c r="BL501" s="2" t="s">
        <v>2015</v>
      </c>
      <c r="BM501" s="7">
        <v>0.0038</v>
      </c>
      <c r="BN501" s="7">
        <v>0.0034</v>
      </c>
      <c r="BO501" s="4">
        <v>3</v>
      </c>
      <c r="BP501" s="8">
        <v>297.69</v>
      </c>
      <c r="BQ501" s="4">
        <v>1</v>
      </c>
      <c r="BR501" s="8">
        <v>110.25</v>
      </c>
      <c r="BS501" s="7">
        <v>2</v>
      </c>
      <c r="BT501" s="7">
        <v>1.7001</v>
      </c>
      <c r="BU501" s="2" t="s">
        <v>109</v>
      </c>
      <c r="BV501" s="2" t="s">
        <v>97</v>
      </c>
      <c r="BW501" s="2" t="s">
        <v>110</v>
      </c>
      <c r="BX501" s="2" t="s">
        <v>2016</v>
      </c>
      <c r="BY501" s="2" t="s">
        <v>112</v>
      </c>
      <c r="BZ501" s="2" t="s">
        <v>100</v>
      </c>
    </row>
    <row r="502">
      <c r="A502" s="2" t="s">
        <v>2017</v>
      </c>
      <c r="B502" s="2" t="s">
        <v>87</v>
      </c>
      <c r="C502" s="2" t="s">
        <v>88</v>
      </c>
      <c r="D502" s="2" t="s">
        <v>89</v>
      </c>
      <c r="E502" s="2" t="s">
        <v>2005</v>
      </c>
      <c r="F502" s="2" t="s">
        <v>2006</v>
      </c>
      <c r="G502" s="2" t="s">
        <v>2007</v>
      </c>
      <c r="H502" s="2" t="s">
        <v>2008</v>
      </c>
      <c r="I502" s="2" t="s">
        <v>2009</v>
      </c>
      <c r="J502" s="2" t="s">
        <v>118</v>
      </c>
      <c r="K502" s="2" t="s">
        <v>197</v>
      </c>
      <c r="L502" s="3">
        <v>94.5</v>
      </c>
      <c r="M502" s="3">
        <v>99.22</v>
      </c>
      <c r="N502" s="3">
        <v>199.99</v>
      </c>
      <c r="O502" s="2" t="s">
        <v>97</v>
      </c>
      <c r="P502" s="2" t="s">
        <v>143</v>
      </c>
      <c r="Q502" s="2" t="s">
        <v>99</v>
      </c>
      <c r="R502" s="2" t="s">
        <v>100</v>
      </c>
      <c r="S502" s="2" t="s">
        <v>2010</v>
      </c>
      <c r="T502" s="2" t="s">
        <v>100</v>
      </c>
      <c r="U502" s="2" t="s">
        <v>2011</v>
      </c>
      <c r="V502" s="2" t="s">
        <v>1364</v>
      </c>
      <c r="W502" s="2" t="s">
        <v>405</v>
      </c>
      <c r="X502" s="2" t="s">
        <v>406</v>
      </c>
      <c r="Y502" s="2" t="s">
        <v>946</v>
      </c>
      <c r="Z502" s="4">
        <v>571</v>
      </c>
      <c r="AA502" s="4">
        <f>=ROUNDDOWN(35.6875,0)</f>
      </c>
      <c r="AB502" s="5">
        <v>16</v>
      </c>
      <c r="AC502" s="2" t="s">
        <v>145</v>
      </c>
      <c r="AD502" s="4">
        <v>50</v>
      </c>
      <c r="AE502" s="4">
        <v>50</v>
      </c>
      <c r="AF502" s="6">
        <v>65</v>
      </c>
      <c r="AG502" s="6">
        <v>48</v>
      </c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 t="s">
        <v>100</v>
      </c>
      <c r="BJ502" s="4">
        <v>296</v>
      </c>
      <c r="BK502" s="8">
        <v>31929.38</v>
      </c>
      <c r="BL502" s="2" t="s">
        <v>2018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97</v>
      </c>
      <c r="BW502" s="2" t="s">
        <v>110</v>
      </c>
      <c r="BX502" s="2" t="s">
        <v>100</v>
      </c>
      <c r="BY502" s="2" t="s">
        <v>112</v>
      </c>
      <c r="BZ502" s="2" t="s">
        <v>100</v>
      </c>
    </row>
    <row r="503">
      <c r="A503" s="2" t="s">
        <v>2019</v>
      </c>
      <c r="B503" s="2" t="s">
        <v>87</v>
      </c>
      <c r="C503" s="2" t="s">
        <v>88</v>
      </c>
      <c r="D503" s="2" t="s">
        <v>89</v>
      </c>
      <c r="E503" s="2" t="s">
        <v>2005</v>
      </c>
      <c r="F503" s="2" t="s">
        <v>2006</v>
      </c>
      <c r="G503" s="2" t="s">
        <v>2007</v>
      </c>
      <c r="H503" s="2" t="s">
        <v>2008</v>
      </c>
      <c r="I503" s="2" t="s">
        <v>2009</v>
      </c>
      <c r="J503" s="2" t="s">
        <v>122</v>
      </c>
      <c r="K503" s="2" t="s">
        <v>142</v>
      </c>
      <c r="L503" s="3">
        <v>80.99</v>
      </c>
      <c r="M503" s="3">
        <v>85.04</v>
      </c>
      <c r="N503" s="3">
        <v>169.99</v>
      </c>
      <c r="O503" s="2" t="s">
        <v>97</v>
      </c>
      <c r="P503" s="2" t="s">
        <v>143</v>
      </c>
      <c r="Q503" s="2" t="s">
        <v>99</v>
      </c>
      <c r="R503" s="2" t="s">
        <v>100</v>
      </c>
      <c r="S503" s="2" t="s">
        <v>2020</v>
      </c>
      <c r="T503" s="2" t="s">
        <v>100</v>
      </c>
      <c r="U503" s="2" t="s">
        <v>2011</v>
      </c>
      <c r="V503" s="2" t="s">
        <v>1364</v>
      </c>
      <c r="W503" s="2" t="s">
        <v>405</v>
      </c>
      <c r="X503" s="2" t="s">
        <v>406</v>
      </c>
      <c r="Y503" s="2" t="s">
        <v>106</v>
      </c>
      <c r="Z503" s="4">
        <v>249</v>
      </c>
      <c r="AA503" s="4">
        <f>=ROUNDDOWN(49.8,0)</f>
      </c>
      <c r="AB503" s="5">
        <v>5</v>
      </c>
      <c r="AC503" s="2" t="s">
        <v>107</v>
      </c>
      <c r="AD503" s="4">
        <v>100</v>
      </c>
      <c r="AE503" s="4">
        <v>100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3</v>
      </c>
      <c r="AW503" s="8">
        <v>297.69</v>
      </c>
      <c r="AX503" s="4">
        <v>8</v>
      </c>
      <c r="AY503" s="8">
        <v>870.98</v>
      </c>
      <c r="AZ503" s="7">
        <v>-0.625</v>
      </c>
      <c r="BA503" s="7">
        <v>-0.6582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>
        <v>0.3376</v>
      </c>
      <c r="BJ503" s="4">
        <v>71</v>
      </c>
      <c r="BK503" s="8">
        <v>6272.71</v>
      </c>
      <c r="BL503" s="2" t="s">
        <v>2021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97</v>
      </c>
      <c r="BW503" s="2" t="s">
        <v>110</v>
      </c>
      <c r="BX503" s="2" t="s">
        <v>100</v>
      </c>
      <c r="BY503" s="2" t="s">
        <v>112</v>
      </c>
      <c r="BZ503" s="2" t="s">
        <v>100</v>
      </c>
    </row>
    <row r="504">
      <c r="A504" s="2" t="s">
        <v>2022</v>
      </c>
      <c r="B504" s="2" t="s">
        <v>87</v>
      </c>
      <c r="C504" s="2" t="s">
        <v>88</v>
      </c>
      <c r="D504" s="2" t="s">
        <v>89</v>
      </c>
      <c r="E504" s="2" t="s">
        <v>2005</v>
      </c>
      <c r="F504" s="2" t="s">
        <v>2006</v>
      </c>
      <c r="G504" s="2" t="s">
        <v>2007</v>
      </c>
      <c r="H504" s="2" t="s">
        <v>2008</v>
      </c>
      <c r="I504" s="2" t="s">
        <v>2009</v>
      </c>
      <c r="J504" s="2" t="s">
        <v>95</v>
      </c>
      <c r="K504" s="2" t="s">
        <v>142</v>
      </c>
      <c r="L504" s="3">
        <v>83.79</v>
      </c>
      <c r="M504" s="3">
        <v>87.98</v>
      </c>
      <c r="N504" s="3">
        <v>179.99</v>
      </c>
      <c r="O504" s="2" t="s">
        <v>97</v>
      </c>
      <c r="P504" s="2" t="s">
        <v>143</v>
      </c>
      <c r="Q504" s="2" t="s">
        <v>99</v>
      </c>
      <c r="R504" s="2" t="s">
        <v>100</v>
      </c>
      <c r="S504" s="2" t="s">
        <v>2020</v>
      </c>
      <c r="T504" s="2" t="s">
        <v>100</v>
      </c>
      <c r="U504" s="2" t="s">
        <v>2011</v>
      </c>
      <c r="V504" s="2" t="s">
        <v>1364</v>
      </c>
      <c r="W504" s="2" t="s">
        <v>405</v>
      </c>
      <c r="X504" s="2" t="s">
        <v>406</v>
      </c>
      <c r="Y504" s="2" t="s">
        <v>106</v>
      </c>
      <c r="Z504" s="4">
        <v>947</v>
      </c>
      <c r="AA504" s="4">
        <f>=ROUNDDOWN(36.4230769230769,0)</f>
      </c>
      <c r="AB504" s="5">
        <v>26</v>
      </c>
      <c r="AC504" s="2" t="s">
        <v>130</v>
      </c>
      <c r="AD504" s="4">
        <v>70</v>
      </c>
      <c r="AE504" s="4">
        <v>590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 t="s">
        <v>100</v>
      </c>
      <c r="BJ504" s="4">
        <v>501</v>
      </c>
      <c r="BK504" s="8">
        <v>45772.81</v>
      </c>
      <c r="BL504" s="2" t="s">
        <v>2023</v>
      </c>
      <c r="BM504" s="7"/>
      <c r="BN504" s="7"/>
      <c r="BO504" s="4"/>
      <c r="BP504" s="8"/>
      <c r="BQ504" s="4"/>
      <c r="BR504" s="8"/>
      <c r="BS504" s="7"/>
      <c r="BT504" s="7"/>
      <c r="BU504" s="2" t="s">
        <v>147</v>
      </c>
      <c r="BV504" s="2" t="s">
        <v>97</v>
      </c>
      <c r="BW504" s="2" t="s">
        <v>100</v>
      </c>
      <c r="BX504" s="2" t="s">
        <v>100</v>
      </c>
      <c r="BY504" s="2" t="s">
        <v>112</v>
      </c>
      <c r="BZ504" s="2" t="s">
        <v>100</v>
      </c>
    </row>
    <row r="505">
      <c r="A505" s="2" t="s">
        <v>2024</v>
      </c>
      <c r="B505" s="2" t="s">
        <v>87</v>
      </c>
      <c r="C505" s="2" t="s">
        <v>88</v>
      </c>
      <c r="D505" s="2" t="s">
        <v>89</v>
      </c>
      <c r="E505" s="2" t="s">
        <v>2005</v>
      </c>
      <c r="F505" s="2" t="s">
        <v>2006</v>
      </c>
      <c r="G505" s="2" t="s">
        <v>2007</v>
      </c>
      <c r="H505" s="2" t="s">
        <v>2008</v>
      </c>
      <c r="I505" s="2" t="s">
        <v>2009</v>
      </c>
      <c r="J505" s="2" t="s">
        <v>114</v>
      </c>
      <c r="K505" s="2" t="s">
        <v>142</v>
      </c>
      <c r="L505" s="3">
        <v>94.5</v>
      </c>
      <c r="M505" s="3">
        <v>99.22</v>
      </c>
      <c r="N505" s="3">
        <v>199.99</v>
      </c>
      <c r="O505" s="2" t="s">
        <v>97</v>
      </c>
      <c r="P505" s="2" t="s">
        <v>143</v>
      </c>
      <c r="Q505" s="2" t="s">
        <v>99</v>
      </c>
      <c r="R505" s="2" t="s">
        <v>100</v>
      </c>
      <c r="S505" s="2" t="s">
        <v>2020</v>
      </c>
      <c r="T505" s="2" t="s">
        <v>100</v>
      </c>
      <c r="U505" s="2" t="s">
        <v>2011</v>
      </c>
      <c r="V505" s="2" t="s">
        <v>1364</v>
      </c>
      <c r="W505" s="2" t="s">
        <v>405</v>
      </c>
      <c r="X505" s="2" t="s">
        <v>406</v>
      </c>
      <c r="Y505" s="2" t="s">
        <v>106</v>
      </c>
      <c r="Z505" s="4">
        <v>1245</v>
      </c>
      <c r="AA505" s="4">
        <f>=ROUNDDOWN(38.90625,0)</f>
      </c>
      <c r="AB505" s="5">
        <v>32</v>
      </c>
      <c r="AC505" s="2" t="s">
        <v>107</v>
      </c>
      <c r="AD505" s="4">
        <v>390</v>
      </c>
      <c r="AE505" s="4">
        <v>740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>
        <v>3</v>
      </c>
      <c r="AQ505" s="8">
        <v>297.69</v>
      </c>
      <c r="AR505" s="4">
        <v>5</v>
      </c>
      <c r="AS505" s="8">
        <v>540.23</v>
      </c>
      <c r="AT505" s="7">
        <v>-0.4</v>
      </c>
      <c r="AU505" s="7">
        <v>-0.449</v>
      </c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>
        <v>1</v>
      </c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 t="s">
        <v>100</v>
      </c>
      <c r="BJ505" s="4">
        <v>547</v>
      </c>
      <c r="BK505" s="8">
        <v>58966.86</v>
      </c>
      <c r="BL505" s="2" t="s">
        <v>2025</v>
      </c>
      <c r="BM505" s="7">
        <v>0.0055</v>
      </c>
      <c r="BN505" s="7">
        <v>0.005</v>
      </c>
      <c r="BO505" s="4">
        <v>3</v>
      </c>
      <c r="BP505" s="8">
        <v>297.69</v>
      </c>
      <c r="BQ505" s="4">
        <v>5</v>
      </c>
      <c r="BR505" s="8">
        <v>540.23</v>
      </c>
      <c r="BS505" s="7">
        <v>-0.4</v>
      </c>
      <c r="BT505" s="7">
        <v>-0.449</v>
      </c>
      <c r="BU505" s="2" t="s">
        <v>109</v>
      </c>
      <c r="BV505" s="2" t="s">
        <v>97</v>
      </c>
      <c r="BW505" s="2" t="s">
        <v>110</v>
      </c>
      <c r="BX505" s="2" t="s">
        <v>2026</v>
      </c>
      <c r="BY505" s="2" t="s">
        <v>112</v>
      </c>
      <c r="BZ505" s="2" t="s">
        <v>100</v>
      </c>
    </row>
    <row r="506">
      <c r="A506" s="2" t="s">
        <v>2027</v>
      </c>
      <c r="B506" s="2" t="s">
        <v>87</v>
      </c>
      <c r="C506" s="2" t="s">
        <v>88</v>
      </c>
      <c r="D506" s="2" t="s">
        <v>89</v>
      </c>
      <c r="E506" s="2" t="s">
        <v>2005</v>
      </c>
      <c r="F506" s="2" t="s">
        <v>2006</v>
      </c>
      <c r="G506" s="2" t="s">
        <v>2007</v>
      </c>
      <c r="H506" s="2" t="s">
        <v>2008</v>
      </c>
      <c r="I506" s="2" t="s">
        <v>2009</v>
      </c>
      <c r="J506" s="2" t="s">
        <v>118</v>
      </c>
      <c r="K506" s="2" t="s">
        <v>142</v>
      </c>
      <c r="L506" s="3">
        <v>94.5</v>
      </c>
      <c r="M506" s="3">
        <v>99.22</v>
      </c>
      <c r="N506" s="3">
        <v>199.99</v>
      </c>
      <c r="O506" s="2" t="s">
        <v>97</v>
      </c>
      <c r="P506" s="2" t="s">
        <v>143</v>
      </c>
      <c r="Q506" s="2" t="s">
        <v>99</v>
      </c>
      <c r="R506" s="2" t="s">
        <v>100</v>
      </c>
      <c r="S506" s="2" t="s">
        <v>2020</v>
      </c>
      <c r="T506" s="2" t="s">
        <v>100</v>
      </c>
      <c r="U506" s="2" t="s">
        <v>2011</v>
      </c>
      <c r="V506" s="2" t="s">
        <v>1364</v>
      </c>
      <c r="W506" s="2" t="s">
        <v>405</v>
      </c>
      <c r="X506" s="2" t="s">
        <v>406</v>
      </c>
      <c r="Y506" s="2" t="s">
        <v>106</v>
      </c>
      <c r="Z506" s="4">
        <v>393</v>
      </c>
      <c r="AA506" s="4">
        <f>=ROUNDDOWN(24.5625,0)</f>
      </c>
      <c r="AB506" s="5">
        <v>16</v>
      </c>
      <c r="AC506" s="2" t="s">
        <v>107</v>
      </c>
      <c r="AD506" s="4">
        <v>160</v>
      </c>
      <c r="AE506" s="4">
        <v>280</v>
      </c>
      <c r="AF506" s="6">
        <v>65</v>
      </c>
      <c r="AG506" s="6">
        <v>48</v>
      </c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>
        <v>0</v>
      </c>
      <c r="AP506" s="4"/>
      <c r="AQ506" s="8"/>
      <c r="AR506" s="4">
        <v>3</v>
      </c>
      <c r="AS506" s="8">
        <v>330.75</v>
      </c>
      <c r="AT506" s="7">
        <v>-1</v>
      </c>
      <c r="AU506" s="7">
        <v>-1</v>
      </c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 t="s">
        <v>100</v>
      </c>
      <c r="BJ506" s="4">
        <v>297</v>
      </c>
      <c r="BK506" s="8">
        <v>31153.18</v>
      </c>
      <c r="BL506" s="2" t="s">
        <v>2028</v>
      </c>
      <c r="BM506" s="7"/>
      <c r="BN506" s="7"/>
      <c r="BO506" s="4"/>
      <c r="BP506" s="8"/>
      <c r="BQ506" s="4">
        <v>3</v>
      </c>
      <c r="BR506" s="8">
        <v>330.75</v>
      </c>
      <c r="BS506" s="7">
        <v>-1</v>
      </c>
      <c r="BT506" s="7">
        <v>-1</v>
      </c>
      <c r="BU506" s="2" t="s">
        <v>109</v>
      </c>
      <c r="BV506" s="2" t="s">
        <v>97</v>
      </c>
      <c r="BW506" s="2" t="s">
        <v>110</v>
      </c>
      <c r="BX506" s="2" t="s">
        <v>2029</v>
      </c>
      <c r="BY506" s="2" t="s">
        <v>112</v>
      </c>
      <c r="BZ506" s="2" t="s">
        <v>100</v>
      </c>
    </row>
    <row r="507">
      <c r="A507" s="2" t="s">
        <v>2030</v>
      </c>
      <c r="B507" s="2" t="s">
        <v>87</v>
      </c>
      <c r="C507" s="2" t="s">
        <v>88</v>
      </c>
      <c r="D507" s="2" t="s">
        <v>89</v>
      </c>
      <c r="E507" s="2" t="s">
        <v>2005</v>
      </c>
      <c r="F507" s="2" t="s">
        <v>2006</v>
      </c>
      <c r="G507" s="2" t="s">
        <v>2007</v>
      </c>
      <c r="H507" s="2" t="s">
        <v>2008</v>
      </c>
      <c r="I507" s="2" t="s">
        <v>2009</v>
      </c>
      <c r="J507" s="2" t="s">
        <v>122</v>
      </c>
      <c r="K507" s="2" t="s">
        <v>2031</v>
      </c>
      <c r="L507" s="3">
        <v>80.99</v>
      </c>
      <c r="M507" s="3">
        <v>85.04</v>
      </c>
      <c r="N507" s="3">
        <v>169.99</v>
      </c>
      <c r="O507" s="2" t="s">
        <v>97</v>
      </c>
      <c r="P507" s="2" t="s">
        <v>143</v>
      </c>
      <c r="Q507" s="2" t="s">
        <v>99</v>
      </c>
      <c r="R507" s="2" t="s">
        <v>100</v>
      </c>
      <c r="S507" s="2" t="s">
        <v>2032</v>
      </c>
      <c r="T507" s="2" t="s">
        <v>100</v>
      </c>
      <c r="U507" s="2" t="s">
        <v>2011</v>
      </c>
      <c r="V507" s="2" t="s">
        <v>1364</v>
      </c>
      <c r="W507" s="2" t="s">
        <v>405</v>
      </c>
      <c r="X507" s="2" t="s">
        <v>406</v>
      </c>
      <c r="Y507" s="2" t="s">
        <v>106</v>
      </c>
      <c r="Z507" s="4">
        <v>261</v>
      </c>
      <c r="AA507" s="4">
        <f>=ROUNDDOWN(37.2857142857143,0)</f>
      </c>
      <c r="AB507" s="5">
        <v>7</v>
      </c>
      <c r="AC507" s="2" t="s">
        <v>1193</v>
      </c>
      <c r="AD507" s="4">
        <v>50</v>
      </c>
      <c r="AE507" s="4">
        <v>80</v>
      </c>
      <c r="AF507" s="6">
        <v>65</v>
      </c>
      <c r="AG507" s="6"/>
      <c r="AH507" s="7">
        <v>0.9879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>
        <v>2</v>
      </c>
      <c r="AW507" s="8">
        <v>198.46</v>
      </c>
      <c r="AX507" s="4">
        <v>3</v>
      </c>
      <c r="AY507" s="8">
        <v>283.48</v>
      </c>
      <c r="AZ507" s="7">
        <v>-0.3333</v>
      </c>
      <c r="BA507" s="7">
        <v>-0.2999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>
        <v>0.2251</v>
      </c>
      <c r="BJ507" s="4">
        <v>102</v>
      </c>
      <c r="BK507" s="8">
        <v>9318.03</v>
      </c>
      <c r="BL507" s="2" t="s">
        <v>2033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97</v>
      </c>
      <c r="BW507" s="2" t="s">
        <v>110</v>
      </c>
      <c r="BX507" s="2" t="s">
        <v>100</v>
      </c>
      <c r="BY507" s="2" t="s">
        <v>112</v>
      </c>
      <c r="BZ507" s="2" t="s">
        <v>100</v>
      </c>
    </row>
    <row r="508">
      <c r="A508" s="2" t="s">
        <v>2034</v>
      </c>
      <c r="B508" s="2" t="s">
        <v>87</v>
      </c>
      <c r="C508" s="2" t="s">
        <v>88</v>
      </c>
      <c r="D508" s="2" t="s">
        <v>89</v>
      </c>
      <c r="E508" s="2" t="s">
        <v>2005</v>
      </c>
      <c r="F508" s="2" t="s">
        <v>2006</v>
      </c>
      <c r="G508" s="2" t="s">
        <v>2007</v>
      </c>
      <c r="H508" s="2" t="s">
        <v>2008</v>
      </c>
      <c r="I508" s="2" t="s">
        <v>2009</v>
      </c>
      <c r="J508" s="2" t="s">
        <v>95</v>
      </c>
      <c r="K508" s="2" t="s">
        <v>2031</v>
      </c>
      <c r="L508" s="3">
        <v>83.79</v>
      </c>
      <c r="M508" s="3">
        <v>87.98</v>
      </c>
      <c r="N508" s="3">
        <v>179.99</v>
      </c>
      <c r="O508" s="2" t="s">
        <v>97</v>
      </c>
      <c r="P508" s="2" t="s">
        <v>143</v>
      </c>
      <c r="Q508" s="2" t="s">
        <v>99</v>
      </c>
      <c r="R508" s="2" t="s">
        <v>100</v>
      </c>
      <c r="S508" s="2" t="s">
        <v>2032</v>
      </c>
      <c r="T508" s="2" t="s">
        <v>100</v>
      </c>
      <c r="U508" s="2" t="s">
        <v>2011</v>
      </c>
      <c r="V508" s="2" t="s">
        <v>1364</v>
      </c>
      <c r="W508" s="2" t="s">
        <v>405</v>
      </c>
      <c r="X508" s="2" t="s">
        <v>406</v>
      </c>
      <c r="Y508" s="2" t="s">
        <v>106</v>
      </c>
      <c r="Z508" s="4">
        <v>739</v>
      </c>
      <c r="AA508" s="4">
        <f>=ROUNDDOWN(30.7916666666667,0)</f>
      </c>
      <c r="AB508" s="5">
        <v>24</v>
      </c>
      <c r="AC508" s="2" t="s">
        <v>1193</v>
      </c>
      <c r="AD508" s="4">
        <v>250</v>
      </c>
      <c r="AE508" s="4">
        <v>610</v>
      </c>
      <c r="AF508" s="6">
        <v>65</v>
      </c>
      <c r="AG508" s="6">
        <v>48</v>
      </c>
      <c r="AH508" s="7">
        <v>0.9879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>
        <v>0</v>
      </c>
      <c r="AP508" s="4"/>
      <c r="AQ508" s="8"/>
      <c r="AR508" s="4">
        <v>3</v>
      </c>
      <c r="AS508" s="8">
        <v>283.48</v>
      </c>
      <c r="AT508" s="7">
        <v>-1</v>
      </c>
      <c r="AU508" s="7">
        <v>-1</v>
      </c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 t="s">
        <v>100</v>
      </c>
      <c r="BJ508" s="4">
        <v>467</v>
      </c>
      <c r="BK508" s="8">
        <v>44882.4</v>
      </c>
      <c r="BL508" s="2" t="s">
        <v>2035</v>
      </c>
      <c r="BM508" s="7"/>
      <c r="BN508" s="7"/>
      <c r="BO508" s="4"/>
      <c r="BP508" s="8"/>
      <c r="BQ508" s="4">
        <v>3</v>
      </c>
      <c r="BR508" s="8">
        <v>283.48</v>
      </c>
      <c r="BS508" s="7">
        <v>-1</v>
      </c>
      <c r="BT508" s="7">
        <v>-1</v>
      </c>
      <c r="BU508" s="2" t="s">
        <v>109</v>
      </c>
      <c r="BV508" s="2" t="s">
        <v>97</v>
      </c>
      <c r="BW508" s="2" t="s">
        <v>217</v>
      </c>
      <c r="BX508" s="2" t="s">
        <v>2036</v>
      </c>
      <c r="BY508" s="2" t="s">
        <v>112</v>
      </c>
      <c r="BZ508" s="2" t="s">
        <v>100</v>
      </c>
    </row>
    <row r="509">
      <c r="A509" s="2" t="s">
        <v>2037</v>
      </c>
      <c r="B509" s="2" t="s">
        <v>87</v>
      </c>
      <c r="C509" s="2" t="s">
        <v>88</v>
      </c>
      <c r="D509" s="2" t="s">
        <v>89</v>
      </c>
      <c r="E509" s="2" t="s">
        <v>2005</v>
      </c>
      <c r="F509" s="2" t="s">
        <v>2006</v>
      </c>
      <c r="G509" s="2" t="s">
        <v>2007</v>
      </c>
      <c r="H509" s="2" t="s">
        <v>2008</v>
      </c>
      <c r="I509" s="2" t="s">
        <v>2009</v>
      </c>
      <c r="J509" s="2" t="s">
        <v>114</v>
      </c>
      <c r="K509" s="2" t="s">
        <v>2031</v>
      </c>
      <c r="L509" s="3">
        <v>94.5</v>
      </c>
      <c r="M509" s="3">
        <v>99.22</v>
      </c>
      <c r="N509" s="3">
        <v>199.99</v>
      </c>
      <c r="O509" s="2" t="s">
        <v>97</v>
      </c>
      <c r="P509" s="2" t="s">
        <v>143</v>
      </c>
      <c r="Q509" s="2" t="s">
        <v>99</v>
      </c>
      <c r="R509" s="2" t="s">
        <v>100</v>
      </c>
      <c r="S509" s="2" t="s">
        <v>2032</v>
      </c>
      <c r="T509" s="2" t="s">
        <v>100</v>
      </c>
      <c r="U509" s="2" t="s">
        <v>2011</v>
      </c>
      <c r="V509" s="2" t="s">
        <v>1364</v>
      </c>
      <c r="W509" s="2" t="s">
        <v>405</v>
      </c>
      <c r="X509" s="2" t="s">
        <v>406</v>
      </c>
      <c r="Y509" s="2" t="s">
        <v>106</v>
      </c>
      <c r="Z509" s="4">
        <v>793</v>
      </c>
      <c r="AA509" s="4">
        <f>=ROUNDDOWN(31.72,0)</f>
      </c>
      <c r="AB509" s="5">
        <v>25</v>
      </c>
      <c r="AC509" s="2" t="s">
        <v>1193</v>
      </c>
      <c r="AD509" s="4">
        <v>50</v>
      </c>
      <c r="AE509" s="4">
        <v>460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>
        <v>0</v>
      </c>
      <c r="AP509" s="4">
        <v>2</v>
      </c>
      <c r="AQ509" s="8">
        <v>198.46</v>
      </c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>
        <v>1</v>
      </c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 t="s">
        <v>100</v>
      </c>
      <c r="BJ509" s="4">
        <v>509</v>
      </c>
      <c r="BK509" s="8">
        <v>54126.77</v>
      </c>
      <c r="BL509" s="2" t="s">
        <v>2038</v>
      </c>
      <c r="BM509" s="7">
        <v>0.0039</v>
      </c>
      <c r="BN509" s="7">
        <v>0.0037</v>
      </c>
      <c r="BO509" s="4">
        <v>2</v>
      </c>
      <c r="BP509" s="8">
        <v>198.46</v>
      </c>
      <c r="BQ509" s="4"/>
      <c r="BR509" s="8"/>
      <c r="BS509" s="7"/>
      <c r="BT509" s="7"/>
      <c r="BU509" s="2" t="s">
        <v>109</v>
      </c>
      <c r="BV509" s="2" t="s">
        <v>97</v>
      </c>
      <c r="BW509" s="2" t="s">
        <v>217</v>
      </c>
      <c r="BX509" s="2" t="s">
        <v>261</v>
      </c>
      <c r="BY509" s="2" t="s">
        <v>112</v>
      </c>
      <c r="BZ509" s="2" t="s">
        <v>100</v>
      </c>
    </row>
    <row r="510">
      <c r="A510" s="2" t="s">
        <v>2039</v>
      </c>
      <c r="B510" s="2" t="s">
        <v>87</v>
      </c>
      <c r="C510" s="2" t="s">
        <v>88</v>
      </c>
      <c r="D510" s="2" t="s">
        <v>89</v>
      </c>
      <c r="E510" s="2" t="s">
        <v>2005</v>
      </c>
      <c r="F510" s="2" t="s">
        <v>2006</v>
      </c>
      <c r="G510" s="2" t="s">
        <v>2007</v>
      </c>
      <c r="H510" s="2" t="s">
        <v>2008</v>
      </c>
      <c r="I510" s="2" t="s">
        <v>2009</v>
      </c>
      <c r="J510" s="2" t="s">
        <v>118</v>
      </c>
      <c r="K510" s="2" t="s">
        <v>2031</v>
      </c>
      <c r="L510" s="3">
        <v>94.5</v>
      </c>
      <c r="M510" s="3">
        <v>99.22</v>
      </c>
      <c r="N510" s="3">
        <v>199.99</v>
      </c>
      <c r="O510" s="2" t="s">
        <v>97</v>
      </c>
      <c r="P510" s="2" t="s">
        <v>143</v>
      </c>
      <c r="Q510" s="2" t="s">
        <v>99</v>
      </c>
      <c r="R510" s="2" t="s">
        <v>100</v>
      </c>
      <c r="S510" s="2" t="s">
        <v>2032</v>
      </c>
      <c r="T510" s="2" t="s">
        <v>100</v>
      </c>
      <c r="U510" s="2" t="s">
        <v>2011</v>
      </c>
      <c r="V510" s="2" t="s">
        <v>1364</v>
      </c>
      <c r="W510" s="2" t="s">
        <v>405</v>
      </c>
      <c r="X510" s="2" t="s">
        <v>406</v>
      </c>
      <c r="Y510" s="2" t="s">
        <v>106</v>
      </c>
      <c r="Z510" s="4">
        <v>412</v>
      </c>
      <c r="AA510" s="4">
        <f>=ROUNDDOWN(31.6923076923077,0)</f>
      </c>
      <c r="AB510" s="5">
        <v>13</v>
      </c>
      <c r="AC510" s="2" t="s">
        <v>1193</v>
      </c>
      <c r="AD510" s="4">
        <v>50</v>
      </c>
      <c r="AE510" s="4">
        <v>400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 t="s">
        <v>100</v>
      </c>
      <c r="BJ510" s="4">
        <v>197</v>
      </c>
      <c r="BK510" s="8">
        <v>21439.4</v>
      </c>
      <c r="BL510" s="2" t="s">
        <v>245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97</v>
      </c>
      <c r="BW510" s="2" t="s">
        <v>110</v>
      </c>
      <c r="BX510" s="2" t="s">
        <v>100</v>
      </c>
      <c r="BY510" s="2" t="s">
        <v>112</v>
      </c>
      <c r="BZ510" s="2" t="s">
        <v>100</v>
      </c>
    </row>
    <row r="511">
      <c r="A511" s="2" t="s">
        <v>2040</v>
      </c>
      <c r="B511" s="2" t="s">
        <v>87</v>
      </c>
      <c r="C511" s="2" t="s">
        <v>88</v>
      </c>
      <c r="D511" s="2" t="s">
        <v>89</v>
      </c>
      <c r="E511" s="2" t="s">
        <v>2005</v>
      </c>
      <c r="F511" s="2" t="s">
        <v>2006</v>
      </c>
      <c r="G511" s="2" t="s">
        <v>2007</v>
      </c>
      <c r="H511" s="2" t="s">
        <v>2008</v>
      </c>
      <c r="I511" s="2" t="s">
        <v>2009</v>
      </c>
      <c r="J511" s="2" t="s">
        <v>95</v>
      </c>
      <c r="K511" s="2" t="s">
        <v>96</v>
      </c>
      <c r="L511" s="3">
        <v>83.79</v>
      </c>
      <c r="M511" s="3">
        <v>87.98</v>
      </c>
      <c r="N511" s="3">
        <v>179.99</v>
      </c>
      <c r="O511" s="2" t="s">
        <v>97</v>
      </c>
      <c r="P511" s="2" t="s">
        <v>182</v>
      </c>
      <c r="Q511" s="2" t="s">
        <v>99</v>
      </c>
      <c r="R511" s="2" t="s">
        <v>100</v>
      </c>
      <c r="S511" s="2" t="s">
        <v>2041</v>
      </c>
      <c r="T511" s="2" t="s">
        <v>100</v>
      </c>
      <c r="U511" s="2" t="s">
        <v>2011</v>
      </c>
      <c r="V511" s="2" t="s">
        <v>1364</v>
      </c>
      <c r="W511" s="2" t="s">
        <v>405</v>
      </c>
      <c r="X511" s="2" t="s">
        <v>406</v>
      </c>
      <c r="Y511" s="2" t="s">
        <v>106</v>
      </c>
      <c r="Z511" s="4">
        <v>320</v>
      </c>
      <c r="AA511" s="4">
        <f>=ROUNDDOWN(22.8571428571429,0)</f>
      </c>
      <c r="AB511" s="5">
        <v>14</v>
      </c>
      <c r="AC511" s="2" t="s">
        <v>145</v>
      </c>
      <c r="AD511" s="4">
        <v>130</v>
      </c>
      <c r="AE511" s="4">
        <v>300</v>
      </c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 t="s">
        <v>100</v>
      </c>
      <c r="BJ511" s="4">
        <v>250</v>
      </c>
      <c r="BK511" s="8">
        <v>24228.09</v>
      </c>
      <c r="BL511" s="2" t="s">
        <v>2042</v>
      </c>
      <c r="BM511" s="7"/>
      <c r="BN511" s="7"/>
      <c r="BO511" s="4"/>
      <c r="BP511" s="8"/>
      <c r="BQ511" s="4"/>
      <c r="BR511" s="8"/>
      <c r="BS511" s="7"/>
      <c r="BT511" s="7"/>
      <c r="BU511" s="2" t="s">
        <v>147</v>
      </c>
      <c r="BV511" s="2" t="s">
        <v>97</v>
      </c>
      <c r="BW511" s="2" t="s">
        <v>100</v>
      </c>
      <c r="BX511" s="2" t="s">
        <v>100</v>
      </c>
      <c r="BY511" s="2" t="s">
        <v>112</v>
      </c>
      <c r="BZ511" s="2" t="s">
        <v>100</v>
      </c>
    </row>
    <row r="512">
      <c r="A512" s="2" t="s">
        <v>2043</v>
      </c>
      <c r="B512" s="2" t="s">
        <v>87</v>
      </c>
      <c r="C512" s="2" t="s">
        <v>88</v>
      </c>
      <c r="D512" s="2" t="s">
        <v>89</v>
      </c>
      <c r="E512" s="2" t="s">
        <v>2005</v>
      </c>
      <c r="F512" s="2" t="s">
        <v>2006</v>
      </c>
      <c r="G512" s="2" t="s">
        <v>2007</v>
      </c>
      <c r="H512" s="2" t="s">
        <v>2008</v>
      </c>
      <c r="I512" s="2" t="s">
        <v>2009</v>
      </c>
      <c r="J512" s="2" t="s">
        <v>114</v>
      </c>
      <c r="K512" s="2" t="s">
        <v>96</v>
      </c>
      <c r="L512" s="3">
        <v>94.5</v>
      </c>
      <c r="M512" s="3">
        <v>99.22</v>
      </c>
      <c r="N512" s="3">
        <v>199.99</v>
      </c>
      <c r="O512" s="2" t="s">
        <v>97</v>
      </c>
      <c r="P512" s="2" t="s">
        <v>182</v>
      </c>
      <c r="Q512" s="2" t="s">
        <v>99</v>
      </c>
      <c r="R512" s="2" t="s">
        <v>100</v>
      </c>
      <c r="S512" s="2" t="s">
        <v>2041</v>
      </c>
      <c r="T512" s="2" t="s">
        <v>100</v>
      </c>
      <c r="U512" s="2" t="s">
        <v>2011</v>
      </c>
      <c r="V512" s="2" t="s">
        <v>1364</v>
      </c>
      <c r="W512" s="2" t="s">
        <v>405</v>
      </c>
      <c r="X512" s="2" t="s">
        <v>406</v>
      </c>
      <c r="Y512" s="2" t="s">
        <v>106</v>
      </c>
      <c r="Z512" s="4">
        <v>698</v>
      </c>
      <c r="AA512" s="4">
        <f>=ROUNDDOWN(69.8,0)</f>
      </c>
      <c r="AB512" s="5">
        <v>10</v>
      </c>
      <c r="AC512" s="2" t="s">
        <v>100</v>
      </c>
      <c r="AD512" s="4"/>
      <c r="AE512" s="4"/>
      <c r="AF512" s="6">
        <v>65</v>
      </c>
      <c r="AG512" s="6">
        <v>48</v>
      </c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 t="s">
        <v>100</v>
      </c>
      <c r="BJ512" s="4">
        <v>229</v>
      </c>
      <c r="BK512" s="8">
        <v>24979.87</v>
      </c>
      <c r="BL512" s="2" t="s">
        <v>2044</v>
      </c>
      <c r="BM512" s="7"/>
      <c r="BN512" s="7"/>
      <c r="BO512" s="4"/>
      <c r="BP512" s="8"/>
      <c r="BQ512" s="4"/>
      <c r="BR512" s="8"/>
      <c r="BS512" s="7"/>
      <c r="BT512" s="7"/>
      <c r="BU512" s="2" t="s">
        <v>147</v>
      </c>
      <c r="BV512" s="2" t="s">
        <v>97</v>
      </c>
      <c r="BW512" s="2" t="s">
        <v>100</v>
      </c>
      <c r="BX512" s="2" t="s">
        <v>100</v>
      </c>
      <c r="BY512" s="2" t="s">
        <v>112</v>
      </c>
      <c r="BZ512" s="2" t="s">
        <v>100</v>
      </c>
    </row>
    <row r="513">
      <c r="A513" s="2" t="s">
        <v>2045</v>
      </c>
      <c r="B513" s="2" t="s">
        <v>87</v>
      </c>
      <c r="C513" s="2" t="s">
        <v>88</v>
      </c>
      <c r="D513" s="2" t="s">
        <v>89</v>
      </c>
      <c r="E513" s="2" t="s">
        <v>2005</v>
      </c>
      <c r="F513" s="2" t="s">
        <v>2006</v>
      </c>
      <c r="G513" s="2" t="s">
        <v>2007</v>
      </c>
      <c r="H513" s="2" t="s">
        <v>2008</v>
      </c>
      <c r="I513" s="2" t="s">
        <v>2009</v>
      </c>
      <c r="J513" s="2" t="s">
        <v>118</v>
      </c>
      <c r="K513" s="2" t="s">
        <v>96</v>
      </c>
      <c r="L513" s="3">
        <v>94.5</v>
      </c>
      <c r="M513" s="3">
        <v>99.22</v>
      </c>
      <c r="N513" s="3">
        <v>199.99</v>
      </c>
      <c r="O513" s="2" t="s">
        <v>97</v>
      </c>
      <c r="P513" s="2" t="s">
        <v>182</v>
      </c>
      <c r="Q513" s="2" t="s">
        <v>99</v>
      </c>
      <c r="R513" s="2" t="s">
        <v>100</v>
      </c>
      <c r="S513" s="2" t="s">
        <v>2041</v>
      </c>
      <c r="T513" s="2" t="s">
        <v>100</v>
      </c>
      <c r="U513" s="2" t="s">
        <v>2011</v>
      </c>
      <c r="V513" s="2" t="s">
        <v>1364</v>
      </c>
      <c r="W513" s="2" t="s">
        <v>405</v>
      </c>
      <c r="X513" s="2" t="s">
        <v>406</v>
      </c>
      <c r="Y513" s="2" t="s">
        <v>106</v>
      </c>
      <c r="Z513" s="4">
        <v>284</v>
      </c>
      <c r="AA513" s="4">
        <f>=ROUNDDOWN(40.5714285714286,0)</f>
      </c>
      <c r="AB513" s="5">
        <v>7</v>
      </c>
      <c r="AC513" s="2" t="s">
        <v>145</v>
      </c>
      <c r="AD513" s="4">
        <v>60</v>
      </c>
      <c r="AE513" s="4">
        <v>60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 t="s">
        <v>100</v>
      </c>
      <c r="BJ513" s="4">
        <v>118</v>
      </c>
      <c r="BK513" s="8">
        <v>12728.04</v>
      </c>
      <c r="BL513" s="2" t="s">
        <v>2046</v>
      </c>
      <c r="BM513" s="7"/>
      <c r="BN513" s="7"/>
      <c r="BO513" s="4"/>
      <c r="BP513" s="8"/>
      <c r="BQ513" s="4"/>
      <c r="BR513" s="8"/>
      <c r="BS513" s="7"/>
      <c r="BT513" s="7"/>
      <c r="BU513" s="2" t="s">
        <v>147</v>
      </c>
      <c r="BV513" s="2" t="s">
        <v>97</v>
      </c>
      <c r="BW513" s="2" t="s">
        <v>100</v>
      </c>
      <c r="BX513" s="2" t="s">
        <v>100</v>
      </c>
      <c r="BY513" s="2" t="s">
        <v>112</v>
      </c>
      <c r="BZ513" s="2" t="s">
        <v>100</v>
      </c>
    </row>
    <row r="514">
      <c r="A514" s="2" t="s">
        <v>2047</v>
      </c>
      <c r="B514" s="2" t="s">
        <v>87</v>
      </c>
      <c r="C514" s="2" t="s">
        <v>88</v>
      </c>
      <c r="D514" s="2" t="s">
        <v>89</v>
      </c>
      <c r="E514" s="2" t="s">
        <v>2005</v>
      </c>
      <c r="F514" s="2" t="s">
        <v>2006</v>
      </c>
      <c r="G514" s="2" t="s">
        <v>2007</v>
      </c>
      <c r="H514" s="2" t="s">
        <v>2008</v>
      </c>
      <c r="I514" s="2" t="s">
        <v>2009</v>
      </c>
      <c r="J514" s="2" t="s">
        <v>95</v>
      </c>
      <c r="K514" s="2" t="s">
        <v>1592</v>
      </c>
      <c r="L514" s="3">
        <v>83.79</v>
      </c>
      <c r="M514" s="3">
        <v>87.98</v>
      </c>
      <c r="N514" s="3">
        <v>179.99</v>
      </c>
      <c r="O514" s="2" t="s">
        <v>97</v>
      </c>
      <c r="P514" s="2" t="s">
        <v>182</v>
      </c>
      <c r="Q514" s="2" t="s">
        <v>99</v>
      </c>
      <c r="R514" s="2" t="s">
        <v>100</v>
      </c>
      <c r="S514" s="2" t="s">
        <v>2048</v>
      </c>
      <c r="T514" s="2" t="s">
        <v>1168</v>
      </c>
      <c r="U514" s="2" t="s">
        <v>2011</v>
      </c>
      <c r="V514" s="2" t="s">
        <v>1364</v>
      </c>
      <c r="W514" s="2" t="s">
        <v>405</v>
      </c>
      <c r="X514" s="2" t="s">
        <v>100</v>
      </c>
      <c r="Y514" s="2" t="s">
        <v>1276</v>
      </c>
      <c r="Z514" s="4">
        <v>349</v>
      </c>
      <c r="AA514" s="4">
        <f>=ROUNDDOWN(58.1666666666667,0)</f>
      </c>
      <c r="AB514" s="5">
        <v>6</v>
      </c>
      <c r="AC514" s="2" t="s">
        <v>2049</v>
      </c>
      <c r="AD514" s="4">
        <v>80</v>
      </c>
      <c r="AE514" s="4">
        <v>80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 t="s">
        <v>100</v>
      </c>
      <c r="BJ514" s="4">
        <v>93</v>
      </c>
      <c r="BK514" s="8">
        <v>8260.47</v>
      </c>
      <c r="BL514" s="2" t="s">
        <v>2050</v>
      </c>
      <c r="BM514" s="7"/>
      <c r="BN514" s="7"/>
      <c r="BO514" s="4"/>
      <c r="BP514" s="8"/>
      <c r="BQ514" s="4"/>
      <c r="BR514" s="8"/>
      <c r="BS514" s="7"/>
      <c r="BT514" s="7"/>
      <c r="BU514" s="2" t="s">
        <v>147</v>
      </c>
      <c r="BV514" s="2" t="s">
        <v>97</v>
      </c>
      <c r="BW514" s="2" t="s">
        <v>100</v>
      </c>
      <c r="BX514" s="2" t="s">
        <v>100</v>
      </c>
      <c r="BY514" s="2" t="s">
        <v>112</v>
      </c>
      <c r="BZ514" s="2" t="s">
        <v>100</v>
      </c>
    </row>
    <row r="515">
      <c r="A515" s="2" t="s">
        <v>2051</v>
      </c>
      <c r="B515" s="2" t="s">
        <v>87</v>
      </c>
      <c r="C515" s="2" t="s">
        <v>88</v>
      </c>
      <c r="D515" s="2" t="s">
        <v>89</v>
      </c>
      <c r="E515" s="2" t="s">
        <v>2005</v>
      </c>
      <c r="F515" s="2" t="s">
        <v>2006</v>
      </c>
      <c r="G515" s="2" t="s">
        <v>2007</v>
      </c>
      <c r="H515" s="2" t="s">
        <v>2008</v>
      </c>
      <c r="I515" s="2" t="s">
        <v>2009</v>
      </c>
      <c r="J515" s="2" t="s">
        <v>114</v>
      </c>
      <c r="K515" s="2" t="s">
        <v>1592</v>
      </c>
      <c r="L515" s="3">
        <v>94.5</v>
      </c>
      <c r="M515" s="3">
        <v>99.22</v>
      </c>
      <c r="N515" s="3">
        <v>199.99</v>
      </c>
      <c r="O515" s="2" t="s">
        <v>97</v>
      </c>
      <c r="P515" s="2" t="s">
        <v>182</v>
      </c>
      <c r="Q515" s="2" t="s">
        <v>99</v>
      </c>
      <c r="R515" s="2" t="s">
        <v>100</v>
      </c>
      <c r="S515" s="2" t="s">
        <v>2048</v>
      </c>
      <c r="T515" s="2" t="s">
        <v>1168</v>
      </c>
      <c r="U515" s="2" t="s">
        <v>2011</v>
      </c>
      <c r="V515" s="2" t="s">
        <v>1364</v>
      </c>
      <c r="W515" s="2" t="s">
        <v>405</v>
      </c>
      <c r="X515" s="2" t="s">
        <v>100</v>
      </c>
      <c r="Y515" s="2" t="s">
        <v>1276</v>
      </c>
      <c r="Z515" s="4">
        <v>330</v>
      </c>
      <c r="AA515" s="4">
        <f>=ROUNDDOWN(82.5,0)</f>
      </c>
      <c r="AB515" s="5">
        <v>4</v>
      </c>
      <c r="AC515" s="2" t="s">
        <v>325</v>
      </c>
      <c r="AD515" s="4">
        <v>90</v>
      </c>
      <c r="AE515" s="4">
        <v>240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 t="s">
        <v>100</v>
      </c>
      <c r="BJ515" s="4">
        <v>109</v>
      </c>
      <c r="BK515" s="8">
        <v>11130.19</v>
      </c>
      <c r="BL515" s="2" t="s">
        <v>1463</v>
      </c>
      <c r="BM515" s="7"/>
      <c r="BN515" s="7"/>
      <c r="BO515" s="4"/>
      <c r="BP515" s="8"/>
      <c r="BQ515" s="4"/>
      <c r="BR515" s="8"/>
      <c r="BS515" s="7"/>
      <c r="BT515" s="7"/>
      <c r="BU515" s="2" t="s">
        <v>147</v>
      </c>
      <c r="BV515" s="2" t="s">
        <v>97</v>
      </c>
      <c r="BW515" s="2" t="s">
        <v>100</v>
      </c>
      <c r="BX515" s="2" t="s">
        <v>100</v>
      </c>
      <c r="BY515" s="2" t="s">
        <v>112</v>
      </c>
      <c r="BZ515" s="2" t="s">
        <v>100</v>
      </c>
    </row>
    <row r="516">
      <c r="A516" s="2" t="s">
        <v>2052</v>
      </c>
      <c r="B516" s="2" t="s">
        <v>87</v>
      </c>
      <c r="C516" s="2" t="s">
        <v>88</v>
      </c>
      <c r="D516" s="2" t="s">
        <v>89</v>
      </c>
      <c r="E516" s="2" t="s">
        <v>2005</v>
      </c>
      <c r="F516" s="2" t="s">
        <v>2006</v>
      </c>
      <c r="G516" s="2" t="s">
        <v>2007</v>
      </c>
      <c r="H516" s="2" t="s">
        <v>2008</v>
      </c>
      <c r="I516" s="2" t="s">
        <v>2009</v>
      </c>
      <c r="J516" s="2" t="s">
        <v>118</v>
      </c>
      <c r="K516" s="2" t="s">
        <v>1592</v>
      </c>
      <c r="L516" s="3">
        <v>94.5</v>
      </c>
      <c r="M516" s="3">
        <v>99.22</v>
      </c>
      <c r="N516" s="3">
        <v>199.99</v>
      </c>
      <c r="O516" s="2" t="s">
        <v>97</v>
      </c>
      <c r="P516" s="2" t="s">
        <v>182</v>
      </c>
      <c r="Q516" s="2" t="s">
        <v>99</v>
      </c>
      <c r="R516" s="2" t="s">
        <v>100</v>
      </c>
      <c r="S516" s="2" t="s">
        <v>2048</v>
      </c>
      <c r="T516" s="2" t="s">
        <v>1168</v>
      </c>
      <c r="U516" s="2" t="s">
        <v>2011</v>
      </c>
      <c r="V516" s="2" t="s">
        <v>1364</v>
      </c>
      <c r="W516" s="2" t="s">
        <v>405</v>
      </c>
      <c r="X516" s="2" t="s">
        <v>100</v>
      </c>
      <c r="Y516" s="2" t="s">
        <v>1276</v>
      </c>
      <c r="Z516" s="4">
        <v>127</v>
      </c>
      <c r="AA516" s="4">
        <f>=ROUNDDOWN(42.3333333333333,0)</f>
      </c>
      <c r="AB516" s="5">
        <v>3</v>
      </c>
      <c r="AC516" s="2" t="s">
        <v>325</v>
      </c>
      <c r="AD516" s="4">
        <v>50</v>
      </c>
      <c r="AE516" s="4">
        <v>110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 t="s">
        <v>100</v>
      </c>
      <c r="BJ516" s="4">
        <v>44</v>
      </c>
      <c r="BK516" s="8">
        <v>4736.06</v>
      </c>
      <c r="BL516" s="2" t="s">
        <v>1463</v>
      </c>
      <c r="BM516" s="7"/>
      <c r="BN516" s="7"/>
      <c r="BO516" s="4"/>
      <c r="BP516" s="8"/>
      <c r="BQ516" s="4"/>
      <c r="BR516" s="8"/>
      <c r="BS516" s="7"/>
      <c r="BT516" s="7"/>
      <c r="BU516" s="2" t="s">
        <v>147</v>
      </c>
      <c r="BV516" s="2" t="s">
        <v>97</v>
      </c>
      <c r="BW516" s="2" t="s">
        <v>100</v>
      </c>
      <c r="BX516" s="2" t="s">
        <v>100</v>
      </c>
      <c r="BY516" s="2" t="s">
        <v>112</v>
      </c>
      <c r="BZ516" s="2" t="s">
        <v>100</v>
      </c>
    </row>
    <row r="517">
      <c r="A517" s="2" t="s">
        <v>2053</v>
      </c>
      <c r="B517" s="2" t="s">
        <v>87</v>
      </c>
      <c r="C517" s="2" t="s">
        <v>88</v>
      </c>
      <c r="D517" s="2" t="s">
        <v>89</v>
      </c>
      <c r="E517" s="2" t="s">
        <v>2005</v>
      </c>
      <c r="F517" s="2" t="s">
        <v>2054</v>
      </c>
      <c r="G517" s="2" t="s">
        <v>2055</v>
      </c>
      <c r="H517" s="2" t="s">
        <v>2056</v>
      </c>
      <c r="I517" s="2" t="s">
        <v>2009</v>
      </c>
      <c r="J517" s="2" t="s">
        <v>95</v>
      </c>
      <c r="K517" s="2" t="s">
        <v>158</v>
      </c>
      <c r="L517" s="3">
        <v>98</v>
      </c>
      <c r="M517" s="3">
        <v>102.89</v>
      </c>
      <c r="N517" s="3">
        <v>199.99</v>
      </c>
      <c r="O517" s="2" t="s">
        <v>97</v>
      </c>
      <c r="P517" s="2" t="s">
        <v>182</v>
      </c>
      <c r="Q517" s="2" t="s">
        <v>99</v>
      </c>
      <c r="R517" s="2" t="s">
        <v>100</v>
      </c>
      <c r="S517" s="2" t="s">
        <v>2057</v>
      </c>
      <c r="T517" s="2" t="s">
        <v>100</v>
      </c>
      <c r="U517" s="2" t="s">
        <v>2011</v>
      </c>
      <c r="V517" s="2" t="s">
        <v>455</v>
      </c>
      <c r="W517" s="2" t="s">
        <v>405</v>
      </c>
      <c r="X517" s="2" t="s">
        <v>406</v>
      </c>
      <c r="Y517" s="2" t="s">
        <v>106</v>
      </c>
      <c r="Z517" s="4">
        <v>330</v>
      </c>
      <c r="AA517" s="4">
        <f>=ROUNDDOWN(25.3846153846154,0)</f>
      </c>
      <c r="AB517" s="5">
        <v>13</v>
      </c>
      <c r="AC517" s="2" t="s">
        <v>659</v>
      </c>
      <c r="AD517" s="4">
        <v>80</v>
      </c>
      <c r="AE517" s="4">
        <v>80</v>
      </c>
      <c r="AF517" s="6">
        <v>65</v>
      </c>
      <c r="AG517" s="6">
        <v>48</v>
      </c>
      <c r="AH517" s="7">
        <v>0.9818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>
        <v>0</v>
      </c>
      <c r="AP517" s="4">
        <v>2</v>
      </c>
      <c r="AQ517" s="8">
        <v>205.8</v>
      </c>
      <c r="AR517" s="4">
        <v>3</v>
      </c>
      <c r="AS517" s="8">
        <v>308.7</v>
      </c>
      <c r="AT517" s="7">
        <v>-0.3333</v>
      </c>
      <c r="AU517" s="7">
        <v>-0.3333</v>
      </c>
      <c r="AV517" s="4">
        <v>5</v>
      </c>
      <c r="AW517" s="8">
        <v>545.37</v>
      </c>
      <c r="AX517" s="4">
        <v>5</v>
      </c>
      <c r="AY517" s="8">
        <v>535.08</v>
      </c>
      <c r="AZ517" s="7" t="s">
        <v>100</v>
      </c>
      <c r="BA517" s="7">
        <v>0.0192</v>
      </c>
      <c r="BB517" s="7">
        <v>0.3774</v>
      </c>
      <c r="BC517" s="4">
        <v>5</v>
      </c>
      <c r="BD517" s="8">
        <v>545.37</v>
      </c>
      <c r="BE517" s="4">
        <v>5</v>
      </c>
      <c r="BF517" s="8">
        <v>535.08</v>
      </c>
      <c r="BG517" s="7" t="s">
        <v>100</v>
      </c>
      <c r="BH517" s="7">
        <v>0.0192</v>
      </c>
      <c r="BI517" s="7">
        <v>1</v>
      </c>
      <c r="BJ517" s="4">
        <v>250</v>
      </c>
      <c r="BK517" s="8">
        <v>24869.8</v>
      </c>
      <c r="BL517" s="2" t="s">
        <v>2058</v>
      </c>
      <c r="BM517" s="7">
        <v>0.008</v>
      </c>
      <c r="BN517" s="7">
        <v>0.0083</v>
      </c>
      <c r="BO517" s="4">
        <v>2</v>
      </c>
      <c r="BP517" s="8">
        <v>205.8</v>
      </c>
      <c r="BQ517" s="4">
        <v>3</v>
      </c>
      <c r="BR517" s="8">
        <v>308.7</v>
      </c>
      <c r="BS517" s="7">
        <v>-0.3333</v>
      </c>
      <c r="BT517" s="7">
        <v>-0.3333</v>
      </c>
      <c r="BU517" s="2" t="s">
        <v>109</v>
      </c>
      <c r="BV517" s="2" t="s">
        <v>97</v>
      </c>
      <c r="BW517" s="2" t="s">
        <v>110</v>
      </c>
      <c r="BX517" s="2" t="s">
        <v>547</v>
      </c>
      <c r="BY517" s="2" t="s">
        <v>112</v>
      </c>
      <c r="BZ517" s="2" t="s">
        <v>100</v>
      </c>
    </row>
    <row r="518">
      <c r="A518" s="2" t="s">
        <v>2059</v>
      </c>
      <c r="B518" s="2" t="s">
        <v>87</v>
      </c>
      <c r="C518" s="2" t="s">
        <v>88</v>
      </c>
      <c r="D518" s="2" t="s">
        <v>89</v>
      </c>
      <c r="E518" s="2" t="s">
        <v>2005</v>
      </c>
      <c r="F518" s="2" t="s">
        <v>2054</v>
      </c>
      <c r="G518" s="2" t="s">
        <v>2055</v>
      </c>
      <c r="H518" s="2" t="s">
        <v>2056</v>
      </c>
      <c r="I518" s="2" t="s">
        <v>2009</v>
      </c>
      <c r="J518" s="2" t="s">
        <v>114</v>
      </c>
      <c r="K518" s="2" t="s">
        <v>158</v>
      </c>
      <c r="L518" s="3">
        <v>107.8</v>
      </c>
      <c r="M518" s="3">
        <v>113.18</v>
      </c>
      <c r="N518" s="3">
        <v>219.99</v>
      </c>
      <c r="O518" s="2" t="s">
        <v>97</v>
      </c>
      <c r="P518" s="2" t="s">
        <v>182</v>
      </c>
      <c r="Q518" s="2" t="s">
        <v>99</v>
      </c>
      <c r="R518" s="2" t="s">
        <v>100</v>
      </c>
      <c r="S518" s="2" t="s">
        <v>2057</v>
      </c>
      <c r="T518" s="2" t="s">
        <v>100</v>
      </c>
      <c r="U518" s="2" t="s">
        <v>2011</v>
      </c>
      <c r="V518" s="2" t="s">
        <v>455</v>
      </c>
      <c r="W518" s="2" t="s">
        <v>405</v>
      </c>
      <c r="X518" s="2" t="s">
        <v>406</v>
      </c>
      <c r="Y518" s="2" t="s">
        <v>106</v>
      </c>
      <c r="Z518" s="4">
        <v>437</v>
      </c>
      <c r="AA518" s="4">
        <f>=ROUNDDOWN(27.3125,0)</f>
      </c>
      <c r="AB518" s="5">
        <v>16</v>
      </c>
      <c r="AC518" s="2" t="s">
        <v>659</v>
      </c>
      <c r="AD518" s="4">
        <v>166</v>
      </c>
      <c r="AE518" s="4">
        <v>166</v>
      </c>
      <c r="AF518" s="6">
        <v>65</v>
      </c>
      <c r="AG518" s="6">
        <v>48</v>
      </c>
      <c r="AH518" s="7">
        <v>0.9818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>
        <v>0</v>
      </c>
      <c r="AP518" s="4">
        <v>2</v>
      </c>
      <c r="AQ518" s="8">
        <v>226.38</v>
      </c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>
        <v>0.4151</v>
      </c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 t="s">
        <v>100</v>
      </c>
      <c r="BJ518" s="4">
        <v>288</v>
      </c>
      <c r="BK518" s="8">
        <v>31076.77</v>
      </c>
      <c r="BL518" s="2" t="s">
        <v>2060</v>
      </c>
      <c r="BM518" s="7">
        <v>0.0069</v>
      </c>
      <c r="BN518" s="7">
        <v>0.0073</v>
      </c>
      <c r="BO518" s="4">
        <v>2</v>
      </c>
      <c r="BP518" s="8">
        <v>226.38</v>
      </c>
      <c r="BQ518" s="4"/>
      <c r="BR518" s="8"/>
      <c r="BS518" s="7"/>
      <c r="BT518" s="7"/>
      <c r="BU518" s="2" t="s">
        <v>109</v>
      </c>
      <c r="BV518" s="2" t="s">
        <v>97</v>
      </c>
      <c r="BW518" s="2" t="s">
        <v>110</v>
      </c>
      <c r="BX518" s="2" t="s">
        <v>2061</v>
      </c>
      <c r="BY518" s="2" t="s">
        <v>112</v>
      </c>
      <c r="BZ518" s="2" t="s">
        <v>100</v>
      </c>
    </row>
    <row r="519">
      <c r="A519" s="2" t="s">
        <v>2062</v>
      </c>
      <c r="B519" s="2" t="s">
        <v>87</v>
      </c>
      <c r="C519" s="2" t="s">
        <v>88</v>
      </c>
      <c r="D519" s="2" t="s">
        <v>89</v>
      </c>
      <c r="E519" s="2" t="s">
        <v>2005</v>
      </c>
      <c r="F519" s="2" t="s">
        <v>2054</v>
      </c>
      <c r="G519" s="2" t="s">
        <v>2055</v>
      </c>
      <c r="H519" s="2" t="s">
        <v>2056</v>
      </c>
      <c r="I519" s="2" t="s">
        <v>2009</v>
      </c>
      <c r="J519" s="2" t="s">
        <v>118</v>
      </c>
      <c r="K519" s="2" t="s">
        <v>158</v>
      </c>
      <c r="L519" s="3">
        <v>107.8</v>
      </c>
      <c r="M519" s="3">
        <v>113.18</v>
      </c>
      <c r="N519" s="3">
        <v>219.99</v>
      </c>
      <c r="O519" s="2" t="s">
        <v>97</v>
      </c>
      <c r="P519" s="2" t="s">
        <v>182</v>
      </c>
      <c r="Q519" s="2" t="s">
        <v>99</v>
      </c>
      <c r="R519" s="2" t="s">
        <v>100</v>
      </c>
      <c r="S519" s="2" t="s">
        <v>2057</v>
      </c>
      <c r="T519" s="2" t="s">
        <v>100</v>
      </c>
      <c r="U519" s="2" t="s">
        <v>2011</v>
      </c>
      <c r="V519" s="2" t="s">
        <v>455</v>
      </c>
      <c r="W519" s="2" t="s">
        <v>405</v>
      </c>
      <c r="X519" s="2" t="s">
        <v>406</v>
      </c>
      <c r="Y519" s="2" t="s">
        <v>106</v>
      </c>
      <c r="Z519" s="4">
        <v>255</v>
      </c>
      <c r="AA519" s="4">
        <f>=ROUNDDOWN(31.875,0)</f>
      </c>
      <c r="AB519" s="5">
        <v>8</v>
      </c>
      <c r="AC519" s="2" t="s">
        <v>659</v>
      </c>
      <c r="AD519" s="4">
        <v>90</v>
      </c>
      <c r="AE519" s="4">
        <v>90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>
        <v>0</v>
      </c>
      <c r="AP519" s="4">
        <v>1</v>
      </c>
      <c r="AQ519" s="8">
        <v>113.19</v>
      </c>
      <c r="AR519" s="4">
        <v>2</v>
      </c>
      <c r="AS519" s="8">
        <v>226.38</v>
      </c>
      <c r="AT519" s="7">
        <v>-0.5</v>
      </c>
      <c r="AU519" s="7">
        <v>-0.5</v>
      </c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>
        <v>0.2075</v>
      </c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 t="s">
        <v>100</v>
      </c>
      <c r="BJ519" s="4">
        <v>143</v>
      </c>
      <c r="BK519" s="8">
        <v>15833.45</v>
      </c>
      <c r="BL519" s="2" t="s">
        <v>2063</v>
      </c>
      <c r="BM519" s="7">
        <v>0.007</v>
      </c>
      <c r="BN519" s="7">
        <v>0.0071</v>
      </c>
      <c r="BO519" s="4">
        <v>1</v>
      </c>
      <c r="BP519" s="8">
        <v>113.19</v>
      </c>
      <c r="BQ519" s="4">
        <v>2</v>
      </c>
      <c r="BR519" s="8">
        <v>226.38</v>
      </c>
      <c r="BS519" s="7">
        <v>-0.5</v>
      </c>
      <c r="BT519" s="7">
        <v>-0.5</v>
      </c>
      <c r="BU519" s="2" t="s">
        <v>109</v>
      </c>
      <c r="BV519" s="2" t="s">
        <v>97</v>
      </c>
      <c r="BW519" s="2" t="s">
        <v>110</v>
      </c>
      <c r="BX519" s="2" t="s">
        <v>2064</v>
      </c>
      <c r="BY519" s="2" t="s">
        <v>112</v>
      </c>
      <c r="BZ519" s="2" t="s">
        <v>100</v>
      </c>
    </row>
    <row r="520">
      <c r="A520" s="2" t="s">
        <v>2065</v>
      </c>
      <c r="B520" s="2" t="s">
        <v>87</v>
      </c>
      <c r="C520" s="2" t="s">
        <v>88</v>
      </c>
      <c r="D520" s="2" t="s">
        <v>89</v>
      </c>
      <c r="E520" s="2" t="s">
        <v>2005</v>
      </c>
      <c r="F520" s="2" t="s">
        <v>2054</v>
      </c>
      <c r="G520" s="2" t="s">
        <v>2055</v>
      </c>
      <c r="H520" s="2" t="s">
        <v>2056</v>
      </c>
      <c r="I520" s="2" t="s">
        <v>2009</v>
      </c>
      <c r="J520" s="2" t="s">
        <v>95</v>
      </c>
      <c r="K520" s="2" t="s">
        <v>2066</v>
      </c>
      <c r="L520" s="3">
        <v>98</v>
      </c>
      <c r="M520" s="3">
        <v>102.9</v>
      </c>
      <c r="N520" s="3">
        <v>199.99</v>
      </c>
      <c r="O520" s="2" t="s">
        <v>550</v>
      </c>
      <c r="P520" s="2" t="s">
        <v>198</v>
      </c>
      <c r="Q520" s="2" t="s">
        <v>99</v>
      </c>
      <c r="R520" s="2" t="s">
        <v>100</v>
      </c>
      <c r="S520" s="2" t="s">
        <v>2067</v>
      </c>
      <c r="T520" s="2" t="s">
        <v>100</v>
      </c>
      <c r="U520" s="2" t="s">
        <v>2011</v>
      </c>
      <c r="V520" s="2" t="s">
        <v>404</v>
      </c>
      <c r="W520" s="2" t="s">
        <v>1190</v>
      </c>
      <c r="X520" s="2" t="s">
        <v>2068</v>
      </c>
      <c r="Y520" s="2" t="s">
        <v>2069</v>
      </c>
      <c r="Z520" s="4">
        <v>97</v>
      </c>
      <c r="AA520" s="4">
        <f>=ROUNDDOWN(22.5581395348837,0)</f>
      </c>
      <c r="AB520" s="5">
        <v>4.3</v>
      </c>
      <c r="AC520" s="2" t="s">
        <v>100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 t="s">
        <v>100</v>
      </c>
      <c r="BJ520" s="4">
        <v>75</v>
      </c>
      <c r="BK520" s="8">
        <v>4815.03</v>
      </c>
      <c r="BL520" s="2" t="s">
        <v>2070</v>
      </c>
      <c r="BM520" s="7"/>
      <c r="BN520" s="7"/>
      <c r="BO520" s="4"/>
      <c r="BP520" s="8"/>
      <c r="BQ520" s="4"/>
      <c r="BR520" s="8"/>
      <c r="BS520" s="7"/>
      <c r="BT520" s="7"/>
      <c r="BU520" s="2" t="s">
        <v>147</v>
      </c>
      <c r="BV520" s="2" t="s">
        <v>97</v>
      </c>
      <c r="BW520" s="2" t="s">
        <v>100</v>
      </c>
      <c r="BX520" s="2" t="s">
        <v>100</v>
      </c>
      <c r="BY520" s="2" t="s">
        <v>112</v>
      </c>
      <c r="BZ520" s="2" t="s">
        <v>100</v>
      </c>
    </row>
    <row r="521">
      <c r="A521" s="2" t="s">
        <v>2071</v>
      </c>
      <c r="B521" s="2" t="s">
        <v>87</v>
      </c>
      <c r="C521" s="2" t="s">
        <v>88</v>
      </c>
      <c r="D521" s="2" t="s">
        <v>89</v>
      </c>
      <c r="E521" s="2" t="s">
        <v>2005</v>
      </c>
      <c r="F521" s="2" t="s">
        <v>2054</v>
      </c>
      <c r="G521" s="2" t="s">
        <v>2055</v>
      </c>
      <c r="H521" s="2" t="s">
        <v>2056</v>
      </c>
      <c r="I521" s="2" t="s">
        <v>2009</v>
      </c>
      <c r="J521" s="2" t="s">
        <v>114</v>
      </c>
      <c r="K521" s="2" t="s">
        <v>2066</v>
      </c>
      <c r="L521" s="3">
        <v>107.8</v>
      </c>
      <c r="M521" s="3">
        <v>113.19</v>
      </c>
      <c r="N521" s="3">
        <v>219.99</v>
      </c>
      <c r="O521" s="2" t="s">
        <v>550</v>
      </c>
      <c r="P521" s="2" t="s">
        <v>198</v>
      </c>
      <c r="Q521" s="2" t="s">
        <v>99</v>
      </c>
      <c r="R521" s="2" t="s">
        <v>100</v>
      </c>
      <c r="S521" s="2" t="s">
        <v>2067</v>
      </c>
      <c r="T521" s="2" t="s">
        <v>100</v>
      </c>
      <c r="U521" s="2" t="s">
        <v>2011</v>
      </c>
      <c r="V521" s="2" t="s">
        <v>404</v>
      </c>
      <c r="W521" s="2" t="s">
        <v>1190</v>
      </c>
      <c r="X521" s="2" t="s">
        <v>2068</v>
      </c>
      <c r="Y521" s="2" t="s">
        <v>2069</v>
      </c>
      <c r="Z521" s="4">
        <v>37</v>
      </c>
      <c r="AA521" s="4">
        <f>=ROUNDDOWN(17.6190476190476,0)</f>
      </c>
      <c r="AB521" s="5">
        <v>2.1</v>
      </c>
      <c r="AC521" s="2" t="s">
        <v>100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 t="s">
        <v>100</v>
      </c>
      <c r="BJ521" s="4">
        <v>78</v>
      </c>
      <c r="BK521" s="8">
        <v>5841.7</v>
      </c>
      <c r="BL521" s="2" t="s">
        <v>2072</v>
      </c>
      <c r="BM521" s="7"/>
      <c r="BN521" s="7"/>
      <c r="BO521" s="4"/>
      <c r="BP521" s="8"/>
      <c r="BQ521" s="4"/>
      <c r="BR521" s="8"/>
      <c r="BS521" s="7"/>
      <c r="BT521" s="7"/>
      <c r="BU521" s="2" t="s">
        <v>147</v>
      </c>
      <c r="BV521" s="2" t="s">
        <v>97</v>
      </c>
      <c r="BW521" s="2" t="s">
        <v>100</v>
      </c>
      <c r="BX521" s="2" t="s">
        <v>100</v>
      </c>
      <c r="BY521" s="2" t="s">
        <v>112</v>
      </c>
      <c r="BZ521" s="2" t="s">
        <v>100</v>
      </c>
    </row>
    <row r="522">
      <c r="A522" s="2" t="s">
        <v>2073</v>
      </c>
      <c r="B522" s="2" t="s">
        <v>87</v>
      </c>
      <c r="C522" s="2" t="s">
        <v>88</v>
      </c>
      <c r="D522" s="2" t="s">
        <v>89</v>
      </c>
      <c r="E522" s="2" t="s">
        <v>2005</v>
      </c>
      <c r="F522" s="2" t="s">
        <v>2054</v>
      </c>
      <c r="G522" s="2" t="s">
        <v>2055</v>
      </c>
      <c r="H522" s="2" t="s">
        <v>2056</v>
      </c>
      <c r="I522" s="2" t="s">
        <v>2009</v>
      </c>
      <c r="J522" s="2" t="s">
        <v>95</v>
      </c>
      <c r="K522" s="2" t="s">
        <v>1660</v>
      </c>
      <c r="L522" s="3">
        <v>98</v>
      </c>
      <c r="M522" s="3">
        <v>102.89</v>
      </c>
      <c r="N522" s="3">
        <v>199.99</v>
      </c>
      <c r="O522" s="2" t="s">
        <v>97</v>
      </c>
      <c r="P522" s="2" t="s">
        <v>198</v>
      </c>
      <c r="Q522" s="2" t="s">
        <v>99</v>
      </c>
      <c r="R522" s="2" t="s">
        <v>100</v>
      </c>
      <c r="S522" s="2" t="s">
        <v>2074</v>
      </c>
      <c r="T522" s="2" t="s">
        <v>100</v>
      </c>
      <c r="U522" s="2" t="s">
        <v>2011</v>
      </c>
      <c r="V522" s="2" t="s">
        <v>455</v>
      </c>
      <c r="W522" s="2" t="s">
        <v>405</v>
      </c>
      <c r="X522" s="2" t="s">
        <v>406</v>
      </c>
      <c r="Y522" s="2" t="s">
        <v>106</v>
      </c>
      <c r="Z522" s="4">
        <v>227</v>
      </c>
      <c r="AA522" s="4">
        <f>=ROUNDDOWN(45.4,0)</f>
      </c>
      <c r="AB522" s="5">
        <v>5</v>
      </c>
      <c r="AC522" s="2" t="s">
        <v>1221</v>
      </c>
      <c r="AD522" s="4">
        <v>120</v>
      </c>
      <c r="AE522" s="4">
        <v>120</v>
      </c>
      <c r="AF522" s="6">
        <v>65</v>
      </c>
      <c r="AG522" s="6"/>
      <c r="AH522" s="7">
        <v>0.903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 t="s">
        <v>100</v>
      </c>
      <c r="BJ522" s="4">
        <v>83</v>
      </c>
      <c r="BK522" s="8">
        <v>7958.87</v>
      </c>
      <c r="BL522" s="2" t="s">
        <v>2075</v>
      </c>
      <c r="BM522" s="7"/>
      <c r="BN522" s="7"/>
      <c r="BO522" s="4"/>
      <c r="BP522" s="8"/>
      <c r="BQ522" s="4"/>
      <c r="BR522" s="8"/>
      <c r="BS522" s="7"/>
      <c r="BT522" s="7"/>
      <c r="BU522" s="2" t="s">
        <v>147</v>
      </c>
      <c r="BV522" s="2" t="s">
        <v>97</v>
      </c>
      <c r="BW522" s="2" t="s">
        <v>100</v>
      </c>
      <c r="BX522" s="2" t="s">
        <v>100</v>
      </c>
      <c r="BY522" s="2" t="s">
        <v>112</v>
      </c>
      <c r="BZ522" s="2" t="s">
        <v>100</v>
      </c>
    </row>
    <row r="523">
      <c r="A523" s="2" t="s">
        <v>2076</v>
      </c>
      <c r="B523" s="2" t="s">
        <v>87</v>
      </c>
      <c r="C523" s="2" t="s">
        <v>88</v>
      </c>
      <c r="D523" s="2" t="s">
        <v>89</v>
      </c>
      <c r="E523" s="2" t="s">
        <v>2005</v>
      </c>
      <c r="F523" s="2" t="s">
        <v>2054</v>
      </c>
      <c r="G523" s="2" t="s">
        <v>2055</v>
      </c>
      <c r="H523" s="2" t="s">
        <v>2056</v>
      </c>
      <c r="I523" s="2" t="s">
        <v>2009</v>
      </c>
      <c r="J523" s="2" t="s">
        <v>114</v>
      </c>
      <c r="K523" s="2" t="s">
        <v>1660</v>
      </c>
      <c r="L523" s="3">
        <v>107.8</v>
      </c>
      <c r="M523" s="3">
        <v>113.18</v>
      </c>
      <c r="N523" s="3">
        <v>219.99</v>
      </c>
      <c r="O523" s="2" t="s">
        <v>97</v>
      </c>
      <c r="P523" s="2" t="s">
        <v>198</v>
      </c>
      <c r="Q523" s="2" t="s">
        <v>99</v>
      </c>
      <c r="R523" s="2" t="s">
        <v>100</v>
      </c>
      <c r="S523" s="2" t="s">
        <v>2074</v>
      </c>
      <c r="T523" s="2" t="s">
        <v>100</v>
      </c>
      <c r="U523" s="2" t="s">
        <v>2011</v>
      </c>
      <c r="V523" s="2" t="s">
        <v>455</v>
      </c>
      <c r="W523" s="2" t="s">
        <v>405</v>
      </c>
      <c r="X523" s="2" t="s">
        <v>406</v>
      </c>
      <c r="Y523" s="2" t="s">
        <v>106</v>
      </c>
      <c r="Z523" s="4">
        <v>240</v>
      </c>
      <c r="AA523" s="4">
        <f>=ROUNDDOWN(34.2857142857143,0)</f>
      </c>
      <c r="AB523" s="5">
        <v>7</v>
      </c>
      <c r="AC523" s="2" t="s">
        <v>659</v>
      </c>
      <c r="AD523" s="4">
        <v>14</v>
      </c>
      <c r="AE523" s="4">
        <v>120</v>
      </c>
      <c r="AF523" s="6">
        <v>65</v>
      </c>
      <c r="AG523" s="6"/>
      <c r="AH523" s="7">
        <v>0.9455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 t="s">
        <v>100</v>
      </c>
      <c r="BJ523" s="4">
        <v>136</v>
      </c>
      <c r="BK523" s="8">
        <v>14635.97</v>
      </c>
      <c r="BL523" s="2" t="s">
        <v>2077</v>
      </c>
      <c r="BM523" s="7"/>
      <c r="BN523" s="7"/>
      <c r="BO523" s="4"/>
      <c r="BP523" s="8"/>
      <c r="BQ523" s="4"/>
      <c r="BR523" s="8"/>
      <c r="BS523" s="7"/>
      <c r="BT523" s="7"/>
      <c r="BU523" s="2" t="s">
        <v>147</v>
      </c>
      <c r="BV523" s="2" t="s">
        <v>97</v>
      </c>
      <c r="BW523" s="2" t="s">
        <v>100</v>
      </c>
      <c r="BX523" s="2" t="s">
        <v>100</v>
      </c>
      <c r="BY523" s="2" t="s">
        <v>112</v>
      </c>
      <c r="BZ523" s="2" t="s">
        <v>100</v>
      </c>
    </row>
    <row r="524">
      <c r="A524" s="2" t="s">
        <v>2078</v>
      </c>
      <c r="B524" s="2" t="s">
        <v>87</v>
      </c>
      <c r="C524" s="2" t="s">
        <v>88</v>
      </c>
      <c r="D524" s="2" t="s">
        <v>89</v>
      </c>
      <c r="E524" s="2" t="s">
        <v>2005</v>
      </c>
      <c r="F524" s="2" t="s">
        <v>2054</v>
      </c>
      <c r="G524" s="2" t="s">
        <v>2055</v>
      </c>
      <c r="H524" s="2" t="s">
        <v>2056</v>
      </c>
      <c r="I524" s="2" t="s">
        <v>2009</v>
      </c>
      <c r="J524" s="2" t="s">
        <v>118</v>
      </c>
      <c r="K524" s="2" t="s">
        <v>1660</v>
      </c>
      <c r="L524" s="3">
        <v>107.8</v>
      </c>
      <c r="M524" s="3">
        <v>113.18</v>
      </c>
      <c r="N524" s="3">
        <v>219.99</v>
      </c>
      <c r="O524" s="2" t="s">
        <v>97</v>
      </c>
      <c r="P524" s="2" t="s">
        <v>198</v>
      </c>
      <c r="Q524" s="2" t="s">
        <v>99</v>
      </c>
      <c r="R524" s="2" t="s">
        <v>100</v>
      </c>
      <c r="S524" s="2" t="s">
        <v>2074</v>
      </c>
      <c r="T524" s="2" t="s">
        <v>100</v>
      </c>
      <c r="U524" s="2" t="s">
        <v>2011</v>
      </c>
      <c r="V524" s="2" t="s">
        <v>455</v>
      </c>
      <c r="W524" s="2" t="s">
        <v>405</v>
      </c>
      <c r="X524" s="2" t="s">
        <v>406</v>
      </c>
      <c r="Y524" s="2" t="s">
        <v>106</v>
      </c>
      <c r="Z524" s="4">
        <v>145</v>
      </c>
      <c r="AA524" s="4">
        <f>=ROUNDDOWN(29,0)</f>
      </c>
      <c r="AB524" s="5">
        <v>5</v>
      </c>
      <c r="AC524" s="2" t="s">
        <v>1221</v>
      </c>
      <c r="AD524" s="4">
        <v>70</v>
      </c>
      <c r="AE524" s="4">
        <v>70</v>
      </c>
      <c r="AF524" s="6">
        <v>65</v>
      </c>
      <c r="AG524" s="6"/>
      <c r="AH524" s="7">
        <v>0.903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 t="s">
        <v>100</v>
      </c>
      <c r="BJ524" s="4">
        <v>77</v>
      </c>
      <c r="BK524" s="8">
        <v>8457.28</v>
      </c>
      <c r="BL524" s="2" t="s">
        <v>2079</v>
      </c>
      <c r="BM524" s="7"/>
      <c r="BN524" s="7"/>
      <c r="BO524" s="4"/>
      <c r="BP524" s="8"/>
      <c r="BQ524" s="4"/>
      <c r="BR524" s="8"/>
      <c r="BS524" s="7"/>
      <c r="BT524" s="7"/>
      <c r="BU524" s="2" t="s">
        <v>147</v>
      </c>
      <c r="BV524" s="2" t="s">
        <v>97</v>
      </c>
      <c r="BW524" s="2" t="s">
        <v>100</v>
      </c>
      <c r="BX524" s="2" t="s">
        <v>100</v>
      </c>
      <c r="BY524" s="2" t="s">
        <v>112</v>
      </c>
      <c r="BZ524" s="2" t="s">
        <v>100</v>
      </c>
    </row>
    <row r="525">
      <c r="A525" s="2" t="s">
        <v>2080</v>
      </c>
      <c r="B525" s="2" t="s">
        <v>87</v>
      </c>
      <c r="C525" s="2" t="s">
        <v>88</v>
      </c>
      <c r="D525" s="2" t="s">
        <v>89</v>
      </c>
      <c r="E525" s="2" t="s">
        <v>2005</v>
      </c>
      <c r="F525" s="2" t="s">
        <v>2081</v>
      </c>
      <c r="G525" s="2" t="s">
        <v>2082</v>
      </c>
      <c r="H525" s="2" t="s">
        <v>2083</v>
      </c>
      <c r="I525" s="2" t="s">
        <v>2084</v>
      </c>
      <c r="J525" s="2" t="s">
        <v>95</v>
      </c>
      <c r="K525" s="2" t="s">
        <v>1018</v>
      </c>
      <c r="L525" s="3">
        <v>70.5</v>
      </c>
      <c r="M525" s="3">
        <v>74.02</v>
      </c>
      <c r="N525" s="3">
        <v>149.99</v>
      </c>
      <c r="O525" s="2" t="s">
        <v>97</v>
      </c>
      <c r="P525" s="2" t="s">
        <v>143</v>
      </c>
      <c r="Q525" s="2" t="s">
        <v>99</v>
      </c>
      <c r="R525" s="2" t="s">
        <v>100</v>
      </c>
      <c r="S525" s="2" t="s">
        <v>2085</v>
      </c>
      <c r="T525" s="2" t="s">
        <v>100</v>
      </c>
      <c r="U525" s="2" t="s">
        <v>2011</v>
      </c>
      <c r="V525" s="2" t="s">
        <v>404</v>
      </c>
      <c r="W525" s="2" t="s">
        <v>405</v>
      </c>
      <c r="X525" s="2" t="s">
        <v>406</v>
      </c>
      <c r="Y525" s="2" t="s">
        <v>2086</v>
      </c>
      <c r="Z525" s="4">
        <v>440</v>
      </c>
      <c r="AA525" s="4">
        <f>=ROUNDDOWN(23.1578947368421,0)</f>
      </c>
      <c r="AB525" s="5">
        <v>19</v>
      </c>
      <c r="AC525" s="2" t="s">
        <v>269</v>
      </c>
      <c r="AD525" s="4">
        <v>150</v>
      </c>
      <c r="AE525" s="4">
        <v>310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431</v>
      </c>
      <c r="BK525" s="8">
        <v>33683.5</v>
      </c>
      <c r="BL525" s="2" t="s">
        <v>2087</v>
      </c>
      <c r="BM525" s="7"/>
      <c r="BN525" s="7"/>
      <c r="BO525" s="4"/>
      <c r="BP525" s="8"/>
      <c r="BQ525" s="4"/>
      <c r="BR525" s="8"/>
      <c r="BS525" s="7"/>
      <c r="BT525" s="7"/>
      <c r="BU525" s="2" t="s">
        <v>147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2088</v>
      </c>
      <c r="B526" s="2" t="s">
        <v>87</v>
      </c>
      <c r="C526" s="2" t="s">
        <v>88</v>
      </c>
      <c r="D526" s="2" t="s">
        <v>89</v>
      </c>
      <c r="E526" s="2" t="s">
        <v>2005</v>
      </c>
      <c r="F526" s="2" t="s">
        <v>2081</v>
      </c>
      <c r="G526" s="2" t="s">
        <v>2082</v>
      </c>
      <c r="H526" s="2" t="s">
        <v>2083</v>
      </c>
      <c r="I526" s="2" t="s">
        <v>2084</v>
      </c>
      <c r="J526" s="2" t="s">
        <v>114</v>
      </c>
      <c r="K526" s="2" t="s">
        <v>1018</v>
      </c>
      <c r="L526" s="3">
        <v>79.85</v>
      </c>
      <c r="M526" s="3">
        <v>83.85</v>
      </c>
      <c r="N526" s="3">
        <v>169.9</v>
      </c>
      <c r="O526" s="2" t="s">
        <v>97</v>
      </c>
      <c r="P526" s="2" t="s">
        <v>143</v>
      </c>
      <c r="Q526" s="2" t="s">
        <v>99</v>
      </c>
      <c r="R526" s="2" t="s">
        <v>100</v>
      </c>
      <c r="S526" s="2" t="s">
        <v>2085</v>
      </c>
      <c r="T526" s="2" t="s">
        <v>100</v>
      </c>
      <c r="U526" s="2" t="s">
        <v>2011</v>
      </c>
      <c r="V526" s="2" t="s">
        <v>404</v>
      </c>
      <c r="W526" s="2" t="s">
        <v>405</v>
      </c>
      <c r="X526" s="2" t="s">
        <v>406</v>
      </c>
      <c r="Y526" s="2" t="s">
        <v>2086</v>
      </c>
      <c r="Z526" s="4">
        <v>508</v>
      </c>
      <c r="AA526" s="4">
        <f>=ROUNDDOWN(23.0909090909091,0)</f>
      </c>
      <c r="AB526" s="5">
        <v>22</v>
      </c>
      <c r="AC526" s="2" t="s">
        <v>269</v>
      </c>
      <c r="AD526" s="4">
        <v>100</v>
      </c>
      <c r="AE526" s="4">
        <v>310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471</v>
      </c>
      <c r="BK526" s="8">
        <v>41892.62</v>
      </c>
      <c r="BL526" s="2" t="s">
        <v>2089</v>
      </c>
      <c r="BM526" s="7"/>
      <c r="BN526" s="7"/>
      <c r="BO526" s="4"/>
      <c r="BP526" s="8"/>
      <c r="BQ526" s="4"/>
      <c r="BR526" s="8"/>
      <c r="BS526" s="7"/>
      <c r="BT526" s="7"/>
      <c r="BU526" s="2" t="s">
        <v>147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2090</v>
      </c>
      <c r="B527" s="2" t="s">
        <v>87</v>
      </c>
      <c r="C527" s="2" t="s">
        <v>88</v>
      </c>
      <c r="D527" s="2" t="s">
        <v>89</v>
      </c>
      <c r="E527" s="2" t="s">
        <v>2005</v>
      </c>
      <c r="F527" s="2" t="s">
        <v>2081</v>
      </c>
      <c r="G527" s="2" t="s">
        <v>2082</v>
      </c>
      <c r="H527" s="2" t="s">
        <v>2083</v>
      </c>
      <c r="I527" s="2" t="s">
        <v>2084</v>
      </c>
      <c r="J527" s="2" t="s">
        <v>118</v>
      </c>
      <c r="K527" s="2" t="s">
        <v>1018</v>
      </c>
      <c r="L527" s="3">
        <v>79.9</v>
      </c>
      <c r="M527" s="3">
        <v>83.89</v>
      </c>
      <c r="N527" s="3">
        <v>169.99</v>
      </c>
      <c r="O527" s="2" t="s">
        <v>97</v>
      </c>
      <c r="P527" s="2" t="s">
        <v>143</v>
      </c>
      <c r="Q527" s="2" t="s">
        <v>99</v>
      </c>
      <c r="R527" s="2" t="s">
        <v>100</v>
      </c>
      <c r="S527" s="2" t="s">
        <v>2085</v>
      </c>
      <c r="T527" s="2" t="s">
        <v>100</v>
      </c>
      <c r="U527" s="2" t="s">
        <v>2011</v>
      </c>
      <c r="V527" s="2" t="s">
        <v>404</v>
      </c>
      <c r="W527" s="2" t="s">
        <v>405</v>
      </c>
      <c r="X527" s="2" t="s">
        <v>406</v>
      </c>
      <c r="Y527" s="2" t="s">
        <v>2091</v>
      </c>
      <c r="Z527" s="4">
        <v>259</v>
      </c>
      <c r="AA527" s="4">
        <f>=ROUNDDOWN(21.5833333333333,0)</f>
      </c>
      <c r="AB527" s="5">
        <v>12</v>
      </c>
      <c r="AC527" s="2" t="s">
        <v>269</v>
      </c>
      <c r="AD527" s="4">
        <v>120</v>
      </c>
      <c r="AE527" s="4">
        <v>230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302</v>
      </c>
      <c r="BK527" s="8">
        <v>26136.93</v>
      </c>
      <c r="BL527" s="2" t="s">
        <v>2092</v>
      </c>
      <c r="BM527" s="7"/>
      <c r="BN527" s="7"/>
      <c r="BO527" s="4"/>
      <c r="BP527" s="8"/>
      <c r="BQ527" s="4"/>
      <c r="BR527" s="8"/>
      <c r="BS527" s="7"/>
      <c r="BT527" s="7"/>
      <c r="BU527" s="2" t="s">
        <v>147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2093</v>
      </c>
      <c r="B528" s="2" t="s">
        <v>87</v>
      </c>
      <c r="C528" s="2" t="s">
        <v>88</v>
      </c>
      <c r="D528" s="2" t="s">
        <v>89</v>
      </c>
      <c r="E528" s="2" t="s">
        <v>2005</v>
      </c>
      <c r="F528" s="2" t="s">
        <v>2081</v>
      </c>
      <c r="G528" s="2" t="s">
        <v>2082</v>
      </c>
      <c r="H528" s="2" t="s">
        <v>2083</v>
      </c>
      <c r="I528" s="2" t="s">
        <v>2084</v>
      </c>
      <c r="J528" s="2" t="s">
        <v>95</v>
      </c>
      <c r="K528" s="2" t="s">
        <v>1660</v>
      </c>
      <c r="L528" s="3">
        <v>70.5</v>
      </c>
      <c r="M528" s="3">
        <v>74.02</v>
      </c>
      <c r="N528" s="3">
        <v>149.99</v>
      </c>
      <c r="O528" s="2" t="s">
        <v>97</v>
      </c>
      <c r="P528" s="2" t="s">
        <v>1166</v>
      </c>
      <c r="Q528" s="2" t="s">
        <v>99</v>
      </c>
      <c r="R528" s="2" t="s">
        <v>100</v>
      </c>
      <c r="S528" s="2" t="s">
        <v>2094</v>
      </c>
      <c r="T528" s="2" t="s">
        <v>1168</v>
      </c>
      <c r="U528" s="2" t="s">
        <v>2011</v>
      </c>
      <c r="V528" s="2" t="s">
        <v>404</v>
      </c>
      <c r="W528" s="2" t="s">
        <v>405</v>
      </c>
      <c r="X528" s="2" t="s">
        <v>406</v>
      </c>
      <c r="Y528" s="2" t="s">
        <v>654</v>
      </c>
      <c r="Z528" s="4">
        <v>140</v>
      </c>
      <c r="AA528" s="4">
        <f>=ROUNDDOWN({0},0)</f>
      </c>
      <c r="AB528" s="5"/>
      <c r="AC528" s="2" t="s">
        <v>589</v>
      </c>
      <c r="AD528" s="4">
        <v>140</v>
      </c>
      <c r="AE528" s="4">
        <v>140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/>
      <c r="BK528" s="8"/>
      <c r="BL528" s="2" t="s">
        <v>100</v>
      </c>
      <c r="BM528" s="7"/>
      <c r="BN528" s="7"/>
      <c r="BO528" s="4"/>
      <c r="BP528" s="8"/>
      <c r="BQ528" s="4"/>
      <c r="BR528" s="8"/>
      <c r="BS528" s="7"/>
      <c r="BT528" s="7"/>
      <c r="BU528" s="2" t="s">
        <v>1171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2095</v>
      </c>
      <c r="B529" s="2" t="s">
        <v>87</v>
      </c>
      <c r="C529" s="2" t="s">
        <v>88</v>
      </c>
      <c r="D529" s="2" t="s">
        <v>89</v>
      </c>
      <c r="E529" s="2" t="s">
        <v>2005</v>
      </c>
      <c r="F529" s="2" t="s">
        <v>2081</v>
      </c>
      <c r="G529" s="2" t="s">
        <v>2082</v>
      </c>
      <c r="H529" s="2" t="s">
        <v>2083</v>
      </c>
      <c r="I529" s="2" t="s">
        <v>2084</v>
      </c>
      <c r="J529" s="2" t="s">
        <v>114</v>
      </c>
      <c r="K529" s="2" t="s">
        <v>1660</v>
      </c>
      <c r="L529" s="3">
        <v>79.85</v>
      </c>
      <c r="M529" s="3">
        <v>83.85</v>
      </c>
      <c r="N529" s="3">
        <v>169.99</v>
      </c>
      <c r="O529" s="2" t="s">
        <v>97</v>
      </c>
      <c r="P529" s="2" t="s">
        <v>1166</v>
      </c>
      <c r="Q529" s="2" t="s">
        <v>99</v>
      </c>
      <c r="R529" s="2" t="s">
        <v>100</v>
      </c>
      <c r="S529" s="2" t="s">
        <v>2094</v>
      </c>
      <c r="T529" s="2" t="s">
        <v>1168</v>
      </c>
      <c r="U529" s="2" t="s">
        <v>2011</v>
      </c>
      <c r="V529" s="2" t="s">
        <v>404</v>
      </c>
      <c r="W529" s="2" t="s">
        <v>405</v>
      </c>
      <c r="X529" s="2" t="s">
        <v>406</v>
      </c>
      <c r="Y529" s="2" t="s">
        <v>654</v>
      </c>
      <c r="Z529" s="4">
        <v>160</v>
      </c>
      <c r="AA529" s="4">
        <f>=ROUNDDOWN({0},0)</f>
      </c>
      <c r="AB529" s="5"/>
      <c r="AC529" s="2" t="s">
        <v>589</v>
      </c>
      <c r="AD529" s="4">
        <v>160</v>
      </c>
      <c r="AE529" s="4">
        <v>160</v>
      </c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/>
      <c r="BK529" s="8"/>
      <c r="BL529" s="2" t="s">
        <v>100</v>
      </c>
      <c r="BM529" s="7"/>
      <c r="BN529" s="7"/>
      <c r="BO529" s="4"/>
      <c r="BP529" s="8"/>
      <c r="BQ529" s="4"/>
      <c r="BR529" s="8"/>
      <c r="BS529" s="7"/>
      <c r="BT529" s="7"/>
      <c r="BU529" s="2" t="s">
        <v>1171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2096</v>
      </c>
      <c r="B530" s="2" t="s">
        <v>87</v>
      </c>
      <c r="C530" s="2" t="s">
        <v>88</v>
      </c>
      <c r="D530" s="2" t="s">
        <v>89</v>
      </c>
      <c r="E530" s="2" t="s">
        <v>2005</v>
      </c>
      <c r="F530" s="2" t="s">
        <v>2081</v>
      </c>
      <c r="G530" s="2" t="s">
        <v>2082</v>
      </c>
      <c r="H530" s="2" t="s">
        <v>2083</v>
      </c>
      <c r="I530" s="2" t="s">
        <v>2084</v>
      </c>
      <c r="J530" s="2" t="s">
        <v>118</v>
      </c>
      <c r="K530" s="2" t="s">
        <v>1660</v>
      </c>
      <c r="L530" s="3">
        <v>79.9</v>
      </c>
      <c r="M530" s="3">
        <v>83.89</v>
      </c>
      <c r="N530" s="3">
        <v>169.99</v>
      </c>
      <c r="O530" s="2" t="s">
        <v>97</v>
      </c>
      <c r="P530" s="2" t="s">
        <v>1166</v>
      </c>
      <c r="Q530" s="2" t="s">
        <v>99</v>
      </c>
      <c r="R530" s="2" t="s">
        <v>100</v>
      </c>
      <c r="S530" s="2" t="s">
        <v>2094</v>
      </c>
      <c r="T530" s="2" t="s">
        <v>1168</v>
      </c>
      <c r="U530" s="2" t="s">
        <v>2011</v>
      </c>
      <c r="V530" s="2" t="s">
        <v>404</v>
      </c>
      <c r="W530" s="2" t="s">
        <v>405</v>
      </c>
      <c r="X530" s="2" t="s">
        <v>406</v>
      </c>
      <c r="Y530" s="2" t="s">
        <v>654</v>
      </c>
      <c r="Z530" s="4">
        <v>100</v>
      </c>
      <c r="AA530" s="4">
        <f>=ROUNDDOWN({0},0)</f>
      </c>
      <c r="AB530" s="5"/>
      <c r="AC530" s="2" t="s">
        <v>589</v>
      </c>
      <c r="AD530" s="4">
        <v>100</v>
      </c>
      <c r="AE530" s="4">
        <v>100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/>
      <c r="BK530" s="8"/>
      <c r="BL530" s="2" t="s">
        <v>100</v>
      </c>
      <c r="BM530" s="7"/>
      <c r="BN530" s="7"/>
      <c r="BO530" s="4"/>
      <c r="BP530" s="8"/>
      <c r="BQ530" s="4"/>
      <c r="BR530" s="8"/>
      <c r="BS530" s="7"/>
      <c r="BT530" s="7"/>
      <c r="BU530" s="2" t="s">
        <v>1171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2097</v>
      </c>
      <c r="B531" s="2" t="s">
        <v>87</v>
      </c>
      <c r="C531" s="2" t="s">
        <v>88</v>
      </c>
      <c r="D531" s="2" t="s">
        <v>89</v>
      </c>
      <c r="E531" s="2" t="s">
        <v>2098</v>
      </c>
      <c r="F531" s="2" t="s">
        <v>2099</v>
      </c>
      <c r="G531" s="2" t="s">
        <v>2100</v>
      </c>
      <c r="H531" s="2" t="s">
        <v>2101</v>
      </c>
      <c r="I531" s="2" t="s">
        <v>2102</v>
      </c>
      <c r="J531" s="2" t="s">
        <v>487</v>
      </c>
      <c r="K531" s="2" t="s">
        <v>1935</v>
      </c>
      <c r="L531" s="3">
        <v>58.5</v>
      </c>
      <c r="M531" s="3">
        <v>61.42</v>
      </c>
      <c r="N531" s="3">
        <v>129.99</v>
      </c>
      <c r="O531" s="2" t="s">
        <v>97</v>
      </c>
      <c r="P531" s="2" t="s">
        <v>143</v>
      </c>
      <c r="Q531" s="2" t="s">
        <v>99</v>
      </c>
      <c r="R531" s="2" t="s">
        <v>100</v>
      </c>
      <c r="S531" s="2" t="s">
        <v>2103</v>
      </c>
      <c r="T531" s="2" t="s">
        <v>100</v>
      </c>
      <c r="U531" s="2" t="s">
        <v>2104</v>
      </c>
      <c r="V531" s="2" t="s">
        <v>455</v>
      </c>
      <c r="W531" s="2" t="s">
        <v>733</v>
      </c>
      <c r="X531" s="2" t="s">
        <v>2105</v>
      </c>
      <c r="Y531" s="2" t="s">
        <v>2106</v>
      </c>
      <c r="Z531" s="4">
        <v>970</v>
      </c>
      <c r="AA531" s="4">
        <f>=ROUNDDOWN(121.25,0)</f>
      </c>
      <c r="AB531" s="5">
        <v>8</v>
      </c>
      <c r="AC531" s="2" t="s">
        <v>100</v>
      </c>
      <c r="AD531" s="4"/>
      <c r="AE531" s="4"/>
      <c r="AF531" s="6">
        <v>71</v>
      </c>
      <c r="AG531" s="6">
        <v>79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>
        <v>0</v>
      </c>
      <c r="AP531" s="4"/>
      <c r="AQ531" s="8"/>
      <c r="AR531" s="4">
        <v>2</v>
      </c>
      <c r="AS531" s="8">
        <v>122.84</v>
      </c>
      <c r="AT531" s="7">
        <v>-1</v>
      </c>
      <c r="AU531" s="7">
        <v>-1</v>
      </c>
      <c r="AV531" s="4">
        <v>5</v>
      </c>
      <c r="AW531" s="8">
        <v>397.95</v>
      </c>
      <c r="AX531" s="4">
        <v>10</v>
      </c>
      <c r="AY531" s="8">
        <v>764.18</v>
      </c>
      <c r="AZ531" s="7">
        <v>-0.5</v>
      </c>
      <c r="BA531" s="7">
        <v>-0.4792</v>
      </c>
      <c r="BB531" s="7"/>
      <c r="BC531" s="4">
        <v>5</v>
      </c>
      <c r="BD531" s="8">
        <v>397.95</v>
      </c>
      <c r="BE531" s="4">
        <v>10</v>
      </c>
      <c r="BF531" s="8">
        <v>764.18</v>
      </c>
      <c r="BG531" s="7">
        <v>-0.5</v>
      </c>
      <c r="BH531" s="7">
        <v>-0.4792</v>
      </c>
      <c r="BI531" s="7">
        <v>1</v>
      </c>
      <c r="BJ531" s="4">
        <v>149</v>
      </c>
      <c r="BK531" s="8">
        <v>9499.66</v>
      </c>
      <c r="BL531" s="2" t="s">
        <v>2107</v>
      </c>
      <c r="BM531" s="7"/>
      <c r="BN531" s="7"/>
      <c r="BO531" s="4"/>
      <c r="BP531" s="8"/>
      <c r="BQ531" s="4">
        <v>2</v>
      </c>
      <c r="BR531" s="8">
        <v>122.84</v>
      </c>
      <c r="BS531" s="7">
        <v>-1</v>
      </c>
      <c r="BT531" s="7">
        <v>-1</v>
      </c>
      <c r="BU531" s="2" t="s">
        <v>109</v>
      </c>
      <c r="BV531" s="2" t="s">
        <v>97</v>
      </c>
      <c r="BW531" s="2" t="s">
        <v>2108</v>
      </c>
      <c r="BX531" s="2" t="s">
        <v>2109</v>
      </c>
      <c r="BY531" s="2" t="s">
        <v>112</v>
      </c>
      <c r="BZ531" s="2" t="s">
        <v>100</v>
      </c>
    </row>
    <row r="532">
      <c r="A532" s="2" t="s">
        <v>2110</v>
      </c>
      <c r="B532" s="2" t="s">
        <v>87</v>
      </c>
      <c r="C532" s="2" t="s">
        <v>88</v>
      </c>
      <c r="D532" s="2" t="s">
        <v>89</v>
      </c>
      <c r="E532" s="2" t="s">
        <v>2098</v>
      </c>
      <c r="F532" s="2" t="s">
        <v>2099</v>
      </c>
      <c r="G532" s="2" t="s">
        <v>2100</v>
      </c>
      <c r="H532" s="2" t="s">
        <v>2101</v>
      </c>
      <c r="I532" s="2" t="s">
        <v>2111</v>
      </c>
      <c r="J532" s="2" t="s">
        <v>844</v>
      </c>
      <c r="K532" s="2" t="s">
        <v>1935</v>
      </c>
      <c r="L532" s="3">
        <v>73.6</v>
      </c>
      <c r="M532" s="3">
        <v>77.28</v>
      </c>
      <c r="N532" s="3">
        <v>159.99</v>
      </c>
      <c r="O532" s="2" t="s">
        <v>97</v>
      </c>
      <c r="P532" s="2" t="s">
        <v>143</v>
      </c>
      <c r="Q532" s="2" t="s">
        <v>99</v>
      </c>
      <c r="R532" s="2" t="s">
        <v>100</v>
      </c>
      <c r="S532" s="2" t="s">
        <v>2103</v>
      </c>
      <c r="T532" s="2" t="s">
        <v>732</v>
      </c>
      <c r="U532" s="2" t="s">
        <v>1610</v>
      </c>
      <c r="V532" s="2" t="s">
        <v>455</v>
      </c>
      <c r="W532" s="2" t="s">
        <v>733</v>
      </c>
      <c r="X532" s="2" t="s">
        <v>2105</v>
      </c>
      <c r="Y532" s="2" t="s">
        <v>2112</v>
      </c>
      <c r="Z532" s="4">
        <v>1188</v>
      </c>
      <c r="AA532" s="4">
        <f>=ROUNDDOWN(38.3225806451613,0)</f>
      </c>
      <c r="AB532" s="5">
        <v>31</v>
      </c>
      <c r="AC532" s="2" t="s">
        <v>2113</v>
      </c>
      <c r="AD532" s="4">
        <v>160</v>
      </c>
      <c r="AE532" s="4">
        <v>160</v>
      </c>
      <c r="AF532" s="6">
        <v>71</v>
      </c>
      <c r="AG532" s="6">
        <v>79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>
        <v>0</v>
      </c>
      <c r="AP532" s="4">
        <v>4</v>
      </c>
      <c r="AQ532" s="8">
        <v>309.12</v>
      </c>
      <c r="AR532" s="4">
        <v>6</v>
      </c>
      <c r="AS532" s="8">
        <v>463.68</v>
      </c>
      <c r="AT532" s="7">
        <v>-0.3333</v>
      </c>
      <c r="AU532" s="7">
        <v>-0.3333</v>
      </c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>
        <v>0.7768</v>
      </c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 t="s">
        <v>100</v>
      </c>
      <c r="BJ532" s="4">
        <v>631</v>
      </c>
      <c r="BK532" s="8">
        <v>49137.86</v>
      </c>
      <c r="BL532" s="2" t="s">
        <v>2114</v>
      </c>
      <c r="BM532" s="7">
        <v>0.0063</v>
      </c>
      <c r="BN532" s="7">
        <v>0.0063</v>
      </c>
      <c r="BO532" s="4">
        <v>4</v>
      </c>
      <c r="BP532" s="8">
        <v>309.12</v>
      </c>
      <c r="BQ532" s="4">
        <v>6</v>
      </c>
      <c r="BR532" s="8">
        <v>463.68</v>
      </c>
      <c r="BS532" s="7">
        <v>-0.3333</v>
      </c>
      <c r="BT532" s="7">
        <v>-0.3333</v>
      </c>
      <c r="BU532" s="2" t="s">
        <v>109</v>
      </c>
      <c r="BV532" s="2" t="s">
        <v>97</v>
      </c>
      <c r="BW532" s="2" t="s">
        <v>110</v>
      </c>
      <c r="BX532" s="2" t="s">
        <v>912</v>
      </c>
      <c r="BY532" s="2" t="s">
        <v>112</v>
      </c>
      <c r="BZ532" s="2" t="s">
        <v>100</v>
      </c>
    </row>
    <row r="533">
      <c r="A533" s="2" t="s">
        <v>2115</v>
      </c>
      <c r="B533" s="2" t="s">
        <v>87</v>
      </c>
      <c r="C533" s="2" t="s">
        <v>88</v>
      </c>
      <c r="D533" s="2" t="s">
        <v>89</v>
      </c>
      <c r="E533" s="2" t="s">
        <v>2098</v>
      </c>
      <c r="F533" s="2" t="s">
        <v>2099</v>
      </c>
      <c r="G533" s="2" t="s">
        <v>2100</v>
      </c>
      <c r="H533" s="2" t="s">
        <v>2101</v>
      </c>
      <c r="I533" s="2" t="s">
        <v>2111</v>
      </c>
      <c r="J533" s="2" t="s">
        <v>850</v>
      </c>
      <c r="K533" s="2" t="s">
        <v>1935</v>
      </c>
      <c r="L533" s="3">
        <v>84.6</v>
      </c>
      <c r="M533" s="3">
        <v>88.83</v>
      </c>
      <c r="N533" s="3">
        <v>179.99</v>
      </c>
      <c r="O533" s="2" t="s">
        <v>97</v>
      </c>
      <c r="P533" s="2" t="s">
        <v>143</v>
      </c>
      <c r="Q533" s="2" t="s">
        <v>99</v>
      </c>
      <c r="R533" s="2" t="s">
        <v>100</v>
      </c>
      <c r="S533" s="2" t="s">
        <v>2103</v>
      </c>
      <c r="T533" s="2" t="s">
        <v>732</v>
      </c>
      <c r="U533" s="2" t="s">
        <v>1610</v>
      </c>
      <c r="V533" s="2" t="s">
        <v>455</v>
      </c>
      <c r="W533" s="2" t="s">
        <v>733</v>
      </c>
      <c r="X533" s="2" t="s">
        <v>2105</v>
      </c>
      <c r="Y533" s="2" t="s">
        <v>2112</v>
      </c>
      <c r="Z533" s="4">
        <v>1683</v>
      </c>
      <c r="AA533" s="4">
        <f>=ROUNDDOWN(42.075,0)</f>
      </c>
      <c r="AB533" s="5">
        <v>40</v>
      </c>
      <c r="AC533" s="2" t="s">
        <v>130</v>
      </c>
      <c r="AD533" s="4">
        <v>110</v>
      </c>
      <c r="AE533" s="4">
        <v>410</v>
      </c>
      <c r="AF533" s="6">
        <v>71</v>
      </c>
      <c r="AG533" s="6">
        <v>79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>
        <v>0</v>
      </c>
      <c r="AP533" s="4">
        <v>1</v>
      </c>
      <c r="AQ533" s="8">
        <v>88.83</v>
      </c>
      <c r="AR533" s="4">
        <v>2</v>
      </c>
      <c r="AS533" s="8">
        <v>177.66</v>
      </c>
      <c r="AT533" s="7">
        <v>-0.5</v>
      </c>
      <c r="AU533" s="7">
        <v>-0.5</v>
      </c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>
        <v>0.2232</v>
      </c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 t="s">
        <v>100</v>
      </c>
      <c r="BJ533" s="4">
        <v>937</v>
      </c>
      <c r="BK533" s="8">
        <v>83641.67</v>
      </c>
      <c r="BL533" s="2" t="s">
        <v>2116</v>
      </c>
      <c r="BM533" s="7">
        <v>0.0011</v>
      </c>
      <c r="BN533" s="7">
        <v>0.0011</v>
      </c>
      <c r="BO533" s="4">
        <v>1</v>
      </c>
      <c r="BP533" s="8">
        <v>88.83</v>
      </c>
      <c r="BQ533" s="4">
        <v>2</v>
      </c>
      <c r="BR533" s="8">
        <v>177.66</v>
      </c>
      <c r="BS533" s="7">
        <v>-0.5</v>
      </c>
      <c r="BT533" s="7">
        <v>-0.5</v>
      </c>
      <c r="BU533" s="2" t="s">
        <v>109</v>
      </c>
      <c r="BV533" s="2" t="s">
        <v>97</v>
      </c>
      <c r="BW533" s="2" t="s">
        <v>110</v>
      </c>
      <c r="BX533" s="2" t="s">
        <v>2117</v>
      </c>
      <c r="BY533" s="2" t="s">
        <v>112</v>
      </c>
      <c r="BZ533" s="2" t="s">
        <v>100</v>
      </c>
    </row>
    <row r="534">
      <c r="A534" s="2" t="s">
        <v>2118</v>
      </c>
      <c r="B534" s="2" t="s">
        <v>87</v>
      </c>
      <c r="C534" s="2" t="s">
        <v>88</v>
      </c>
      <c r="D534" s="2" t="s">
        <v>89</v>
      </c>
      <c r="E534" s="2" t="s">
        <v>2098</v>
      </c>
      <c r="F534" s="2" t="s">
        <v>2099</v>
      </c>
      <c r="G534" s="2" t="s">
        <v>2100</v>
      </c>
      <c r="H534" s="2" t="s">
        <v>2101</v>
      </c>
      <c r="I534" s="2" t="s">
        <v>2111</v>
      </c>
      <c r="J534" s="2" t="s">
        <v>844</v>
      </c>
      <c r="K534" s="2" t="s">
        <v>650</v>
      </c>
      <c r="L534" s="3">
        <v>73.6</v>
      </c>
      <c r="M534" s="3">
        <v>77.28</v>
      </c>
      <c r="N534" s="3">
        <v>159.99</v>
      </c>
      <c r="O534" s="2" t="s">
        <v>97</v>
      </c>
      <c r="P534" s="2" t="s">
        <v>182</v>
      </c>
      <c r="Q534" s="2" t="s">
        <v>99</v>
      </c>
      <c r="R534" s="2" t="s">
        <v>100</v>
      </c>
      <c r="S534" s="2" t="s">
        <v>2119</v>
      </c>
      <c r="T534" s="2" t="s">
        <v>732</v>
      </c>
      <c r="U534" s="2" t="s">
        <v>1610</v>
      </c>
      <c r="V534" s="2" t="s">
        <v>455</v>
      </c>
      <c r="W534" s="2" t="s">
        <v>733</v>
      </c>
      <c r="X534" s="2" t="s">
        <v>2105</v>
      </c>
      <c r="Y534" s="2" t="s">
        <v>2112</v>
      </c>
      <c r="Z534" s="4">
        <v>384</v>
      </c>
      <c r="AA534" s="4">
        <f>=ROUNDDOWN(25.6,0)</f>
      </c>
      <c r="AB534" s="5">
        <v>15</v>
      </c>
      <c r="AC534" s="2" t="s">
        <v>2120</v>
      </c>
      <c r="AD534" s="4">
        <v>50</v>
      </c>
      <c r="AE534" s="4">
        <v>310</v>
      </c>
      <c r="AF534" s="6">
        <v>71</v>
      </c>
      <c r="AG534" s="6">
        <v>79</v>
      </c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 t="s">
        <v>100</v>
      </c>
      <c r="BJ534" s="4">
        <v>321</v>
      </c>
      <c r="BK534" s="8">
        <v>25318.74</v>
      </c>
      <c r="BL534" s="2" t="s">
        <v>2121</v>
      </c>
      <c r="BM534" s="7"/>
      <c r="BN534" s="7"/>
      <c r="BO534" s="4"/>
      <c r="BP534" s="8"/>
      <c r="BQ534" s="4"/>
      <c r="BR534" s="8"/>
      <c r="BS534" s="7"/>
      <c r="BT534" s="7"/>
      <c r="BU534" s="2" t="s">
        <v>147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2122</v>
      </c>
      <c r="B535" s="2" t="s">
        <v>87</v>
      </c>
      <c r="C535" s="2" t="s">
        <v>88</v>
      </c>
      <c r="D535" s="2" t="s">
        <v>89</v>
      </c>
      <c r="E535" s="2" t="s">
        <v>2098</v>
      </c>
      <c r="F535" s="2" t="s">
        <v>2099</v>
      </c>
      <c r="G535" s="2" t="s">
        <v>2100</v>
      </c>
      <c r="H535" s="2" t="s">
        <v>2101</v>
      </c>
      <c r="I535" s="2" t="s">
        <v>2111</v>
      </c>
      <c r="J535" s="2" t="s">
        <v>850</v>
      </c>
      <c r="K535" s="2" t="s">
        <v>650</v>
      </c>
      <c r="L535" s="3">
        <v>84.6</v>
      </c>
      <c r="M535" s="3">
        <v>88.83</v>
      </c>
      <c r="N535" s="3">
        <v>179.99</v>
      </c>
      <c r="O535" s="2" t="s">
        <v>97</v>
      </c>
      <c r="P535" s="2" t="s">
        <v>182</v>
      </c>
      <c r="Q535" s="2" t="s">
        <v>99</v>
      </c>
      <c r="R535" s="2" t="s">
        <v>100</v>
      </c>
      <c r="S535" s="2" t="s">
        <v>2119</v>
      </c>
      <c r="T535" s="2" t="s">
        <v>732</v>
      </c>
      <c r="U535" s="2" t="s">
        <v>1610</v>
      </c>
      <c r="V535" s="2" t="s">
        <v>455</v>
      </c>
      <c r="W535" s="2" t="s">
        <v>733</v>
      </c>
      <c r="X535" s="2" t="s">
        <v>2105</v>
      </c>
      <c r="Y535" s="2" t="s">
        <v>2112</v>
      </c>
      <c r="Z535" s="4">
        <v>287</v>
      </c>
      <c r="AA535" s="4">
        <f>=ROUNDDOWN(31.8888888888889,0)</f>
      </c>
      <c r="AB535" s="5">
        <v>9</v>
      </c>
      <c r="AC535" s="2" t="s">
        <v>130</v>
      </c>
      <c r="AD535" s="4">
        <v>50</v>
      </c>
      <c r="AE535" s="4">
        <v>310</v>
      </c>
      <c r="AF535" s="6">
        <v>71</v>
      </c>
      <c r="AG535" s="6">
        <v>79</v>
      </c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 t="s">
        <v>100</v>
      </c>
      <c r="BJ535" s="4">
        <v>240</v>
      </c>
      <c r="BK535" s="8">
        <v>21147.83</v>
      </c>
      <c r="BL535" s="2" t="s">
        <v>2123</v>
      </c>
      <c r="BM535" s="7"/>
      <c r="BN535" s="7"/>
      <c r="BO535" s="4"/>
      <c r="BP535" s="8"/>
      <c r="BQ535" s="4"/>
      <c r="BR535" s="8"/>
      <c r="BS535" s="7"/>
      <c r="BT535" s="7"/>
      <c r="BU535" s="2" t="s">
        <v>147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2124</v>
      </c>
      <c r="B536" s="2" t="s">
        <v>87</v>
      </c>
      <c r="C536" s="2" t="s">
        <v>88</v>
      </c>
      <c r="D536" s="2" t="s">
        <v>89</v>
      </c>
      <c r="E536" s="2" t="s">
        <v>2098</v>
      </c>
      <c r="F536" s="2" t="s">
        <v>2099</v>
      </c>
      <c r="G536" s="2" t="s">
        <v>2100</v>
      </c>
      <c r="H536" s="2" t="s">
        <v>2101</v>
      </c>
      <c r="I536" s="2" t="s">
        <v>2111</v>
      </c>
      <c r="J536" s="2" t="s">
        <v>844</v>
      </c>
      <c r="K536" s="2" t="s">
        <v>333</v>
      </c>
      <c r="L536" s="3">
        <v>73.6</v>
      </c>
      <c r="M536" s="3">
        <v>77.28</v>
      </c>
      <c r="N536" s="3">
        <v>159.99</v>
      </c>
      <c r="O536" s="2" t="s">
        <v>97</v>
      </c>
      <c r="P536" s="2" t="s">
        <v>182</v>
      </c>
      <c r="Q536" s="2" t="s">
        <v>99</v>
      </c>
      <c r="R536" s="2" t="s">
        <v>100</v>
      </c>
      <c r="S536" s="2" t="s">
        <v>2125</v>
      </c>
      <c r="T536" s="2" t="s">
        <v>732</v>
      </c>
      <c r="U536" s="2" t="s">
        <v>1610</v>
      </c>
      <c r="V536" s="2" t="s">
        <v>455</v>
      </c>
      <c r="W536" s="2" t="s">
        <v>733</v>
      </c>
      <c r="X536" s="2" t="s">
        <v>2105</v>
      </c>
      <c r="Y536" s="2" t="s">
        <v>2112</v>
      </c>
      <c r="Z536" s="4">
        <v>369</v>
      </c>
      <c r="AA536" s="4">
        <f>=ROUNDDOWN(36.9,0)</f>
      </c>
      <c r="AB536" s="5">
        <v>10</v>
      </c>
      <c r="AC536" s="2" t="s">
        <v>2120</v>
      </c>
      <c r="AD536" s="4">
        <v>40</v>
      </c>
      <c r="AE536" s="4">
        <v>100</v>
      </c>
      <c r="AF536" s="6">
        <v>71</v>
      </c>
      <c r="AG536" s="6">
        <v>79</v>
      </c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 t="s">
        <v>100</v>
      </c>
      <c r="BJ536" s="4">
        <v>155</v>
      </c>
      <c r="BK536" s="8">
        <v>12238.64</v>
      </c>
      <c r="BL536" s="2" t="s">
        <v>2126</v>
      </c>
      <c r="BM536" s="7"/>
      <c r="BN536" s="7"/>
      <c r="BO536" s="4"/>
      <c r="BP536" s="8"/>
      <c r="BQ536" s="4"/>
      <c r="BR536" s="8"/>
      <c r="BS536" s="7"/>
      <c r="BT536" s="7"/>
      <c r="BU536" s="2" t="s">
        <v>147</v>
      </c>
      <c r="BV536" s="2" t="s">
        <v>97</v>
      </c>
      <c r="BW536" s="2" t="s">
        <v>100</v>
      </c>
      <c r="BX536" s="2" t="s">
        <v>100</v>
      </c>
      <c r="BY536" s="2" t="s">
        <v>112</v>
      </c>
      <c r="BZ536" s="2" t="s">
        <v>100</v>
      </c>
    </row>
    <row r="537">
      <c r="A537" s="2" t="s">
        <v>2127</v>
      </c>
      <c r="B537" s="2" t="s">
        <v>87</v>
      </c>
      <c r="C537" s="2" t="s">
        <v>88</v>
      </c>
      <c r="D537" s="2" t="s">
        <v>89</v>
      </c>
      <c r="E537" s="2" t="s">
        <v>2098</v>
      </c>
      <c r="F537" s="2" t="s">
        <v>2099</v>
      </c>
      <c r="G537" s="2" t="s">
        <v>2100</v>
      </c>
      <c r="H537" s="2" t="s">
        <v>2101</v>
      </c>
      <c r="I537" s="2" t="s">
        <v>2111</v>
      </c>
      <c r="J537" s="2" t="s">
        <v>850</v>
      </c>
      <c r="K537" s="2" t="s">
        <v>333</v>
      </c>
      <c r="L537" s="3">
        <v>84.6</v>
      </c>
      <c r="M537" s="3">
        <v>88.83</v>
      </c>
      <c r="N537" s="3">
        <v>179.99</v>
      </c>
      <c r="O537" s="2" t="s">
        <v>97</v>
      </c>
      <c r="P537" s="2" t="s">
        <v>182</v>
      </c>
      <c r="Q537" s="2" t="s">
        <v>99</v>
      </c>
      <c r="R537" s="2" t="s">
        <v>100</v>
      </c>
      <c r="S537" s="2" t="s">
        <v>2125</v>
      </c>
      <c r="T537" s="2" t="s">
        <v>732</v>
      </c>
      <c r="U537" s="2" t="s">
        <v>1610</v>
      </c>
      <c r="V537" s="2" t="s">
        <v>455</v>
      </c>
      <c r="W537" s="2" t="s">
        <v>733</v>
      </c>
      <c r="X537" s="2" t="s">
        <v>2105</v>
      </c>
      <c r="Y537" s="2" t="s">
        <v>2112</v>
      </c>
      <c r="Z537" s="4">
        <v>570</v>
      </c>
      <c r="AA537" s="4">
        <f>=ROUNDDOWN(38,0)</f>
      </c>
      <c r="AB537" s="5">
        <v>15</v>
      </c>
      <c r="AC537" s="2" t="s">
        <v>2120</v>
      </c>
      <c r="AD537" s="4">
        <v>90</v>
      </c>
      <c r="AE537" s="4">
        <v>240</v>
      </c>
      <c r="AF537" s="6">
        <v>71</v>
      </c>
      <c r="AG537" s="6">
        <v>79</v>
      </c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 t="s">
        <v>100</v>
      </c>
      <c r="BJ537" s="4">
        <v>423</v>
      </c>
      <c r="BK537" s="8">
        <v>38093.98</v>
      </c>
      <c r="BL537" s="2" t="s">
        <v>2128</v>
      </c>
      <c r="BM537" s="7"/>
      <c r="BN537" s="7"/>
      <c r="BO537" s="4"/>
      <c r="BP537" s="8"/>
      <c r="BQ537" s="4"/>
      <c r="BR537" s="8"/>
      <c r="BS537" s="7"/>
      <c r="BT537" s="7"/>
      <c r="BU537" s="2" t="s">
        <v>147</v>
      </c>
      <c r="BV537" s="2" t="s">
        <v>97</v>
      </c>
      <c r="BW537" s="2" t="s">
        <v>100</v>
      </c>
      <c r="BX537" s="2" t="s">
        <v>100</v>
      </c>
      <c r="BY537" s="2" t="s">
        <v>112</v>
      </c>
      <c r="BZ537" s="2" t="s">
        <v>100</v>
      </c>
    </row>
    <row r="538">
      <c r="A538" s="2" t="s">
        <v>2129</v>
      </c>
      <c r="B538" s="2" t="s">
        <v>87</v>
      </c>
      <c r="C538" s="2" t="s">
        <v>88</v>
      </c>
      <c r="D538" s="2" t="s">
        <v>89</v>
      </c>
      <c r="E538" s="2" t="s">
        <v>2098</v>
      </c>
      <c r="F538" s="2" t="s">
        <v>2099</v>
      </c>
      <c r="G538" s="2" t="s">
        <v>2100</v>
      </c>
      <c r="H538" s="2" t="s">
        <v>2101</v>
      </c>
      <c r="I538" s="2" t="s">
        <v>2130</v>
      </c>
      <c r="J538" s="2" t="s">
        <v>844</v>
      </c>
      <c r="K538" s="2" t="s">
        <v>622</v>
      </c>
      <c r="L538" s="3">
        <v>73.6</v>
      </c>
      <c r="M538" s="3">
        <v>77.28</v>
      </c>
      <c r="N538" s="3">
        <v>159.99</v>
      </c>
      <c r="O538" s="2" t="s">
        <v>97</v>
      </c>
      <c r="P538" s="2" t="s">
        <v>98</v>
      </c>
      <c r="Q538" s="2" t="s">
        <v>99</v>
      </c>
      <c r="R538" s="2" t="s">
        <v>100</v>
      </c>
      <c r="S538" s="2" t="s">
        <v>2131</v>
      </c>
      <c r="T538" s="2" t="s">
        <v>732</v>
      </c>
      <c r="U538" s="2" t="s">
        <v>1610</v>
      </c>
      <c r="V538" s="2" t="s">
        <v>455</v>
      </c>
      <c r="W538" s="2" t="s">
        <v>733</v>
      </c>
      <c r="X538" s="2" t="s">
        <v>2105</v>
      </c>
      <c r="Y538" s="2" t="s">
        <v>2132</v>
      </c>
      <c r="Z538" s="4">
        <v>235</v>
      </c>
      <c r="AA538" s="4">
        <f>=ROUNDDOWN(15.6666666666667,0)</f>
      </c>
      <c r="AB538" s="5">
        <v>15</v>
      </c>
      <c r="AC538" s="2" t="s">
        <v>1328</v>
      </c>
      <c r="AD538" s="4">
        <v>260</v>
      </c>
      <c r="AE538" s="4">
        <v>370</v>
      </c>
      <c r="AF538" s="6">
        <v>71</v>
      </c>
      <c r="AG538" s="6">
        <v>79</v>
      </c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 t="s">
        <v>100</v>
      </c>
      <c r="BJ538" s="4">
        <v>281</v>
      </c>
      <c r="BK538" s="8">
        <v>22227.88</v>
      </c>
      <c r="BL538" s="2" t="s">
        <v>2133</v>
      </c>
      <c r="BM538" s="7"/>
      <c r="BN538" s="7"/>
      <c r="BO538" s="4"/>
      <c r="BP538" s="8"/>
      <c r="BQ538" s="4"/>
      <c r="BR538" s="8"/>
      <c r="BS538" s="7"/>
      <c r="BT538" s="7"/>
      <c r="BU538" s="2" t="s">
        <v>147</v>
      </c>
      <c r="BV538" s="2" t="s">
        <v>97</v>
      </c>
      <c r="BW538" s="2" t="s">
        <v>100</v>
      </c>
      <c r="BX538" s="2" t="s">
        <v>100</v>
      </c>
      <c r="BY538" s="2" t="s">
        <v>112</v>
      </c>
      <c r="BZ538" s="2" t="s">
        <v>100</v>
      </c>
    </row>
    <row r="539">
      <c r="A539" s="2" t="s">
        <v>2134</v>
      </c>
      <c r="B539" s="2" t="s">
        <v>87</v>
      </c>
      <c r="C539" s="2" t="s">
        <v>88</v>
      </c>
      <c r="D539" s="2" t="s">
        <v>89</v>
      </c>
      <c r="E539" s="2" t="s">
        <v>2098</v>
      </c>
      <c r="F539" s="2" t="s">
        <v>2099</v>
      </c>
      <c r="G539" s="2" t="s">
        <v>2100</v>
      </c>
      <c r="H539" s="2" t="s">
        <v>2101</v>
      </c>
      <c r="I539" s="2" t="s">
        <v>2130</v>
      </c>
      <c r="J539" s="2" t="s">
        <v>850</v>
      </c>
      <c r="K539" s="2" t="s">
        <v>622</v>
      </c>
      <c r="L539" s="3">
        <v>84.6</v>
      </c>
      <c r="M539" s="3">
        <v>88.83</v>
      </c>
      <c r="N539" s="3">
        <v>179.99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2131</v>
      </c>
      <c r="T539" s="2" t="s">
        <v>732</v>
      </c>
      <c r="U539" s="2" t="s">
        <v>1610</v>
      </c>
      <c r="V539" s="2" t="s">
        <v>455</v>
      </c>
      <c r="W539" s="2" t="s">
        <v>733</v>
      </c>
      <c r="X539" s="2" t="s">
        <v>2105</v>
      </c>
      <c r="Y539" s="2" t="s">
        <v>2132</v>
      </c>
      <c r="Z539" s="4">
        <v>655</v>
      </c>
      <c r="AA539" s="4">
        <f>=ROUNDDOWN(26.2,0)</f>
      </c>
      <c r="AB539" s="5">
        <v>25</v>
      </c>
      <c r="AC539" s="2" t="s">
        <v>1328</v>
      </c>
      <c r="AD539" s="4">
        <v>150</v>
      </c>
      <c r="AE539" s="4">
        <v>709</v>
      </c>
      <c r="AF539" s="6">
        <v>71</v>
      </c>
      <c r="AG539" s="6">
        <v>79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100</v>
      </c>
      <c r="AW539" s="8" t="s">
        <v>100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 t="s">
        <v>100</v>
      </c>
      <c r="BD539" s="8" t="s">
        <v>100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 t="s">
        <v>100</v>
      </c>
      <c r="BJ539" s="4">
        <v>510</v>
      </c>
      <c r="BK539" s="8">
        <v>46240.09</v>
      </c>
      <c r="BL539" s="2" t="s">
        <v>2135</v>
      </c>
      <c r="BM539" s="7"/>
      <c r="BN539" s="7"/>
      <c r="BO539" s="4"/>
      <c r="BP539" s="8"/>
      <c r="BQ539" s="4"/>
      <c r="BR539" s="8"/>
      <c r="BS539" s="7"/>
      <c r="BT539" s="7"/>
      <c r="BU539" s="2" t="s">
        <v>147</v>
      </c>
      <c r="BV539" s="2" t="s">
        <v>97</v>
      </c>
      <c r="BW539" s="2" t="s">
        <v>100</v>
      </c>
      <c r="BX539" s="2" t="s">
        <v>100</v>
      </c>
      <c r="BY539" s="2" t="s">
        <v>112</v>
      </c>
      <c r="BZ539" s="2" t="s">
        <v>100</v>
      </c>
    </row>
    <row r="540">
      <c r="A540" s="2" t="s">
        <v>2136</v>
      </c>
      <c r="B540" s="2" t="s">
        <v>87</v>
      </c>
      <c r="C540" s="2" t="s">
        <v>88</v>
      </c>
      <c r="D540" s="2" t="s">
        <v>89</v>
      </c>
      <c r="E540" s="2" t="s">
        <v>2098</v>
      </c>
      <c r="F540" s="2" t="s">
        <v>2137</v>
      </c>
      <c r="G540" s="2" t="s">
        <v>2138</v>
      </c>
      <c r="H540" s="2" t="s">
        <v>2139</v>
      </c>
      <c r="I540" s="2" t="s">
        <v>2140</v>
      </c>
      <c r="J540" s="2" t="s">
        <v>844</v>
      </c>
      <c r="K540" s="2" t="s">
        <v>1935</v>
      </c>
      <c r="L540" s="3">
        <v>69.92</v>
      </c>
      <c r="M540" s="3">
        <v>73.42</v>
      </c>
      <c r="N540" s="3">
        <v>139.99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2141</v>
      </c>
      <c r="T540" s="2" t="s">
        <v>732</v>
      </c>
      <c r="U540" s="2" t="s">
        <v>1610</v>
      </c>
      <c r="V540" s="2" t="s">
        <v>404</v>
      </c>
      <c r="W540" s="2" t="s">
        <v>733</v>
      </c>
      <c r="X540" s="2" t="s">
        <v>791</v>
      </c>
      <c r="Y540" s="2" t="s">
        <v>2142</v>
      </c>
      <c r="Z540" s="4">
        <v>740</v>
      </c>
      <c r="AA540" s="4">
        <f>=ROUNDDOWN(28.4615384615385,0)</f>
      </c>
      <c r="AB540" s="5">
        <v>26</v>
      </c>
      <c r="AC540" s="2" t="s">
        <v>2143</v>
      </c>
      <c r="AD540" s="4">
        <v>185</v>
      </c>
      <c r="AE540" s="4">
        <v>555</v>
      </c>
      <c r="AF540" s="6">
        <v>71</v>
      </c>
      <c r="AG540" s="6">
        <v>79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>
        <v>0</v>
      </c>
      <c r="AP540" s="4">
        <v>2</v>
      </c>
      <c r="AQ540" s="8">
        <v>146.84</v>
      </c>
      <c r="AR540" s="4">
        <v>1</v>
      </c>
      <c r="AS540" s="8">
        <v>77.28</v>
      </c>
      <c r="AT540" s="7">
        <v>1</v>
      </c>
      <c r="AU540" s="7">
        <v>0.9001</v>
      </c>
      <c r="AV540" s="4">
        <v>3</v>
      </c>
      <c r="AW540" s="8">
        <v>233.02</v>
      </c>
      <c r="AX540" s="4">
        <v>5</v>
      </c>
      <c r="AY540" s="8">
        <v>435.62</v>
      </c>
      <c r="AZ540" s="7">
        <v>-0.4</v>
      </c>
      <c r="BA540" s="7">
        <v>-0.4651</v>
      </c>
      <c r="BB540" s="7">
        <v>0.6302</v>
      </c>
      <c r="BC540" s="4">
        <v>3</v>
      </c>
      <c r="BD540" s="8">
        <v>233.02</v>
      </c>
      <c r="BE540" s="4">
        <v>5</v>
      </c>
      <c r="BF540" s="8">
        <v>435.62</v>
      </c>
      <c r="BG540" s="7">
        <v>-0.4</v>
      </c>
      <c r="BH540" s="7">
        <v>-0.4651</v>
      </c>
      <c r="BI540" s="7">
        <v>1</v>
      </c>
      <c r="BJ540" s="4">
        <v>520</v>
      </c>
      <c r="BK540" s="8">
        <v>40885.25</v>
      </c>
      <c r="BL540" s="2" t="s">
        <v>2144</v>
      </c>
      <c r="BM540" s="7">
        <v>0.0038</v>
      </c>
      <c r="BN540" s="7">
        <v>0.0036</v>
      </c>
      <c r="BO540" s="4">
        <v>2</v>
      </c>
      <c r="BP540" s="8">
        <v>146.84</v>
      </c>
      <c r="BQ540" s="4">
        <v>1</v>
      </c>
      <c r="BR540" s="8">
        <v>77.28</v>
      </c>
      <c r="BS540" s="7">
        <v>1</v>
      </c>
      <c r="BT540" s="7">
        <v>0.9001</v>
      </c>
      <c r="BU540" s="2" t="s">
        <v>109</v>
      </c>
      <c r="BV540" s="2" t="s">
        <v>97</v>
      </c>
      <c r="BW540" s="2" t="s">
        <v>606</v>
      </c>
      <c r="BX540" s="2" t="s">
        <v>883</v>
      </c>
      <c r="BY540" s="2" t="s">
        <v>112</v>
      </c>
      <c r="BZ540" s="2" t="s">
        <v>100</v>
      </c>
    </row>
    <row r="541">
      <c r="A541" s="2" t="s">
        <v>2145</v>
      </c>
      <c r="B541" s="2" t="s">
        <v>87</v>
      </c>
      <c r="C541" s="2" t="s">
        <v>88</v>
      </c>
      <c r="D541" s="2" t="s">
        <v>89</v>
      </c>
      <c r="E541" s="2" t="s">
        <v>2098</v>
      </c>
      <c r="F541" s="2" t="s">
        <v>2137</v>
      </c>
      <c r="G541" s="2" t="s">
        <v>2138</v>
      </c>
      <c r="H541" s="2" t="s">
        <v>2139</v>
      </c>
      <c r="I541" s="2" t="s">
        <v>2140</v>
      </c>
      <c r="J541" s="2" t="s">
        <v>850</v>
      </c>
      <c r="K541" s="2" t="s">
        <v>1935</v>
      </c>
      <c r="L541" s="3">
        <v>82.07</v>
      </c>
      <c r="M541" s="3">
        <v>86.17</v>
      </c>
      <c r="N541" s="3">
        <v>159.99</v>
      </c>
      <c r="O541" s="2" t="s">
        <v>97</v>
      </c>
      <c r="P541" s="2" t="s">
        <v>98</v>
      </c>
      <c r="Q541" s="2" t="s">
        <v>99</v>
      </c>
      <c r="R541" s="2" t="s">
        <v>100</v>
      </c>
      <c r="S541" s="2" t="s">
        <v>2141</v>
      </c>
      <c r="T541" s="2" t="s">
        <v>732</v>
      </c>
      <c r="U541" s="2" t="s">
        <v>1610</v>
      </c>
      <c r="V541" s="2" t="s">
        <v>404</v>
      </c>
      <c r="W541" s="2" t="s">
        <v>733</v>
      </c>
      <c r="X541" s="2" t="s">
        <v>791</v>
      </c>
      <c r="Y541" s="2" t="s">
        <v>2142</v>
      </c>
      <c r="Z541" s="4">
        <v>1111</v>
      </c>
      <c r="AA541" s="4">
        <f>=ROUNDDOWN(38.3103448275862,0)</f>
      </c>
      <c r="AB541" s="5">
        <v>29</v>
      </c>
      <c r="AC541" s="2" t="s">
        <v>1328</v>
      </c>
      <c r="AD541" s="4">
        <v>60</v>
      </c>
      <c r="AE541" s="4">
        <v>570</v>
      </c>
      <c r="AF541" s="6">
        <v>71</v>
      </c>
      <c r="AG541" s="6">
        <v>79</v>
      </c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>
        <v>0</v>
      </c>
      <c r="AP541" s="4">
        <v>1</v>
      </c>
      <c r="AQ541" s="8">
        <v>86.18</v>
      </c>
      <c r="AR541" s="4">
        <v>4</v>
      </c>
      <c r="AS541" s="8">
        <v>358.34</v>
      </c>
      <c r="AT541" s="7">
        <v>-0.75</v>
      </c>
      <c r="AU541" s="7">
        <v>-0.7595</v>
      </c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>
        <v>0.3698</v>
      </c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510</v>
      </c>
      <c r="BK541" s="8">
        <v>45833.71</v>
      </c>
      <c r="BL541" s="2" t="s">
        <v>2146</v>
      </c>
      <c r="BM541" s="7">
        <v>0.002</v>
      </c>
      <c r="BN541" s="7">
        <v>0.0019</v>
      </c>
      <c r="BO541" s="4">
        <v>1</v>
      </c>
      <c r="BP541" s="8">
        <v>86.18</v>
      </c>
      <c r="BQ541" s="4">
        <v>4</v>
      </c>
      <c r="BR541" s="8">
        <v>358.34</v>
      </c>
      <c r="BS541" s="7">
        <v>-0.75</v>
      </c>
      <c r="BT541" s="7">
        <v>-0.7595</v>
      </c>
      <c r="BU541" s="2" t="s">
        <v>109</v>
      </c>
      <c r="BV541" s="2" t="s">
        <v>97</v>
      </c>
      <c r="BW541" s="2" t="s">
        <v>606</v>
      </c>
      <c r="BX541" s="2" t="s">
        <v>2147</v>
      </c>
      <c r="BY541" s="2" t="s">
        <v>112</v>
      </c>
      <c r="BZ541" s="2" t="s">
        <v>100</v>
      </c>
    </row>
    <row r="542">
      <c r="A542" s="2" t="s">
        <v>2148</v>
      </c>
      <c r="B542" s="2" t="s">
        <v>87</v>
      </c>
      <c r="C542" s="2" t="s">
        <v>88</v>
      </c>
      <c r="D542" s="2" t="s">
        <v>89</v>
      </c>
      <c r="E542" s="2" t="s">
        <v>2098</v>
      </c>
      <c r="F542" s="2" t="s">
        <v>2137</v>
      </c>
      <c r="G542" s="2" t="s">
        <v>2138</v>
      </c>
      <c r="H542" s="2" t="s">
        <v>2139</v>
      </c>
      <c r="I542" s="2" t="s">
        <v>2149</v>
      </c>
      <c r="J542" s="2" t="s">
        <v>844</v>
      </c>
      <c r="K542" s="2" t="s">
        <v>622</v>
      </c>
      <c r="L542" s="3">
        <v>69.92</v>
      </c>
      <c r="M542" s="3">
        <v>73.42</v>
      </c>
      <c r="N542" s="3">
        <v>139.99</v>
      </c>
      <c r="O542" s="2" t="s">
        <v>97</v>
      </c>
      <c r="P542" s="2" t="s">
        <v>182</v>
      </c>
      <c r="Q542" s="2" t="s">
        <v>99</v>
      </c>
      <c r="R542" s="2" t="s">
        <v>100</v>
      </c>
      <c r="S542" s="2" t="s">
        <v>2150</v>
      </c>
      <c r="T542" s="2" t="s">
        <v>100</v>
      </c>
      <c r="U542" s="2" t="s">
        <v>1610</v>
      </c>
      <c r="V542" s="2" t="s">
        <v>404</v>
      </c>
      <c r="W542" s="2" t="s">
        <v>733</v>
      </c>
      <c r="X542" s="2" t="s">
        <v>791</v>
      </c>
      <c r="Y542" s="2" t="s">
        <v>2151</v>
      </c>
      <c r="Z542" s="4">
        <v>254</v>
      </c>
      <c r="AA542" s="4">
        <f>=ROUNDDOWN(19.5384615384615,0)</f>
      </c>
      <c r="AB542" s="5">
        <v>13</v>
      </c>
      <c r="AC542" s="2" t="s">
        <v>2152</v>
      </c>
      <c r="AD542" s="4">
        <v>220</v>
      </c>
      <c r="AE542" s="4">
        <v>550</v>
      </c>
      <c r="AF542" s="6">
        <v>71</v>
      </c>
      <c r="AG542" s="6">
        <v>79</v>
      </c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274</v>
      </c>
      <c r="BK542" s="8">
        <v>22278.37</v>
      </c>
      <c r="BL542" s="2" t="s">
        <v>2153</v>
      </c>
      <c r="BM542" s="7"/>
      <c r="BN542" s="7"/>
      <c r="BO542" s="4"/>
      <c r="BP542" s="8"/>
      <c r="BQ542" s="4"/>
      <c r="BR542" s="8"/>
      <c r="BS542" s="7"/>
      <c r="BT542" s="7"/>
      <c r="BU542" s="2" t="s">
        <v>147</v>
      </c>
      <c r="BV542" s="2" t="s">
        <v>97</v>
      </c>
      <c r="BW542" s="2" t="s">
        <v>100</v>
      </c>
      <c r="BX542" s="2" t="s">
        <v>100</v>
      </c>
      <c r="BY542" s="2" t="s">
        <v>112</v>
      </c>
      <c r="BZ542" s="2" t="s">
        <v>100</v>
      </c>
    </row>
    <row r="543">
      <c r="A543" s="2" t="s">
        <v>2154</v>
      </c>
      <c r="B543" s="2" t="s">
        <v>87</v>
      </c>
      <c r="C543" s="2" t="s">
        <v>88</v>
      </c>
      <c r="D543" s="2" t="s">
        <v>89</v>
      </c>
      <c r="E543" s="2" t="s">
        <v>2098</v>
      </c>
      <c r="F543" s="2" t="s">
        <v>2137</v>
      </c>
      <c r="G543" s="2" t="s">
        <v>2138</v>
      </c>
      <c r="H543" s="2" t="s">
        <v>2139</v>
      </c>
      <c r="I543" s="2" t="s">
        <v>2149</v>
      </c>
      <c r="J543" s="2" t="s">
        <v>850</v>
      </c>
      <c r="K543" s="2" t="s">
        <v>622</v>
      </c>
      <c r="L543" s="3">
        <v>82.07</v>
      </c>
      <c r="M543" s="3">
        <v>86.17</v>
      </c>
      <c r="N543" s="3">
        <v>159.99</v>
      </c>
      <c r="O543" s="2" t="s">
        <v>97</v>
      </c>
      <c r="P543" s="2" t="s">
        <v>182</v>
      </c>
      <c r="Q543" s="2" t="s">
        <v>99</v>
      </c>
      <c r="R543" s="2" t="s">
        <v>100</v>
      </c>
      <c r="S543" s="2" t="s">
        <v>2150</v>
      </c>
      <c r="T543" s="2" t="s">
        <v>100</v>
      </c>
      <c r="U543" s="2" t="s">
        <v>1610</v>
      </c>
      <c r="V543" s="2" t="s">
        <v>404</v>
      </c>
      <c r="W543" s="2" t="s">
        <v>733</v>
      </c>
      <c r="X543" s="2" t="s">
        <v>791</v>
      </c>
      <c r="Y543" s="2" t="s">
        <v>2132</v>
      </c>
      <c r="Z543" s="4">
        <v>649</v>
      </c>
      <c r="AA543" s="4">
        <f>=ROUNDDOWN(24.9615384615385,0)</f>
      </c>
      <c r="AB543" s="5">
        <v>26</v>
      </c>
      <c r="AC543" s="2" t="s">
        <v>2155</v>
      </c>
      <c r="AD543" s="4">
        <v>470</v>
      </c>
      <c r="AE543" s="4">
        <v>890</v>
      </c>
      <c r="AF543" s="6">
        <v>71</v>
      </c>
      <c r="AG543" s="6">
        <v>79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439</v>
      </c>
      <c r="BK543" s="8">
        <v>41529.4</v>
      </c>
      <c r="BL543" s="2" t="s">
        <v>2156</v>
      </c>
      <c r="BM543" s="7"/>
      <c r="BN543" s="7"/>
      <c r="BO543" s="4"/>
      <c r="BP543" s="8"/>
      <c r="BQ543" s="4"/>
      <c r="BR543" s="8"/>
      <c r="BS543" s="7"/>
      <c r="BT543" s="7"/>
      <c r="BU543" s="2" t="s">
        <v>147</v>
      </c>
      <c r="BV543" s="2" t="s">
        <v>97</v>
      </c>
      <c r="BW543" s="2" t="s">
        <v>100</v>
      </c>
      <c r="BX543" s="2" t="s">
        <v>100</v>
      </c>
      <c r="BY543" s="2" t="s">
        <v>112</v>
      </c>
      <c r="BZ543" s="2" t="s">
        <v>100</v>
      </c>
    </row>
    <row r="544">
      <c r="A544" s="2" t="s">
        <v>2157</v>
      </c>
      <c r="B544" s="2" t="s">
        <v>87</v>
      </c>
      <c r="C544" s="2" t="s">
        <v>88</v>
      </c>
      <c r="D544" s="2" t="s">
        <v>89</v>
      </c>
      <c r="E544" s="2" t="s">
        <v>2098</v>
      </c>
      <c r="F544" s="2" t="s">
        <v>2158</v>
      </c>
      <c r="G544" s="2" t="s">
        <v>2159</v>
      </c>
      <c r="H544" s="2" t="s">
        <v>2160</v>
      </c>
      <c r="I544" s="2" t="s">
        <v>2161</v>
      </c>
      <c r="J544" s="2" t="s">
        <v>844</v>
      </c>
      <c r="K544" s="2" t="s">
        <v>635</v>
      </c>
      <c r="L544" s="3">
        <v>57.6</v>
      </c>
      <c r="M544" s="3">
        <v>60.47</v>
      </c>
      <c r="N544" s="3">
        <v>119.99</v>
      </c>
      <c r="O544" s="2" t="s">
        <v>97</v>
      </c>
      <c r="P544" s="2" t="s">
        <v>1265</v>
      </c>
      <c r="Q544" s="2" t="s">
        <v>99</v>
      </c>
      <c r="R544" s="2" t="s">
        <v>100</v>
      </c>
      <c r="S544" s="2" t="s">
        <v>2162</v>
      </c>
      <c r="T544" s="2" t="s">
        <v>100</v>
      </c>
      <c r="U544" s="2" t="s">
        <v>1610</v>
      </c>
      <c r="V544" s="2" t="s">
        <v>601</v>
      </c>
      <c r="W544" s="2" t="s">
        <v>759</v>
      </c>
      <c r="X544" s="2" t="s">
        <v>1542</v>
      </c>
      <c r="Y544" s="2" t="s">
        <v>2163</v>
      </c>
      <c r="Z544" s="4">
        <v>283</v>
      </c>
      <c r="AA544" s="4">
        <f>=ROUNDDOWN(35.375,0)</f>
      </c>
      <c r="AB544" s="5">
        <v>8</v>
      </c>
      <c r="AC544" s="2" t="s">
        <v>512</v>
      </c>
      <c r="AD544" s="4">
        <v>119</v>
      </c>
      <c r="AE544" s="4">
        <v>149</v>
      </c>
      <c r="AF544" s="6">
        <v>65</v>
      </c>
      <c r="AG544" s="6">
        <v>73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/>
      <c r="BJ544" s="4">
        <v>143</v>
      </c>
      <c r="BK544" s="8">
        <v>8824.05</v>
      </c>
      <c r="BL544" s="2" t="s">
        <v>2164</v>
      </c>
      <c r="BM544" s="7"/>
      <c r="BN544" s="7"/>
      <c r="BO544" s="4"/>
      <c r="BP544" s="8"/>
      <c r="BQ544" s="4"/>
      <c r="BR544" s="8"/>
      <c r="BS544" s="7"/>
      <c r="BT544" s="7"/>
      <c r="BU544" s="2" t="s">
        <v>147</v>
      </c>
      <c r="BV544" s="2" t="s">
        <v>97</v>
      </c>
      <c r="BW544" s="2" t="s">
        <v>100</v>
      </c>
      <c r="BX544" s="2" t="s">
        <v>100</v>
      </c>
      <c r="BY544" s="2" t="s">
        <v>112</v>
      </c>
      <c r="BZ544" s="2" t="s">
        <v>100</v>
      </c>
    </row>
    <row r="545">
      <c r="A545" s="2" t="s">
        <v>2165</v>
      </c>
      <c r="B545" s="2" t="s">
        <v>87</v>
      </c>
      <c r="C545" s="2" t="s">
        <v>88</v>
      </c>
      <c r="D545" s="2" t="s">
        <v>89</v>
      </c>
      <c r="E545" s="2" t="s">
        <v>2098</v>
      </c>
      <c r="F545" s="2" t="s">
        <v>2158</v>
      </c>
      <c r="G545" s="2" t="s">
        <v>2159</v>
      </c>
      <c r="H545" s="2" t="s">
        <v>2160</v>
      </c>
      <c r="I545" s="2" t="s">
        <v>2161</v>
      </c>
      <c r="J545" s="2" t="s">
        <v>850</v>
      </c>
      <c r="K545" s="2" t="s">
        <v>635</v>
      </c>
      <c r="L545" s="3">
        <v>62.4</v>
      </c>
      <c r="M545" s="3">
        <v>65.51</v>
      </c>
      <c r="N545" s="3">
        <v>129.99</v>
      </c>
      <c r="O545" s="2" t="s">
        <v>97</v>
      </c>
      <c r="P545" s="2" t="s">
        <v>1265</v>
      </c>
      <c r="Q545" s="2" t="s">
        <v>99</v>
      </c>
      <c r="R545" s="2" t="s">
        <v>100</v>
      </c>
      <c r="S545" s="2" t="s">
        <v>2162</v>
      </c>
      <c r="T545" s="2" t="s">
        <v>100</v>
      </c>
      <c r="U545" s="2" t="s">
        <v>1610</v>
      </c>
      <c r="V545" s="2" t="s">
        <v>601</v>
      </c>
      <c r="W545" s="2" t="s">
        <v>759</v>
      </c>
      <c r="X545" s="2" t="s">
        <v>1542</v>
      </c>
      <c r="Y545" s="2" t="s">
        <v>2163</v>
      </c>
      <c r="Z545" s="4">
        <v>156</v>
      </c>
      <c r="AA545" s="4">
        <f>=ROUNDDOWN(26.4406779661017,0)</f>
      </c>
      <c r="AB545" s="5">
        <v>5.9</v>
      </c>
      <c r="AC545" s="2" t="s">
        <v>512</v>
      </c>
      <c r="AD545" s="4">
        <v>77</v>
      </c>
      <c r="AE545" s="4">
        <v>117</v>
      </c>
      <c r="AF545" s="6">
        <v>65</v>
      </c>
      <c r="AG545" s="6">
        <v>73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/>
      <c r="BJ545" s="4">
        <v>169</v>
      </c>
      <c r="BK545" s="8">
        <v>11399.87</v>
      </c>
      <c r="BL545" s="2" t="s">
        <v>2166</v>
      </c>
      <c r="BM545" s="7"/>
      <c r="BN545" s="7"/>
      <c r="BO545" s="4"/>
      <c r="BP545" s="8"/>
      <c r="BQ545" s="4"/>
      <c r="BR545" s="8"/>
      <c r="BS545" s="7"/>
      <c r="BT545" s="7"/>
      <c r="BU545" s="2" t="s">
        <v>147</v>
      </c>
      <c r="BV545" s="2" t="s">
        <v>97</v>
      </c>
      <c r="BW545" s="2" t="s">
        <v>100</v>
      </c>
      <c r="BX545" s="2" t="s">
        <v>100</v>
      </c>
      <c r="BY545" s="2" t="s">
        <v>112</v>
      </c>
      <c r="BZ545" s="2" t="s">
        <v>100</v>
      </c>
    </row>
    <row r="546">
      <c r="A546" s="2" t="s">
        <v>2167</v>
      </c>
      <c r="B546" s="2" t="s">
        <v>87</v>
      </c>
      <c r="C546" s="2" t="s">
        <v>88</v>
      </c>
      <c r="D546" s="2" t="s">
        <v>89</v>
      </c>
      <c r="E546" s="2" t="s">
        <v>2098</v>
      </c>
      <c r="F546" s="2" t="s">
        <v>2168</v>
      </c>
      <c r="G546" s="2" t="s">
        <v>2169</v>
      </c>
      <c r="H546" s="2" t="s">
        <v>2170</v>
      </c>
      <c r="I546" s="2" t="s">
        <v>2171</v>
      </c>
      <c r="J546" s="2" t="s">
        <v>844</v>
      </c>
      <c r="K546" s="2" t="s">
        <v>1935</v>
      </c>
      <c r="L546" s="3">
        <v>73.6</v>
      </c>
      <c r="M546" s="3">
        <v>77.28</v>
      </c>
      <c r="N546" s="3">
        <v>159.99</v>
      </c>
      <c r="O546" s="2" t="s">
        <v>97</v>
      </c>
      <c r="P546" s="2" t="s">
        <v>182</v>
      </c>
      <c r="Q546" s="2" t="s">
        <v>99</v>
      </c>
      <c r="R546" s="2" t="s">
        <v>100</v>
      </c>
      <c r="S546" s="2" t="s">
        <v>2172</v>
      </c>
      <c r="T546" s="2" t="s">
        <v>100</v>
      </c>
      <c r="U546" s="2" t="s">
        <v>1610</v>
      </c>
      <c r="V546" s="2" t="s">
        <v>906</v>
      </c>
      <c r="W546" s="2" t="s">
        <v>906</v>
      </c>
      <c r="X546" s="2" t="s">
        <v>185</v>
      </c>
      <c r="Y546" s="2" t="s">
        <v>2173</v>
      </c>
      <c r="Z546" s="4">
        <v>229</v>
      </c>
      <c r="AA546" s="4">
        <f>=ROUNDDOWN(17.6153846153846,0)</f>
      </c>
      <c r="AB546" s="5">
        <v>13</v>
      </c>
      <c r="AC546" s="2" t="s">
        <v>1328</v>
      </c>
      <c r="AD546" s="4">
        <v>80</v>
      </c>
      <c r="AE546" s="4">
        <v>320</v>
      </c>
      <c r="AF546" s="6">
        <v>69</v>
      </c>
      <c r="AG546" s="6"/>
      <c r="AH546" s="7">
        <v>0.8242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/>
      <c r="BJ546" s="4">
        <v>238</v>
      </c>
      <c r="BK546" s="8">
        <v>19227.88</v>
      </c>
      <c r="BL546" s="2" t="s">
        <v>2174</v>
      </c>
      <c r="BM546" s="7"/>
      <c r="BN546" s="7"/>
      <c r="BO546" s="4"/>
      <c r="BP546" s="8"/>
      <c r="BQ546" s="4"/>
      <c r="BR546" s="8"/>
      <c r="BS546" s="7"/>
      <c r="BT546" s="7"/>
      <c r="BU546" s="2" t="s">
        <v>147</v>
      </c>
      <c r="BV546" s="2" t="s">
        <v>97</v>
      </c>
      <c r="BW546" s="2" t="s">
        <v>100</v>
      </c>
      <c r="BX546" s="2" t="s">
        <v>100</v>
      </c>
      <c r="BY546" s="2" t="s">
        <v>112</v>
      </c>
      <c r="BZ546" s="2" t="s">
        <v>100</v>
      </c>
    </row>
    <row r="547">
      <c r="A547" s="2" t="s">
        <v>2175</v>
      </c>
      <c r="B547" s="2" t="s">
        <v>87</v>
      </c>
      <c r="C547" s="2" t="s">
        <v>88</v>
      </c>
      <c r="D547" s="2" t="s">
        <v>89</v>
      </c>
      <c r="E547" s="2" t="s">
        <v>2098</v>
      </c>
      <c r="F547" s="2" t="s">
        <v>2168</v>
      </c>
      <c r="G547" s="2" t="s">
        <v>2169</v>
      </c>
      <c r="H547" s="2" t="s">
        <v>2170</v>
      </c>
      <c r="I547" s="2" t="s">
        <v>2171</v>
      </c>
      <c r="J547" s="2" t="s">
        <v>850</v>
      </c>
      <c r="K547" s="2" t="s">
        <v>1935</v>
      </c>
      <c r="L547" s="3">
        <v>84.6</v>
      </c>
      <c r="M547" s="3">
        <v>88.83</v>
      </c>
      <c r="N547" s="3">
        <v>179.99</v>
      </c>
      <c r="O547" s="2" t="s">
        <v>97</v>
      </c>
      <c r="P547" s="2" t="s">
        <v>182</v>
      </c>
      <c r="Q547" s="2" t="s">
        <v>99</v>
      </c>
      <c r="R547" s="2" t="s">
        <v>100</v>
      </c>
      <c r="S547" s="2" t="s">
        <v>2172</v>
      </c>
      <c r="T547" s="2" t="s">
        <v>100</v>
      </c>
      <c r="U547" s="2" t="s">
        <v>1610</v>
      </c>
      <c r="V547" s="2" t="s">
        <v>906</v>
      </c>
      <c r="W547" s="2" t="s">
        <v>906</v>
      </c>
      <c r="X547" s="2" t="s">
        <v>185</v>
      </c>
      <c r="Y547" s="2" t="s">
        <v>2173</v>
      </c>
      <c r="Z547" s="4">
        <v>395</v>
      </c>
      <c r="AA547" s="4">
        <f>=ROUNDDOWN(28.2142857142857,0)</f>
      </c>
      <c r="AB547" s="5">
        <v>14</v>
      </c>
      <c r="AC547" s="2" t="s">
        <v>130</v>
      </c>
      <c r="AD547" s="4">
        <v>140</v>
      </c>
      <c r="AE547" s="4">
        <v>250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/>
      <c r="BJ547" s="4">
        <v>286</v>
      </c>
      <c r="BK547" s="8">
        <v>26169.55</v>
      </c>
      <c r="BL547" s="2" t="s">
        <v>2176</v>
      </c>
      <c r="BM547" s="7"/>
      <c r="BN547" s="7"/>
      <c r="BO547" s="4"/>
      <c r="BP547" s="8"/>
      <c r="BQ547" s="4"/>
      <c r="BR547" s="8"/>
      <c r="BS547" s="7"/>
      <c r="BT547" s="7"/>
      <c r="BU547" s="2" t="s">
        <v>147</v>
      </c>
      <c r="BV547" s="2" t="s">
        <v>97</v>
      </c>
      <c r="BW547" s="2" t="s">
        <v>100</v>
      </c>
      <c r="BX547" s="2" t="s">
        <v>100</v>
      </c>
      <c r="BY547" s="2" t="s">
        <v>112</v>
      </c>
      <c r="BZ547" s="2" t="s">
        <v>100</v>
      </c>
    </row>
    <row r="548">
      <c r="A548" s="2" t="s">
        <v>2177</v>
      </c>
      <c r="B548" s="2" t="s">
        <v>87</v>
      </c>
      <c r="C548" s="2" t="s">
        <v>88</v>
      </c>
      <c r="D548" s="2" t="s">
        <v>89</v>
      </c>
      <c r="E548" s="2" t="s">
        <v>2098</v>
      </c>
      <c r="F548" s="2" t="s">
        <v>2178</v>
      </c>
      <c r="G548" s="2" t="s">
        <v>2179</v>
      </c>
      <c r="H548" s="2" t="s">
        <v>2180</v>
      </c>
      <c r="I548" s="2" t="s">
        <v>2181</v>
      </c>
      <c r="J548" s="2" t="s">
        <v>844</v>
      </c>
      <c r="K548" s="2" t="s">
        <v>158</v>
      </c>
      <c r="L548" s="3">
        <v>41.14</v>
      </c>
      <c r="M548" s="3">
        <v>43.2</v>
      </c>
      <c r="N548" s="3">
        <v>89.99</v>
      </c>
      <c r="O548" s="2" t="s">
        <v>97</v>
      </c>
      <c r="P548" s="2" t="s">
        <v>1166</v>
      </c>
      <c r="Q548" s="2" t="s">
        <v>99</v>
      </c>
      <c r="R548" s="2" t="s">
        <v>100</v>
      </c>
      <c r="S548" s="2" t="s">
        <v>2182</v>
      </c>
      <c r="T548" s="2" t="s">
        <v>732</v>
      </c>
      <c r="U548" s="2" t="s">
        <v>1610</v>
      </c>
      <c r="V548" s="2" t="s">
        <v>491</v>
      </c>
      <c r="W548" s="2" t="s">
        <v>759</v>
      </c>
      <c r="X548" s="2" t="s">
        <v>1288</v>
      </c>
      <c r="Y548" s="2" t="s">
        <v>2183</v>
      </c>
      <c r="Z548" s="4">
        <v>344</v>
      </c>
      <c r="AA548" s="4">
        <f>=ROUNDDOWN(114.666666666667,0)</f>
      </c>
      <c r="AB548" s="5">
        <v>3</v>
      </c>
      <c r="AC548" s="2" t="s">
        <v>100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/>
      <c r="BJ548" s="4">
        <v>17</v>
      </c>
      <c r="BK548" s="8">
        <v>861.25</v>
      </c>
      <c r="BL548" s="2" t="s">
        <v>2184</v>
      </c>
      <c r="BM548" s="7"/>
      <c r="BN548" s="7"/>
      <c r="BO548" s="4"/>
      <c r="BP548" s="8"/>
      <c r="BQ548" s="4"/>
      <c r="BR548" s="8"/>
      <c r="BS548" s="7"/>
      <c r="BT548" s="7"/>
      <c r="BU548" s="2" t="s">
        <v>1171</v>
      </c>
      <c r="BV548" s="2" t="s">
        <v>97</v>
      </c>
      <c r="BW548" s="2" t="s">
        <v>100</v>
      </c>
      <c r="BX548" s="2" t="s">
        <v>100</v>
      </c>
      <c r="BY548" s="2" t="s">
        <v>112</v>
      </c>
      <c r="BZ548" s="2" t="s">
        <v>100</v>
      </c>
    </row>
    <row r="549">
      <c r="A549" s="2" t="s">
        <v>2185</v>
      </c>
      <c r="B549" s="2" t="s">
        <v>87</v>
      </c>
      <c r="C549" s="2" t="s">
        <v>88</v>
      </c>
      <c r="D549" s="2" t="s">
        <v>89</v>
      </c>
      <c r="E549" s="2" t="s">
        <v>2098</v>
      </c>
      <c r="F549" s="2" t="s">
        <v>2178</v>
      </c>
      <c r="G549" s="2" t="s">
        <v>2179</v>
      </c>
      <c r="H549" s="2" t="s">
        <v>2180</v>
      </c>
      <c r="I549" s="2" t="s">
        <v>2181</v>
      </c>
      <c r="J549" s="2" t="s">
        <v>850</v>
      </c>
      <c r="K549" s="2" t="s">
        <v>158</v>
      </c>
      <c r="L549" s="3">
        <v>45.71</v>
      </c>
      <c r="M549" s="3">
        <v>48</v>
      </c>
      <c r="N549" s="3">
        <v>99.99</v>
      </c>
      <c r="O549" s="2" t="s">
        <v>97</v>
      </c>
      <c r="P549" s="2" t="s">
        <v>1166</v>
      </c>
      <c r="Q549" s="2" t="s">
        <v>99</v>
      </c>
      <c r="R549" s="2" t="s">
        <v>100</v>
      </c>
      <c r="S549" s="2" t="s">
        <v>2182</v>
      </c>
      <c r="T549" s="2" t="s">
        <v>732</v>
      </c>
      <c r="U549" s="2" t="s">
        <v>1610</v>
      </c>
      <c r="V549" s="2" t="s">
        <v>491</v>
      </c>
      <c r="W549" s="2" t="s">
        <v>759</v>
      </c>
      <c r="X549" s="2" t="s">
        <v>1288</v>
      </c>
      <c r="Y549" s="2" t="s">
        <v>2186</v>
      </c>
      <c r="Z549" s="4">
        <v>412</v>
      </c>
      <c r="AA549" s="4">
        <f>=ROUNDDOWN(82.4,0)</f>
      </c>
      <c r="AB549" s="5">
        <v>5</v>
      </c>
      <c r="AC549" s="2" t="s">
        <v>100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100</v>
      </c>
      <c r="AW549" s="8" t="s">
        <v>100</v>
      </c>
      <c r="AX549" s="4" t="s">
        <v>100</v>
      </c>
      <c r="AY549" s="8" t="s">
        <v>100</v>
      </c>
      <c r="AZ549" s="7" t="s">
        <v>100</v>
      </c>
      <c r="BA549" s="7" t="s">
        <v>100</v>
      </c>
      <c r="BB549" s="7"/>
      <c r="BC549" s="4" t="s">
        <v>100</v>
      </c>
      <c r="BD549" s="8" t="s">
        <v>100</v>
      </c>
      <c r="BE549" s="4" t="s">
        <v>100</v>
      </c>
      <c r="BF549" s="8" t="s">
        <v>100</v>
      </c>
      <c r="BG549" s="7" t="s">
        <v>100</v>
      </c>
      <c r="BH549" s="7" t="s">
        <v>100</v>
      </c>
      <c r="BI549" s="7"/>
      <c r="BJ549" s="4">
        <v>28</v>
      </c>
      <c r="BK549" s="8">
        <v>1421.76</v>
      </c>
      <c r="BL549" s="2" t="s">
        <v>2187</v>
      </c>
      <c r="BM549" s="7"/>
      <c r="BN549" s="7"/>
      <c r="BO549" s="4"/>
      <c r="BP549" s="8"/>
      <c r="BQ549" s="4"/>
      <c r="BR549" s="8"/>
      <c r="BS549" s="7"/>
      <c r="BT549" s="7"/>
      <c r="BU549" s="2" t="s">
        <v>1171</v>
      </c>
      <c r="BV549" s="2" t="s">
        <v>97</v>
      </c>
      <c r="BW549" s="2" t="s">
        <v>100</v>
      </c>
      <c r="BX549" s="2" t="s">
        <v>100</v>
      </c>
      <c r="BY549" s="2" t="s">
        <v>112</v>
      </c>
      <c r="BZ549" s="2" t="s">
        <v>100</v>
      </c>
    </row>
    <row r="550">
      <c r="A550" s="2" t="s">
        <v>2188</v>
      </c>
      <c r="B550" s="2" t="s">
        <v>87</v>
      </c>
      <c r="C550" s="2" t="s">
        <v>88</v>
      </c>
      <c r="D550" s="2" t="s">
        <v>89</v>
      </c>
      <c r="E550" s="2" t="s">
        <v>2098</v>
      </c>
      <c r="F550" s="2" t="s">
        <v>2189</v>
      </c>
      <c r="G550" s="2" t="s">
        <v>2190</v>
      </c>
      <c r="H550" s="2" t="s">
        <v>2191</v>
      </c>
      <c r="I550" s="2" t="s">
        <v>2192</v>
      </c>
      <c r="J550" s="2" t="s">
        <v>844</v>
      </c>
      <c r="K550" s="2" t="s">
        <v>2193</v>
      </c>
      <c r="L550" s="3">
        <v>41.14</v>
      </c>
      <c r="M550" s="3">
        <v>43.2</v>
      </c>
      <c r="N550" s="3">
        <v>89.99</v>
      </c>
      <c r="O550" s="2" t="s">
        <v>97</v>
      </c>
      <c r="P550" s="2" t="s">
        <v>1166</v>
      </c>
      <c r="Q550" s="2" t="s">
        <v>99</v>
      </c>
      <c r="R550" s="2" t="s">
        <v>100</v>
      </c>
      <c r="S550" s="2" t="s">
        <v>2194</v>
      </c>
      <c r="T550" s="2" t="s">
        <v>732</v>
      </c>
      <c r="U550" s="2" t="s">
        <v>1610</v>
      </c>
      <c r="V550" s="2" t="s">
        <v>491</v>
      </c>
      <c r="W550" s="2" t="s">
        <v>2195</v>
      </c>
      <c r="X550" s="2" t="s">
        <v>602</v>
      </c>
      <c r="Y550" s="2" t="s">
        <v>2196</v>
      </c>
      <c r="Z550" s="4">
        <v>222</v>
      </c>
      <c r="AA550" s="4">
        <f>=ROUNDDOWN(31.7142857142857,0)</f>
      </c>
      <c r="AB550" s="5">
        <v>7</v>
      </c>
      <c r="AC550" s="2" t="s">
        <v>100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/>
      <c r="BJ550" s="4">
        <v>77</v>
      </c>
      <c r="BK550" s="8">
        <v>3607.69</v>
      </c>
      <c r="BL550" s="2" t="s">
        <v>1861</v>
      </c>
      <c r="BM550" s="7"/>
      <c r="BN550" s="7"/>
      <c r="BO550" s="4"/>
      <c r="BP550" s="8"/>
      <c r="BQ550" s="4"/>
      <c r="BR550" s="8"/>
      <c r="BS550" s="7"/>
      <c r="BT550" s="7"/>
      <c r="BU550" s="2" t="s">
        <v>1171</v>
      </c>
      <c r="BV550" s="2" t="s">
        <v>97</v>
      </c>
      <c r="BW550" s="2" t="s">
        <v>100</v>
      </c>
      <c r="BX550" s="2" t="s">
        <v>100</v>
      </c>
      <c r="BY550" s="2" t="s">
        <v>112</v>
      </c>
      <c r="BZ550" s="2" t="s">
        <v>100</v>
      </c>
    </row>
    <row r="551">
      <c r="A551" s="2" t="s">
        <v>2197</v>
      </c>
      <c r="B551" s="2" t="s">
        <v>87</v>
      </c>
      <c r="C551" s="2" t="s">
        <v>88</v>
      </c>
      <c r="D551" s="2" t="s">
        <v>89</v>
      </c>
      <c r="E551" s="2" t="s">
        <v>2098</v>
      </c>
      <c r="F551" s="2" t="s">
        <v>2189</v>
      </c>
      <c r="G551" s="2" t="s">
        <v>2190</v>
      </c>
      <c r="H551" s="2" t="s">
        <v>2191</v>
      </c>
      <c r="I551" s="2" t="s">
        <v>2192</v>
      </c>
      <c r="J551" s="2" t="s">
        <v>850</v>
      </c>
      <c r="K551" s="2" t="s">
        <v>2193</v>
      </c>
      <c r="L551" s="3">
        <v>45.71</v>
      </c>
      <c r="M551" s="3">
        <v>48</v>
      </c>
      <c r="N551" s="3">
        <v>99.99</v>
      </c>
      <c r="O551" s="2" t="s">
        <v>97</v>
      </c>
      <c r="P551" s="2" t="s">
        <v>1166</v>
      </c>
      <c r="Q551" s="2" t="s">
        <v>99</v>
      </c>
      <c r="R551" s="2" t="s">
        <v>100</v>
      </c>
      <c r="S551" s="2" t="s">
        <v>2194</v>
      </c>
      <c r="T551" s="2" t="s">
        <v>732</v>
      </c>
      <c r="U551" s="2" t="s">
        <v>1610</v>
      </c>
      <c r="V551" s="2" t="s">
        <v>491</v>
      </c>
      <c r="W551" s="2" t="s">
        <v>2195</v>
      </c>
      <c r="X551" s="2" t="s">
        <v>602</v>
      </c>
      <c r="Y551" s="2" t="s">
        <v>2196</v>
      </c>
      <c r="Z551" s="4">
        <v>190</v>
      </c>
      <c r="AA551" s="4">
        <f>=ROUNDDOWN(31.6666666666667,0)</f>
      </c>
      <c r="AB551" s="5">
        <v>6</v>
      </c>
      <c r="AC551" s="2" t="s">
        <v>100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/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/>
      <c r="BJ551" s="4">
        <v>69</v>
      </c>
      <c r="BK551" s="8">
        <v>3559.8</v>
      </c>
      <c r="BL551" s="2" t="s">
        <v>1861</v>
      </c>
      <c r="BM551" s="7"/>
      <c r="BN551" s="7"/>
      <c r="BO551" s="4"/>
      <c r="BP551" s="8"/>
      <c r="BQ551" s="4"/>
      <c r="BR551" s="8"/>
      <c r="BS551" s="7"/>
      <c r="BT551" s="7"/>
      <c r="BU551" s="2" t="s">
        <v>1171</v>
      </c>
      <c r="BV551" s="2" t="s">
        <v>97</v>
      </c>
      <c r="BW551" s="2" t="s">
        <v>100</v>
      </c>
      <c r="BX551" s="2" t="s">
        <v>100</v>
      </c>
      <c r="BY551" s="2" t="s">
        <v>112</v>
      </c>
      <c r="BZ551" s="2" t="s">
        <v>100</v>
      </c>
    </row>
    <row r="552">
      <c r="A552" s="2" t="s">
        <v>2198</v>
      </c>
      <c r="B552" s="2" t="s">
        <v>87</v>
      </c>
      <c r="C552" s="2" t="s">
        <v>88</v>
      </c>
      <c r="D552" s="2" t="s">
        <v>89</v>
      </c>
      <c r="E552" s="2" t="s">
        <v>2098</v>
      </c>
      <c r="F552" s="2" t="s">
        <v>2199</v>
      </c>
      <c r="G552" s="2" t="s">
        <v>2200</v>
      </c>
      <c r="H552" s="2" t="s">
        <v>2201</v>
      </c>
      <c r="I552" s="2" t="s">
        <v>2202</v>
      </c>
      <c r="J552" s="2" t="s">
        <v>844</v>
      </c>
      <c r="K552" s="2" t="s">
        <v>333</v>
      </c>
      <c r="L552" s="3">
        <v>45.71</v>
      </c>
      <c r="M552" s="3">
        <v>48</v>
      </c>
      <c r="N552" s="3">
        <v>99.99</v>
      </c>
      <c r="O552" s="2" t="s">
        <v>97</v>
      </c>
      <c r="P552" s="2" t="s">
        <v>1166</v>
      </c>
      <c r="Q552" s="2" t="s">
        <v>99</v>
      </c>
      <c r="R552" s="2" t="s">
        <v>100</v>
      </c>
      <c r="S552" s="2" t="s">
        <v>2203</v>
      </c>
      <c r="T552" s="2" t="s">
        <v>184</v>
      </c>
      <c r="U552" s="2" t="s">
        <v>1610</v>
      </c>
      <c r="V552" s="2" t="s">
        <v>601</v>
      </c>
      <c r="W552" s="2" t="s">
        <v>733</v>
      </c>
      <c r="X552" s="2" t="s">
        <v>808</v>
      </c>
      <c r="Y552" s="2" t="s">
        <v>2204</v>
      </c>
      <c r="Z552" s="4">
        <v>246</v>
      </c>
      <c r="AA552" s="4">
        <f>=ROUNDDOWN(307.5,0)</f>
      </c>
      <c r="AB552" s="5">
        <v>0.8</v>
      </c>
      <c r="AC552" s="2" t="s">
        <v>2205</v>
      </c>
      <c r="AD552" s="4">
        <v>250</v>
      </c>
      <c r="AE552" s="4">
        <v>250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 t="s">
        <v>100</v>
      </c>
      <c r="AY552" s="8" t="s">
        <v>100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/>
      <c r="BJ552" s="4">
        <v>4</v>
      </c>
      <c r="BK552" s="8">
        <v>207.36</v>
      </c>
      <c r="BL552" s="2" t="s">
        <v>1674</v>
      </c>
      <c r="BM552" s="7"/>
      <c r="BN552" s="7"/>
      <c r="BO552" s="4"/>
      <c r="BP552" s="8"/>
      <c r="BQ552" s="4"/>
      <c r="BR552" s="8"/>
      <c r="BS552" s="7"/>
      <c r="BT552" s="7"/>
      <c r="BU552" s="2" t="s">
        <v>1171</v>
      </c>
      <c r="BV552" s="2" t="s">
        <v>97</v>
      </c>
      <c r="BW552" s="2" t="s">
        <v>100</v>
      </c>
      <c r="BX552" s="2" t="s">
        <v>100</v>
      </c>
      <c r="BY552" s="2" t="s">
        <v>112</v>
      </c>
      <c r="BZ552" s="2" t="s">
        <v>100</v>
      </c>
    </row>
    <row r="553">
      <c r="A553" s="2" t="s">
        <v>2206</v>
      </c>
      <c r="B553" s="2" t="s">
        <v>87</v>
      </c>
      <c r="C553" s="2" t="s">
        <v>88</v>
      </c>
      <c r="D553" s="2" t="s">
        <v>89</v>
      </c>
      <c r="E553" s="2" t="s">
        <v>2098</v>
      </c>
      <c r="F553" s="2" t="s">
        <v>2199</v>
      </c>
      <c r="G553" s="2" t="s">
        <v>2200</v>
      </c>
      <c r="H553" s="2" t="s">
        <v>2201</v>
      </c>
      <c r="I553" s="2" t="s">
        <v>2202</v>
      </c>
      <c r="J553" s="2" t="s">
        <v>850</v>
      </c>
      <c r="K553" s="2" t="s">
        <v>333</v>
      </c>
      <c r="L553" s="3">
        <v>50.28</v>
      </c>
      <c r="M553" s="3">
        <v>52.79</v>
      </c>
      <c r="N553" s="3">
        <v>109.99</v>
      </c>
      <c r="O553" s="2" t="s">
        <v>97</v>
      </c>
      <c r="P553" s="2" t="s">
        <v>1166</v>
      </c>
      <c r="Q553" s="2" t="s">
        <v>99</v>
      </c>
      <c r="R553" s="2" t="s">
        <v>100</v>
      </c>
      <c r="S553" s="2" t="s">
        <v>2203</v>
      </c>
      <c r="T553" s="2" t="s">
        <v>184</v>
      </c>
      <c r="U553" s="2" t="s">
        <v>1610</v>
      </c>
      <c r="V553" s="2" t="s">
        <v>601</v>
      </c>
      <c r="W553" s="2" t="s">
        <v>733</v>
      </c>
      <c r="X553" s="2" t="s">
        <v>808</v>
      </c>
      <c r="Y553" s="2" t="s">
        <v>2204</v>
      </c>
      <c r="Z553" s="4">
        <v>148</v>
      </c>
      <c r="AA553" s="4">
        <f>=ROUNDDOWN(740,0)</f>
      </c>
      <c r="AB553" s="5">
        <v>0.2</v>
      </c>
      <c r="AC553" s="2" t="s">
        <v>2205</v>
      </c>
      <c r="AD553" s="4">
        <v>150</v>
      </c>
      <c r="AE553" s="4">
        <v>150</v>
      </c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/>
      <c r="BJ553" s="4">
        <v>1</v>
      </c>
      <c r="BK553" s="8">
        <v>57.02</v>
      </c>
      <c r="BL553" s="2" t="s">
        <v>1222</v>
      </c>
      <c r="BM553" s="7"/>
      <c r="BN553" s="7"/>
      <c r="BO553" s="4"/>
      <c r="BP553" s="8"/>
      <c r="BQ553" s="4"/>
      <c r="BR553" s="8"/>
      <c r="BS553" s="7"/>
      <c r="BT553" s="7"/>
      <c r="BU553" s="2" t="s">
        <v>1171</v>
      </c>
      <c r="BV553" s="2" t="s">
        <v>97</v>
      </c>
      <c r="BW553" s="2" t="s">
        <v>100</v>
      </c>
      <c r="BX553" s="2" t="s">
        <v>100</v>
      </c>
      <c r="BY553" s="2" t="s">
        <v>112</v>
      </c>
      <c r="BZ553" s="2" t="s">
        <v>100</v>
      </c>
    </row>
    <row r="554">
      <c r="A554" s="2" t="s">
        <v>2207</v>
      </c>
      <c r="B554" s="2" t="s">
        <v>87</v>
      </c>
      <c r="C554" s="2" t="s">
        <v>88</v>
      </c>
      <c r="D554" s="2" t="s">
        <v>89</v>
      </c>
      <c r="E554" s="2" t="s">
        <v>2098</v>
      </c>
      <c r="F554" s="2" t="s">
        <v>2199</v>
      </c>
      <c r="G554" s="2" t="s">
        <v>2200</v>
      </c>
      <c r="H554" s="2" t="s">
        <v>2201</v>
      </c>
      <c r="I554" s="2" t="s">
        <v>2202</v>
      </c>
      <c r="J554" s="2" t="s">
        <v>844</v>
      </c>
      <c r="K554" s="2" t="s">
        <v>666</v>
      </c>
      <c r="L554" s="3">
        <v>45.71</v>
      </c>
      <c r="M554" s="3">
        <v>48</v>
      </c>
      <c r="N554" s="3">
        <v>99.99</v>
      </c>
      <c r="O554" s="2" t="s">
        <v>97</v>
      </c>
      <c r="P554" s="2" t="s">
        <v>1166</v>
      </c>
      <c r="Q554" s="2" t="s">
        <v>99</v>
      </c>
      <c r="R554" s="2" t="s">
        <v>100</v>
      </c>
      <c r="S554" s="2" t="s">
        <v>2208</v>
      </c>
      <c r="T554" s="2" t="s">
        <v>184</v>
      </c>
      <c r="U554" s="2" t="s">
        <v>1610</v>
      </c>
      <c r="V554" s="2" t="s">
        <v>601</v>
      </c>
      <c r="W554" s="2" t="s">
        <v>733</v>
      </c>
      <c r="X554" s="2" t="s">
        <v>808</v>
      </c>
      <c r="Y554" s="2" t="s">
        <v>2204</v>
      </c>
      <c r="Z554" s="4">
        <v>231</v>
      </c>
      <c r="AA554" s="4">
        <f>=ROUNDDOWN(154,0)</f>
      </c>
      <c r="AB554" s="5">
        <v>1.5</v>
      </c>
      <c r="AC554" s="2" t="s">
        <v>2205</v>
      </c>
      <c r="AD554" s="4">
        <v>250</v>
      </c>
      <c r="AE554" s="4">
        <v>250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/>
      <c r="BJ554" s="4">
        <v>7</v>
      </c>
      <c r="BK554" s="8">
        <v>362.88</v>
      </c>
      <c r="BL554" s="2" t="s">
        <v>1674</v>
      </c>
      <c r="BM554" s="7"/>
      <c r="BN554" s="7"/>
      <c r="BO554" s="4"/>
      <c r="BP554" s="8"/>
      <c r="BQ554" s="4"/>
      <c r="BR554" s="8"/>
      <c r="BS554" s="7"/>
      <c r="BT554" s="7"/>
      <c r="BU554" s="2" t="s">
        <v>1171</v>
      </c>
      <c r="BV554" s="2" t="s">
        <v>97</v>
      </c>
      <c r="BW554" s="2" t="s">
        <v>100</v>
      </c>
      <c r="BX554" s="2" t="s">
        <v>100</v>
      </c>
      <c r="BY554" s="2" t="s">
        <v>112</v>
      </c>
      <c r="BZ554" s="2" t="s">
        <v>100</v>
      </c>
    </row>
    <row r="555">
      <c r="A555" s="2" t="s">
        <v>2209</v>
      </c>
      <c r="B555" s="2" t="s">
        <v>87</v>
      </c>
      <c r="C555" s="2" t="s">
        <v>88</v>
      </c>
      <c r="D555" s="2" t="s">
        <v>89</v>
      </c>
      <c r="E555" s="2" t="s">
        <v>2098</v>
      </c>
      <c r="F555" s="2" t="s">
        <v>2199</v>
      </c>
      <c r="G555" s="2" t="s">
        <v>2200</v>
      </c>
      <c r="H555" s="2" t="s">
        <v>2201</v>
      </c>
      <c r="I555" s="2" t="s">
        <v>2202</v>
      </c>
      <c r="J555" s="2" t="s">
        <v>850</v>
      </c>
      <c r="K555" s="2" t="s">
        <v>666</v>
      </c>
      <c r="L555" s="3">
        <v>50.28</v>
      </c>
      <c r="M555" s="3">
        <v>52.79</v>
      </c>
      <c r="N555" s="3">
        <v>109.99</v>
      </c>
      <c r="O555" s="2" t="s">
        <v>97</v>
      </c>
      <c r="P555" s="2" t="s">
        <v>1166</v>
      </c>
      <c r="Q555" s="2" t="s">
        <v>99</v>
      </c>
      <c r="R555" s="2" t="s">
        <v>100</v>
      </c>
      <c r="S555" s="2" t="s">
        <v>2208</v>
      </c>
      <c r="T555" s="2" t="s">
        <v>184</v>
      </c>
      <c r="U555" s="2" t="s">
        <v>1610</v>
      </c>
      <c r="V555" s="2" t="s">
        <v>601</v>
      </c>
      <c r="W555" s="2" t="s">
        <v>733</v>
      </c>
      <c r="X555" s="2" t="s">
        <v>808</v>
      </c>
      <c r="Y555" s="2" t="s">
        <v>2204</v>
      </c>
      <c r="Z555" s="4">
        <v>144</v>
      </c>
      <c r="AA555" s="4">
        <f>=ROUNDDOWN(160,0)</f>
      </c>
      <c r="AB555" s="5">
        <v>0.9</v>
      </c>
      <c r="AC555" s="2" t="s">
        <v>2205</v>
      </c>
      <c r="AD555" s="4">
        <v>150</v>
      </c>
      <c r="AE555" s="4">
        <v>150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/>
      <c r="BJ555" s="4">
        <v>6</v>
      </c>
      <c r="BK555" s="8">
        <v>358.09</v>
      </c>
      <c r="BL555" s="2" t="s">
        <v>2210</v>
      </c>
      <c r="BM555" s="7"/>
      <c r="BN555" s="7"/>
      <c r="BO555" s="4"/>
      <c r="BP555" s="8"/>
      <c r="BQ555" s="4"/>
      <c r="BR555" s="8"/>
      <c r="BS555" s="7"/>
      <c r="BT555" s="7"/>
      <c r="BU555" s="2" t="s">
        <v>1171</v>
      </c>
      <c r="BV555" s="2" t="s">
        <v>97</v>
      </c>
      <c r="BW555" s="2" t="s">
        <v>100</v>
      </c>
      <c r="BX555" s="2" t="s">
        <v>100</v>
      </c>
      <c r="BY555" s="2" t="s">
        <v>112</v>
      </c>
      <c r="BZ555" s="2" t="s">
        <v>100</v>
      </c>
    </row>
    <row r="556">
      <c r="A556" s="2" t="s">
        <v>2211</v>
      </c>
      <c r="B556" s="2" t="s">
        <v>87</v>
      </c>
      <c r="C556" s="2" t="s">
        <v>88</v>
      </c>
      <c r="D556" s="2" t="s">
        <v>89</v>
      </c>
      <c r="E556" s="2" t="s">
        <v>2098</v>
      </c>
      <c r="F556" s="2" t="s">
        <v>1590</v>
      </c>
      <c r="G556" s="2" t="s">
        <v>2212</v>
      </c>
      <c r="H556" s="2" t="s">
        <v>2213</v>
      </c>
      <c r="I556" s="2" t="s">
        <v>2214</v>
      </c>
      <c r="J556" s="2" t="s">
        <v>844</v>
      </c>
      <c r="K556" s="2" t="s">
        <v>2215</v>
      </c>
      <c r="L556" s="3">
        <v>36.57</v>
      </c>
      <c r="M556" s="3">
        <v>38.4</v>
      </c>
      <c r="N556" s="3">
        <v>79.99</v>
      </c>
      <c r="O556" s="2" t="s">
        <v>97</v>
      </c>
      <c r="P556" s="2" t="s">
        <v>1166</v>
      </c>
      <c r="Q556" s="2" t="s">
        <v>99</v>
      </c>
      <c r="R556" s="2" t="s">
        <v>100</v>
      </c>
      <c r="S556" s="2" t="s">
        <v>2216</v>
      </c>
      <c r="T556" s="2" t="s">
        <v>1168</v>
      </c>
      <c r="U556" s="2" t="s">
        <v>1610</v>
      </c>
      <c r="V556" s="2" t="s">
        <v>455</v>
      </c>
      <c r="W556" s="2" t="s">
        <v>733</v>
      </c>
      <c r="X556" s="2" t="s">
        <v>1288</v>
      </c>
      <c r="Y556" s="2" t="s">
        <v>2217</v>
      </c>
      <c r="Z556" s="4">
        <v>185</v>
      </c>
      <c r="AA556" s="4">
        <f>=ROUNDDOWN(37,0)</f>
      </c>
      <c r="AB556" s="5">
        <v>5</v>
      </c>
      <c r="AC556" s="2" t="s">
        <v>100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/>
      <c r="BJ556" s="4">
        <v>46</v>
      </c>
      <c r="BK556" s="8">
        <v>1791.9</v>
      </c>
      <c r="BL556" s="2" t="s">
        <v>2218</v>
      </c>
      <c r="BM556" s="7"/>
      <c r="BN556" s="7"/>
      <c r="BO556" s="4"/>
      <c r="BP556" s="8"/>
      <c r="BQ556" s="4"/>
      <c r="BR556" s="8"/>
      <c r="BS556" s="7"/>
      <c r="BT556" s="7"/>
      <c r="BU556" s="2" t="s">
        <v>147</v>
      </c>
      <c r="BV556" s="2" t="s">
        <v>97</v>
      </c>
      <c r="BW556" s="2" t="s">
        <v>100</v>
      </c>
      <c r="BX556" s="2" t="s">
        <v>100</v>
      </c>
      <c r="BY556" s="2" t="s">
        <v>112</v>
      </c>
      <c r="BZ556" s="2" t="s">
        <v>100</v>
      </c>
    </row>
    <row r="557">
      <c r="A557" s="2" t="s">
        <v>2219</v>
      </c>
      <c r="B557" s="2" t="s">
        <v>87</v>
      </c>
      <c r="C557" s="2" t="s">
        <v>88</v>
      </c>
      <c r="D557" s="2" t="s">
        <v>89</v>
      </c>
      <c r="E557" s="2" t="s">
        <v>2098</v>
      </c>
      <c r="F557" s="2" t="s">
        <v>1590</v>
      </c>
      <c r="G557" s="2" t="s">
        <v>2212</v>
      </c>
      <c r="H557" s="2" t="s">
        <v>2213</v>
      </c>
      <c r="I557" s="2" t="s">
        <v>2214</v>
      </c>
      <c r="J557" s="2" t="s">
        <v>850</v>
      </c>
      <c r="K557" s="2" t="s">
        <v>2215</v>
      </c>
      <c r="L557" s="3">
        <v>41.14</v>
      </c>
      <c r="M557" s="3">
        <v>43.2</v>
      </c>
      <c r="N557" s="3">
        <v>89.99</v>
      </c>
      <c r="O557" s="2" t="s">
        <v>97</v>
      </c>
      <c r="P557" s="2" t="s">
        <v>1166</v>
      </c>
      <c r="Q557" s="2" t="s">
        <v>99</v>
      </c>
      <c r="R557" s="2" t="s">
        <v>100</v>
      </c>
      <c r="S557" s="2" t="s">
        <v>2216</v>
      </c>
      <c r="T557" s="2" t="s">
        <v>1168</v>
      </c>
      <c r="U557" s="2" t="s">
        <v>1610</v>
      </c>
      <c r="V557" s="2" t="s">
        <v>455</v>
      </c>
      <c r="W557" s="2" t="s">
        <v>733</v>
      </c>
      <c r="X557" s="2" t="s">
        <v>1288</v>
      </c>
      <c r="Y557" s="2" t="s">
        <v>2220</v>
      </c>
      <c r="Z557" s="4">
        <v>290</v>
      </c>
      <c r="AA557" s="4">
        <f>=ROUNDDOWN(36.25,0)</f>
      </c>
      <c r="AB557" s="5">
        <v>8</v>
      </c>
      <c r="AC557" s="2" t="s">
        <v>100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/>
      <c r="BJ557" s="4">
        <v>67</v>
      </c>
      <c r="BK557" s="8">
        <v>2973.21</v>
      </c>
      <c r="BL557" s="2" t="s">
        <v>2221</v>
      </c>
      <c r="BM557" s="7"/>
      <c r="BN557" s="7"/>
      <c r="BO557" s="4"/>
      <c r="BP557" s="8"/>
      <c r="BQ557" s="4"/>
      <c r="BR557" s="8"/>
      <c r="BS557" s="7"/>
      <c r="BT557" s="7"/>
      <c r="BU557" s="2" t="s">
        <v>147</v>
      </c>
      <c r="BV557" s="2" t="s">
        <v>97</v>
      </c>
      <c r="BW557" s="2" t="s">
        <v>100</v>
      </c>
      <c r="BX557" s="2" t="s">
        <v>100</v>
      </c>
      <c r="BY557" s="2" t="s">
        <v>112</v>
      </c>
      <c r="BZ557" s="2" t="s">
        <v>100</v>
      </c>
    </row>
    <row r="558">
      <c r="A558" s="2" t="s">
        <v>2222</v>
      </c>
      <c r="B558" s="2" t="s">
        <v>87</v>
      </c>
      <c r="C558" s="2" t="s">
        <v>88</v>
      </c>
      <c r="D558" s="2" t="s">
        <v>89</v>
      </c>
      <c r="E558" s="2" t="s">
        <v>2098</v>
      </c>
      <c r="F558" s="2" t="s">
        <v>2223</v>
      </c>
      <c r="G558" s="2" t="s">
        <v>2224</v>
      </c>
      <c r="H558" s="2" t="s">
        <v>2225</v>
      </c>
      <c r="I558" s="2" t="s">
        <v>2226</v>
      </c>
      <c r="J558" s="2" t="s">
        <v>844</v>
      </c>
      <c r="K558" s="2" t="s">
        <v>666</v>
      </c>
      <c r="L558" s="3">
        <v>75.2</v>
      </c>
      <c r="M558" s="3">
        <v>78.96</v>
      </c>
      <c r="N558" s="3">
        <v>159.99</v>
      </c>
      <c r="O558" s="2" t="s">
        <v>97</v>
      </c>
      <c r="P558" s="2" t="s">
        <v>182</v>
      </c>
      <c r="Q558" s="2" t="s">
        <v>99</v>
      </c>
      <c r="R558" s="2" t="s">
        <v>100</v>
      </c>
      <c r="S558" s="2" t="s">
        <v>2227</v>
      </c>
      <c r="T558" s="2" t="s">
        <v>100</v>
      </c>
      <c r="U558" s="2" t="s">
        <v>1610</v>
      </c>
      <c r="V558" s="2" t="s">
        <v>601</v>
      </c>
      <c r="W558" s="2" t="s">
        <v>759</v>
      </c>
      <c r="X558" s="2" t="s">
        <v>1157</v>
      </c>
      <c r="Y558" s="2" t="s">
        <v>2228</v>
      </c>
      <c r="Z558" s="4">
        <v>384</v>
      </c>
      <c r="AA558" s="4">
        <f>=ROUNDDOWN(48,0)</f>
      </c>
      <c r="AB558" s="5">
        <v>8</v>
      </c>
      <c r="AC558" s="2" t="s">
        <v>100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/>
      <c r="BJ558" s="4">
        <v>149</v>
      </c>
      <c r="BK558" s="8">
        <v>11392.19</v>
      </c>
      <c r="BL558" s="2" t="s">
        <v>2229</v>
      </c>
      <c r="BM558" s="7"/>
      <c r="BN558" s="7"/>
      <c r="BO558" s="4"/>
      <c r="BP558" s="8"/>
      <c r="BQ558" s="4"/>
      <c r="BR558" s="8"/>
      <c r="BS558" s="7"/>
      <c r="BT558" s="7"/>
      <c r="BU558" s="2" t="s">
        <v>147</v>
      </c>
      <c r="BV558" s="2" t="s">
        <v>97</v>
      </c>
      <c r="BW558" s="2" t="s">
        <v>100</v>
      </c>
      <c r="BX558" s="2" t="s">
        <v>100</v>
      </c>
      <c r="BY558" s="2" t="s">
        <v>112</v>
      </c>
      <c r="BZ558" s="2" t="s">
        <v>100</v>
      </c>
    </row>
    <row r="559">
      <c r="A559" s="2" t="s">
        <v>2230</v>
      </c>
      <c r="B559" s="2" t="s">
        <v>87</v>
      </c>
      <c r="C559" s="2" t="s">
        <v>88</v>
      </c>
      <c r="D559" s="2" t="s">
        <v>89</v>
      </c>
      <c r="E559" s="2" t="s">
        <v>2098</v>
      </c>
      <c r="F559" s="2" t="s">
        <v>2223</v>
      </c>
      <c r="G559" s="2" t="s">
        <v>2224</v>
      </c>
      <c r="H559" s="2" t="s">
        <v>2225</v>
      </c>
      <c r="I559" s="2" t="s">
        <v>2226</v>
      </c>
      <c r="J559" s="2" t="s">
        <v>850</v>
      </c>
      <c r="K559" s="2" t="s">
        <v>666</v>
      </c>
      <c r="L559" s="3">
        <v>84.6</v>
      </c>
      <c r="M559" s="3">
        <v>88.83</v>
      </c>
      <c r="N559" s="3">
        <v>179.99</v>
      </c>
      <c r="O559" s="2" t="s">
        <v>97</v>
      </c>
      <c r="P559" s="2" t="s">
        <v>182</v>
      </c>
      <c r="Q559" s="2" t="s">
        <v>99</v>
      </c>
      <c r="R559" s="2" t="s">
        <v>100</v>
      </c>
      <c r="S559" s="2" t="s">
        <v>2227</v>
      </c>
      <c r="T559" s="2" t="s">
        <v>100</v>
      </c>
      <c r="U559" s="2" t="s">
        <v>1610</v>
      </c>
      <c r="V559" s="2" t="s">
        <v>601</v>
      </c>
      <c r="W559" s="2" t="s">
        <v>759</v>
      </c>
      <c r="X559" s="2" t="s">
        <v>1157</v>
      </c>
      <c r="Y559" s="2" t="s">
        <v>2228</v>
      </c>
      <c r="Z559" s="4">
        <v>294</v>
      </c>
      <c r="AA559" s="4">
        <f>=ROUNDDOWN(32.6666666666667,0)</f>
      </c>
      <c r="AB559" s="5">
        <v>9</v>
      </c>
      <c r="AC559" s="2" t="s">
        <v>100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/>
      <c r="BJ559" s="4">
        <v>178</v>
      </c>
      <c r="BK559" s="8">
        <v>15574.03</v>
      </c>
      <c r="BL559" s="2" t="s">
        <v>2231</v>
      </c>
      <c r="BM559" s="7"/>
      <c r="BN559" s="7"/>
      <c r="BO559" s="4"/>
      <c r="BP559" s="8"/>
      <c r="BQ559" s="4"/>
      <c r="BR559" s="8"/>
      <c r="BS559" s="7"/>
      <c r="BT559" s="7"/>
      <c r="BU559" s="2" t="s">
        <v>147</v>
      </c>
      <c r="BV559" s="2" t="s">
        <v>97</v>
      </c>
      <c r="BW559" s="2" t="s">
        <v>100</v>
      </c>
      <c r="BX559" s="2" t="s">
        <v>100</v>
      </c>
      <c r="BY559" s="2" t="s">
        <v>112</v>
      </c>
      <c r="BZ559" s="2" t="s">
        <v>100</v>
      </c>
    </row>
    <row r="560">
      <c r="A560" s="2" t="s">
        <v>2232</v>
      </c>
      <c r="B560" s="2" t="s">
        <v>87</v>
      </c>
      <c r="C560" s="2" t="s">
        <v>88</v>
      </c>
      <c r="D560" s="2" t="s">
        <v>89</v>
      </c>
      <c r="E560" s="2" t="s">
        <v>2098</v>
      </c>
      <c r="F560" s="2" t="s">
        <v>1295</v>
      </c>
      <c r="G560" s="2" t="s">
        <v>2233</v>
      </c>
      <c r="H560" s="2" t="s">
        <v>2234</v>
      </c>
      <c r="I560" s="2" t="s">
        <v>2235</v>
      </c>
      <c r="J560" s="2" t="s">
        <v>844</v>
      </c>
      <c r="K560" s="2" t="s">
        <v>635</v>
      </c>
      <c r="L560" s="3">
        <v>58.8</v>
      </c>
      <c r="M560" s="3">
        <v>61.73</v>
      </c>
      <c r="N560" s="3">
        <v>119.99</v>
      </c>
      <c r="O560" s="2" t="s">
        <v>229</v>
      </c>
      <c r="P560" s="2" t="s">
        <v>198</v>
      </c>
      <c r="Q560" s="2" t="s">
        <v>99</v>
      </c>
      <c r="R560" s="2" t="s">
        <v>100</v>
      </c>
      <c r="S560" s="2" t="s">
        <v>2236</v>
      </c>
      <c r="T560" s="2" t="s">
        <v>100</v>
      </c>
      <c r="U560" s="2" t="s">
        <v>1610</v>
      </c>
      <c r="V560" s="2" t="s">
        <v>601</v>
      </c>
      <c r="W560" s="2" t="s">
        <v>759</v>
      </c>
      <c r="X560" s="2" t="s">
        <v>1542</v>
      </c>
      <c r="Y560" s="2" t="s">
        <v>2228</v>
      </c>
      <c r="Z560" s="4">
        <v>851</v>
      </c>
      <c r="AA560" s="4">
        <f>=ROUNDDOWN(76.6666666666667,0)</f>
      </c>
      <c r="AB560" s="5">
        <v>11.1</v>
      </c>
      <c r="AC560" s="2" t="s">
        <v>100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>
        <v>408</v>
      </c>
      <c r="BK560" s="8">
        <v>9615.31</v>
      </c>
      <c r="BL560" s="2" t="s">
        <v>2237</v>
      </c>
      <c r="BM560" s="7"/>
      <c r="BN560" s="7"/>
      <c r="BO560" s="4"/>
      <c r="BP560" s="8"/>
      <c r="BQ560" s="4"/>
      <c r="BR560" s="8"/>
      <c r="BS560" s="7"/>
      <c r="BT560" s="7"/>
      <c r="BU560" s="2" t="s">
        <v>147</v>
      </c>
      <c r="BV560" s="2" t="s">
        <v>97</v>
      </c>
      <c r="BW560" s="2" t="s">
        <v>100</v>
      </c>
      <c r="BX560" s="2" t="s">
        <v>100</v>
      </c>
      <c r="BY560" s="2" t="s">
        <v>112</v>
      </c>
      <c r="BZ560" s="2" t="s">
        <v>100</v>
      </c>
    </row>
    <row r="561">
      <c r="A561" s="2" t="s">
        <v>2238</v>
      </c>
      <c r="B561" s="2" t="s">
        <v>87</v>
      </c>
      <c r="C561" s="2" t="s">
        <v>88</v>
      </c>
      <c r="D561" s="2" t="s">
        <v>89</v>
      </c>
      <c r="E561" s="2" t="s">
        <v>2098</v>
      </c>
      <c r="F561" s="2" t="s">
        <v>2239</v>
      </c>
      <c r="G561" s="2" t="s">
        <v>2240</v>
      </c>
      <c r="H561" s="2" t="s">
        <v>483</v>
      </c>
      <c r="I561" s="2" t="s">
        <v>2241</v>
      </c>
      <c r="J561" s="2" t="s">
        <v>844</v>
      </c>
      <c r="K561" s="2" t="s">
        <v>1935</v>
      </c>
      <c r="L561" s="3">
        <v>72.33</v>
      </c>
      <c r="M561" s="3">
        <v>75.94</v>
      </c>
      <c r="N561" s="3">
        <v>159.99</v>
      </c>
      <c r="O561" s="2" t="s">
        <v>97</v>
      </c>
      <c r="P561" s="2" t="s">
        <v>198</v>
      </c>
      <c r="Q561" s="2" t="s">
        <v>99</v>
      </c>
      <c r="R561" s="2" t="s">
        <v>100</v>
      </c>
      <c r="S561" s="2" t="s">
        <v>2242</v>
      </c>
      <c r="T561" s="2" t="s">
        <v>732</v>
      </c>
      <c r="U561" s="2" t="s">
        <v>1610</v>
      </c>
      <c r="V561" s="2" t="s">
        <v>601</v>
      </c>
      <c r="W561" s="2" t="s">
        <v>733</v>
      </c>
      <c r="X561" s="2" t="s">
        <v>1310</v>
      </c>
      <c r="Y561" s="2" t="s">
        <v>2243</v>
      </c>
      <c r="Z561" s="4">
        <v>675</v>
      </c>
      <c r="AA561" s="4">
        <f>=ROUNDDOWN(87.6623376623377,0)</f>
      </c>
      <c r="AB561" s="5">
        <v>7.7</v>
      </c>
      <c r="AC561" s="2" t="s">
        <v>100</v>
      </c>
      <c r="AD561" s="4"/>
      <c r="AE561" s="4"/>
      <c r="AF561" s="6">
        <v>69</v>
      </c>
      <c r="AG561" s="6"/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/>
      <c r="BJ561" s="4">
        <v>120</v>
      </c>
      <c r="BK561" s="8">
        <v>8004.31</v>
      </c>
      <c r="BL561" s="2" t="s">
        <v>2244</v>
      </c>
      <c r="BM561" s="7"/>
      <c r="BN561" s="7"/>
      <c r="BO561" s="4"/>
      <c r="BP561" s="8"/>
      <c r="BQ561" s="4"/>
      <c r="BR561" s="8"/>
      <c r="BS561" s="7"/>
      <c r="BT561" s="7"/>
      <c r="BU561" s="2" t="s">
        <v>147</v>
      </c>
      <c r="BV561" s="2" t="s">
        <v>97</v>
      </c>
      <c r="BW561" s="2" t="s">
        <v>100</v>
      </c>
      <c r="BX561" s="2" t="s">
        <v>100</v>
      </c>
      <c r="BY561" s="2" t="s">
        <v>112</v>
      </c>
      <c r="BZ561" s="2" t="s">
        <v>100</v>
      </c>
    </row>
    <row r="562">
      <c r="A562" s="2" t="s">
        <v>2245</v>
      </c>
      <c r="B562" s="2" t="s">
        <v>87</v>
      </c>
      <c r="C562" s="2" t="s">
        <v>88</v>
      </c>
      <c r="D562" s="2" t="s">
        <v>89</v>
      </c>
      <c r="E562" s="2" t="s">
        <v>2098</v>
      </c>
      <c r="F562" s="2" t="s">
        <v>2239</v>
      </c>
      <c r="G562" s="2" t="s">
        <v>2240</v>
      </c>
      <c r="H562" s="2" t="s">
        <v>483</v>
      </c>
      <c r="I562" s="2" t="s">
        <v>2241</v>
      </c>
      <c r="J562" s="2" t="s">
        <v>850</v>
      </c>
      <c r="K562" s="2" t="s">
        <v>1935</v>
      </c>
      <c r="L562" s="3">
        <v>82.67</v>
      </c>
      <c r="M562" s="3">
        <v>86.8</v>
      </c>
      <c r="N562" s="3">
        <v>179.99</v>
      </c>
      <c r="O562" s="2" t="s">
        <v>97</v>
      </c>
      <c r="P562" s="2" t="s">
        <v>198</v>
      </c>
      <c r="Q562" s="2" t="s">
        <v>99</v>
      </c>
      <c r="R562" s="2" t="s">
        <v>100</v>
      </c>
      <c r="S562" s="2" t="s">
        <v>2242</v>
      </c>
      <c r="T562" s="2" t="s">
        <v>732</v>
      </c>
      <c r="U562" s="2" t="s">
        <v>1610</v>
      </c>
      <c r="V562" s="2" t="s">
        <v>601</v>
      </c>
      <c r="W562" s="2" t="s">
        <v>733</v>
      </c>
      <c r="X562" s="2" t="s">
        <v>1310</v>
      </c>
      <c r="Y562" s="2" t="s">
        <v>2243</v>
      </c>
      <c r="Z562" s="4">
        <v>236</v>
      </c>
      <c r="AA562" s="4">
        <f>=ROUNDDOWN(46.2745098039216,0)</f>
      </c>
      <c r="AB562" s="5">
        <v>5.1</v>
      </c>
      <c r="AC562" s="2" t="s">
        <v>100</v>
      </c>
      <c r="AD562" s="4"/>
      <c r="AE562" s="4"/>
      <c r="AF562" s="6">
        <v>69</v>
      </c>
      <c r="AG562" s="6"/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/>
      <c r="BJ562" s="4">
        <v>143</v>
      </c>
      <c r="BK562" s="8">
        <v>11758.83</v>
      </c>
      <c r="BL562" s="2" t="s">
        <v>2246</v>
      </c>
      <c r="BM562" s="7"/>
      <c r="BN562" s="7"/>
      <c r="BO562" s="4"/>
      <c r="BP562" s="8"/>
      <c r="BQ562" s="4"/>
      <c r="BR562" s="8"/>
      <c r="BS562" s="7"/>
      <c r="BT562" s="7"/>
      <c r="BU562" s="2" t="s">
        <v>147</v>
      </c>
      <c r="BV562" s="2" t="s">
        <v>97</v>
      </c>
      <c r="BW562" s="2" t="s">
        <v>100</v>
      </c>
      <c r="BX562" s="2" t="s">
        <v>100</v>
      </c>
      <c r="BY562" s="2" t="s">
        <v>112</v>
      </c>
      <c r="BZ562" s="2" t="s">
        <v>100</v>
      </c>
    </row>
    <row r="563">
      <c r="A563" s="2" t="s">
        <v>2247</v>
      </c>
      <c r="B563" s="2" t="s">
        <v>87</v>
      </c>
      <c r="C563" s="2" t="s">
        <v>88</v>
      </c>
      <c r="D563" s="2" t="s">
        <v>89</v>
      </c>
      <c r="E563" s="2" t="s">
        <v>2098</v>
      </c>
      <c r="F563" s="2" t="s">
        <v>2248</v>
      </c>
      <c r="G563" s="2" t="s">
        <v>2249</v>
      </c>
      <c r="H563" s="2" t="s">
        <v>2250</v>
      </c>
      <c r="I563" s="2" t="s">
        <v>2251</v>
      </c>
      <c r="J563" s="2" t="s">
        <v>844</v>
      </c>
      <c r="K563" s="2" t="s">
        <v>2252</v>
      </c>
      <c r="L563" s="3">
        <v>36.57</v>
      </c>
      <c r="M563" s="3">
        <v>38.4</v>
      </c>
      <c r="N563" s="3">
        <v>79.99</v>
      </c>
      <c r="O563" s="2" t="s">
        <v>97</v>
      </c>
      <c r="P563" s="2" t="s">
        <v>1166</v>
      </c>
      <c r="Q563" s="2" t="s">
        <v>99</v>
      </c>
      <c r="R563" s="2" t="s">
        <v>100</v>
      </c>
      <c r="S563" s="2" t="s">
        <v>2253</v>
      </c>
      <c r="T563" s="2" t="s">
        <v>732</v>
      </c>
      <c r="U563" s="2" t="s">
        <v>1610</v>
      </c>
      <c r="V563" s="2" t="s">
        <v>491</v>
      </c>
      <c r="W563" s="2" t="s">
        <v>733</v>
      </c>
      <c r="X563" s="2" t="s">
        <v>602</v>
      </c>
      <c r="Y563" s="2" t="s">
        <v>2254</v>
      </c>
      <c r="Z563" s="4">
        <v>353</v>
      </c>
      <c r="AA563" s="4">
        <f>=ROUNDDOWN(39.2222222222222,0)</f>
      </c>
      <c r="AB563" s="5">
        <v>9</v>
      </c>
      <c r="AC563" s="2" t="s">
        <v>100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/>
      <c r="BJ563" s="4">
        <v>42</v>
      </c>
      <c r="BK563" s="8">
        <v>1752.73</v>
      </c>
      <c r="BL563" s="2" t="s">
        <v>2255</v>
      </c>
      <c r="BM563" s="7"/>
      <c r="BN563" s="7"/>
      <c r="BO563" s="4"/>
      <c r="BP563" s="8"/>
      <c r="BQ563" s="4"/>
      <c r="BR563" s="8"/>
      <c r="BS563" s="7"/>
      <c r="BT563" s="7"/>
      <c r="BU563" s="2" t="s">
        <v>1171</v>
      </c>
      <c r="BV563" s="2" t="s">
        <v>97</v>
      </c>
      <c r="BW563" s="2" t="s">
        <v>100</v>
      </c>
      <c r="BX563" s="2" t="s">
        <v>100</v>
      </c>
      <c r="BY563" s="2" t="s">
        <v>112</v>
      </c>
      <c r="BZ563" s="2" t="s">
        <v>100</v>
      </c>
    </row>
    <row r="564">
      <c r="A564" s="2" t="s">
        <v>2256</v>
      </c>
      <c r="B564" s="2" t="s">
        <v>87</v>
      </c>
      <c r="C564" s="2" t="s">
        <v>88</v>
      </c>
      <c r="D564" s="2" t="s">
        <v>89</v>
      </c>
      <c r="E564" s="2" t="s">
        <v>2098</v>
      </c>
      <c r="F564" s="2" t="s">
        <v>2248</v>
      </c>
      <c r="G564" s="2" t="s">
        <v>2249</v>
      </c>
      <c r="H564" s="2" t="s">
        <v>2250</v>
      </c>
      <c r="I564" s="2" t="s">
        <v>2251</v>
      </c>
      <c r="J564" s="2" t="s">
        <v>850</v>
      </c>
      <c r="K564" s="2" t="s">
        <v>2252</v>
      </c>
      <c r="L564" s="3">
        <v>41.14</v>
      </c>
      <c r="M564" s="3">
        <v>43.2</v>
      </c>
      <c r="N564" s="3">
        <v>89.99</v>
      </c>
      <c r="O564" s="2" t="s">
        <v>97</v>
      </c>
      <c r="P564" s="2" t="s">
        <v>1166</v>
      </c>
      <c r="Q564" s="2" t="s">
        <v>99</v>
      </c>
      <c r="R564" s="2" t="s">
        <v>100</v>
      </c>
      <c r="S564" s="2" t="s">
        <v>2253</v>
      </c>
      <c r="T564" s="2" t="s">
        <v>732</v>
      </c>
      <c r="U564" s="2" t="s">
        <v>1610</v>
      </c>
      <c r="V564" s="2" t="s">
        <v>491</v>
      </c>
      <c r="W564" s="2" t="s">
        <v>733</v>
      </c>
      <c r="X564" s="2" t="s">
        <v>602</v>
      </c>
      <c r="Y564" s="2" t="s">
        <v>2257</v>
      </c>
      <c r="Z564" s="4">
        <v>186</v>
      </c>
      <c r="AA564" s="4">
        <f>=ROUNDDOWN(26.5714285714286,0)</f>
      </c>
      <c r="AB564" s="5">
        <v>7</v>
      </c>
      <c r="AC564" s="2" t="s">
        <v>100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/>
      <c r="BJ564" s="4">
        <v>42</v>
      </c>
      <c r="BK564" s="8">
        <v>1927.86</v>
      </c>
      <c r="BL564" s="2" t="s">
        <v>2050</v>
      </c>
      <c r="BM564" s="7"/>
      <c r="BN564" s="7"/>
      <c r="BO564" s="4"/>
      <c r="BP564" s="8"/>
      <c r="BQ564" s="4"/>
      <c r="BR564" s="8"/>
      <c r="BS564" s="7"/>
      <c r="BT564" s="7"/>
      <c r="BU564" s="2" t="s">
        <v>1171</v>
      </c>
      <c r="BV564" s="2" t="s">
        <v>97</v>
      </c>
      <c r="BW564" s="2" t="s">
        <v>100</v>
      </c>
      <c r="BX564" s="2" t="s">
        <v>100</v>
      </c>
      <c r="BY564" s="2" t="s">
        <v>112</v>
      </c>
      <c r="BZ564" s="2" t="s">
        <v>100</v>
      </c>
    </row>
    <row r="565">
      <c r="A565" s="2" t="s">
        <v>2258</v>
      </c>
      <c r="B565" s="2" t="s">
        <v>87</v>
      </c>
      <c r="C565" s="2" t="s">
        <v>88</v>
      </c>
      <c r="D565" s="2" t="s">
        <v>89</v>
      </c>
      <c r="E565" s="2" t="s">
        <v>2098</v>
      </c>
      <c r="F565" s="2" t="s">
        <v>2259</v>
      </c>
      <c r="G565" s="2" t="s">
        <v>2260</v>
      </c>
      <c r="H565" s="2" t="s">
        <v>2261</v>
      </c>
      <c r="I565" s="2" t="s">
        <v>2262</v>
      </c>
      <c r="J565" s="2" t="s">
        <v>844</v>
      </c>
      <c r="K565" s="2" t="s">
        <v>635</v>
      </c>
      <c r="L565" s="3">
        <v>47.61</v>
      </c>
      <c r="M565" s="3">
        <v>49.99</v>
      </c>
      <c r="N565" s="3">
        <v>99.99</v>
      </c>
      <c r="O565" s="2" t="s">
        <v>97</v>
      </c>
      <c r="P565" s="2" t="s">
        <v>1166</v>
      </c>
      <c r="Q565" s="2" t="s">
        <v>99</v>
      </c>
      <c r="R565" s="2" t="s">
        <v>100</v>
      </c>
      <c r="S565" s="2" t="s">
        <v>2263</v>
      </c>
      <c r="T565" s="2" t="s">
        <v>1168</v>
      </c>
      <c r="U565" s="2" t="s">
        <v>1610</v>
      </c>
      <c r="V565" s="2" t="s">
        <v>455</v>
      </c>
      <c r="W565" s="2" t="s">
        <v>808</v>
      </c>
      <c r="X565" s="2" t="s">
        <v>733</v>
      </c>
      <c r="Y565" s="2" t="s">
        <v>2264</v>
      </c>
      <c r="Z565" s="4">
        <v>415</v>
      </c>
      <c r="AA565" s="4">
        <f>=ROUNDDOWN(31.9230769230769,0)</f>
      </c>
      <c r="AB565" s="5">
        <v>13</v>
      </c>
      <c r="AC565" s="2" t="s">
        <v>100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/>
      <c r="BJ565" s="4">
        <v>15</v>
      </c>
      <c r="BK565" s="8">
        <v>804.35</v>
      </c>
      <c r="BL565" s="2" t="s">
        <v>2265</v>
      </c>
      <c r="BM565" s="7"/>
      <c r="BN565" s="7"/>
      <c r="BO565" s="4"/>
      <c r="BP565" s="8"/>
      <c r="BQ565" s="4"/>
      <c r="BR565" s="8"/>
      <c r="BS565" s="7"/>
      <c r="BT565" s="7"/>
      <c r="BU565" s="2" t="s">
        <v>1171</v>
      </c>
      <c r="BV565" s="2" t="s">
        <v>97</v>
      </c>
      <c r="BW565" s="2" t="s">
        <v>100</v>
      </c>
      <c r="BX565" s="2" t="s">
        <v>100</v>
      </c>
      <c r="BY565" s="2" t="s">
        <v>112</v>
      </c>
      <c r="BZ565" s="2" t="s">
        <v>100</v>
      </c>
    </row>
    <row r="566">
      <c r="A566" s="2" t="s">
        <v>2266</v>
      </c>
      <c r="B566" s="2" t="s">
        <v>87</v>
      </c>
      <c r="C566" s="2" t="s">
        <v>88</v>
      </c>
      <c r="D566" s="2" t="s">
        <v>89</v>
      </c>
      <c r="E566" s="2" t="s">
        <v>2098</v>
      </c>
      <c r="F566" s="2" t="s">
        <v>2259</v>
      </c>
      <c r="G566" s="2" t="s">
        <v>2260</v>
      </c>
      <c r="H566" s="2" t="s">
        <v>2261</v>
      </c>
      <c r="I566" s="2" t="s">
        <v>2262</v>
      </c>
      <c r="J566" s="2" t="s">
        <v>850</v>
      </c>
      <c r="K566" s="2" t="s">
        <v>635</v>
      </c>
      <c r="L566" s="3">
        <v>57.14</v>
      </c>
      <c r="M566" s="3">
        <v>60</v>
      </c>
      <c r="N566" s="3">
        <v>119.99</v>
      </c>
      <c r="O566" s="2" t="s">
        <v>97</v>
      </c>
      <c r="P566" s="2" t="s">
        <v>1166</v>
      </c>
      <c r="Q566" s="2" t="s">
        <v>99</v>
      </c>
      <c r="R566" s="2" t="s">
        <v>100</v>
      </c>
      <c r="S566" s="2" t="s">
        <v>2263</v>
      </c>
      <c r="T566" s="2" t="s">
        <v>1168</v>
      </c>
      <c r="U566" s="2" t="s">
        <v>1610</v>
      </c>
      <c r="V566" s="2" t="s">
        <v>455</v>
      </c>
      <c r="W566" s="2" t="s">
        <v>808</v>
      </c>
      <c r="X566" s="2" t="s">
        <v>733</v>
      </c>
      <c r="Y566" s="2" t="s">
        <v>2264</v>
      </c>
      <c r="Z566" s="4">
        <v>533</v>
      </c>
      <c r="AA566" s="4">
        <f>=ROUNDDOWN(33.3125,0)</f>
      </c>
      <c r="AB566" s="5">
        <v>16</v>
      </c>
      <c r="AC566" s="2" t="s">
        <v>100</v>
      </c>
      <c r="AD566" s="4"/>
      <c r="AE566" s="4"/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/>
      <c r="BJ566" s="4">
        <v>17</v>
      </c>
      <c r="BK566" s="8">
        <v>1095</v>
      </c>
      <c r="BL566" s="2" t="s">
        <v>2267</v>
      </c>
      <c r="BM566" s="7"/>
      <c r="BN566" s="7"/>
      <c r="BO566" s="4"/>
      <c r="BP566" s="8"/>
      <c r="BQ566" s="4"/>
      <c r="BR566" s="8"/>
      <c r="BS566" s="7"/>
      <c r="BT566" s="7"/>
      <c r="BU566" s="2" t="s">
        <v>1171</v>
      </c>
      <c r="BV566" s="2" t="s">
        <v>97</v>
      </c>
      <c r="BW566" s="2" t="s">
        <v>100</v>
      </c>
      <c r="BX566" s="2" t="s">
        <v>100</v>
      </c>
      <c r="BY566" s="2" t="s">
        <v>112</v>
      </c>
      <c r="BZ566" s="2" t="s">
        <v>100</v>
      </c>
    </row>
    <row r="567">
      <c r="A567" s="2" t="s">
        <v>2268</v>
      </c>
      <c r="B567" s="2" t="s">
        <v>87</v>
      </c>
      <c r="C567" s="2" t="s">
        <v>88</v>
      </c>
      <c r="D567" s="2" t="s">
        <v>89</v>
      </c>
      <c r="E567" s="2" t="s">
        <v>2098</v>
      </c>
      <c r="F567" s="2" t="s">
        <v>2269</v>
      </c>
      <c r="G567" s="2" t="s">
        <v>2270</v>
      </c>
      <c r="H567" s="2" t="s">
        <v>2271</v>
      </c>
      <c r="I567" s="2" t="s">
        <v>2272</v>
      </c>
      <c r="J567" s="2" t="s">
        <v>844</v>
      </c>
      <c r="K567" s="2" t="s">
        <v>1935</v>
      </c>
      <c r="L567" s="3">
        <v>75.2</v>
      </c>
      <c r="M567" s="3">
        <v>78.96</v>
      </c>
      <c r="N567" s="3">
        <v>159.99</v>
      </c>
      <c r="O567" s="2" t="s">
        <v>97</v>
      </c>
      <c r="P567" s="2" t="s">
        <v>182</v>
      </c>
      <c r="Q567" s="2" t="s">
        <v>99</v>
      </c>
      <c r="R567" s="2" t="s">
        <v>100</v>
      </c>
      <c r="S567" s="2" t="s">
        <v>2273</v>
      </c>
      <c r="T567" s="2" t="s">
        <v>100</v>
      </c>
      <c r="U567" s="2" t="s">
        <v>1610</v>
      </c>
      <c r="V567" s="2" t="s">
        <v>991</v>
      </c>
      <c r="W567" s="2" t="s">
        <v>733</v>
      </c>
      <c r="X567" s="2" t="s">
        <v>791</v>
      </c>
      <c r="Y567" s="2" t="s">
        <v>2274</v>
      </c>
      <c r="Z567" s="4">
        <v>264</v>
      </c>
      <c r="AA567" s="4">
        <f>=ROUNDDOWN(33,0)</f>
      </c>
      <c r="AB567" s="5">
        <v>8</v>
      </c>
      <c r="AC567" s="2" t="s">
        <v>130</v>
      </c>
      <c r="AD567" s="4">
        <v>75</v>
      </c>
      <c r="AE567" s="4">
        <v>75</v>
      </c>
      <c r="AF567" s="6">
        <v>69</v>
      </c>
      <c r="AG567" s="6">
        <v>77</v>
      </c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100</v>
      </c>
      <c r="AW567" s="8" t="s">
        <v>100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/>
      <c r="BC567" s="4" t="s">
        <v>100</v>
      </c>
      <c r="BD567" s="8" t="s">
        <v>100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/>
      <c r="BJ567" s="4">
        <v>157</v>
      </c>
      <c r="BK567" s="8">
        <v>12711.57</v>
      </c>
      <c r="BL567" s="2" t="s">
        <v>2275</v>
      </c>
      <c r="BM567" s="7"/>
      <c r="BN567" s="7"/>
      <c r="BO567" s="4"/>
      <c r="BP567" s="8"/>
      <c r="BQ567" s="4"/>
      <c r="BR567" s="8"/>
      <c r="BS567" s="7"/>
      <c r="BT567" s="7"/>
      <c r="BU567" s="2" t="s">
        <v>147</v>
      </c>
      <c r="BV567" s="2" t="s">
        <v>97</v>
      </c>
      <c r="BW567" s="2" t="s">
        <v>100</v>
      </c>
      <c r="BX567" s="2" t="s">
        <v>100</v>
      </c>
      <c r="BY567" s="2" t="s">
        <v>112</v>
      </c>
      <c r="BZ567" s="2" t="s">
        <v>100</v>
      </c>
    </row>
    <row r="568">
      <c r="A568" s="2" t="s">
        <v>2276</v>
      </c>
      <c r="B568" s="2" t="s">
        <v>87</v>
      </c>
      <c r="C568" s="2" t="s">
        <v>88</v>
      </c>
      <c r="D568" s="2" t="s">
        <v>89</v>
      </c>
      <c r="E568" s="2" t="s">
        <v>2098</v>
      </c>
      <c r="F568" s="2" t="s">
        <v>2269</v>
      </c>
      <c r="G568" s="2" t="s">
        <v>2270</v>
      </c>
      <c r="H568" s="2" t="s">
        <v>2271</v>
      </c>
      <c r="I568" s="2" t="s">
        <v>2272</v>
      </c>
      <c r="J568" s="2" t="s">
        <v>850</v>
      </c>
      <c r="K568" s="2" t="s">
        <v>1935</v>
      </c>
      <c r="L568" s="3">
        <v>84.6</v>
      </c>
      <c r="M568" s="3">
        <v>88.83</v>
      </c>
      <c r="N568" s="3">
        <v>179.99</v>
      </c>
      <c r="O568" s="2" t="s">
        <v>97</v>
      </c>
      <c r="P568" s="2" t="s">
        <v>182</v>
      </c>
      <c r="Q568" s="2" t="s">
        <v>99</v>
      </c>
      <c r="R568" s="2" t="s">
        <v>100</v>
      </c>
      <c r="S568" s="2" t="s">
        <v>2273</v>
      </c>
      <c r="T568" s="2" t="s">
        <v>100</v>
      </c>
      <c r="U568" s="2" t="s">
        <v>1610</v>
      </c>
      <c r="V568" s="2" t="s">
        <v>991</v>
      </c>
      <c r="W568" s="2" t="s">
        <v>733</v>
      </c>
      <c r="X568" s="2" t="s">
        <v>791</v>
      </c>
      <c r="Y568" s="2" t="s">
        <v>2274</v>
      </c>
      <c r="Z568" s="4">
        <v>426</v>
      </c>
      <c r="AA568" s="4">
        <f>=ROUNDDOWN(35.5,0)</f>
      </c>
      <c r="AB568" s="5">
        <v>12</v>
      </c>
      <c r="AC568" s="2" t="s">
        <v>130</v>
      </c>
      <c r="AD568" s="4">
        <v>120</v>
      </c>
      <c r="AE568" s="4">
        <v>120</v>
      </c>
      <c r="AF568" s="6">
        <v>69</v>
      </c>
      <c r="AG568" s="6">
        <v>77</v>
      </c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/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/>
      <c r="BJ568" s="4">
        <v>193</v>
      </c>
      <c r="BK568" s="8">
        <v>17888.34</v>
      </c>
      <c r="BL568" s="2" t="s">
        <v>2277</v>
      </c>
      <c r="BM568" s="7"/>
      <c r="BN568" s="7"/>
      <c r="BO568" s="4"/>
      <c r="BP568" s="8"/>
      <c r="BQ568" s="4"/>
      <c r="BR568" s="8"/>
      <c r="BS568" s="7"/>
      <c r="BT568" s="7"/>
      <c r="BU568" s="2" t="s">
        <v>147</v>
      </c>
      <c r="BV568" s="2" t="s">
        <v>97</v>
      </c>
      <c r="BW568" s="2" t="s">
        <v>100</v>
      </c>
      <c r="BX568" s="2" t="s">
        <v>100</v>
      </c>
      <c r="BY568" s="2" t="s">
        <v>112</v>
      </c>
      <c r="BZ568" s="2" t="s">
        <v>100</v>
      </c>
    </row>
    <row r="569">
      <c r="A569" s="2" t="s">
        <v>2278</v>
      </c>
      <c r="B569" s="2" t="s">
        <v>87</v>
      </c>
      <c r="C569" s="2" t="s">
        <v>88</v>
      </c>
      <c r="D569" s="2" t="s">
        <v>89</v>
      </c>
      <c r="E569" s="2" t="s">
        <v>2098</v>
      </c>
      <c r="F569" s="2" t="s">
        <v>2279</v>
      </c>
      <c r="G569" s="2" t="s">
        <v>2280</v>
      </c>
      <c r="H569" s="2" t="s">
        <v>2281</v>
      </c>
      <c r="I569" s="2" t="s">
        <v>2282</v>
      </c>
      <c r="J569" s="2" t="s">
        <v>844</v>
      </c>
      <c r="K569" s="2" t="s">
        <v>1935</v>
      </c>
      <c r="L569" s="3">
        <v>73.5</v>
      </c>
      <c r="M569" s="3">
        <v>77.17</v>
      </c>
      <c r="N569" s="3">
        <v>149.99</v>
      </c>
      <c r="O569" s="2" t="s">
        <v>97</v>
      </c>
      <c r="P569" s="2" t="s">
        <v>182</v>
      </c>
      <c r="Q569" s="2" t="s">
        <v>99</v>
      </c>
      <c r="R569" s="2" t="s">
        <v>100</v>
      </c>
      <c r="S569" s="2" t="s">
        <v>2283</v>
      </c>
      <c r="T569" s="2" t="s">
        <v>732</v>
      </c>
      <c r="U569" s="2" t="s">
        <v>1610</v>
      </c>
      <c r="V569" s="2" t="s">
        <v>491</v>
      </c>
      <c r="W569" s="2" t="s">
        <v>733</v>
      </c>
      <c r="X569" s="2" t="s">
        <v>2284</v>
      </c>
      <c r="Y569" s="2" t="s">
        <v>2285</v>
      </c>
      <c r="Z569" s="4">
        <v>255</v>
      </c>
      <c r="AA569" s="4">
        <f>=ROUNDDOWN(31.875,0)</f>
      </c>
      <c r="AB569" s="5">
        <v>8</v>
      </c>
      <c r="AC569" s="2" t="s">
        <v>1248</v>
      </c>
      <c r="AD569" s="4">
        <v>80</v>
      </c>
      <c r="AE569" s="4">
        <v>80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/>
      <c r="BJ569" s="4">
        <v>149</v>
      </c>
      <c r="BK569" s="8">
        <v>11394.69</v>
      </c>
      <c r="BL569" s="2" t="s">
        <v>2286</v>
      </c>
      <c r="BM569" s="7"/>
      <c r="BN569" s="7"/>
      <c r="BO569" s="4"/>
      <c r="BP569" s="8"/>
      <c r="BQ569" s="4"/>
      <c r="BR569" s="8"/>
      <c r="BS569" s="7"/>
      <c r="BT569" s="7"/>
      <c r="BU569" s="2" t="s">
        <v>147</v>
      </c>
      <c r="BV569" s="2" t="s">
        <v>97</v>
      </c>
      <c r="BW569" s="2" t="s">
        <v>100</v>
      </c>
      <c r="BX569" s="2" t="s">
        <v>100</v>
      </c>
      <c r="BY569" s="2" t="s">
        <v>112</v>
      </c>
      <c r="BZ569" s="2" t="s">
        <v>100</v>
      </c>
    </row>
    <row r="570">
      <c r="A570" s="2" t="s">
        <v>2287</v>
      </c>
      <c r="B570" s="2" t="s">
        <v>87</v>
      </c>
      <c r="C570" s="2" t="s">
        <v>88</v>
      </c>
      <c r="D570" s="2" t="s">
        <v>89</v>
      </c>
      <c r="E570" s="2" t="s">
        <v>2098</v>
      </c>
      <c r="F570" s="2" t="s">
        <v>2279</v>
      </c>
      <c r="G570" s="2" t="s">
        <v>2280</v>
      </c>
      <c r="H570" s="2" t="s">
        <v>2281</v>
      </c>
      <c r="I570" s="2" t="s">
        <v>2282</v>
      </c>
      <c r="J570" s="2" t="s">
        <v>850</v>
      </c>
      <c r="K570" s="2" t="s">
        <v>1935</v>
      </c>
      <c r="L570" s="3">
        <v>83.3</v>
      </c>
      <c r="M570" s="3">
        <v>87.46</v>
      </c>
      <c r="N570" s="3">
        <v>169.99</v>
      </c>
      <c r="O570" s="2" t="s">
        <v>97</v>
      </c>
      <c r="P570" s="2" t="s">
        <v>182</v>
      </c>
      <c r="Q570" s="2" t="s">
        <v>99</v>
      </c>
      <c r="R570" s="2" t="s">
        <v>100</v>
      </c>
      <c r="S570" s="2" t="s">
        <v>2283</v>
      </c>
      <c r="T570" s="2" t="s">
        <v>732</v>
      </c>
      <c r="U570" s="2" t="s">
        <v>1610</v>
      </c>
      <c r="V570" s="2" t="s">
        <v>491</v>
      </c>
      <c r="W570" s="2" t="s">
        <v>733</v>
      </c>
      <c r="X570" s="2" t="s">
        <v>2284</v>
      </c>
      <c r="Y570" s="2" t="s">
        <v>2285</v>
      </c>
      <c r="Z570" s="4">
        <v>350</v>
      </c>
      <c r="AA570" s="4">
        <f>=ROUNDDOWN(43.75,0)</f>
      </c>
      <c r="AB570" s="5">
        <v>8</v>
      </c>
      <c r="AC570" s="2" t="s">
        <v>100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/>
      <c r="BJ570" s="4">
        <v>153</v>
      </c>
      <c r="BK570" s="8">
        <v>13303.48</v>
      </c>
      <c r="BL570" s="2" t="s">
        <v>2288</v>
      </c>
      <c r="BM570" s="7"/>
      <c r="BN570" s="7"/>
      <c r="BO570" s="4"/>
      <c r="BP570" s="8"/>
      <c r="BQ570" s="4"/>
      <c r="BR570" s="8"/>
      <c r="BS570" s="7"/>
      <c r="BT570" s="7"/>
      <c r="BU570" s="2" t="s">
        <v>147</v>
      </c>
      <c r="BV570" s="2" t="s">
        <v>97</v>
      </c>
      <c r="BW570" s="2" t="s">
        <v>100</v>
      </c>
      <c r="BX570" s="2" t="s">
        <v>100</v>
      </c>
      <c r="BY570" s="2" t="s">
        <v>112</v>
      </c>
      <c r="BZ570" s="2" t="s">
        <v>100</v>
      </c>
    </row>
    <row r="571">
      <c r="A571" s="2" t="s">
        <v>2289</v>
      </c>
      <c r="B571" s="2" t="s">
        <v>87</v>
      </c>
      <c r="C571" s="2" t="s">
        <v>88</v>
      </c>
      <c r="D571" s="2" t="s">
        <v>89</v>
      </c>
      <c r="E571" s="2" t="s">
        <v>2098</v>
      </c>
      <c r="F571" s="2" t="s">
        <v>2279</v>
      </c>
      <c r="G571" s="2" t="s">
        <v>2280</v>
      </c>
      <c r="H571" s="2" t="s">
        <v>2281</v>
      </c>
      <c r="I571" s="2" t="s">
        <v>2282</v>
      </c>
      <c r="J571" s="2" t="s">
        <v>844</v>
      </c>
      <c r="K571" s="2" t="s">
        <v>2290</v>
      </c>
      <c r="L571" s="3">
        <v>73.5</v>
      </c>
      <c r="M571" s="3">
        <v>77.17</v>
      </c>
      <c r="N571" s="3">
        <v>149.99</v>
      </c>
      <c r="O571" s="2" t="s">
        <v>97</v>
      </c>
      <c r="P571" s="2" t="s">
        <v>182</v>
      </c>
      <c r="Q571" s="2" t="s">
        <v>99</v>
      </c>
      <c r="R571" s="2" t="s">
        <v>100</v>
      </c>
      <c r="S571" s="2" t="s">
        <v>2291</v>
      </c>
      <c r="T571" s="2" t="s">
        <v>732</v>
      </c>
      <c r="U571" s="2" t="s">
        <v>1610</v>
      </c>
      <c r="V571" s="2" t="s">
        <v>491</v>
      </c>
      <c r="W571" s="2" t="s">
        <v>733</v>
      </c>
      <c r="X571" s="2" t="s">
        <v>2284</v>
      </c>
      <c r="Y571" s="2" t="s">
        <v>2292</v>
      </c>
      <c r="Z571" s="4">
        <v>216</v>
      </c>
      <c r="AA571" s="4">
        <f>=ROUNDDOWN(24,0)</f>
      </c>
      <c r="AB571" s="5">
        <v>9</v>
      </c>
      <c r="AC571" s="2" t="s">
        <v>1248</v>
      </c>
      <c r="AD571" s="4">
        <v>160</v>
      </c>
      <c r="AE571" s="4">
        <v>160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100</v>
      </c>
      <c r="AW571" s="8" t="s">
        <v>100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 t="s">
        <v>100</v>
      </c>
      <c r="BD571" s="8" t="s">
        <v>100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/>
      <c r="BJ571" s="4">
        <v>178</v>
      </c>
      <c r="BK571" s="8">
        <v>14028.38</v>
      </c>
      <c r="BL571" s="2" t="s">
        <v>2293</v>
      </c>
      <c r="BM571" s="7"/>
      <c r="BN571" s="7"/>
      <c r="BO571" s="4"/>
      <c r="BP571" s="8"/>
      <c r="BQ571" s="4"/>
      <c r="BR571" s="8"/>
      <c r="BS571" s="7"/>
      <c r="BT571" s="7"/>
      <c r="BU571" s="2" t="s">
        <v>147</v>
      </c>
      <c r="BV571" s="2" t="s">
        <v>97</v>
      </c>
      <c r="BW571" s="2" t="s">
        <v>100</v>
      </c>
      <c r="BX571" s="2" t="s">
        <v>100</v>
      </c>
      <c r="BY571" s="2" t="s">
        <v>112</v>
      </c>
      <c r="BZ571" s="2" t="s">
        <v>100</v>
      </c>
    </row>
    <row r="572">
      <c r="A572" s="2" t="s">
        <v>2294</v>
      </c>
      <c r="B572" s="2" t="s">
        <v>87</v>
      </c>
      <c r="C572" s="2" t="s">
        <v>88</v>
      </c>
      <c r="D572" s="2" t="s">
        <v>89</v>
      </c>
      <c r="E572" s="2" t="s">
        <v>2098</v>
      </c>
      <c r="F572" s="2" t="s">
        <v>2279</v>
      </c>
      <c r="G572" s="2" t="s">
        <v>2280</v>
      </c>
      <c r="H572" s="2" t="s">
        <v>2281</v>
      </c>
      <c r="I572" s="2" t="s">
        <v>2282</v>
      </c>
      <c r="J572" s="2" t="s">
        <v>850</v>
      </c>
      <c r="K572" s="2" t="s">
        <v>2290</v>
      </c>
      <c r="L572" s="3">
        <v>83.3</v>
      </c>
      <c r="M572" s="3">
        <v>87.46</v>
      </c>
      <c r="N572" s="3">
        <v>169.99</v>
      </c>
      <c r="O572" s="2" t="s">
        <v>97</v>
      </c>
      <c r="P572" s="2" t="s">
        <v>182</v>
      </c>
      <c r="Q572" s="2" t="s">
        <v>99</v>
      </c>
      <c r="R572" s="2" t="s">
        <v>100</v>
      </c>
      <c r="S572" s="2" t="s">
        <v>2291</v>
      </c>
      <c r="T572" s="2" t="s">
        <v>732</v>
      </c>
      <c r="U572" s="2" t="s">
        <v>1610</v>
      </c>
      <c r="V572" s="2" t="s">
        <v>491</v>
      </c>
      <c r="W572" s="2" t="s">
        <v>733</v>
      </c>
      <c r="X572" s="2" t="s">
        <v>2284</v>
      </c>
      <c r="Y572" s="2" t="s">
        <v>2292</v>
      </c>
      <c r="Z572" s="4">
        <v>234</v>
      </c>
      <c r="AA572" s="4">
        <f>=ROUNDDOWN(26,0)</f>
      </c>
      <c r="AB572" s="5">
        <v>9</v>
      </c>
      <c r="AC572" s="2" t="s">
        <v>1248</v>
      </c>
      <c r="AD572" s="4">
        <v>140</v>
      </c>
      <c r="AE572" s="4">
        <v>140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/>
      <c r="BJ572" s="4">
        <v>181</v>
      </c>
      <c r="BK572" s="8">
        <v>15995.14</v>
      </c>
      <c r="BL572" s="2" t="s">
        <v>2295</v>
      </c>
      <c r="BM572" s="7"/>
      <c r="BN572" s="7"/>
      <c r="BO572" s="4"/>
      <c r="BP572" s="8"/>
      <c r="BQ572" s="4"/>
      <c r="BR572" s="8"/>
      <c r="BS572" s="7"/>
      <c r="BT572" s="7"/>
      <c r="BU572" s="2" t="s">
        <v>147</v>
      </c>
      <c r="BV572" s="2" t="s">
        <v>97</v>
      </c>
      <c r="BW572" s="2" t="s">
        <v>100</v>
      </c>
      <c r="BX572" s="2" t="s">
        <v>100</v>
      </c>
      <c r="BY572" s="2" t="s">
        <v>112</v>
      </c>
      <c r="BZ572" s="2" t="s">
        <v>100</v>
      </c>
    </row>
    <row r="573">
      <c r="A573" s="2" t="s">
        <v>2296</v>
      </c>
      <c r="B573" s="2" t="s">
        <v>87</v>
      </c>
      <c r="C573" s="2" t="s">
        <v>88</v>
      </c>
      <c r="D573" s="2" t="s">
        <v>89</v>
      </c>
      <c r="E573" s="2" t="s">
        <v>2098</v>
      </c>
      <c r="F573" s="2" t="s">
        <v>2297</v>
      </c>
      <c r="G573" s="2" t="s">
        <v>1106</v>
      </c>
      <c r="H573" s="2" t="s">
        <v>2298</v>
      </c>
      <c r="I573" s="2" t="s">
        <v>2299</v>
      </c>
      <c r="J573" s="2" t="s">
        <v>844</v>
      </c>
      <c r="K573" s="2" t="s">
        <v>2300</v>
      </c>
      <c r="L573" s="3">
        <v>75.2</v>
      </c>
      <c r="M573" s="3">
        <v>78.96</v>
      </c>
      <c r="N573" s="3">
        <v>159.99</v>
      </c>
      <c r="O573" s="2" t="s">
        <v>97</v>
      </c>
      <c r="P573" s="2" t="s">
        <v>182</v>
      </c>
      <c r="Q573" s="2" t="s">
        <v>99</v>
      </c>
      <c r="R573" s="2" t="s">
        <v>100</v>
      </c>
      <c r="S573" s="2" t="s">
        <v>2301</v>
      </c>
      <c r="T573" s="2" t="s">
        <v>732</v>
      </c>
      <c r="U573" s="2" t="s">
        <v>1610</v>
      </c>
      <c r="V573" s="2" t="s">
        <v>455</v>
      </c>
      <c r="W573" s="2" t="s">
        <v>1530</v>
      </c>
      <c r="X573" s="2" t="s">
        <v>185</v>
      </c>
      <c r="Y573" s="2" t="s">
        <v>2302</v>
      </c>
      <c r="Z573" s="4">
        <v>232</v>
      </c>
      <c r="AA573" s="4">
        <f>=ROUNDDOWN(21.0909090909091,0)</f>
      </c>
      <c r="AB573" s="5">
        <v>11</v>
      </c>
      <c r="AC573" s="2" t="s">
        <v>2143</v>
      </c>
      <c r="AD573" s="4">
        <v>70</v>
      </c>
      <c r="AE573" s="4">
        <v>230</v>
      </c>
      <c r="AF573" s="6">
        <v>69</v>
      </c>
      <c r="AG573" s="6"/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/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/>
      <c r="BJ573" s="4">
        <v>228</v>
      </c>
      <c r="BK573" s="8">
        <v>18495.12</v>
      </c>
      <c r="BL573" s="2" t="s">
        <v>2303</v>
      </c>
      <c r="BM573" s="7"/>
      <c r="BN573" s="7"/>
      <c r="BO573" s="4"/>
      <c r="BP573" s="8"/>
      <c r="BQ573" s="4"/>
      <c r="BR573" s="8"/>
      <c r="BS573" s="7"/>
      <c r="BT573" s="7"/>
      <c r="BU573" s="2" t="s">
        <v>147</v>
      </c>
      <c r="BV573" s="2" t="s">
        <v>97</v>
      </c>
      <c r="BW573" s="2" t="s">
        <v>100</v>
      </c>
      <c r="BX573" s="2" t="s">
        <v>100</v>
      </c>
      <c r="BY573" s="2" t="s">
        <v>112</v>
      </c>
      <c r="BZ573" s="2" t="s">
        <v>100</v>
      </c>
    </row>
    <row r="574">
      <c r="A574" s="2" t="s">
        <v>2304</v>
      </c>
      <c r="B574" s="2" t="s">
        <v>87</v>
      </c>
      <c r="C574" s="2" t="s">
        <v>88</v>
      </c>
      <c r="D574" s="2" t="s">
        <v>89</v>
      </c>
      <c r="E574" s="2" t="s">
        <v>2098</v>
      </c>
      <c r="F574" s="2" t="s">
        <v>2297</v>
      </c>
      <c r="G574" s="2" t="s">
        <v>1106</v>
      </c>
      <c r="H574" s="2" t="s">
        <v>2298</v>
      </c>
      <c r="I574" s="2" t="s">
        <v>2299</v>
      </c>
      <c r="J574" s="2" t="s">
        <v>850</v>
      </c>
      <c r="K574" s="2" t="s">
        <v>2300</v>
      </c>
      <c r="L574" s="3">
        <v>86.4</v>
      </c>
      <c r="M574" s="3">
        <v>90.71</v>
      </c>
      <c r="N574" s="3">
        <v>179.99</v>
      </c>
      <c r="O574" s="2" t="s">
        <v>97</v>
      </c>
      <c r="P574" s="2" t="s">
        <v>182</v>
      </c>
      <c r="Q574" s="2" t="s">
        <v>99</v>
      </c>
      <c r="R574" s="2" t="s">
        <v>100</v>
      </c>
      <c r="S574" s="2" t="s">
        <v>2301</v>
      </c>
      <c r="T574" s="2" t="s">
        <v>732</v>
      </c>
      <c r="U574" s="2" t="s">
        <v>1610</v>
      </c>
      <c r="V574" s="2" t="s">
        <v>455</v>
      </c>
      <c r="W574" s="2" t="s">
        <v>1530</v>
      </c>
      <c r="X574" s="2" t="s">
        <v>185</v>
      </c>
      <c r="Y574" s="2" t="s">
        <v>2302</v>
      </c>
      <c r="Z574" s="4">
        <v>241</v>
      </c>
      <c r="AA574" s="4">
        <f>=ROUNDDOWN(11.4761904761905,0)</f>
      </c>
      <c r="AB574" s="5">
        <v>21</v>
      </c>
      <c r="AC574" s="2" t="s">
        <v>2305</v>
      </c>
      <c r="AD574" s="4">
        <v>240</v>
      </c>
      <c r="AE574" s="4">
        <v>380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/>
      <c r="BJ574" s="4">
        <v>450</v>
      </c>
      <c r="BK574" s="8">
        <v>41928.02</v>
      </c>
      <c r="BL574" s="2" t="s">
        <v>2306</v>
      </c>
      <c r="BM574" s="7"/>
      <c r="BN574" s="7"/>
      <c r="BO574" s="4"/>
      <c r="BP574" s="8"/>
      <c r="BQ574" s="4"/>
      <c r="BR574" s="8"/>
      <c r="BS574" s="7"/>
      <c r="BT574" s="7"/>
      <c r="BU574" s="2" t="s">
        <v>147</v>
      </c>
      <c r="BV574" s="2" t="s">
        <v>97</v>
      </c>
      <c r="BW574" s="2" t="s">
        <v>100</v>
      </c>
      <c r="BX574" s="2" t="s">
        <v>100</v>
      </c>
      <c r="BY574" s="2" t="s">
        <v>112</v>
      </c>
      <c r="BZ574" s="2" t="s">
        <v>100</v>
      </c>
    </row>
    <row r="575">
      <c r="A575" s="2" t="s">
        <v>2307</v>
      </c>
      <c r="B575" s="2" t="s">
        <v>87</v>
      </c>
      <c r="C575" s="2" t="s">
        <v>88</v>
      </c>
      <c r="D575" s="2" t="s">
        <v>2308</v>
      </c>
      <c r="E575" s="2" t="s">
        <v>2309</v>
      </c>
      <c r="F575" s="2" t="s">
        <v>2310</v>
      </c>
      <c r="G575" s="2" t="s">
        <v>2311</v>
      </c>
      <c r="H575" s="2" t="s">
        <v>2312</v>
      </c>
      <c r="I575" s="2" t="s">
        <v>2313</v>
      </c>
      <c r="J575" s="2" t="s">
        <v>844</v>
      </c>
      <c r="K575" s="2" t="s">
        <v>197</v>
      </c>
      <c r="L575" s="3">
        <v>43.2</v>
      </c>
      <c r="M575" s="3">
        <v>45.36</v>
      </c>
      <c r="N575" s="3">
        <v>79.99</v>
      </c>
      <c r="O575" s="2" t="s">
        <v>97</v>
      </c>
      <c r="P575" s="2" t="s">
        <v>182</v>
      </c>
      <c r="Q575" s="2" t="s">
        <v>99</v>
      </c>
      <c r="R575" s="2" t="s">
        <v>100</v>
      </c>
      <c r="S575" s="2" t="s">
        <v>2314</v>
      </c>
      <c r="T575" s="2" t="s">
        <v>1653</v>
      </c>
      <c r="U575" s="2" t="s">
        <v>1610</v>
      </c>
      <c r="V575" s="2" t="s">
        <v>601</v>
      </c>
      <c r="W575" s="2" t="s">
        <v>1190</v>
      </c>
      <c r="X575" s="2" t="s">
        <v>1297</v>
      </c>
      <c r="Y575" s="2" t="s">
        <v>106</v>
      </c>
      <c r="Z575" s="4">
        <v>551</v>
      </c>
      <c r="AA575" s="4">
        <f>=ROUNDDOWN(36.7333333333333,0)</f>
      </c>
      <c r="AB575" s="5">
        <v>15</v>
      </c>
      <c r="AC575" s="2" t="s">
        <v>325</v>
      </c>
      <c r="AD575" s="4">
        <v>90</v>
      </c>
      <c r="AE575" s="4">
        <v>90</v>
      </c>
      <c r="AF575" s="6">
        <v>64</v>
      </c>
      <c r="AG575" s="6">
        <v>47</v>
      </c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>
        <v>0</v>
      </c>
      <c r="AP575" s="4">
        <v>4</v>
      </c>
      <c r="AQ575" s="8">
        <v>181.44</v>
      </c>
      <c r="AR575" s="4">
        <v>10</v>
      </c>
      <c r="AS575" s="8">
        <v>503.9</v>
      </c>
      <c r="AT575" s="7">
        <v>-0.6</v>
      </c>
      <c r="AU575" s="7">
        <v>-0.6399</v>
      </c>
      <c r="AV575" s="4">
        <v>10</v>
      </c>
      <c r="AW575" s="8">
        <v>480.84</v>
      </c>
      <c r="AX575" s="4">
        <v>16</v>
      </c>
      <c r="AY575" s="8">
        <v>825.42</v>
      </c>
      <c r="AZ575" s="7">
        <v>-0.375</v>
      </c>
      <c r="BA575" s="7">
        <v>-0.4175</v>
      </c>
      <c r="BB575" s="7">
        <v>0.3773</v>
      </c>
      <c r="BC575" s="4">
        <v>31</v>
      </c>
      <c r="BD575" s="8">
        <v>1487.88</v>
      </c>
      <c r="BE575" s="4">
        <v>77</v>
      </c>
      <c r="BF575" s="8">
        <v>3943.15</v>
      </c>
      <c r="BG575" s="7">
        <v>-0.5974</v>
      </c>
      <c r="BH575" s="7">
        <v>-0.6227</v>
      </c>
      <c r="BI575" s="7">
        <v>0.3232</v>
      </c>
      <c r="BJ575" s="4">
        <v>265</v>
      </c>
      <c r="BK575" s="8">
        <v>12983.5</v>
      </c>
      <c r="BL575" s="2" t="s">
        <v>2315</v>
      </c>
      <c r="BM575" s="7">
        <v>0.0151</v>
      </c>
      <c r="BN575" s="7">
        <v>0.014</v>
      </c>
      <c r="BO575" s="4">
        <v>4</v>
      </c>
      <c r="BP575" s="8">
        <v>181.44</v>
      </c>
      <c r="BQ575" s="4">
        <v>10</v>
      </c>
      <c r="BR575" s="8">
        <v>503.9</v>
      </c>
      <c r="BS575" s="7">
        <v>-0.6</v>
      </c>
      <c r="BT575" s="7">
        <v>-0.6399</v>
      </c>
      <c r="BU575" s="2" t="s">
        <v>109</v>
      </c>
      <c r="BV575" s="2" t="s">
        <v>97</v>
      </c>
      <c r="BW575" s="2" t="s">
        <v>132</v>
      </c>
      <c r="BX575" s="2" t="s">
        <v>133</v>
      </c>
      <c r="BY575" s="2" t="s">
        <v>112</v>
      </c>
      <c r="BZ575" s="2" t="s">
        <v>100</v>
      </c>
    </row>
    <row r="576">
      <c r="A576" s="2" t="s">
        <v>2316</v>
      </c>
      <c r="B576" s="2" t="s">
        <v>87</v>
      </c>
      <c r="C576" s="2" t="s">
        <v>88</v>
      </c>
      <c r="D576" s="2" t="s">
        <v>2308</v>
      </c>
      <c r="E576" s="2" t="s">
        <v>2309</v>
      </c>
      <c r="F576" s="2" t="s">
        <v>2310</v>
      </c>
      <c r="G576" s="2" t="s">
        <v>2311</v>
      </c>
      <c r="H576" s="2" t="s">
        <v>2312</v>
      </c>
      <c r="I576" s="2" t="s">
        <v>2313</v>
      </c>
      <c r="J576" s="2" t="s">
        <v>850</v>
      </c>
      <c r="K576" s="2" t="s">
        <v>197</v>
      </c>
      <c r="L576" s="3">
        <v>47.52</v>
      </c>
      <c r="M576" s="3">
        <v>49.9</v>
      </c>
      <c r="N576" s="3">
        <v>89.99</v>
      </c>
      <c r="O576" s="2" t="s">
        <v>97</v>
      </c>
      <c r="P576" s="2" t="s">
        <v>182</v>
      </c>
      <c r="Q576" s="2" t="s">
        <v>99</v>
      </c>
      <c r="R576" s="2" t="s">
        <v>100</v>
      </c>
      <c r="S576" s="2" t="s">
        <v>2314</v>
      </c>
      <c r="T576" s="2" t="s">
        <v>1653</v>
      </c>
      <c r="U576" s="2" t="s">
        <v>1610</v>
      </c>
      <c r="V576" s="2" t="s">
        <v>601</v>
      </c>
      <c r="W576" s="2" t="s">
        <v>1190</v>
      </c>
      <c r="X576" s="2" t="s">
        <v>1297</v>
      </c>
      <c r="Y576" s="2" t="s">
        <v>106</v>
      </c>
      <c r="Z576" s="4">
        <v>724</v>
      </c>
      <c r="AA576" s="4">
        <f>=ROUNDDOWN(28.96,0)</f>
      </c>
      <c r="AB576" s="5">
        <v>25</v>
      </c>
      <c r="AC576" s="2" t="s">
        <v>325</v>
      </c>
      <c r="AD576" s="4">
        <v>310</v>
      </c>
      <c r="AE576" s="4">
        <v>310</v>
      </c>
      <c r="AF576" s="6">
        <v>64</v>
      </c>
      <c r="AG576" s="6">
        <v>47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>
        <v>0</v>
      </c>
      <c r="AP576" s="4">
        <v>6</v>
      </c>
      <c r="AQ576" s="8">
        <v>299.4</v>
      </c>
      <c r="AR576" s="4">
        <v>6</v>
      </c>
      <c r="AS576" s="8">
        <v>321.52</v>
      </c>
      <c r="AT576" s="7"/>
      <c r="AU576" s="7">
        <v>-0.0688</v>
      </c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>
        <v>0.6227</v>
      </c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482</v>
      </c>
      <c r="BK576" s="8">
        <v>26239.09</v>
      </c>
      <c r="BL576" s="2" t="s">
        <v>851</v>
      </c>
      <c r="BM576" s="7">
        <v>0.0124</v>
      </c>
      <c r="BN576" s="7">
        <v>0.0114</v>
      </c>
      <c r="BO576" s="4">
        <v>6</v>
      </c>
      <c r="BP576" s="8">
        <v>299.4</v>
      </c>
      <c r="BQ576" s="4">
        <v>6</v>
      </c>
      <c r="BR576" s="8">
        <v>321.52</v>
      </c>
      <c r="BS576" s="7"/>
      <c r="BT576" s="7">
        <v>-0.0688</v>
      </c>
      <c r="BU576" s="2" t="s">
        <v>109</v>
      </c>
      <c r="BV576" s="2" t="s">
        <v>97</v>
      </c>
      <c r="BW576" s="2" t="s">
        <v>565</v>
      </c>
      <c r="BX576" s="2" t="s">
        <v>2317</v>
      </c>
      <c r="BY576" s="2" t="s">
        <v>112</v>
      </c>
      <c r="BZ576" s="2" t="s">
        <v>100</v>
      </c>
    </row>
    <row r="577">
      <c r="A577" s="2" t="s">
        <v>2318</v>
      </c>
      <c r="B577" s="2" t="s">
        <v>87</v>
      </c>
      <c r="C577" s="2" t="s">
        <v>88</v>
      </c>
      <c r="D577" s="2" t="s">
        <v>2308</v>
      </c>
      <c r="E577" s="2" t="s">
        <v>2309</v>
      </c>
      <c r="F577" s="2" t="s">
        <v>2310</v>
      </c>
      <c r="G577" s="2" t="s">
        <v>2311</v>
      </c>
      <c r="H577" s="2" t="s">
        <v>2312</v>
      </c>
      <c r="I577" s="2" t="s">
        <v>2313</v>
      </c>
      <c r="J577" s="2" t="s">
        <v>844</v>
      </c>
      <c r="K577" s="2" t="s">
        <v>181</v>
      </c>
      <c r="L577" s="3">
        <v>43.2</v>
      </c>
      <c r="M577" s="3">
        <v>45.36</v>
      </c>
      <c r="N577" s="3">
        <v>79.99</v>
      </c>
      <c r="O577" s="2" t="s">
        <v>97</v>
      </c>
      <c r="P577" s="2" t="s">
        <v>182</v>
      </c>
      <c r="Q577" s="2" t="s">
        <v>99</v>
      </c>
      <c r="R577" s="2" t="s">
        <v>100</v>
      </c>
      <c r="S577" s="2" t="s">
        <v>2319</v>
      </c>
      <c r="T577" s="2" t="s">
        <v>1653</v>
      </c>
      <c r="U577" s="2" t="s">
        <v>1610</v>
      </c>
      <c r="V577" s="2" t="s">
        <v>601</v>
      </c>
      <c r="W577" s="2" t="s">
        <v>1190</v>
      </c>
      <c r="X577" s="2" t="s">
        <v>2068</v>
      </c>
      <c r="Y577" s="2" t="s">
        <v>2320</v>
      </c>
      <c r="Z577" s="4">
        <v>502</v>
      </c>
      <c r="AA577" s="4">
        <f>=ROUNDDOWN(33.4666666666667,0)</f>
      </c>
      <c r="AB577" s="5">
        <v>15</v>
      </c>
      <c r="AC577" s="2" t="s">
        <v>126</v>
      </c>
      <c r="AD577" s="4">
        <v>160</v>
      </c>
      <c r="AE577" s="4">
        <v>310</v>
      </c>
      <c r="AF577" s="6">
        <v>64</v>
      </c>
      <c r="AG577" s="6">
        <v>47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>
        <v>0</v>
      </c>
      <c r="AP577" s="4">
        <v>5</v>
      </c>
      <c r="AQ577" s="8">
        <v>226.8</v>
      </c>
      <c r="AR577" s="4">
        <v>19</v>
      </c>
      <c r="AS577" s="8">
        <v>932.26</v>
      </c>
      <c r="AT577" s="7">
        <v>-0.7368</v>
      </c>
      <c r="AU577" s="7">
        <v>-0.7567</v>
      </c>
      <c r="AV577" s="4">
        <v>9</v>
      </c>
      <c r="AW577" s="8">
        <v>426.4</v>
      </c>
      <c r="AX577" s="4">
        <v>26</v>
      </c>
      <c r="AY577" s="8">
        <v>1320.27</v>
      </c>
      <c r="AZ577" s="7">
        <v>-0.6538</v>
      </c>
      <c r="BA577" s="7">
        <v>-0.677</v>
      </c>
      <c r="BB577" s="7">
        <v>0.5319</v>
      </c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>
        <v>0.2866</v>
      </c>
      <c r="BJ577" s="4">
        <v>315</v>
      </c>
      <c r="BK577" s="8">
        <v>15423.22</v>
      </c>
      <c r="BL577" s="2" t="s">
        <v>2321</v>
      </c>
      <c r="BM577" s="7">
        <v>0.0159</v>
      </c>
      <c r="BN577" s="7">
        <v>0.0147</v>
      </c>
      <c r="BO577" s="4">
        <v>5</v>
      </c>
      <c r="BP577" s="8">
        <v>226.8</v>
      </c>
      <c r="BQ577" s="4">
        <v>19</v>
      </c>
      <c r="BR577" s="8">
        <v>932.26</v>
      </c>
      <c r="BS577" s="7">
        <v>-0.7368</v>
      </c>
      <c r="BT577" s="7">
        <v>-0.7567</v>
      </c>
      <c r="BU577" s="2" t="s">
        <v>109</v>
      </c>
      <c r="BV577" s="2" t="s">
        <v>97</v>
      </c>
      <c r="BW577" s="2" t="s">
        <v>132</v>
      </c>
      <c r="BX577" s="2" t="s">
        <v>186</v>
      </c>
      <c r="BY577" s="2" t="s">
        <v>112</v>
      </c>
      <c r="BZ577" s="2" t="s">
        <v>100</v>
      </c>
    </row>
    <row r="578">
      <c r="A578" s="2" t="s">
        <v>2322</v>
      </c>
      <c r="B578" s="2" t="s">
        <v>87</v>
      </c>
      <c r="C578" s="2" t="s">
        <v>88</v>
      </c>
      <c r="D578" s="2" t="s">
        <v>2308</v>
      </c>
      <c r="E578" s="2" t="s">
        <v>2309</v>
      </c>
      <c r="F578" s="2" t="s">
        <v>2310</v>
      </c>
      <c r="G578" s="2" t="s">
        <v>2311</v>
      </c>
      <c r="H578" s="2" t="s">
        <v>2312</v>
      </c>
      <c r="I578" s="2" t="s">
        <v>2313</v>
      </c>
      <c r="J578" s="2" t="s">
        <v>850</v>
      </c>
      <c r="K578" s="2" t="s">
        <v>181</v>
      </c>
      <c r="L578" s="3">
        <v>47.52</v>
      </c>
      <c r="M578" s="3">
        <v>49.9</v>
      </c>
      <c r="N578" s="3">
        <v>89.99</v>
      </c>
      <c r="O578" s="2" t="s">
        <v>97</v>
      </c>
      <c r="P578" s="2" t="s">
        <v>182</v>
      </c>
      <c r="Q578" s="2" t="s">
        <v>99</v>
      </c>
      <c r="R578" s="2" t="s">
        <v>100</v>
      </c>
      <c r="S578" s="2" t="s">
        <v>2319</v>
      </c>
      <c r="T578" s="2" t="s">
        <v>1653</v>
      </c>
      <c r="U578" s="2" t="s">
        <v>1610</v>
      </c>
      <c r="V578" s="2" t="s">
        <v>601</v>
      </c>
      <c r="W578" s="2" t="s">
        <v>1190</v>
      </c>
      <c r="X578" s="2" t="s">
        <v>2068</v>
      </c>
      <c r="Y578" s="2" t="s">
        <v>2320</v>
      </c>
      <c r="Z578" s="4">
        <v>1094</v>
      </c>
      <c r="AA578" s="4">
        <f>=ROUNDDOWN(47.5652173913044,0)</f>
      </c>
      <c r="AB578" s="5">
        <v>23</v>
      </c>
      <c r="AC578" s="2" t="s">
        <v>325</v>
      </c>
      <c r="AD578" s="4">
        <v>290</v>
      </c>
      <c r="AE578" s="4">
        <v>290</v>
      </c>
      <c r="AF578" s="6">
        <v>64</v>
      </c>
      <c r="AG578" s="6">
        <v>47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>
        <v>0</v>
      </c>
      <c r="AP578" s="4">
        <v>4</v>
      </c>
      <c r="AQ578" s="8">
        <v>199.6</v>
      </c>
      <c r="AR578" s="4">
        <v>7</v>
      </c>
      <c r="AS578" s="8">
        <v>388.01</v>
      </c>
      <c r="AT578" s="7">
        <v>-0.4286</v>
      </c>
      <c r="AU578" s="7">
        <v>-0.4856</v>
      </c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>
        <v>0.4681</v>
      </c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469</v>
      </c>
      <c r="BK578" s="8">
        <v>25157.28</v>
      </c>
      <c r="BL578" s="2" t="s">
        <v>2323</v>
      </c>
      <c r="BM578" s="7">
        <v>0.0085</v>
      </c>
      <c r="BN578" s="7">
        <v>0.0079</v>
      </c>
      <c r="BO578" s="4">
        <v>4</v>
      </c>
      <c r="BP578" s="8">
        <v>199.6</v>
      </c>
      <c r="BQ578" s="4">
        <v>7</v>
      </c>
      <c r="BR578" s="8">
        <v>388.01</v>
      </c>
      <c r="BS578" s="7">
        <v>-0.4286</v>
      </c>
      <c r="BT578" s="7">
        <v>-0.4856</v>
      </c>
      <c r="BU578" s="2" t="s">
        <v>109</v>
      </c>
      <c r="BV578" s="2" t="s">
        <v>97</v>
      </c>
      <c r="BW578" s="2" t="s">
        <v>132</v>
      </c>
      <c r="BX578" s="2" t="s">
        <v>2324</v>
      </c>
      <c r="BY578" s="2" t="s">
        <v>112</v>
      </c>
      <c r="BZ578" s="2" t="s">
        <v>100</v>
      </c>
    </row>
    <row r="579">
      <c r="A579" s="2" t="s">
        <v>2325</v>
      </c>
      <c r="B579" s="2" t="s">
        <v>87</v>
      </c>
      <c r="C579" s="2" t="s">
        <v>88</v>
      </c>
      <c r="D579" s="2" t="s">
        <v>2308</v>
      </c>
      <c r="E579" s="2" t="s">
        <v>2309</v>
      </c>
      <c r="F579" s="2" t="s">
        <v>2310</v>
      </c>
      <c r="G579" s="2" t="s">
        <v>2311</v>
      </c>
      <c r="H579" s="2" t="s">
        <v>2312</v>
      </c>
      <c r="I579" s="2" t="s">
        <v>2313</v>
      </c>
      <c r="J579" s="2" t="s">
        <v>844</v>
      </c>
      <c r="K579" s="2" t="s">
        <v>1592</v>
      </c>
      <c r="L579" s="3">
        <v>43.2</v>
      </c>
      <c r="M579" s="3">
        <v>45.36</v>
      </c>
      <c r="N579" s="3">
        <v>79.99</v>
      </c>
      <c r="O579" s="2" t="s">
        <v>97</v>
      </c>
      <c r="P579" s="2" t="s">
        <v>182</v>
      </c>
      <c r="Q579" s="2" t="s">
        <v>99</v>
      </c>
      <c r="R579" s="2" t="s">
        <v>100</v>
      </c>
      <c r="S579" s="2" t="s">
        <v>2326</v>
      </c>
      <c r="T579" s="2" t="s">
        <v>1653</v>
      </c>
      <c r="U579" s="2" t="s">
        <v>1610</v>
      </c>
      <c r="V579" s="2" t="s">
        <v>601</v>
      </c>
      <c r="W579" s="2" t="s">
        <v>1190</v>
      </c>
      <c r="X579" s="2" t="s">
        <v>1297</v>
      </c>
      <c r="Y579" s="2" t="s">
        <v>2327</v>
      </c>
      <c r="Z579" s="4">
        <v>342</v>
      </c>
      <c r="AA579" s="4">
        <f>=ROUNDDOWN(24.4285714285714,0)</f>
      </c>
      <c r="AB579" s="5">
        <v>14</v>
      </c>
      <c r="AC579" s="2" t="s">
        <v>909</v>
      </c>
      <c r="AD579" s="4">
        <v>110</v>
      </c>
      <c r="AE579" s="4">
        <v>280</v>
      </c>
      <c r="AF579" s="6">
        <v>64</v>
      </c>
      <c r="AG579" s="6">
        <v>47</v>
      </c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>
        <v>0</v>
      </c>
      <c r="AP579" s="4">
        <v>2</v>
      </c>
      <c r="AQ579" s="8">
        <v>90.72</v>
      </c>
      <c r="AR579" s="4">
        <v>11</v>
      </c>
      <c r="AS579" s="8">
        <v>554.29</v>
      </c>
      <c r="AT579" s="7">
        <v>-0.8182</v>
      </c>
      <c r="AU579" s="7">
        <v>-0.8363</v>
      </c>
      <c r="AV579" s="4">
        <v>6</v>
      </c>
      <c r="AW579" s="8">
        <v>290.32</v>
      </c>
      <c r="AX579" s="4">
        <v>16</v>
      </c>
      <c r="AY579" s="8">
        <v>820.38</v>
      </c>
      <c r="AZ579" s="7">
        <v>-0.625</v>
      </c>
      <c r="BA579" s="7">
        <v>-0.6461</v>
      </c>
      <c r="BB579" s="7">
        <v>0.3125</v>
      </c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>
        <v>0.1951</v>
      </c>
      <c r="BJ579" s="4">
        <v>297</v>
      </c>
      <c r="BK579" s="8">
        <v>14396.57</v>
      </c>
      <c r="BL579" s="2" t="s">
        <v>2328</v>
      </c>
      <c r="BM579" s="7">
        <v>0.0067</v>
      </c>
      <c r="BN579" s="7">
        <v>0.0063</v>
      </c>
      <c r="BO579" s="4">
        <v>2</v>
      </c>
      <c r="BP579" s="8">
        <v>90.72</v>
      </c>
      <c r="BQ579" s="4">
        <v>11</v>
      </c>
      <c r="BR579" s="8">
        <v>554.29</v>
      </c>
      <c r="BS579" s="7">
        <v>-0.8182</v>
      </c>
      <c r="BT579" s="7">
        <v>-0.8363</v>
      </c>
      <c r="BU579" s="2" t="s">
        <v>109</v>
      </c>
      <c r="BV579" s="2" t="s">
        <v>97</v>
      </c>
      <c r="BW579" s="2" t="s">
        <v>132</v>
      </c>
      <c r="BX579" s="2" t="s">
        <v>136</v>
      </c>
      <c r="BY579" s="2" t="s">
        <v>112</v>
      </c>
      <c r="BZ579" s="2" t="s">
        <v>100</v>
      </c>
    </row>
    <row r="580">
      <c r="A580" s="2" t="s">
        <v>2329</v>
      </c>
      <c r="B580" s="2" t="s">
        <v>87</v>
      </c>
      <c r="C580" s="2" t="s">
        <v>88</v>
      </c>
      <c r="D580" s="2" t="s">
        <v>2308</v>
      </c>
      <c r="E580" s="2" t="s">
        <v>2309</v>
      </c>
      <c r="F580" s="2" t="s">
        <v>2310</v>
      </c>
      <c r="G580" s="2" t="s">
        <v>2311</v>
      </c>
      <c r="H580" s="2" t="s">
        <v>2312</v>
      </c>
      <c r="I580" s="2" t="s">
        <v>2313</v>
      </c>
      <c r="J580" s="2" t="s">
        <v>850</v>
      </c>
      <c r="K580" s="2" t="s">
        <v>1592</v>
      </c>
      <c r="L580" s="3">
        <v>47.52</v>
      </c>
      <c r="M580" s="3">
        <v>49.9</v>
      </c>
      <c r="N580" s="3">
        <v>89.99</v>
      </c>
      <c r="O580" s="2" t="s">
        <v>97</v>
      </c>
      <c r="P580" s="2" t="s">
        <v>182</v>
      </c>
      <c r="Q580" s="2" t="s">
        <v>99</v>
      </c>
      <c r="R580" s="2" t="s">
        <v>100</v>
      </c>
      <c r="S580" s="2" t="s">
        <v>2326</v>
      </c>
      <c r="T580" s="2" t="s">
        <v>1653</v>
      </c>
      <c r="U580" s="2" t="s">
        <v>1610</v>
      </c>
      <c r="V580" s="2" t="s">
        <v>601</v>
      </c>
      <c r="W580" s="2" t="s">
        <v>1190</v>
      </c>
      <c r="X580" s="2" t="s">
        <v>1297</v>
      </c>
      <c r="Y580" s="2" t="s">
        <v>2327</v>
      </c>
      <c r="Z580" s="4">
        <v>764</v>
      </c>
      <c r="AA580" s="4">
        <f>=ROUNDDOWN(29.3846153846154,0)</f>
      </c>
      <c r="AB580" s="5">
        <v>26</v>
      </c>
      <c r="AC580" s="2" t="s">
        <v>909</v>
      </c>
      <c r="AD580" s="4">
        <v>70</v>
      </c>
      <c r="AE580" s="4">
        <v>320</v>
      </c>
      <c r="AF580" s="6">
        <v>64</v>
      </c>
      <c r="AG580" s="6">
        <v>47</v>
      </c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>
        <v>0</v>
      </c>
      <c r="AP580" s="4">
        <v>4</v>
      </c>
      <c r="AQ580" s="8">
        <v>199.6</v>
      </c>
      <c r="AR580" s="4">
        <v>5</v>
      </c>
      <c r="AS580" s="8">
        <v>266.09</v>
      </c>
      <c r="AT580" s="7">
        <v>-0.2</v>
      </c>
      <c r="AU580" s="7">
        <v>-0.2499</v>
      </c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>
        <v>0.6875</v>
      </c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>
        <v>585</v>
      </c>
      <c r="BK580" s="8">
        <v>31534.01</v>
      </c>
      <c r="BL580" s="2" t="s">
        <v>2330</v>
      </c>
      <c r="BM580" s="7">
        <v>0.0068</v>
      </c>
      <c r="BN580" s="7">
        <v>0.0063</v>
      </c>
      <c r="BO580" s="4">
        <v>4</v>
      </c>
      <c r="BP580" s="8">
        <v>199.6</v>
      </c>
      <c r="BQ580" s="4">
        <v>5</v>
      </c>
      <c r="BR580" s="8">
        <v>266.09</v>
      </c>
      <c r="BS580" s="7">
        <v>-0.2</v>
      </c>
      <c r="BT580" s="7">
        <v>-0.2499</v>
      </c>
      <c r="BU580" s="2" t="s">
        <v>109</v>
      </c>
      <c r="BV580" s="2" t="s">
        <v>97</v>
      </c>
      <c r="BW580" s="2" t="s">
        <v>132</v>
      </c>
      <c r="BX580" s="2" t="s">
        <v>2331</v>
      </c>
      <c r="BY580" s="2" t="s">
        <v>112</v>
      </c>
      <c r="BZ580" s="2" t="s">
        <v>100</v>
      </c>
    </row>
    <row r="581">
      <c r="A581" s="2" t="s">
        <v>2332</v>
      </c>
      <c r="B581" s="2" t="s">
        <v>87</v>
      </c>
      <c r="C581" s="2" t="s">
        <v>88</v>
      </c>
      <c r="D581" s="2" t="s">
        <v>2308</v>
      </c>
      <c r="E581" s="2" t="s">
        <v>2309</v>
      </c>
      <c r="F581" s="2" t="s">
        <v>2310</v>
      </c>
      <c r="G581" s="2" t="s">
        <v>2311</v>
      </c>
      <c r="H581" s="2" t="s">
        <v>2312</v>
      </c>
      <c r="I581" s="2" t="s">
        <v>2313</v>
      </c>
      <c r="J581" s="2" t="s">
        <v>844</v>
      </c>
      <c r="K581" s="2" t="s">
        <v>333</v>
      </c>
      <c r="L581" s="3">
        <v>43.2</v>
      </c>
      <c r="M581" s="3">
        <v>45.36</v>
      </c>
      <c r="N581" s="3">
        <v>79.99</v>
      </c>
      <c r="O581" s="2" t="s">
        <v>97</v>
      </c>
      <c r="P581" s="2" t="s">
        <v>182</v>
      </c>
      <c r="Q581" s="2" t="s">
        <v>99</v>
      </c>
      <c r="R581" s="2" t="s">
        <v>100</v>
      </c>
      <c r="S581" s="2" t="s">
        <v>2333</v>
      </c>
      <c r="T581" s="2" t="s">
        <v>1653</v>
      </c>
      <c r="U581" s="2" t="s">
        <v>1610</v>
      </c>
      <c r="V581" s="2" t="s">
        <v>601</v>
      </c>
      <c r="W581" s="2" t="s">
        <v>1190</v>
      </c>
      <c r="X581" s="2" t="s">
        <v>1297</v>
      </c>
      <c r="Y581" s="2" t="s">
        <v>106</v>
      </c>
      <c r="Z581" s="4">
        <v>251</v>
      </c>
      <c r="AA581" s="4">
        <f>=ROUNDDOWN(25.1,0)</f>
      </c>
      <c r="AB581" s="5">
        <v>10</v>
      </c>
      <c r="AC581" s="2" t="s">
        <v>126</v>
      </c>
      <c r="AD581" s="4">
        <v>170</v>
      </c>
      <c r="AE581" s="4">
        <v>270</v>
      </c>
      <c r="AF581" s="6">
        <v>64</v>
      </c>
      <c r="AG581" s="6">
        <v>47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>
        <v>0</v>
      </c>
      <c r="AP581" s="4">
        <v>1</v>
      </c>
      <c r="AQ581" s="8">
        <v>45.36</v>
      </c>
      <c r="AR581" s="4">
        <v>7</v>
      </c>
      <c r="AS581" s="8">
        <v>352.73</v>
      </c>
      <c r="AT581" s="7">
        <v>-0.8571</v>
      </c>
      <c r="AU581" s="7">
        <v>-0.8714</v>
      </c>
      <c r="AV581" s="4">
        <v>5</v>
      </c>
      <c r="AW581" s="8">
        <v>244.96</v>
      </c>
      <c r="AX581" s="4">
        <v>9</v>
      </c>
      <c r="AY581" s="8">
        <v>463.59</v>
      </c>
      <c r="AZ581" s="7">
        <v>-0.4444</v>
      </c>
      <c r="BA581" s="7">
        <v>-0.4716</v>
      </c>
      <c r="BB581" s="7">
        <v>0.1852</v>
      </c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>
        <v>0.1646</v>
      </c>
      <c r="BJ581" s="4">
        <v>200</v>
      </c>
      <c r="BK581" s="8">
        <v>9766.58</v>
      </c>
      <c r="BL581" s="2" t="s">
        <v>2334</v>
      </c>
      <c r="BM581" s="7">
        <v>0.005</v>
      </c>
      <c r="BN581" s="7">
        <v>0.0046</v>
      </c>
      <c r="BO581" s="4">
        <v>1</v>
      </c>
      <c r="BP581" s="8">
        <v>45.36</v>
      </c>
      <c r="BQ581" s="4">
        <v>7</v>
      </c>
      <c r="BR581" s="8">
        <v>352.73</v>
      </c>
      <c r="BS581" s="7">
        <v>-0.8571</v>
      </c>
      <c r="BT581" s="7">
        <v>-0.8714</v>
      </c>
      <c r="BU581" s="2" t="s">
        <v>109</v>
      </c>
      <c r="BV581" s="2" t="s">
        <v>97</v>
      </c>
      <c r="BW581" s="2" t="s">
        <v>132</v>
      </c>
      <c r="BX581" s="2" t="s">
        <v>2335</v>
      </c>
      <c r="BY581" s="2" t="s">
        <v>112</v>
      </c>
      <c r="BZ581" s="2" t="s">
        <v>100</v>
      </c>
    </row>
    <row r="582">
      <c r="A582" s="2" t="s">
        <v>2336</v>
      </c>
      <c r="B582" s="2" t="s">
        <v>87</v>
      </c>
      <c r="C582" s="2" t="s">
        <v>88</v>
      </c>
      <c r="D582" s="2" t="s">
        <v>2308</v>
      </c>
      <c r="E582" s="2" t="s">
        <v>2309</v>
      </c>
      <c r="F582" s="2" t="s">
        <v>2310</v>
      </c>
      <c r="G582" s="2" t="s">
        <v>2311</v>
      </c>
      <c r="H582" s="2" t="s">
        <v>2312</v>
      </c>
      <c r="I582" s="2" t="s">
        <v>2313</v>
      </c>
      <c r="J582" s="2" t="s">
        <v>850</v>
      </c>
      <c r="K582" s="2" t="s">
        <v>333</v>
      </c>
      <c r="L582" s="3">
        <v>47.52</v>
      </c>
      <c r="M582" s="3">
        <v>49.9</v>
      </c>
      <c r="N582" s="3">
        <v>89.99</v>
      </c>
      <c r="O582" s="2" t="s">
        <v>97</v>
      </c>
      <c r="P582" s="2" t="s">
        <v>182</v>
      </c>
      <c r="Q582" s="2" t="s">
        <v>99</v>
      </c>
      <c r="R582" s="2" t="s">
        <v>100</v>
      </c>
      <c r="S582" s="2" t="s">
        <v>2333</v>
      </c>
      <c r="T582" s="2" t="s">
        <v>1653</v>
      </c>
      <c r="U582" s="2" t="s">
        <v>1610</v>
      </c>
      <c r="V582" s="2" t="s">
        <v>601</v>
      </c>
      <c r="W582" s="2" t="s">
        <v>1190</v>
      </c>
      <c r="X582" s="2" t="s">
        <v>1297</v>
      </c>
      <c r="Y582" s="2" t="s">
        <v>106</v>
      </c>
      <c r="Z582" s="4">
        <v>517</v>
      </c>
      <c r="AA582" s="4">
        <f>=ROUNDDOWN(30.4117647058824,0)</f>
      </c>
      <c r="AB582" s="5">
        <v>17</v>
      </c>
      <c r="AC582" s="2" t="s">
        <v>126</v>
      </c>
      <c r="AD582" s="4">
        <v>100</v>
      </c>
      <c r="AE582" s="4">
        <v>290</v>
      </c>
      <c r="AF582" s="6">
        <v>64</v>
      </c>
      <c r="AG582" s="6">
        <v>47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>
        <v>0</v>
      </c>
      <c r="AP582" s="4">
        <v>4</v>
      </c>
      <c r="AQ582" s="8">
        <v>199.6</v>
      </c>
      <c r="AR582" s="4">
        <v>2</v>
      </c>
      <c r="AS582" s="8">
        <v>110.86</v>
      </c>
      <c r="AT582" s="7">
        <v>1</v>
      </c>
      <c r="AU582" s="7">
        <v>0.8005</v>
      </c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>
        <v>0.8148</v>
      </c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363</v>
      </c>
      <c r="BK582" s="8">
        <v>19232.12</v>
      </c>
      <c r="BL582" s="2" t="s">
        <v>2337</v>
      </c>
      <c r="BM582" s="7">
        <v>0.011</v>
      </c>
      <c r="BN582" s="7">
        <v>0.0104</v>
      </c>
      <c r="BO582" s="4">
        <v>4</v>
      </c>
      <c r="BP582" s="8">
        <v>199.6</v>
      </c>
      <c r="BQ582" s="4">
        <v>2</v>
      </c>
      <c r="BR582" s="8">
        <v>110.86</v>
      </c>
      <c r="BS582" s="7">
        <v>1</v>
      </c>
      <c r="BT582" s="7">
        <v>0.8005</v>
      </c>
      <c r="BU582" s="2" t="s">
        <v>109</v>
      </c>
      <c r="BV582" s="2" t="s">
        <v>97</v>
      </c>
      <c r="BW582" s="2" t="s">
        <v>132</v>
      </c>
      <c r="BX582" s="2" t="s">
        <v>2338</v>
      </c>
      <c r="BY582" s="2" t="s">
        <v>112</v>
      </c>
      <c r="BZ582" s="2" t="s">
        <v>100</v>
      </c>
    </row>
    <row r="583">
      <c r="A583" s="2" t="s">
        <v>2339</v>
      </c>
      <c r="B583" s="2" t="s">
        <v>87</v>
      </c>
      <c r="C583" s="2" t="s">
        <v>88</v>
      </c>
      <c r="D583" s="2" t="s">
        <v>2308</v>
      </c>
      <c r="E583" s="2" t="s">
        <v>2309</v>
      </c>
      <c r="F583" s="2" t="s">
        <v>2310</v>
      </c>
      <c r="G583" s="2" t="s">
        <v>2311</v>
      </c>
      <c r="H583" s="2" t="s">
        <v>2312</v>
      </c>
      <c r="I583" s="2" t="s">
        <v>2313</v>
      </c>
      <c r="J583" s="2" t="s">
        <v>844</v>
      </c>
      <c r="K583" s="2" t="s">
        <v>635</v>
      </c>
      <c r="L583" s="3">
        <v>43.2</v>
      </c>
      <c r="M583" s="3">
        <v>45.36</v>
      </c>
      <c r="N583" s="3">
        <v>79.99</v>
      </c>
      <c r="O583" s="2" t="s">
        <v>97</v>
      </c>
      <c r="P583" s="2" t="s">
        <v>182</v>
      </c>
      <c r="Q583" s="2" t="s">
        <v>99</v>
      </c>
      <c r="R583" s="2" t="s">
        <v>100</v>
      </c>
      <c r="S583" s="2" t="s">
        <v>2340</v>
      </c>
      <c r="T583" s="2" t="s">
        <v>1653</v>
      </c>
      <c r="U583" s="2" t="s">
        <v>1610</v>
      </c>
      <c r="V583" s="2" t="s">
        <v>601</v>
      </c>
      <c r="W583" s="2" t="s">
        <v>1190</v>
      </c>
      <c r="X583" s="2" t="s">
        <v>1297</v>
      </c>
      <c r="Y583" s="2" t="s">
        <v>106</v>
      </c>
      <c r="Z583" s="4">
        <v>286</v>
      </c>
      <c r="AA583" s="4">
        <f>=ROUNDDOWN(26,0)</f>
      </c>
      <c r="AB583" s="5">
        <v>11</v>
      </c>
      <c r="AC583" s="2" t="s">
        <v>126</v>
      </c>
      <c r="AD583" s="4">
        <v>200</v>
      </c>
      <c r="AE583" s="4">
        <v>310</v>
      </c>
      <c r="AF583" s="6">
        <v>64</v>
      </c>
      <c r="AG583" s="6">
        <v>47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>
        <v>0</v>
      </c>
      <c r="AP583" s="4">
        <v>1</v>
      </c>
      <c r="AQ583" s="8">
        <v>45.36</v>
      </c>
      <c r="AR583" s="4">
        <v>7</v>
      </c>
      <c r="AS583" s="8">
        <v>352.73</v>
      </c>
      <c r="AT583" s="7">
        <v>-0.8571</v>
      </c>
      <c r="AU583" s="7">
        <v>-0.8714</v>
      </c>
      <c r="AV583" s="4">
        <v>1</v>
      </c>
      <c r="AW583" s="8">
        <v>45.36</v>
      </c>
      <c r="AX583" s="4">
        <v>10</v>
      </c>
      <c r="AY583" s="8">
        <v>513.49</v>
      </c>
      <c r="AZ583" s="7">
        <v>-0.9</v>
      </c>
      <c r="BA583" s="7">
        <v>-0.9117</v>
      </c>
      <c r="BB583" s="7">
        <v>1</v>
      </c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>
        <v>0.0305</v>
      </c>
      <c r="BJ583" s="4">
        <v>271</v>
      </c>
      <c r="BK583" s="8">
        <v>13110.87</v>
      </c>
      <c r="BL583" s="2" t="s">
        <v>2341</v>
      </c>
      <c r="BM583" s="7">
        <v>0.0037</v>
      </c>
      <c r="BN583" s="7">
        <v>0.0035</v>
      </c>
      <c r="BO583" s="4">
        <v>1</v>
      </c>
      <c r="BP583" s="8">
        <v>45.36</v>
      </c>
      <c r="BQ583" s="4">
        <v>7</v>
      </c>
      <c r="BR583" s="8">
        <v>352.73</v>
      </c>
      <c r="BS583" s="7">
        <v>-0.8571</v>
      </c>
      <c r="BT583" s="7">
        <v>-0.8714</v>
      </c>
      <c r="BU583" s="2" t="s">
        <v>109</v>
      </c>
      <c r="BV583" s="2" t="s">
        <v>97</v>
      </c>
      <c r="BW583" s="2" t="s">
        <v>132</v>
      </c>
      <c r="BX583" s="2" t="s">
        <v>1644</v>
      </c>
      <c r="BY583" s="2" t="s">
        <v>112</v>
      </c>
      <c r="BZ583" s="2" t="s">
        <v>100</v>
      </c>
    </row>
    <row r="584">
      <c r="A584" s="2" t="s">
        <v>2342</v>
      </c>
      <c r="B584" s="2" t="s">
        <v>87</v>
      </c>
      <c r="C584" s="2" t="s">
        <v>88</v>
      </c>
      <c r="D584" s="2" t="s">
        <v>2308</v>
      </c>
      <c r="E584" s="2" t="s">
        <v>2309</v>
      </c>
      <c r="F584" s="2" t="s">
        <v>2310</v>
      </c>
      <c r="G584" s="2" t="s">
        <v>2311</v>
      </c>
      <c r="H584" s="2" t="s">
        <v>2312</v>
      </c>
      <c r="I584" s="2" t="s">
        <v>2313</v>
      </c>
      <c r="J584" s="2" t="s">
        <v>850</v>
      </c>
      <c r="K584" s="2" t="s">
        <v>635</v>
      </c>
      <c r="L584" s="3">
        <v>47.52</v>
      </c>
      <c r="M584" s="3">
        <v>49.9</v>
      </c>
      <c r="N584" s="3">
        <v>89.99</v>
      </c>
      <c r="O584" s="2" t="s">
        <v>97</v>
      </c>
      <c r="P584" s="2" t="s">
        <v>182</v>
      </c>
      <c r="Q584" s="2" t="s">
        <v>99</v>
      </c>
      <c r="R584" s="2" t="s">
        <v>100</v>
      </c>
      <c r="S584" s="2" t="s">
        <v>2340</v>
      </c>
      <c r="T584" s="2" t="s">
        <v>1653</v>
      </c>
      <c r="U584" s="2" t="s">
        <v>1610</v>
      </c>
      <c r="V584" s="2" t="s">
        <v>601</v>
      </c>
      <c r="W584" s="2" t="s">
        <v>1190</v>
      </c>
      <c r="X584" s="2" t="s">
        <v>1297</v>
      </c>
      <c r="Y584" s="2" t="s">
        <v>106</v>
      </c>
      <c r="Z584" s="4">
        <v>729</v>
      </c>
      <c r="AA584" s="4">
        <f>=ROUNDDOWN(36.45,0)</f>
      </c>
      <c r="AB584" s="5">
        <v>20</v>
      </c>
      <c r="AC584" s="2" t="s">
        <v>382</v>
      </c>
      <c r="AD584" s="4">
        <v>280</v>
      </c>
      <c r="AE584" s="4">
        <v>280</v>
      </c>
      <c r="AF584" s="6">
        <v>64</v>
      </c>
      <c r="AG584" s="6">
        <v>47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>
        <v>0</v>
      </c>
      <c r="AP584" s="4"/>
      <c r="AQ584" s="8"/>
      <c r="AR584" s="4">
        <v>3</v>
      </c>
      <c r="AS584" s="8">
        <v>160.76</v>
      </c>
      <c r="AT584" s="7">
        <v>-1</v>
      </c>
      <c r="AU584" s="7">
        <v>-1</v>
      </c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429</v>
      </c>
      <c r="BK584" s="8">
        <v>23296.5</v>
      </c>
      <c r="BL584" s="2" t="s">
        <v>2343</v>
      </c>
      <c r="BM584" s="7"/>
      <c r="BN584" s="7"/>
      <c r="BO584" s="4"/>
      <c r="BP584" s="8"/>
      <c r="BQ584" s="4">
        <v>3</v>
      </c>
      <c r="BR584" s="8">
        <v>160.76</v>
      </c>
      <c r="BS584" s="7">
        <v>-1</v>
      </c>
      <c r="BT584" s="7">
        <v>-1</v>
      </c>
      <c r="BU584" s="2" t="s">
        <v>109</v>
      </c>
      <c r="BV584" s="2" t="s">
        <v>97</v>
      </c>
      <c r="BW584" s="2" t="s">
        <v>132</v>
      </c>
      <c r="BX584" s="2" t="s">
        <v>816</v>
      </c>
      <c r="BY584" s="2" t="s">
        <v>112</v>
      </c>
      <c r="BZ584" s="2" t="s">
        <v>100</v>
      </c>
    </row>
    <row r="585">
      <c r="A585" s="2" t="s">
        <v>2344</v>
      </c>
      <c r="B585" s="2" t="s">
        <v>87</v>
      </c>
      <c r="C585" s="2" t="s">
        <v>88</v>
      </c>
      <c r="D585" s="2" t="s">
        <v>2308</v>
      </c>
      <c r="E585" s="2" t="s">
        <v>2309</v>
      </c>
      <c r="F585" s="2" t="s">
        <v>2310</v>
      </c>
      <c r="G585" s="2" t="s">
        <v>2311</v>
      </c>
      <c r="H585" s="2" t="s">
        <v>2312</v>
      </c>
      <c r="I585" s="2" t="s">
        <v>2313</v>
      </c>
      <c r="J585" s="2" t="s">
        <v>844</v>
      </c>
      <c r="K585" s="2" t="s">
        <v>2345</v>
      </c>
      <c r="L585" s="3">
        <v>43.2</v>
      </c>
      <c r="M585" s="3">
        <v>45.36</v>
      </c>
      <c r="N585" s="3">
        <v>79.99</v>
      </c>
      <c r="O585" s="2" t="s">
        <v>97</v>
      </c>
      <c r="P585" s="2" t="s">
        <v>198</v>
      </c>
      <c r="Q585" s="2" t="s">
        <v>99</v>
      </c>
      <c r="R585" s="2" t="s">
        <v>100</v>
      </c>
      <c r="S585" s="2" t="s">
        <v>2346</v>
      </c>
      <c r="T585" s="2" t="s">
        <v>1653</v>
      </c>
      <c r="U585" s="2" t="s">
        <v>1610</v>
      </c>
      <c r="V585" s="2" t="s">
        <v>601</v>
      </c>
      <c r="W585" s="2" t="s">
        <v>1190</v>
      </c>
      <c r="X585" s="2" t="s">
        <v>2068</v>
      </c>
      <c r="Y585" s="2" t="s">
        <v>2347</v>
      </c>
      <c r="Z585" s="4">
        <v>323</v>
      </c>
      <c r="AA585" s="4">
        <f>=ROUNDDOWN(46.1428571428571,0)</f>
      </c>
      <c r="AB585" s="5">
        <v>7</v>
      </c>
      <c r="AC585" s="2" t="s">
        <v>100</v>
      </c>
      <c r="AD585" s="4"/>
      <c r="AE585" s="4"/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127</v>
      </c>
      <c r="BK585" s="8">
        <v>6024.19</v>
      </c>
      <c r="BL585" s="2" t="s">
        <v>2348</v>
      </c>
      <c r="BM585" s="7"/>
      <c r="BN585" s="7"/>
      <c r="BO585" s="4"/>
      <c r="BP585" s="8"/>
      <c r="BQ585" s="4"/>
      <c r="BR585" s="8"/>
      <c r="BS585" s="7"/>
      <c r="BT585" s="7"/>
      <c r="BU585" s="2" t="s">
        <v>147</v>
      </c>
      <c r="BV585" s="2" t="s">
        <v>97</v>
      </c>
      <c r="BW585" s="2" t="s">
        <v>100</v>
      </c>
      <c r="BX585" s="2" t="s">
        <v>100</v>
      </c>
      <c r="BY585" s="2" t="s">
        <v>112</v>
      </c>
      <c r="BZ585" s="2" t="s">
        <v>100</v>
      </c>
    </row>
    <row r="586">
      <c r="A586" s="2" t="s">
        <v>2349</v>
      </c>
      <c r="B586" s="2" t="s">
        <v>87</v>
      </c>
      <c r="C586" s="2" t="s">
        <v>88</v>
      </c>
      <c r="D586" s="2" t="s">
        <v>2308</v>
      </c>
      <c r="E586" s="2" t="s">
        <v>2309</v>
      </c>
      <c r="F586" s="2" t="s">
        <v>2310</v>
      </c>
      <c r="G586" s="2" t="s">
        <v>2311</v>
      </c>
      <c r="H586" s="2" t="s">
        <v>2312</v>
      </c>
      <c r="I586" s="2" t="s">
        <v>2313</v>
      </c>
      <c r="J586" s="2" t="s">
        <v>850</v>
      </c>
      <c r="K586" s="2" t="s">
        <v>2345</v>
      </c>
      <c r="L586" s="3">
        <v>47.52</v>
      </c>
      <c r="M586" s="3">
        <v>49.9</v>
      </c>
      <c r="N586" s="3">
        <v>89.99</v>
      </c>
      <c r="O586" s="2" t="s">
        <v>97</v>
      </c>
      <c r="P586" s="2" t="s">
        <v>198</v>
      </c>
      <c r="Q586" s="2" t="s">
        <v>99</v>
      </c>
      <c r="R586" s="2" t="s">
        <v>100</v>
      </c>
      <c r="S586" s="2" t="s">
        <v>2346</v>
      </c>
      <c r="T586" s="2" t="s">
        <v>1653</v>
      </c>
      <c r="U586" s="2" t="s">
        <v>1610</v>
      </c>
      <c r="V586" s="2" t="s">
        <v>601</v>
      </c>
      <c r="W586" s="2" t="s">
        <v>1190</v>
      </c>
      <c r="X586" s="2" t="s">
        <v>2068</v>
      </c>
      <c r="Y586" s="2" t="s">
        <v>2347</v>
      </c>
      <c r="Z586" s="4">
        <v>628</v>
      </c>
      <c r="AA586" s="4">
        <f>=ROUNDDOWN(62.8,0)</f>
      </c>
      <c r="AB586" s="5">
        <v>10</v>
      </c>
      <c r="AC586" s="2" t="s">
        <v>100</v>
      </c>
      <c r="AD586" s="4"/>
      <c r="AE586" s="4"/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200</v>
      </c>
      <c r="BK586" s="8">
        <v>10522.53</v>
      </c>
      <c r="BL586" s="2" t="s">
        <v>2350</v>
      </c>
      <c r="BM586" s="7"/>
      <c r="BN586" s="7"/>
      <c r="BO586" s="4"/>
      <c r="BP586" s="8"/>
      <c r="BQ586" s="4"/>
      <c r="BR586" s="8"/>
      <c r="BS586" s="7"/>
      <c r="BT586" s="7"/>
      <c r="BU586" s="2" t="s">
        <v>147</v>
      </c>
      <c r="BV586" s="2" t="s">
        <v>97</v>
      </c>
      <c r="BW586" s="2" t="s">
        <v>100</v>
      </c>
      <c r="BX586" s="2" t="s">
        <v>100</v>
      </c>
      <c r="BY586" s="2" t="s">
        <v>112</v>
      </c>
      <c r="BZ586" s="2" t="s">
        <v>100</v>
      </c>
    </row>
    <row r="587">
      <c r="A587" s="2" t="s">
        <v>2351</v>
      </c>
      <c r="B587" s="2" t="s">
        <v>87</v>
      </c>
      <c r="C587" s="2" t="s">
        <v>88</v>
      </c>
      <c r="D587" s="2" t="s">
        <v>2308</v>
      </c>
      <c r="E587" s="2" t="s">
        <v>2309</v>
      </c>
      <c r="F587" s="2" t="s">
        <v>2310</v>
      </c>
      <c r="G587" s="2" t="s">
        <v>2311</v>
      </c>
      <c r="H587" s="2" t="s">
        <v>2312</v>
      </c>
      <c r="I587" s="2" t="s">
        <v>2313</v>
      </c>
      <c r="J587" s="2" t="s">
        <v>844</v>
      </c>
      <c r="K587" s="2" t="s">
        <v>2352</v>
      </c>
      <c r="L587" s="3">
        <v>43.2</v>
      </c>
      <c r="M587" s="3">
        <v>45.36</v>
      </c>
      <c r="N587" s="3">
        <v>79.99</v>
      </c>
      <c r="O587" s="2" t="s">
        <v>97</v>
      </c>
      <c r="P587" s="2" t="s">
        <v>182</v>
      </c>
      <c r="Q587" s="2" t="s">
        <v>99</v>
      </c>
      <c r="R587" s="2" t="s">
        <v>100</v>
      </c>
      <c r="S587" s="2" t="s">
        <v>2353</v>
      </c>
      <c r="T587" s="2" t="s">
        <v>1653</v>
      </c>
      <c r="U587" s="2" t="s">
        <v>1610</v>
      </c>
      <c r="V587" s="2" t="s">
        <v>601</v>
      </c>
      <c r="W587" s="2" t="s">
        <v>1190</v>
      </c>
      <c r="X587" s="2" t="s">
        <v>2068</v>
      </c>
      <c r="Y587" s="2" t="s">
        <v>2347</v>
      </c>
      <c r="Z587" s="4">
        <v>469</v>
      </c>
      <c r="AA587" s="4">
        <f>=ROUNDDOWN(52.1111111111111,0)</f>
      </c>
      <c r="AB587" s="5">
        <v>9</v>
      </c>
      <c r="AC587" s="2" t="s">
        <v>100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157</v>
      </c>
      <c r="BK587" s="8">
        <v>7606.26</v>
      </c>
      <c r="BL587" s="2" t="s">
        <v>2354</v>
      </c>
      <c r="BM587" s="7"/>
      <c r="BN587" s="7"/>
      <c r="BO587" s="4"/>
      <c r="BP587" s="8"/>
      <c r="BQ587" s="4"/>
      <c r="BR587" s="8"/>
      <c r="BS587" s="7"/>
      <c r="BT587" s="7"/>
      <c r="BU587" s="2" t="s">
        <v>147</v>
      </c>
      <c r="BV587" s="2" t="s">
        <v>97</v>
      </c>
      <c r="BW587" s="2" t="s">
        <v>100</v>
      </c>
      <c r="BX587" s="2" t="s">
        <v>100</v>
      </c>
      <c r="BY587" s="2" t="s">
        <v>112</v>
      </c>
      <c r="BZ587" s="2" t="s">
        <v>100</v>
      </c>
    </row>
    <row r="588">
      <c r="A588" s="2" t="s">
        <v>2355</v>
      </c>
      <c r="B588" s="2" t="s">
        <v>87</v>
      </c>
      <c r="C588" s="2" t="s">
        <v>88</v>
      </c>
      <c r="D588" s="2" t="s">
        <v>2308</v>
      </c>
      <c r="E588" s="2" t="s">
        <v>2309</v>
      </c>
      <c r="F588" s="2" t="s">
        <v>2310</v>
      </c>
      <c r="G588" s="2" t="s">
        <v>2311</v>
      </c>
      <c r="H588" s="2" t="s">
        <v>2312</v>
      </c>
      <c r="I588" s="2" t="s">
        <v>2313</v>
      </c>
      <c r="J588" s="2" t="s">
        <v>850</v>
      </c>
      <c r="K588" s="2" t="s">
        <v>2352</v>
      </c>
      <c r="L588" s="3">
        <v>47.52</v>
      </c>
      <c r="M588" s="3">
        <v>49.9</v>
      </c>
      <c r="N588" s="3">
        <v>89.99</v>
      </c>
      <c r="O588" s="2" t="s">
        <v>97</v>
      </c>
      <c r="P588" s="2" t="s">
        <v>182</v>
      </c>
      <c r="Q588" s="2" t="s">
        <v>99</v>
      </c>
      <c r="R588" s="2" t="s">
        <v>100</v>
      </c>
      <c r="S588" s="2" t="s">
        <v>2353</v>
      </c>
      <c r="T588" s="2" t="s">
        <v>1653</v>
      </c>
      <c r="U588" s="2" t="s">
        <v>1610</v>
      </c>
      <c r="V588" s="2" t="s">
        <v>601</v>
      </c>
      <c r="W588" s="2" t="s">
        <v>1190</v>
      </c>
      <c r="X588" s="2" t="s">
        <v>2068</v>
      </c>
      <c r="Y588" s="2" t="s">
        <v>2347</v>
      </c>
      <c r="Z588" s="4">
        <v>796</v>
      </c>
      <c r="AA588" s="4">
        <f>=ROUNDDOWN(61.2307692307692,0)</f>
      </c>
      <c r="AB588" s="5">
        <v>13</v>
      </c>
      <c r="AC588" s="2" t="s">
        <v>100</v>
      </c>
      <c r="AD588" s="4"/>
      <c r="AE588" s="4"/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243</v>
      </c>
      <c r="BK588" s="8">
        <v>13047.8</v>
      </c>
      <c r="BL588" s="2" t="s">
        <v>2356</v>
      </c>
      <c r="BM588" s="7"/>
      <c r="BN588" s="7"/>
      <c r="BO588" s="4"/>
      <c r="BP588" s="8"/>
      <c r="BQ588" s="4"/>
      <c r="BR588" s="8"/>
      <c r="BS588" s="7"/>
      <c r="BT588" s="7"/>
      <c r="BU588" s="2" t="s">
        <v>147</v>
      </c>
      <c r="BV588" s="2" t="s">
        <v>97</v>
      </c>
      <c r="BW588" s="2" t="s">
        <v>100</v>
      </c>
      <c r="BX588" s="2" t="s">
        <v>100</v>
      </c>
      <c r="BY588" s="2" t="s">
        <v>112</v>
      </c>
      <c r="BZ588" s="2" t="s">
        <v>100</v>
      </c>
    </row>
    <row r="589">
      <c r="A589" s="2" t="s">
        <v>2357</v>
      </c>
      <c r="B589" s="2" t="s">
        <v>87</v>
      </c>
      <c r="C589" s="2" t="s">
        <v>88</v>
      </c>
      <c r="D589" s="2" t="s">
        <v>2308</v>
      </c>
      <c r="E589" s="2" t="s">
        <v>2309</v>
      </c>
      <c r="F589" s="2" t="s">
        <v>2310</v>
      </c>
      <c r="G589" s="2" t="s">
        <v>2311</v>
      </c>
      <c r="H589" s="2" t="s">
        <v>2312</v>
      </c>
      <c r="I589" s="2" t="s">
        <v>2313</v>
      </c>
      <c r="J589" s="2" t="s">
        <v>844</v>
      </c>
      <c r="K589" s="2" t="s">
        <v>622</v>
      </c>
      <c r="L589" s="3">
        <v>43.2</v>
      </c>
      <c r="M589" s="3">
        <v>45.36</v>
      </c>
      <c r="N589" s="3">
        <v>79.99</v>
      </c>
      <c r="O589" s="2" t="s">
        <v>97</v>
      </c>
      <c r="P589" s="2" t="s">
        <v>182</v>
      </c>
      <c r="Q589" s="2" t="s">
        <v>99</v>
      </c>
      <c r="R589" s="2" t="s">
        <v>100</v>
      </c>
      <c r="S589" s="2" t="s">
        <v>2358</v>
      </c>
      <c r="T589" s="2" t="s">
        <v>1653</v>
      </c>
      <c r="U589" s="2" t="s">
        <v>1610</v>
      </c>
      <c r="V589" s="2" t="s">
        <v>601</v>
      </c>
      <c r="W589" s="2" t="s">
        <v>1190</v>
      </c>
      <c r="X589" s="2" t="s">
        <v>1297</v>
      </c>
      <c r="Y589" s="2" t="s">
        <v>106</v>
      </c>
      <c r="Z589" s="4">
        <v>373</v>
      </c>
      <c r="AA589" s="4">
        <f>=ROUNDDOWN(46.625,0)</f>
      </c>
      <c r="AB589" s="5">
        <v>8</v>
      </c>
      <c r="AC589" s="2" t="s">
        <v>100</v>
      </c>
      <c r="AD589" s="4"/>
      <c r="AE589" s="4"/>
      <c r="AF589" s="6">
        <v>64</v>
      </c>
      <c r="AG589" s="6">
        <v>47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129</v>
      </c>
      <c r="BK589" s="8">
        <v>6161.76</v>
      </c>
      <c r="BL589" s="2" t="s">
        <v>2359</v>
      </c>
      <c r="BM589" s="7"/>
      <c r="BN589" s="7"/>
      <c r="BO589" s="4"/>
      <c r="BP589" s="8"/>
      <c r="BQ589" s="4"/>
      <c r="BR589" s="8"/>
      <c r="BS589" s="7"/>
      <c r="BT589" s="7"/>
      <c r="BU589" s="2" t="s">
        <v>147</v>
      </c>
      <c r="BV589" s="2" t="s">
        <v>97</v>
      </c>
      <c r="BW589" s="2" t="s">
        <v>100</v>
      </c>
      <c r="BX589" s="2" t="s">
        <v>100</v>
      </c>
      <c r="BY589" s="2" t="s">
        <v>112</v>
      </c>
      <c r="BZ589" s="2" t="s">
        <v>100</v>
      </c>
    </row>
    <row r="590">
      <c r="A590" s="2" t="s">
        <v>2360</v>
      </c>
      <c r="B590" s="2" t="s">
        <v>87</v>
      </c>
      <c r="C590" s="2" t="s">
        <v>88</v>
      </c>
      <c r="D590" s="2" t="s">
        <v>2308</v>
      </c>
      <c r="E590" s="2" t="s">
        <v>2309</v>
      </c>
      <c r="F590" s="2" t="s">
        <v>2310</v>
      </c>
      <c r="G590" s="2" t="s">
        <v>2311</v>
      </c>
      <c r="H590" s="2" t="s">
        <v>2312</v>
      </c>
      <c r="I590" s="2" t="s">
        <v>2313</v>
      </c>
      <c r="J590" s="2" t="s">
        <v>850</v>
      </c>
      <c r="K590" s="2" t="s">
        <v>622</v>
      </c>
      <c r="L590" s="3">
        <v>47.52</v>
      </c>
      <c r="M590" s="3">
        <v>49.9</v>
      </c>
      <c r="N590" s="3">
        <v>89.99</v>
      </c>
      <c r="O590" s="2" t="s">
        <v>97</v>
      </c>
      <c r="P590" s="2" t="s">
        <v>182</v>
      </c>
      <c r="Q590" s="2" t="s">
        <v>99</v>
      </c>
      <c r="R590" s="2" t="s">
        <v>100</v>
      </c>
      <c r="S590" s="2" t="s">
        <v>2358</v>
      </c>
      <c r="T590" s="2" t="s">
        <v>1653</v>
      </c>
      <c r="U590" s="2" t="s">
        <v>1610</v>
      </c>
      <c r="V590" s="2" t="s">
        <v>601</v>
      </c>
      <c r="W590" s="2" t="s">
        <v>1190</v>
      </c>
      <c r="X590" s="2" t="s">
        <v>1297</v>
      </c>
      <c r="Y590" s="2" t="s">
        <v>106</v>
      </c>
      <c r="Z590" s="4">
        <v>866</v>
      </c>
      <c r="AA590" s="4">
        <f>=ROUNDDOWN(45.578947368421,0)</f>
      </c>
      <c r="AB590" s="5">
        <v>19</v>
      </c>
      <c r="AC590" s="2" t="s">
        <v>100</v>
      </c>
      <c r="AD590" s="4"/>
      <c r="AE590" s="4"/>
      <c r="AF590" s="6">
        <v>64</v>
      </c>
      <c r="AG590" s="6">
        <v>47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374</v>
      </c>
      <c r="BK590" s="8">
        <v>19814.66</v>
      </c>
      <c r="BL590" s="2" t="s">
        <v>2361</v>
      </c>
      <c r="BM590" s="7"/>
      <c r="BN590" s="7"/>
      <c r="BO590" s="4"/>
      <c r="BP590" s="8"/>
      <c r="BQ590" s="4"/>
      <c r="BR590" s="8"/>
      <c r="BS590" s="7"/>
      <c r="BT590" s="7"/>
      <c r="BU590" s="2" t="s">
        <v>147</v>
      </c>
      <c r="BV590" s="2" t="s">
        <v>97</v>
      </c>
      <c r="BW590" s="2" t="s">
        <v>100</v>
      </c>
      <c r="BX590" s="2" t="s">
        <v>100</v>
      </c>
      <c r="BY590" s="2" t="s">
        <v>112</v>
      </c>
      <c r="BZ590" s="2" t="s">
        <v>100</v>
      </c>
    </row>
    <row r="591">
      <c r="A591" s="2" t="s">
        <v>2362</v>
      </c>
      <c r="B591" s="2" t="s">
        <v>87</v>
      </c>
      <c r="C591" s="2" t="s">
        <v>88</v>
      </c>
      <c r="D591" s="2" t="s">
        <v>2308</v>
      </c>
      <c r="E591" s="2" t="s">
        <v>2309</v>
      </c>
      <c r="F591" s="2" t="s">
        <v>2363</v>
      </c>
      <c r="G591" s="2" t="s">
        <v>2364</v>
      </c>
      <c r="H591" s="2" t="s">
        <v>2365</v>
      </c>
      <c r="I591" s="2" t="s">
        <v>2366</v>
      </c>
      <c r="J591" s="2" t="s">
        <v>487</v>
      </c>
      <c r="K591" s="2" t="s">
        <v>2367</v>
      </c>
      <c r="L591" s="3">
        <v>28.34</v>
      </c>
      <c r="M591" s="3">
        <v>29.76</v>
      </c>
      <c r="N591" s="3">
        <v>54.99</v>
      </c>
      <c r="O591" s="2" t="s">
        <v>97</v>
      </c>
      <c r="P591" s="2" t="s">
        <v>182</v>
      </c>
      <c r="Q591" s="2" t="s">
        <v>99</v>
      </c>
      <c r="R591" s="2" t="s">
        <v>100</v>
      </c>
      <c r="S591" s="2" t="s">
        <v>2368</v>
      </c>
      <c r="T591" s="2" t="s">
        <v>100</v>
      </c>
      <c r="U591" s="2" t="s">
        <v>2104</v>
      </c>
      <c r="V591" s="2" t="s">
        <v>601</v>
      </c>
      <c r="W591" s="2" t="s">
        <v>759</v>
      </c>
      <c r="X591" s="2" t="s">
        <v>2369</v>
      </c>
      <c r="Y591" s="2" t="s">
        <v>106</v>
      </c>
      <c r="Z591" s="4">
        <v>176</v>
      </c>
      <c r="AA591" s="4">
        <f>=ROUNDDOWN(22,0)</f>
      </c>
      <c r="AB591" s="5">
        <v>8</v>
      </c>
      <c r="AC591" s="2" t="s">
        <v>480</v>
      </c>
      <c r="AD591" s="4">
        <v>20</v>
      </c>
      <c r="AE591" s="4">
        <v>110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>
        <v>8</v>
      </c>
      <c r="AW591" s="8">
        <v>317.4</v>
      </c>
      <c r="AX591" s="4">
        <v>25</v>
      </c>
      <c r="AY591" s="8">
        <v>1122.4</v>
      </c>
      <c r="AZ591" s="7">
        <v>-0.68</v>
      </c>
      <c r="BA591" s="7">
        <v>-0.7172</v>
      </c>
      <c r="BB591" s="7"/>
      <c r="BC591" s="4">
        <v>16</v>
      </c>
      <c r="BD591" s="8">
        <v>657.5</v>
      </c>
      <c r="BE591" s="4">
        <v>61</v>
      </c>
      <c r="BF591" s="8">
        <v>2727.01</v>
      </c>
      <c r="BG591" s="7">
        <v>-0.7377</v>
      </c>
      <c r="BH591" s="7">
        <v>-0.7589</v>
      </c>
      <c r="BI591" s="7">
        <v>0.4827</v>
      </c>
      <c r="BJ591" s="4">
        <v>108</v>
      </c>
      <c r="BK591" s="8">
        <v>3026.62</v>
      </c>
      <c r="BL591" s="2" t="s">
        <v>2370</v>
      </c>
      <c r="BM591" s="7"/>
      <c r="BN591" s="7"/>
      <c r="BO591" s="4"/>
      <c r="BP591" s="8"/>
      <c r="BQ591" s="4"/>
      <c r="BR591" s="8"/>
      <c r="BS591" s="7"/>
      <c r="BT591" s="7"/>
      <c r="BU591" s="2" t="s">
        <v>147</v>
      </c>
      <c r="BV591" s="2" t="s">
        <v>97</v>
      </c>
      <c r="BW591" s="2" t="s">
        <v>100</v>
      </c>
      <c r="BX591" s="2" t="s">
        <v>100</v>
      </c>
      <c r="BY591" s="2" t="s">
        <v>112</v>
      </c>
      <c r="BZ591" s="2" t="s">
        <v>100</v>
      </c>
    </row>
    <row r="592">
      <c r="A592" s="2" t="s">
        <v>2371</v>
      </c>
      <c r="B592" s="2" t="s">
        <v>87</v>
      </c>
      <c r="C592" s="2" t="s">
        <v>88</v>
      </c>
      <c r="D592" s="2" t="s">
        <v>2308</v>
      </c>
      <c r="E592" s="2" t="s">
        <v>2309</v>
      </c>
      <c r="F592" s="2" t="s">
        <v>2363</v>
      </c>
      <c r="G592" s="2" t="s">
        <v>2364</v>
      </c>
      <c r="H592" s="2" t="s">
        <v>2365</v>
      </c>
      <c r="I592" s="2" t="s">
        <v>2372</v>
      </c>
      <c r="J592" s="2" t="s">
        <v>844</v>
      </c>
      <c r="K592" s="2" t="s">
        <v>2367</v>
      </c>
      <c r="L592" s="3">
        <v>36.71</v>
      </c>
      <c r="M592" s="3">
        <v>38.55</v>
      </c>
      <c r="N592" s="3">
        <v>69.99</v>
      </c>
      <c r="O592" s="2" t="s">
        <v>97</v>
      </c>
      <c r="P592" s="2" t="s">
        <v>182</v>
      </c>
      <c r="Q592" s="2" t="s">
        <v>99</v>
      </c>
      <c r="R592" s="2" t="s">
        <v>100</v>
      </c>
      <c r="S592" s="2" t="s">
        <v>2368</v>
      </c>
      <c r="T592" s="2" t="s">
        <v>100</v>
      </c>
      <c r="U592" s="2" t="s">
        <v>1610</v>
      </c>
      <c r="V592" s="2" t="s">
        <v>601</v>
      </c>
      <c r="W592" s="2" t="s">
        <v>759</v>
      </c>
      <c r="X592" s="2" t="s">
        <v>2369</v>
      </c>
      <c r="Y592" s="2" t="s">
        <v>106</v>
      </c>
      <c r="Z592" s="4">
        <v>483</v>
      </c>
      <c r="AA592" s="4">
        <f>=ROUNDDOWN(23,0)</f>
      </c>
      <c r="AB592" s="5">
        <v>21</v>
      </c>
      <c r="AC592" s="2" t="s">
        <v>480</v>
      </c>
      <c r="AD592" s="4">
        <v>60</v>
      </c>
      <c r="AE592" s="4">
        <v>270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>
        <v>0</v>
      </c>
      <c r="AP592" s="4">
        <v>6</v>
      </c>
      <c r="AQ592" s="8">
        <v>231.24</v>
      </c>
      <c r="AR592" s="4">
        <v>12</v>
      </c>
      <c r="AS592" s="8">
        <v>509.67</v>
      </c>
      <c r="AT592" s="7">
        <v>-0.5</v>
      </c>
      <c r="AU592" s="7">
        <v>-0.5463</v>
      </c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>
        <v>0.7285</v>
      </c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240</v>
      </c>
      <c r="BK592" s="8">
        <v>8983.02</v>
      </c>
      <c r="BL592" s="2" t="s">
        <v>2373</v>
      </c>
      <c r="BM592" s="7">
        <v>0.025</v>
      </c>
      <c r="BN592" s="7">
        <v>0.0257</v>
      </c>
      <c r="BO592" s="4">
        <v>6</v>
      </c>
      <c r="BP592" s="8">
        <v>231.24</v>
      </c>
      <c r="BQ592" s="4">
        <v>12</v>
      </c>
      <c r="BR592" s="8">
        <v>509.67</v>
      </c>
      <c r="BS592" s="7">
        <v>-0.5</v>
      </c>
      <c r="BT592" s="7">
        <v>-0.5463</v>
      </c>
      <c r="BU592" s="2" t="s">
        <v>109</v>
      </c>
      <c r="BV592" s="2" t="s">
        <v>97</v>
      </c>
      <c r="BW592" s="2" t="s">
        <v>217</v>
      </c>
      <c r="BX592" s="2" t="s">
        <v>516</v>
      </c>
      <c r="BY592" s="2" t="s">
        <v>112</v>
      </c>
      <c r="BZ592" s="2" t="s">
        <v>100</v>
      </c>
    </row>
    <row r="593">
      <c r="A593" s="2" t="s">
        <v>2374</v>
      </c>
      <c r="B593" s="2" t="s">
        <v>87</v>
      </c>
      <c r="C593" s="2" t="s">
        <v>88</v>
      </c>
      <c r="D593" s="2" t="s">
        <v>2308</v>
      </c>
      <c r="E593" s="2" t="s">
        <v>2309</v>
      </c>
      <c r="F593" s="2" t="s">
        <v>2363</v>
      </c>
      <c r="G593" s="2" t="s">
        <v>2364</v>
      </c>
      <c r="H593" s="2" t="s">
        <v>2365</v>
      </c>
      <c r="I593" s="2" t="s">
        <v>2372</v>
      </c>
      <c r="J593" s="2" t="s">
        <v>850</v>
      </c>
      <c r="K593" s="2" t="s">
        <v>2367</v>
      </c>
      <c r="L593" s="3">
        <v>41.03</v>
      </c>
      <c r="M593" s="3">
        <v>43.08</v>
      </c>
      <c r="N593" s="3">
        <v>79.99</v>
      </c>
      <c r="O593" s="2" t="s">
        <v>97</v>
      </c>
      <c r="P593" s="2" t="s">
        <v>182</v>
      </c>
      <c r="Q593" s="2" t="s">
        <v>99</v>
      </c>
      <c r="R593" s="2" t="s">
        <v>100</v>
      </c>
      <c r="S593" s="2" t="s">
        <v>2368</v>
      </c>
      <c r="T593" s="2" t="s">
        <v>100</v>
      </c>
      <c r="U593" s="2" t="s">
        <v>1610</v>
      </c>
      <c r="V593" s="2" t="s">
        <v>601</v>
      </c>
      <c r="W593" s="2" t="s">
        <v>759</v>
      </c>
      <c r="X593" s="2" t="s">
        <v>2369</v>
      </c>
      <c r="Y593" s="2" t="s">
        <v>106</v>
      </c>
      <c r="Z593" s="4">
        <v>298</v>
      </c>
      <c r="AA593" s="4">
        <f>=ROUNDDOWN(14.9,0)</f>
      </c>
      <c r="AB593" s="5">
        <v>20</v>
      </c>
      <c r="AC593" s="2" t="s">
        <v>735</v>
      </c>
      <c r="AD593" s="4">
        <v>70</v>
      </c>
      <c r="AE593" s="4">
        <v>600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>
        <v>0</v>
      </c>
      <c r="AP593" s="4">
        <v>2</v>
      </c>
      <c r="AQ593" s="8">
        <v>86.16</v>
      </c>
      <c r="AR593" s="4">
        <v>13</v>
      </c>
      <c r="AS593" s="8">
        <v>612.73</v>
      </c>
      <c r="AT593" s="7">
        <v>-0.8462</v>
      </c>
      <c r="AU593" s="7">
        <v>-0.8594</v>
      </c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>
        <v>0.2715</v>
      </c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314</v>
      </c>
      <c r="BK593" s="8">
        <v>13423.03</v>
      </c>
      <c r="BL593" s="2" t="s">
        <v>2375</v>
      </c>
      <c r="BM593" s="7">
        <v>0.0064</v>
      </c>
      <c r="BN593" s="7">
        <v>0.0064</v>
      </c>
      <c r="BO593" s="4">
        <v>2</v>
      </c>
      <c r="BP593" s="8">
        <v>86.16</v>
      </c>
      <c r="BQ593" s="4">
        <v>13</v>
      </c>
      <c r="BR593" s="8">
        <v>612.73</v>
      </c>
      <c r="BS593" s="7">
        <v>-0.8462</v>
      </c>
      <c r="BT593" s="7">
        <v>-0.8594</v>
      </c>
      <c r="BU593" s="2" t="s">
        <v>109</v>
      </c>
      <c r="BV593" s="2" t="s">
        <v>97</v>
      </c>
      <c r="BW593" s="2" t="s">
        <v>217</v>
      </c>
      <c r="BX593" s="2" t="s">
        <v>2376</v>
      </c>
      <c r="BY593" s="2" t="s">
        <v>112</v>
      </c>
      <c r="BZ593" s="2" t="s">
        <v>100</v>
      </c>
    </row>
    <row r="594">
      <c r="A594" s="2" t="s">
        <v>2377</v>
      </c>
      <c r="B594" s="2" t="s">
        <v>87</v>
      </c>
      <c r="C594" s="2" t="s">
        <v>88</v>
      </c>
      <c r="D594" s="2" t="s">
        <v>2308</v>
      </c>
      <c r="E594" s="2" t="s">
        <v>2309</v>
      </c>
      <c r="F594" s="2" t="s">
        <v>2363</v>
      </c>
      <c r="G594" s="2" t="s">
        <v>2364</v>
      </c>
      <c r="H594" s="2" t="s">
        <v>2365</v>
      </c>
      <c r="I594" s="2" t="s">
        <v>2366</v>
      </c>
      <c r="J594" s="2" t="s">
        <v>487</v>
      </c>
      <c r="K594" s="2" t="s">
        <v>666</v>
      </c>
      <c r="L594" s="3">
        <v>28.34</v>
      </c>
      <c r="M594" s="3">
        <v>29.76</v>
      </c>
      <c r="N594" s="3">
        <v>54.99</v>
      </c>
      <c r="O594" s="2" t="s">
        <v>97</v>
      </c>
      <c r="P594" s="2" t="s">
        <v>182</v>
      </c>
      <c r="Q594" s="2" t="s">
        <v>99</v>
      </c>
      <c r="R594" s="2" t="s">
        <v>100</v>
      </c>
      <c r="S594" s="2" t="s">
        <v>2378</v>
      </c>
      <c r="T594" s="2" t="s">
        <v>100</v>
      </c>
      <c r="U594" s="2" t="s">
        <v>2104</v>
      </c>
      <c r="V594" s="2" t="s">
        <v>601</v>
      </c>
      <c r="W594" s="2" t="s">
        <v>759</v>
      </c>
      <c r="X594" s="2" t="s">
        <v>2369</v>
      </c>
      <c r="Y594" s="2" t="s">
        <v>106</v>
      </c>
      <c r="Z594" s="4">
        <v>493</v>
      </c>
      <c r="AA594" s="4">
        <f>=ROUNDDOWN(29,0)</f>
      </c>
      <c r="AB594" s="5">
        <v>17</v>
      </c>
      <c r="AC594" s="2" t="s">
        <v>480</v>
      </c>
      <c r="AD594" s="4">
        <v>60</v>
      </c>
      <c r="AE594" s="4">
        <v>120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>
        <v>4</v>
      </c>
      <c r="AW594" s="8">
        <v>172.32</v>
      </c>
      <c r="AX594" s="4">
        <v>13</v>
      </c>
      <c r="AY594" s="8">
        <v>592.57</v>
      </c>
      <c r="AZ594" s="7">
        <v>-0.6923</v>
      </c>
      <c r="BA594" s="7">
        <v>-0.7092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>
        <v>0.2621</v>
      </c>
      <c r="BJ594" s="4">
        <v>288</v>
      </c>
      <c r="BK594" s="8">
        <v>8352.85</v>
      </c>
      <c r="BL594" s="2" t="s">
        <v>2379</v>
      </c>
      <c r="BM594" s="7"/>
      <c r="BN594" s="7"/>
      <c r="BO594" s="4"/>
      <c r="BP594" s="8"/>
      <c r="BQ594" s="4"/>
      <c r="BR594" s="8"/>
      <c r="BS594" s="7"/>
      <c r="BT594" s="7"/>
      <c r="BU594" s="2" t="s">
        <v>147</v>
      </c>
      <c r="BV594" s="2" t="s">
        <v>97</v>
      </c>
      <c r="BW594" s="2" t="s">
        <v>100</v>
      </c>
      <c r="BX594" s="2" t="s">
        <v>100</v>
      </c>
      <c r="BY594" s="2" t="s">
        <v>112</v>
      </c>
      <c r="BZ594" s="2" t="s">
        <v>100</v>
      </c>
    </row>
    <row r="595">
      <c r="A595" s="2" t="s">
        <v>2380</v>
      </c>
      <c r="B595" s="2" t="s">
        <v>87</v>
      </c>
      <c r="C595" s="2" t="s">
        <v>88</v>
      </c>
      <c r="D595" s="2" t="s">
        <v>2308</v>
      </c>
      <c r="E595" s="2" t="s">
        <v>2309</v>
      </c>
      <c r="F595" s="2" t="s">
        <v>2363</v>
      </c>
      <c r="G595" s="2" t="s">
        <v>2364</v>
      </c>
      <c r="H595" s="2" t="s">
        <v>2365</v>
      </c>
      <c r="I595" s="2" t="s">
        <v>2372</v>
      </c>
      <c r="J595" s="2" t="s">
        <v>844</v>
      </c>
      <c r="K595" s="2" t="s">
        <v>666</v>
      </c>
      <c r="L595" s="3">
        <v>36.71</v>
      </c>
      <c r="M595" s="3">
        <v>38.55</v>
      </c>
      <c r="N595" s="3">
        <v>69.99</v>
      </c>
      <c r="O595" s="2" t="s">
        <v>97</v>
      </c>
      <c r="P595" s="2" t="s">
        <v>182</v>
      </c>
      <c r="Q595" s="2" t="s">
        <v>99</v>
      </c>
      <c r="R595" s="2" t="s">
        <v>100</v>
      </c>
      <c r="S595" s="2" t="s">
        <v>2378</v>
      </c>
      <c r="T595" s="2" t="s">
        <v>100</v>
      </c>
      <c r="U595" s="2" t="s">
        <v>1610</v>
      </c>
      <c r="V595" s="2" t="s">
        <v>601</v>
      </c>
      <c r="W595" s="2" t="s">
        <v>759</v>
      </c>
      <c r="X595" s="2" t="s">
        <v>2369</v>
      </c>
      <c r="Y595" s="2" t="s">
        <v>106</v>
      </c>
      <c r="Z595" s="4">
        <v>696</v>
      </c>
      <c r="AA595" s="4">
        <f>=ROUNDDOWN(24.8571428571429,0)</f>
      </c>
      <c r="AB595" s="5">
        <v>28</v>
      </c>
      <c r="AC595" s="2" t="s">
        <v>474</v>
      </c>
      <c r="AD595" s="4">
        <v>300</v>
      </c>
      <c r="AE595" s="4">
        <v>300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>
        <v>0</v>
      </c>
      <c r="AP595" s="4"/>
      <c r="AQ595" s="8"/>
      <c r="AR595" s="4">
        <v>4</v>
      </c>
      <c r="AS595" s="8">
        <v>171.32</v>
      </c>
      <c r="AT595" s="7">
        <v>-1</v>
      </c>
      <c r="AU595" s="7">
        <v>-1</v>
      </c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552</v>
      </c>
      <c r="BK595" s="8">
        <v>21221.6</v>
      </c>
      <c r="BL595" s="2" t="s">
        <v>2381</v>
      </c>
      <c r="BM595" s="7"/>
      <c r="BN595" s="7"/>
      <c r="BO595" s="4"/>
      <c r="BP595" s="8"/>
      <c r="BQ595" s="4">
        <v>4</v>
      </c>
      <c r="BR595" s="8">
        <v>171.32</v>
      </c>
      <c r="BS595" s="7">
        <v>-1</v>
      </c>
      <c r="BT595" s="7">
        <v>-1</v>
      </c>
      <c r="BU595" s="2" t="s">
        <v>109</v>
      </c>
      <c r="BV595" s="2" t="s">
        <v>97</v>
      </c>
      <c r="BW595" s="2" t="s">
        <v>217</v>
      </c>
      <c r="BX595" s="2" t="s">
        <v>233</v>
      </c>
      <c r="BY595" s="2" t="s">
        <v>112</v>
      </c>
      <c r="BZ595" s="2" t="s">
        <v>100</v>
      </c>
    </row>
    <row r="596">
      <c r="A596" s="2" t="s">
        <v>2382</v>
      </c>
      <c r="B596" s="2" t="s">
        <v>87</v>
      </c>
      <c r="C596" s="2" t="s">
        <v>88</v>
      </c>
      <c r="D596" s="2" t="s">
        <v>2308</v>
      </c>
      <c r="E596" s="2" t="s">
        <v>2309</v>
      </c>
      <c r="F596" s="2" t="s">
        <v>2363</v>
      </c>
      <c r="G596" s="2" t="s">
        <v>2364</v>
      </c>
      <c r="H596" s="2" t="s">
        <v>2365</v>
      </c>
      <c r="I596" s="2" t="s">
        <v>2372</v>
      </c>
      <c r="J596" s="2" t="s">
        <v>850</v>
      </c>
      <c r="K596" s="2" t="s">
        <v>666</v>
      </c>
      <c r="L596" s="3">
        <v>41.03</v>
      </c>
      <c r="M596" s="3">
        <v>43.08</v>
      </c>
      <c r="N596" s="3">
        <v>79.99</v>
      </c>
      <c r="O596" s="2" t="s">
        <v>97</v>
      </c>
      <c r="P596" s="2" t="s">
        <v>182</v>
      </c>
      <c r="Q596" s="2" t="s">
        <v>99</v>
      </c>
      <c r="R596" s="2" t="s">
        <v>100</v>
      </c>
      <c r="S596" s="2" t="s">
        <v>2378</v>
      </c>
      <c r="T596" s="2" t="s">
        <v>100</v>
      </c>
      <c r="U596" s="2" t="s">
        <v>1610</v>
      </c>
      <c r="V596" s="2" t="s">
        <v>601</v>
      </c>
      <c r="W596" s="2" t="s">
        <v>759</v>
      </c>
      <c r="X596" s="2" t="s">
        <v>2369</v>
      </c>
      <c r="Y596" s="2" t="s">
        <v>106</v>
      </c>
      <c r="Z596" s="4">
        <v>668</v>
      </c>
      <c r="AA596" s="4">
        <f>=ROUNDDOWN(20.875,0)</f>
      </c>
      <c r="AB596" s="5">
        <v>32</v>
      </c>
      <c r="AC596" s="2" t="s">
        <v>735</v>
      </c>
      <c r="AD596" s="4">
        <v>100</v>
      </c>
      <c r="AE596" s="4">
        <v>600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>
        <v>0</v>
      </c>
      <c r="AP596" s="4">
        <v>4</v>
      </c>
      <c r="AQ596" s="8">
        <v>172.32</v>
      </c>
      <c r="AR596" s="4">
        <v>9</v>
      </c>
      <c r="AS596" s="8">
        <v>421.25</v>
      </c>
      <c r="AT596" s="7">
        <v>-0.5556</v>
      </c>
      <c r="AU596" s="7">
        <v>-0.5909</v>
      </c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>
        <v>1</v>
      </c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595</v>
      </c>
      <c r="BK596" s="8">
        <v>25362.28</v>
      </c>
      <c r="BL596" s="2" t="s">
        <v>2383</v>
      </c>
      <c r="BM596" s="7">
        <v>0.0067</v>
      </c>
      <c r="BN596" s="7">
        <v>0.0068</v>
      </c>
      <c r="BO596" s="4">
        <v>4</v>
      </c>
      <c r="BP596" s="8">
        <v>172.32</v>
      </c>
      <c r="BQ596" s="4">
        <v>9</v>
      </c>
      <c r="BR596" s="8">
        <v>421.25</v>
      </c>
      <c r="BS596" s="7">
        <v>-0.5556</v>
      </c>
      <c r="BT596" s="7">
        <v>-0.5909</v>
      </c>
      <c r="BU596" s="2" t="s">
        <v>109</v>
      </c>
      <c r="BV596" s="2" t="s">
        <v>97</v>
      </c>
      <c r="BW596" s="2" t="s">
        <v>217</v>
      </c>
      <c r="BX596" s="2" t="s">
        <v>241</v>
      </c>
      <c r="BY596" s="2" t="s">
        <v>112</v>
      </c>
      <c r="BZ596" s="2" t="s">
        <v>100</v>
      </c>
    </row>
    <row r="597">
      <c r="A597" s="2" t="s">
        <v>2384</v>
      </c>
      <c r="B597" s="2" t="s">
        <v>87</v>
      </c>
      <c r="C597" s="2" t="s">
        <v>88</v>
      </c>
      <c r="D597" s="2" t="s">
        <v>2308</v>
      </c>
      <c r="E597" s="2" t="s">
        <v>2309</v>
      </c>
      <c r="F597" s="2" t="s">
        <v>2363</v>
      </c>
      <c r="G597" s="2" t="s">
        <v>2364</v>
      </c>
      <c r="H597" s="2" t="s">
        <v>2365</v>
      </c>
      <c r="I597" s="2" t="s">
        <v>2366</v>
      </c>
      <c r="J597" s="2" t="s">
        <v>487</v>
      </c>
      <c r="K597" s="2" t="s">
        <v>333</v>
      </c>
      <c r="L597" s="3">
        <v>28.34</v>
      </c>
      <c r="M597" s="3">
        <v>29.76</v>
      </c>
      <c r="N597" s="3">
        <v>54.99</v>
      </c>
      <c r="O597" s="2" t="s">
        <v>97</v>
      </c>
      <c r="P597" s="2" t="s">
        <v>182</v>
      </c>
      <c r="Q597" s="2" t="s">
        <v>99</v>
      </c>
      <c r="R597" s="2" t="s">
        <v>100</v>
      </c>
      <c r="S597" s="2" t="s">
        <v>2385</v>
      </c>
      <c r="T597" s="2" t="s">
        <v>100</v>
      </c>
      <c r="U597" s="2" t="s">
        <v>2104</v>
      </c>
      <c r="V597" s="2" t="s">
        <v>601</v>
      </c>
      <c r="W597" s="2" t="s">
        <v>759</v>
      </c>
      <c r="X597" s="2" t="s">
        <v>2369</v>
      </c>
      <c r="Y597" s="2" t="s">
        <v>106</v>
      </c>
      <c r="Z597" s="4">
        <v>507</v>
      </c>
      <c r="AA597" s="4">
        <f>=ROUNDDOWN(46.0909090909091,0)</f>
      </c>
      <c r="AB597" s="5">
        <v>11</v>
      </c>
      <c r="AC597" s="2" t="s">
        <v>100</v>
      </c>
      <c r="AD597" s="4"/>
      <c r="AE597" s="4"/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>
        <v>4</v>
      </c>
      <c r="AW597" s="8">
        <v>167.78</v>
      </c>
      <c r="AX597" s="4">
        <v>23</v>
      </c>
      <c r="AY597" s="8">
        <v>1012.04</v>
      </c>
      <c r="AZ597" s="7">
        <v>-0.8261</v>
      </c>
      <c r="BA597" s="7">
        <v>-0.8342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>
        <v>0.2552</v>
      </c>
      <c r="BJ597" s="4">
        <v>148</v>
      </c>
      <c r="BK597" s="8">
        <v>4150.38</v>
      </c>
      <c r="BL597" s="2" t="s">
        <v>2386</v>
      </c>
      <c r="BM597" s="7"/>
      <c r="BN597" s="7"/>
      <c r="BO597" s="4"/>
      <c r="BP597" s="8"/>
      <c r="BQ597" s="4"/>
      <c r="BR597" s="8"/>
      <c r="BS597" s="7"/>
      <c r="BT597" s="7"/>
      <c r="BU597" s="2" t="s">
        <v>147</v>
      </c>
      <c r="BV597" s="2" t="s">
        <v>97</v>
      </c>
      <c r="BW597" s="2" t="s">
        <v>100</v>
      </c>
      <c r="BX597" s="2" t="s">
        <v>100</v>
      </c>
      <c r="BY597" s="2" t="s">
        <v>112</v>
      </c>
      <c r="BZ597" s="2" t="s">
        <v>100</v>
      </c>
    </row>
    <row r="598">
      <c r="A598" s="2" t="s">
        <v>2387</v>
      </c>
      <c r="B598" s="2" t="s">
        <v>87</v>
      </c>
      <c r="C598" s="2" t="s">
        <v>88</v>
      </c>
      <c r="D598" s="2" t="s">
        <v>2308</v>
      </c>
      <c r="E598" s="2" t="s">
        <v>2309</v>
      </c>
      <c r="F598" s="2" t="s">
        <v>2363</v>
      </c>
      <c r="G598" s="2" t="s">
        <v>2364</v>
      </c>
      <c r="H598" s="2" t="s">
        <v>2365</v>
      </c>
      <c r="I598" s="2" t="s">
        <v>2372</v>
      </c>
      <c r="J598" s="2" t="s">
        <v>844</v>
      </c>
      <c r="K598" s="2" t="s">
        <v>333</v>
      </c>
      <c r="L598" s="3">
        <v>36.71</v>
      </c>
      <c r="M598" s="3">
        <v>38.55</v>
      </c>
      <c r="N598" s="3">
        <v>69.99</v>
      </c>
      <c r="O598" s="2" t="s">
        <v>97</v>
      </c>
      <c r="P598" s="2" t="s">
        <v>182</v>
      </c>
      <c r="Q598" s="2" t="s">
        <v>99</v>
      </c>
      <c r="R598" s="2" t="s">
        <v>100</v>
      </c>
      <c r="S598" s="2" t="s">
        <v>2385</v>
      </c>
      <c r="T598" s="2" t="s">
        <v>100</v>
      </c>
      <c r="U598" s="2" t="s">
        <v>1610</v>
      </c>
      <c r="V598" s="2" t="s">
        <v>601</v>
      </c>
      <c r="W598" s="2" t="s">
        <v>759</v>
      </c>
      <c r="X598" s="2" t="s">
        <v>2369</v>
      </c>
      <c r="Y598" s="2" t="s">
        <v>106</v>
      </c>
      <c r="Z598" s="4">
        <v>500</v>
      </c>
      <c r="AA598" s="4">
        <f>=ROUNDDOWN(26.3157894736842,0)</f>
      </c>
      <c r="AB598" s="5">
        <v>19</v>
      </c>
      <c r="AC598" s="2" t="s">
        <v>480</v>
      </c>
      <c r="AD598" s="4">
        <v>100</v>
      </c>
      <c r="AE598" s="4">
        <v>300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>
        <v>0</v>
      </c>
      <c r="AP598" s="4">
        <v>1</v>
      </c>
      <c r="AQ598" s="8">
        <v>38.54</v>
      </c>
      <c r="AR598" s="4">
        <v>15</v>
      </c>
      <c r="AS598" s="8">
        <v>633.87</v>
      </c>
      <c r="AT598" s="7">
        <v>-0.9333</v>
      </c>
      <c r="AU598" s="7">
        <v>-0.9392</v>
      </c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>
        <v>0.2297</v>
      </c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372</v>
      </c>
      <c r="BK598" s="8">
        <v>13901.08</v>
      </c>
      <c r="BL598" s="2" t="s">
        <v>2388</v>
      </c>
      <c r="BM598" s="7">
        <v>0.0027</v>
      </c>
      <c r="BN598" s="7">
        <v>0.0028</v>
      </c>
      <c r="BO598" s="4">
        <v>1</v>
      </c>
      <c r="BP598" s="8">
        <v>38.54</v>
      </c>
      <c r="BQ598" s="4">
        <v>15</v>
      </c>
      <c r="BR598" s="8">
        <v>633.87</v>
      </c>
      <c r="BS598" s="7">
        <v>-0.9333</v>
      </c>
      <c r="BT598" s="7">
        <v>-0.9392</v>
      </c>
      <c r="BU598" s="2" t="s">
        <v>109</v>
      </c>
      <c r="BV598" s="2" t="s">
        <v>97</v>
      </c>
      <c r="BW598" s="2" t="s">
        <v>217</v>
      </c>
      <c r="BX598" s="2" t="s">
        <v>218</v>
      </c>
      <c r="BY598" s="2" t="s">
        <v>112</v>
      </c>
      <c r="BZ598" s="2" t="s">
        <v>100</v>
      </c>
    </row>
    <row r="599">
      <c r="A599" s="2" t="s">
        <v>2389</v>
      </c>
      <c r="B599" s="2" t="s">
        <v>87</v>
      </c>
      <c r="C599" s="2" t="s">
        <v>88</v>
      </c>
      <c r="D599" s="2" t="s">
        <v>2308</v>
      </c>
      <c r="E599" s="2" t="s">
        <v>2309</v>
      </c>
      <c r="F599" s="2" t="s">
        <v>2363</v>
      </c>
      <c r="G599" s="2" t="s">
        <v>2364</v>
      </c>
      <c r="H599" s="2" t="s">
        <v>2365</v>
      </c>
      <c r="I599" s="2" t="s">
        <v>2372</v>
      </c>
      <c r="J599" s="2" t="s">
        <v>850</v>
      </c>
      <c r="K599" s="2" t="s">
        <v>333</v>
      </c>
      <c r="L599" s="3">
        <v>41.03</v>
      </c>
      <c r="M599" s="3">
        <v>43.08</v>
      </c>
      <c r="N599" s="3">
        <v>79.99</v>
      </c>
      <c r="O599" s="2" t="s">
        <v>97</v>
      </c>
      <c r="P599" s="2" t="s">
        <v>182</v>
      </c>
      <c r="Q599" s="2" t="s">
        <v>99</v>
      </c>
      <c r="R599" s="2" t="s">
        <v>100</v>
      </c>
      <c r="S599" s="2" t="s">
        <v>2385</v>
      </c>
      <c r="T599" s="2" t="s">
        <v>100</v>
      </c>
      <c r="U599" s="2" t="s">
        <v>1610</v>
      </c>
      <c r="V599" s="2" t="s">
        <v>601</v>
      </c>
      <c r="W599" s="2" t="s">
        <v>759</v>
      </c>
      <c r="X599" s="2" t="s">
        <v>2369</v>
      </c>
      <c r="Y599" s="2" t="s">
        <v>106</v>
      </c>
      <c r="Z599" s="4">
        <v>372</v>
      </c>
      <c r="AA599" s="4">
        <f>=ROUNDDOWN(19.5789473684211,0)</f>
      </c>
      <c r="AB599" s="5">
        <v>19</v>
      </c>
      <c r="AC599" s="2" t="s">
        <v>480</v>
      </c>
      <c r="AD599" s="4">
        <v>50</v>
      </c>
      <c r="AE599" s="4">
        <v>380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>
        <v>0</v>
      </c>
      <c r="AP599" s="4">
        <v>3</v>
      </c>
      <c r="AQ599" s="8">
        <v>129.24</v>
      </c>
      <c r="AR599" s="4">
        <v>8</v>
      </c>
      <c r="AS599" s="8">
        <v>378.17</v>
      </c>
      <c r="AT599" s="7">
        <v>-0.625</v>
      </c>
      <c r="AU599" s="7">
        <v>-0.6582</v>
      </c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>
        <v>0.7703</v>
      </c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427</v>
      </c>
      <c r="BK599" s="8">
        <v>17784.68</v>
      </c>
      <c r="BL599" s="2" t="s">
        <v>2390</v>
      </c>
      <c r="BM599" s="7">
        <v>0.007</v>
      </c>
      <c r="BN599" s="7">
        <v>0.0073</v>
      </c>
      <c r="BO599" s="4">
        <v>3</v>
      </c>
      <c r="BP599" s="8">
        <v>129.24</v>
      </c>
      <c r="BQ599" s="4">
        <v>8</v>
      </c>
      <c r="BR599" s="8">
        <v>378.17</v>
      </c>
      <c r="BS599" s="7">
        <v>-0.625</v>
      </c>
      <c r="BT599" s="7">
        <v>-0.6582</v>
      </c>
      <c r="BU599" s="2" t="s">
        <v>109</v>
      </c>
      <c r="BV599" s="2" t="s">
        <v>97</v>
      </c>
      <c r="BW599" s="2" t="s">
        <v>217</v>
      </c>
      <c r="BX599" s="2" t="s">
        <v>516</v>
      </c>
      <c r="BY599" s="2" t="s">
        <v>112</v>
      </c>
      <c r="BZ599" s="2" t="s">
        <v>100</v>
      </c>
    </row>
    <row r="600">
      <c r="A600" s="2" t="s">
        <v>2391</v>
      </c>
      <c r="B600" s="2" t="s">
        <v>87</v>
      </c>
      <c r="C600" s="2" t="s">
        <v>88</v>
      </c>
      <c r="D600" s="2" t="s">
        <v>2308</v>
      </c>
      <c r="E600" s="2" t="s">
        <v>2309</v>
      </c>
      <c r="F600" s="2" t="s">
        <v>2363</v>
      </c>
      <c r="G600" s="2" t="s">
        <v>2364</v>
      </c>
      <c r="H600" s="2" t="s">
        <v>2365</v>
      </c>
      <c r="I600" s="2" t="s">
        <v>2366</v>
      </c>
      <c r="J600" s="2" t="s">
        <v>487</v>
      </c>
      <c r="K600" s="2" t="s">
        <v>142</v>
      </c>
      <c r="L600" s="3">
        <v>28.34</v>
      </c>
      <c r="M600" s="3">
        <v>29.76</v>
      </c>
      <c r="N600" s="3">
        <v>54.99</v>
      </c>
      <c r="O600" s="2" t="s">
        <v>97</v>
      </c>
      <c r="P600" s="2" t="s">
        <v>182</v>
      </c>
      <c r="Q600" s="2" t="s">
        <v>99</v>
      </c>
      <c r="R600" s="2" t="s">
        <v>100</v>
      </c>
      <c r="S600" s="2" t="s">
        <v>2392</v>
      </c>
      <c r="T600" s="2" t="s">
        <v>100</v>
      </c>
      <c r="U600" s="2" t="s">
        <v>2104</v>
      </c>
      <c r="V600" s="2" t="s">
        <v>601</v>
      </c>
      <c r="W600" s="2" t="s">
        <v>759</v>
      </c>
      <c r="X600" s="2" t="s">
        <v>2369</v>
      </c>
      <c r="Y600" s="2" t="s">
        <v>2393</v>
      </c>
      <c r="Z600" s="4">
        <v>190</v>
      </c>
      <c r="AA600" s="4">
        <f>=ROUNDDOWN(23.75,0)</f>
      </c>
      <c r="AB600" s="5">
        <v>8</v>
      </c>
      <c r="AC600" s="2" t="s">
        <v>735</v>
      </c>
      <c r="AD600" s="4">
        <v>90</v>
      </c>
      <c r="AE600" s="4">
        <v>160</v>
      </c>
      <c r="AF600" s="6">
        <v>65</v>
      </c>
      <c r="AG600" s="6">
        <v>48</v>
      </c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 t="s">
        <v>100</v>
      </c>
      <c r="BJ600" s="4">
        <v>119</v>
      </c>
      <c r="BK600" s="8">
        <v>3315.57</v>
      </c>
      <c r="BL600" s="2" t="s">
        <v>2394</v>
      </c>
      <c r="BM600" s="7"/>
      <c r="BN600" s="7"/>
      <c r="BO600" s="4"/>
      <c r="BP600" s="8"/>
      <c r="BQ600" s="4"/>
      <c r="BR600" s="8"/>
      <c r="BS600" s="7"/>
      <c r="BT600" s="7"/>
      <c r="BU600" s="2" t="s">
        <v>147</v>
      </c>
      <c r="BV600" s="2" t="s">
        <v>97</v>
      </c>
      <c r="BW600" s="2" t="s">
        <v>100</v>
      </c>
      <c r="BX600" s="2" t="s">
        <v>100</v>
      </c>
      <c r="BY600" s="2" t="s">
        <v>112</v>
      </c>
      <c r="BZ600" s="2" t="s">
        <v>100</v>
      </c>
    </row>
    <row r="601">
      <c r="A601" s="2" t="s">
        <v>2395</v>
      </c>
      <c r="B601" s="2" t="s">
        <v>87</v>
      </c>
      <c r="C601" s="2" t="s">
        <v>88</v>
      </c>
      <c r="D601" s="2" t="s">
        <v>2308</v>
      </c>
      <c r="E601" s="2" t="s">
        <v>2309</v>
      </c>
      <c r="F601" s="2" t="s">
        <v>2363</v>
      </c>
      <c r="G601" s="2" t="s">
        <v>2364</v>
      </c>
      <c r="H601" s="2" t="s">
        <v>2365</v>
      </c>
      <c r="I601" s="2" t="s">
        <v>2372</v>
      </c>
      <c r="J601" s="2" t="s">
        <v>844</v>
      </c>
      <c r="K601" s="2" t="s">
        <v>142</v>
      </c>
      <c r="L601" s="3">
        <v>36.71</v>
      </c>
      <c r="M601" s="3">
        <v>38.55</v>
      </c>
      <c r="N601" s="3">
        <v>69.99</v>
      </c>
      <c r="O601" s="2" t="s">
        <v>97</v>
      </c>
      <c r="P601" s="2" t="s">
        <v>182</v>
      </c>
      <c r="Q601" s="2" t="s">
        <v>99</v>
      </c>
      <c r="R601" s="2" t="s">
        <v>100</v>
      </c>
      <c r="S601" s="2" t="s">
        <v>2392</v>
      </c>
      <c r="T601" s="2" t="s">
        <v>100</v>
      </c>
      <c r="U601" s="2" t="s">
        <v>1610</v>
      </c>
      <c r="V601" s="2" t="s">
        <v>601</v>
      </c>
      <c r="W601" s="2" t="s">
        <v>759</v>
      </c>
      <c r="X601" s="2" t="s">
        <v>2369</v>
      </c>
      <c r="Y601" s="2" t="s">
        <v>2393</v>
      </c>
      <c r="Z601" s="4">
        <v>327</v>
      </c>
      <c r="AA601" s="4">
        <f>=ROUNDDOWN(18.1666666666667,0)</f>
      </c>
      <c r="AB601" s="5">
        <v>18</v>
      </c>
      <c r="AC601" s="2" t="s">
        <v>735</v>
      </c>
      <c r="AD601" s="4">
        <v>40</v>
      </c>
      <c r="AE601" s="4">
        <v>440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 t="s">
        <v>100</v>
      </c>
      <c r="BJ601" s="4">
        <v>332</v>
      </c>
      <c r="BK601" s="8">
        <v>12455.36</v>
      </c>
      <c r="BL601" s="2" t="s">
        <v>2396</v>
      </c>
      <c r="BM601" s="7"/>
      <c r="BN601" s="7"/>
      <c r="BO601" s="4"/>
      <c r="BP601" s="8"/>
      <c r="BQ601" s="4"/>
      <c r="BR601" s="8"/>
      <c r="BS601" s="7"/>
      <c r="BT601" s="7"/>
      <c r="BU601" s="2" t="s">
        <v>147</v>
      </c>
      <c r="BV601" s="2" t="s">
        <v>97</v>
      </c>
      <c r="BW601" s="2" t="s">
        <v>100</v>
      </c>
      <c r="BX601" s="2" t="s">
        <v>100</v>
      </c>
      <c r="BY601" s="2" t="s">
        <v>112</v>
      </c>
      <c r="BZ601" s="2" t="s">
        <v>100</v>
      </c>
    </row>
    <row r="602">
      <c r="A602" s="2" t="s">
        <v>2397</v>
      </c>
      <c r="B602" s="2" t="s">
        <v>87</v>
      </c>
      <c r="C602" s="2" t="s">
        <v>88</v>
      </c>
      <c r="D602" s="2" t="s">
        <v>2308</v>
      </c>
      <c r="E602" s="2" t="s">
        <v>2309</v>
      </c>
      <c r="F602" s="2" t="s">
        <v>2363</v>
      </c>
      <c r="G602" s="2" t="s">
        <v>2364</v>
      </c>
      <c r="H602" s="2" t="s">
        <v>2365</v>
      </c>
      <c r="I602" s="2" t="s">
        <v>2372</v>
      </c>
      <c r="J602" s="2" t="s">
        <v>850</v>
      </c>
      <c r="K602" s="2" t="s">
        <v>142</v>
      </c>
      <c r="L602" s="3">
        <v>41.03</v>
      </c>
      <c r="M602" s="3">
        <v>43.08</v>
      </c>
      <c r="N602" s="3">
        <v>79.99</v>
      </c>
      <c r="O602" s="2" t="s">
        <v>97</v>
      </c>
      <c r="P602" s="2" t="s">
        <v>182</v>
      </c>
      <c r="Q602" s="2" t="s">
        <v>99</v>
      </c>
      <c r="R602" s="2" t="s">
        <v>100</v>
      </c>
      <c r="S602" s="2" t="s">
        <v>2392</v>
      </c>
      <c r="T602" s="2" t="s">
        <v>100</v>
      </c>
      <c r="U602" s="2" t="s">
        <v>1610</v>
      </c>
      <c r="V602" s="2" t="s">
        <v>601</v>
      </c>
      <c r="W602" s="2" t="s">
        <v>759</v>
      </c>
      <c r="X602" s="2" t="s">
        <v>2369</v>
      </c>
      <c r="Y602" s="2" t="s">
        <v>2393</v>
      </c>
      <c r="Z602" s="4">
        <v>498</v>
      </c>
      <c r="AA602" s="4">
        <f>=ROUNDDOWN(24.9,0)</f>
      </c>
      <c r="AB602" s="5">
        <v>20</v>
      </c>
      <c r="AC602" s="2" t="s">
        <v>480</v>
      </c>
      <c r="AD602" s="4">
        <v>50</v>
      </c>
      <c r="AE602" s="4">
        <v>300</v>
      </c>
      <c r="AF602" s="6">
        <v>65</v>
      </c>
      <c r="AG602" s="6">
        <v>48</v>
      </c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100</v>
      </c>
      <c r="AW602" s="8" t="s">
        <v>100</v>
      </c>
      <c r="AX602" s="4" t="s">
        <v>100</v>
      </c>
      <c r="AY602" s="8" t="s">
        <v>100</v>
      </c>
      <c r="AZ602" s="7" t="s">
        <v>100</v>
      </c>
      <c r="BA602" s="7" t="s">
        <v>100</v>
      </c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 t="s">
        <v>100</v>
      </c>
      <c r="BJ602" s="4">
        <v>344</v>
      </c>
      <c r="BK602" s="8">
        <v>14472.54</v>
      </c>
      <c r="BL602" s="2" t="s">
        <v>2398</v>
      </c>
      <c r="BM602" s="7"/>
      <c r="BN602" s="7"/>
      <c r="BO602" s="4"/>
      <c r="BP602" s="8"/>
      <c r="BQ602" s="4"/>
      <c r="BR602" s="8"/>
      <c r="BS602" s="7"/>
      <c r="BT602" s="7"/>
      <c r="BU602" s="2" t="s">
        <v>147</v>
      </c>
      <c r="BV602" s="2" t="s">
        <v>97</v>
      </c>
      <c r="BW602" s="2" t="s">
        <v>100</v>
      </c>
      <c r="BX602" s="2" t="s">
        <v>100</v>
      </c>
      <c r="BY602" s="2" t="s">
        <v>112</v>
      </c>
      <c r="BZ602" s="2" t="s">
        <v>100</v>
      </c>
    </row>
    <row r="603">
      <c r="A603" s="2" t="s">
        <v>2399</v>
      </c>
      <c r="B603" s="2" t="s">
        <v>87</v>
      </c>
      <c r="C603" s="2" t="s">
        <v>88</v>
      </c>
      <c r="D603" s="2" t="s">
        <v>2308</v>
      </c>
      <c r="E603" s="2" t="s">
        <v>2309</v>
      </c>
      <c r="F603" s="2" t="s">
        <v>2363</v>
      </c>
      <c r="G603" s="2" t="s">
        <v>2364</v>
      </c>
      <c r="H603" s="2" t="s">
        <v>2365</v>
      </c>
      <c r="I603" s="2" t="s">
        <v>2366</v>
      </c>
      <c r="J603" s="2" t="s">
        <v>487</v>
      </c>
      <c r="K603" s="2" t="s">
        <v>197</v>
      </c>
      <c r="L603" s="3">
        <v>28.34</v>
      </c>
      <c r="M603" s="3">
        <v>29.76</v>
      </c>
      <c r="N603" s="3">
        <v>54.99</v>
      </c>
      <c r="O603" s="2" t="s">
        <v>97</v>
      </c>
      <c r="P603" s="2" t="s">
        <v>182</v>
      </c>
      <c r="Q603" s="2" t="s">
        <v>99</v>
      </c>
      <c r="R603" s="2" t="s">
        <v>100</v>
      </c>
      <c r="S603" s="2" t="s">
        <v>2400</v>
      </c>
      <c r="T603" s="2" t="s">
        <v>100</v>
      </c>
      <c r="U603" s="2" t="s">
        <v>2104</v>
      </c>
      <c r="V603" s="2" t="s">
        <v>601</v>
      </c>
      <c r="W603" s="2" t="s">
        <v>759</v>
      </c>
      <c r="X603" s="2" t="s">
        <v>2369</v>
      </c>
      <c r="Y603" s="2" t="s">
        <v>873</v>
      </c>
      <c r="Z603" s="4">
        <v>286</v>
      </c>
      <c r="AA603" s="4">
        <f>=ROUNDDOWN(15.8888888888889,0)</f>
      </c>
      <c r="AB603" s="5">
        <v>18</v>
      </c>
      <c r="AC603" s="2" t="s">
        <v>735</v>
      </c>
      <c r="AD603" s="4">
        <v>30</v>
      </c>
      <c r="AE603" s="4">
        <v>400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 t="s">
        <v>100</v>
      </c>
      <c r="BJ603" s="4">
        <v>276</v>
      </c>
      <c r="BK603" s="8">
        <v>7578.01</v>
      </c>
      <c r="BL603" s="2" t="s">
        <v>2401</v>
      </c>
      <c r="BM603" s="7"/>
      <c r="BN603" s="7"/>
      <c r="BO603" s="4"/>
      <c r="BP603" s="8"/>
      <c r="BQ603" s="4"/>
      <c r="BR603" s="8"/>
      <c r="BS603" s="7"/>
      <c r="BT603" s="7"/>
      <c r="BU603" s="2" t="s">
        <v>147</v>
      </c>
      <c r="BV603" s="2" t="s">
        <v>97</v>
      </c>
      <c r="BW603" s="2" t="s">
        <v>100</v>
      </c>
      <c r="BX603" s="2" t="s">
        <v>100</v>
      </c>
      <c r="BY603" s="2" t="s">
        <v>112</v>
      </c>
      <c r="BZ603" s="2" t="s">
        <v>100</v>
      </c>
    </row>
    <row r="604">
      <c r="A604" s="2" t="s">
        <v>2402</v>
      </c>
      <c r="B604" s="2" t="s">
        <v>87</v>
      </c>
      <c r="C604" s="2" t="s">
        <v>88</v>
      </c>
      <c r="D604" s="2" t="s">
        <v>2308</v>
      </c>
      <c r="E604" s="2" t="s">
        <v>2309</v>
      </c>
      <c r="F604" s="2" t="s">
        <v>2363</v>
      </c>
      <c r="G604" s="2" t="s">
        <v>2364</v>
      </c>
      <c r="H604" s="2" t="s">
        <v>2365</v>
      </c>
      <c r="I604" s="2" t="s">
        <v>2372</v>
      </c>
      <c r="J604" s="2" t="s">
        <v>844</v>
      </c>
      <c r="K604" s="2" t="s">
        <v>197</v>
      </c>
      <c r="L604" s="3">
        <v>36.71</v>
      </c>
      <c r="M604" s="3">
        <v>38.55</v>
      </c>
      <c r="N604" s="3">
        <v>69.99</v>
      </c>
      <c r="O604" s="2" t="s">
        <v>97</v>
      </c>
      <c r="P604" s="2" t="s">
        <v>182</v>
      </c>
      <c r="Q604" s="2" t="s">
        <v>99</v>
      </c>
      <c r="R604" s="2" t="s">
        <v>100</v>
      </c>
      <c r="S604" s="2" t="s">
        <v>2400</v>
      </c>
      <c r="T604" s="2" t="s">
        <v>100</v>
      </c>
      <c r="U604" s="2" t="s">
        <v>1610</v>
      </c>
      <c r="V604" s="2" t="s">
        <v>601</v>
      </c>
      <c r="W604" s="2" t="s">
        <v>759</v>
      </c>
      <c r="X604" s="2" t="s">
        <v>2369</v>
      </c>
      <c r="Y604" s="2" t="s">
        <v>106</v>
      </c>
      <c r="Z604" s="4">
        <v>558</v>
      </c>
      <c r="AA604" s="4">
        <f>=ROUNDDOWN(26.5714285714286,0)</f>
      </c>
      <c r="AB604" s="5">
        <v>21</v>
      </c>
      <c r="AC604" s="2" t="s">
        <v>2403</v>
      </c>
      <c r="AD604" s="4">
        <v>50</v>
      </c>
      <c r="AE604" s="4">
        <v>220</v>
      </c>
      <c r="AF604" s="6">
        <v>65</v>
      </c>
      <c r="AG604" s="6">
        <v>48</v>
      </c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 t="s">
        <v>100</v>
      </c>
      <c r="BJ604" s="4">
        <v>344</v>
      </c>
      <c r="BK604" s="8">
        <v>12861.82</v>
      </c>
      <c r="BL604" s="2" t="s">
        <v>2404</v>
      </c>
      <c r="BM604" s="7"/>
      <c r="BN604" s="7"/>
      <c r="BO604" s="4"/>
      <c r="BP604" s="8"/>
      <c r="BQ604" s="4"/>
      <c r="BR604" s="8"/>
      <c r="BS604" s="7"/>
      <c r="BT604" s="7"/>
      <c r="BU604" s="2" t="s">
        <v>147</v>
      </c>
      <c r="BV604" s="2" t="s">
        <v>97</v>
      </c>
      <c r="BW604" s="2" t="s">
        <v>100</v>
      </c>
      <c r="BX604" s="2" t="s">
        <v>100</v>
      </c>
      <c r="BY604" s="2" t="s">
        <v>112</v>
      </c>
      <c r="BZ604" s="2" t="s">
        <v>100</v>
      </c>
    </row>
    <row r="605">
      <c r="A605" s="2" t="s">
        <v>2405</v>
      </c>
      <c r="B605" s="2" t="s">
        <v>87</v>
      </c>
      <c r="C605" s="2" t="s">
        <v>88</v>
      </c>
      <c r="D605" s="2" t="s">
        <v>2308</v>
      </c>
      <c r="E605" s="2" t="s">
        <v>2309</v>
      </c>
      <c r="F605" s="2" t="s">
        <v>2363</v>
      </c>
      <c r="G605" s="2" t="s">
        <v>2364</v>
      </c>
      <c r="H605" s="2" t="s">
        <v>2365</v>
      </c>
      <c r="I605" s="2" t="s">
        <v>2372</v>
      </c>
      <c r="J605" s="2" t="s">
        <v>850</v>
      </c>
      <c r="K605" s="2" t="s">
        <v>197</v>
      </c>
      <c r="L605" s="3">
        <v>41.03</v>
      </c>
      <c r="M605" s="3">
        <v>43.08</v>
      </c>
      <c r="N605" s="3">
        <v>79.99</v>
      </c>
      <c r="O605" s="2" t="s">
        <v>97</v>
      </c>
      <c r="P605" s="2" t="s">
        <v>182</v>
      </c>
      <c r="Q605" s="2" t="s">
        <v>99</v>
      </c>
      <c r="R605" s="2" t="s">
        <v>100</v>
      </c>
      <c r="S605" s="2" t="s">
        <v>2400</v>
      </c>
      <c r="T605" s="2" t="s">
        <v>100</v>
      </c>
      <c r="U605" s="2" t="s">
        <v>1610</v>
      </c>
      <c r="V605" s="2" t="s">
        <v>601</v>
      </c>
      <c r="W605" s="2" t="s">
        <v>759</v>
      </c>
      <c r="X605" s="2" t="s">
        <v>2369</v>
      </c>
      <c r="Y605" s="2" t="s">
        <v>106</v>
      </c>
      <c r="Z605" s="4">
        <v>327</v>
      </c>
      <c r="AA605" s="4">
        <f>=ROUNDDOWN(17.2105263157895,0)</f>
      </c>
      <c r="AB605" s="5">
        <v>19</v>
      </c>
      <c r="AC605" s="2" t="s">
        <v>107</v>
      </c>
      <c r="AD605" s="4">
        <v>100</v>
      </c>
      <c r="AE605" s="4">
        <v>400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 t="s">
        <v>100</v>
      </c>
      <c r="BJ605" s="4">
        <v>353</v>
      </c>
      <c r="BK605" s="8">
        <v>15111.84</v>
      </c>
      <c r="BL605" s="2" t="s">
        <v>2406</v>
      </c>
      <c r="BM605" s="7"/>
      <c r="BN605" s="7"/>
      <c r="BO605" s="4"/>
      <c r="BP605" s="8"/>
      <c r="BQ605" s="4"/>
      <c r="BR605" s="8"/>
      <c r="BS605" s="7"/>
      <c r="BT605" s="7"/>
      <c r="BU605" s="2" t="s">
        <v>147</v>
      </c>
      <c r="BV605" s="2" t="s">
        <v>97</v>
      </c>
      <c r="BW605" s="2" t="s">
        <v>100</v>
      </c>
      <c r="BX605" s="2" t="s">
        <v>100</v>
      </c>
      <c r="BY605" s="2" t="s">
        <v>112</v>
      </c>
      <c r="BZ605" s="2" t="s">
        <v>100</v>
      </c>
    </row>
    <row r="606">
      <c r="A606" s="2" t="s">
        <v>2407</v>
      </c>
      <c r="B606" s="2" t="s">
        <v>87</v>
      </c>
      <c r="C606" s="2" t="s">
        <v>88</v>
      </c>
      <c r="D606" s="2" t="s">
        <v>2308</v>
      </c>
      <c r="E606" s="2" t="s">
        <v>2309</v>
      </c>
      <c r="F606" s="2" t="s">
        <v>2363</v>
      </c>
      <c r="G606" s="2" t="s">
        <v>2364</v>
      </c>
      <c r="H606" s="2" t="s">
        <v>2365</v>
      </c>
      <c r="I606" s="2" t="s">
        <v>2366</v>
      </c>
      <c r="J606" s="2" t="s">
        <v>487</v>
      </c>
      <c r="K606" s="2" t="s">
        <v>1592</v>
      </c>
      <c r="L606" s="3">
        <v>28.34</v>
      </c>
      <c r="M606" s="3">
        <v>29.76</v>
      </c>
      <c r="N606" s="3">
        <v>54.99</v>
      </c>
      <c r="O606" s="2" t="s">
        <v>97</v>
      </c>
      <c r="P606" s="2" t="s">
        <v>182</v>
      </c>
      <c r="Q606" s="2" t="s">
        <v>99</v>
      </c>
      <c r="R606" s="2" t="s">
        <v>100</v>
      </c>
      <c r="S606" s="2" t="s">
        <v>2392</v>
      </c>
      <c r="T606" s="2" t="s">
        <v>100</v>
      </c>
      <c r="U606" s="2" t="s">
        <v>2104</v>
      </c>
      <c r="V606" s="2" t="s">
        <v>601</v>
      </c>
      <c r="W606" s="2" t="s">
        <v>759</v>
      </c>
      <c r="X606" s="2" t="s">
        <v>2369</v>
      </c>
      <c r="Y606" s="2" t="s">
        <v>2408</v>
      </c>
      <c r="Z606" s="4">
        <v>303</v>
      </c>
      <c r="AA606" s="4">
        <f>=ROUNDDOWN(37.875,0)</f>
      </c>
      <c r="AB606" s="5">
        <v>8</v>
      </c>
      <c r="AC606" s="2" t="s">
        <v>480</v>
      </c>
      <c r="AD606" s="4">
        <v>70</v>
      </c>
      <c r="AE606" s="4">
        <v>70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 t="s">
        <v>100</v>
      </c>
      <c r="BJ606" s="4">
        <v>131</v>
      </c>
      <c r="BK606" s="8">
        <v>3496.97</v>
      </c>
      <c r="BL606" s="2" t="s">
        <v>2409</v>
      </c>
      <c r="BM606" s="7"/>
      <c r="BN606" s="7"/>
      <c r="BO606" s="4"/>
      <c r="BP606" s="8"/>
      <c r="BQ606" s="4"/>
      <c r="BR606" s="8"/>
      <c r="BS606" s="7"/>
      <c r="BT606" s="7"/>
      <c r="BU606" s="2" t="s">
        <v>147</v>
      </c>
      <c r="BV606" s="2" t="s">
        <v>97</v>
      </c>
      <c r="BW606" s="2" t="s">
        <v>100</v>
      </c>
      <c r="BX606" s="2" t="s">
        <v>100</v>
      </c>
      <c r="BY606" s="2" t="s">
        <v>112</v>
      </c>
      <c r="BZ606" s="2" t="s">
        <v>100</v>
      </c>
    </row>
    <row r="607">
      <c r="A607" s="2" t="s">
        <v>2410</v>
      </c>
      <c r="B607" s="2" t="s">
        <v>87</v>
      </c>
      <c r="C607" s="2" t="s">
        <v>88</v>
      </c>
      <c r="D607" s="2" t="s">
        <v>2308</v>
      </c>
      <c r="E607" s="2" t="s">
        <v>2309</v>
      </c>
      <c r="F607" s="2" t="s">
        <v>2363</v>
      </c>
      <c r="G607" s="2" t="s">
        <v>2364</v>
      </c>
      <c r="H607" s="2" t="s">
        <v>2365</v>
      </c>
      <c r="I607" s="2" t="s">
        <v>2372</v>
      </c>
      <c r="J607" s="2" t="s">
        <v>844</v>
      </c>
      <c r="K607" s="2" t="s">
        <v>1592</v>
      </c>
      <c r="L607" s="3">
        <v>36.71</v>
      </c>
      <c r="M607" s="3">
        <v>38.55</v>
      </c>
      <c r="N607" s="3">
        <v>69.99</v>
      </c>
      <c r="O607" s="2" t="s">
        <v>97</v>
      </c>
      <c r="P607" s="2" t="s">
        <v>182</v>
      </c>
      <c r="Q607" s="2" t="s">
        <v>99</v>
      </c>
      <c r="R607" s="2" t="s">
        <v>100</v>
      </c>
      <c r="S607" s="2" t="s">
        <v>2392</v>
      </c>
      <c r="T607" s="2" t="s">
        <v>100</v>
      </c>
      <c r="U607" s="2" t="s">
        <v>1610</v>
      </c>
      <c r="V607" s="2" t="s">
        <v>601</v>
      </c>
      <c r="W607" s="2" t="s">
        <v>759</v>
      </c>
      <c r="X607" s="2" t="s">
        <v>2369</v>
      </c>
      <c r="Y607" s="2" t="s">
        <v>2408</v>
      </c>
      <c r="Z607" s="4">
        <v>439</v>
      </c>
      <c r="AA607" s="4">
        <f>=ROUNDDOWN(29.2666666666667,0)</f>
      </c>
      <c r="AB607" s="5">
        <v>15</v>
      </c>
      <c r="AC607" s="2" t="s">
        <v>480</v>
      </c>
      <c r="AD607" s="4">
        <v>90</v>
      </c>
      <c r="AE607" s="4">
        <v>230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 t="s">
        <v>100</v>
      </c>
      <c r="BJ607" s="4">
        <v>256</v>
      </c>
      <c r="BK607" s="8">
        <v>9481.58</v>
      </c>
      <c r="BL607" s="2" t="s">
        <v>2411</v>
      </c>
      <c r="BM607" s="7"/>
      <c r="BN607" s="7"/>
      <c r="BO607" s="4"/>
      <c r="BP607" s="8"/>
      <c r="BQ607" s="4"/>
      <c r="BR607" s="8"/>
      <c r="BS607" s="7"/>
      <c r="BT607" s="7"/>
      <c r="BU607" s="2" t="s">
        <v>147</v>
      </c>
      <c r="BV607" s="2" t="s">
        <v>97</v>
      </c>
      <c r="BW607" s="2" t="s">
        <v>100</v>
      </c>
      <c r="BX607" s="2" t="s">
        <v>100</v>
      </c>
      <c r="BY607" s="2" t="s">
        <v>112</v>
      </c>
      <c r="BZ607" s="2" t="s">
        <v>100</v>
      </c>
    </row>
    <row r="608">
      <c r="A608" s="2" t="s">
        <v>2412</v>
      </c>
      <c r="B608" s="2" t="s">
        <v>87</v>
      </c>
      <c r="C608" s="2" t="s">
        <v>88</v>
      </c>
      <c r="D608" s="2" t="s">
        <v>2308</v>
      </c>
      <c r="E608" s="2" t="s">
        <v>2309</v>
      </c>
      <c r="F608" s="2" t="s">
        <v>2363</v>
      </c>
      <c r="G608" s="2" t="s">
        <v>2364</v>
      </c>
      <c r="H608" s="2" t="s">
        <v>2365</v>
      </c>
      <c r="I608" s="2" t="s">
        <v>2372</v>
      </c>
      <c r="J608" s="2" t="s">
        <v>850</v>
      </c>
      <c r="K608" s="2" t="s">
        <v>1592</v>
      </c>
      <c r="L608" s="3">
        <v>41.03</v>
      </c>
      <c r="M608" s="3">
        <v>43.08</v>
      </c>
      <c r="N608" s="3">
        <v>79.99</v>
      </c>
      <c r="O608" s="2" t="s">
        <v>97</v>
      </c>
      <c r="P608" s="2" t="s">
        <v>182</v>
      </c>
      <c r="Q608" s="2" t="s">
        <v>99</v>
      </c>
      <c r="R608" s="2" t="s">
        <v>100</v>
      </c>
      <c r="S608" s="2" t="s">
        <v>2392</v>
      </c>
      <c r="T608" s="2" t="s">
        <v>100</v>
      </c>
      <c r="U608" s="2" t="s">
        <v>1610</v>
      </c>
      <c r="V608" s="2" t="s">
        <v>601</v>
      </c>
      <c r="W608" s="2" t="s">
        <v>759</v>
      </c>
      <c r="X608" s="2" t="s">
        <v>2369</v>
      </c>
      <c r="Y608" s="2" t="s">
        <v>2408</v>
      </c>
      <c r="Z608" s="4">
        <v>361</v>
      </c>
      <c r="AA608" s="4">
        <f>=ROUNDDOWN(18.05,0)</f>
      </c>
      <c r="AB608" s="5">
        <v>20</v>
      </c>
      <c r="AC608" s="2" t="s">
        <v>107</v>
      </c>
      <c r="AD608" s="4">
        <v>120</v>
      </c>
      <c r="AE608" s="4">
        <v>420</v>
      </c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 t="s">
        <v>100</v>
      </c>
      <c r="BJ608" s="4">
        <v>328</v>
      </c>
      <c r="BK608" s="8">
        <v>13724.54</v>
      </c>
      <c r="BL608" s="2" t="s">
        <v>2413</v>
      </c>
      <c r="BM608" s="7"/>
      <c r="BN608" s="7"/>
      <c r="BO608" s="4"/>
      <c r="BP608" s="8"/>
      <c r="BQ608" s="4"/>
      <c r="BR608" s="8"/>
      <c r="BS608" s="7"/>
      <c r="BT608" s="7"/>
      <c r="BU608" s="2" t="s">
        <v>147</v>
      </c>
      <c r="BV608" s="2" t="s">
        <v>97</v>
      </c>
      <c r="BW608" s="2" t="s">
        <v>100</v>
      </c>
      <c r="BX608" s="2" t="s">
        <v>100</v>
      </c>
      <c r="BY608" s="2" t="s">
        <v>112</v>
      </c>
      <c r="BZ608" s="2" t="s">
        <v>100</v>
      </c>
    </row>
    <row r="609">
      <c r="A609" s="2" t="s">
        <v>2414</v>
      </c>
      <c r="B609" s="2" t="s">
        <v>87</v>
      </c>
      <c r="C609" s="2" t="s">
        <v>88</v>
      </c>
      <c r="D609" s="2" t="s">
        <v>2308</v>
      </c>
      <c r="E609" s="2" t="s">
        <v>2309</v>
      </c>
      <c r="F609" s="2" t="s">
        <v>2415</v>
      </c>
      <c r="G609" s="2" t="s">
        <v>2416</v>
      </c>
      <c r="H609" s="2" t="s">
        <v>2417</v>
      </c>
      <c r="I609" s="2" t="s">
        <v>2418</v>
      </c>
      <c r="J609" s="2" t="s">
        <v>844</v>
      </c>
      <c r="K609" s="2" t="s">
        <v>666</v>
      </c>
      <c r="L609" s="3">
        <v>42.3</v>
      </c>
      <c r="M609" s="3">
        <v>44.41</v>
      </c>
      <c r="N609" s="3">
        <v>89.99</v>
      </c>
      <c r="O609" s="2" t="s">
        <v>97</v>
      </c>
      <c r="P609" s="2" t="s">
        <v>98</v>
      </c>
      <c r="Q609" s="2" t="s">
        <v>99</v>
      </c>
      <c r="R609" s="2" t="s">
        <v>100</v>
      </c>
      <c r="S609" s="2" t="s">
        <v>2419</v>
      </c>
      <c r="T609" s="2" t="s">
        <v>100</v>
      </c>
      <c r="U609" s="2" t="s">
        <v>1610</v>
      </c>
      <c r="V609" s="2" t="s">
        <v>601</v>
      </c>
      <c r="W609" s="2" t="s">
        <v>808</v>
      </c>
      <c r="X609" s="2" t="s">
        <v>1297</v>
      </c>
      <c r="Y609" s="2" t="s">
        <v>106</v>
      </c>
      <c r="Z609" s="4">
        <v>1643</v>
      </c>
      <c r="AA609" s="4">
        <f>=ROUNDDOWN(17.2947368421053,0)</f>
      </c>
      <c r="AB609" s="5">
        <v>95</v>
      </c>
      <c r="AC609" s="2" t="s">
        <v>919</v>
      </c>
      <c r="AD609" s="4">
        <v>100</v>
      </c>
      <c r="AE609" s="4">
        <v>1200</v>
      </c>
      <c r="AF609" s="6">
        <v>64</v>
      </c>
      <c r="AG609" s="6">
        <v>47</v>
      </c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>
        <v>0</v>
      </c>
      <c r="AP609" s="4">
        <v>4</v>
      </c>
      <c r="AQ609" s="8">
        <v>177.64</v>
      </c>
      <c r="AR609" s="4">
        <v>9</v>
      </c>
      <c r="AS609" s="8">
        <v>399.69</v>
      </c>
      <c r="AT609" s="7">
        <v>-0.5556</v>
      </c>
      <c r="AU609" s="7">
        <v>-0.5556</v>
      </c>
      <c r="AV609" s="4">
        <v>8</v>
      </c>
      <c r="AW609" s="8">
        <v>375.04</v>
      </c>
      <c r="AX609" s="4">
        <v>13</v>
      </c>
      <c r="AY609" s="8">
        <v>597.09</v>
      </c>
      <c r="AZ609" s="7">
        <v>-0.3846</v>
      </c>
      <c r="BA609" s="7">
        <v>-0.3719</v>
      </c>
      <c r="BB609" s="7">
        <v>0.4737</v>
      </c>
      <c r="BC609" s="4">
        <v>12</v>
      </c>
      <c r="BD609" s="8">
        <v>572.44</v>
      </c>
      <c r="BE609" s="4">
        <v>21</v>
      </c>
      <c r="BF609" s="8">
        <v>991.89</v>
      </c>
      <c r="BG609" s="7">
        <v>-0.4286</v>
      </c>
      <c r="BH609" s="7">
        <v>-0.4229</v>
      </c>
      <c r="BI609" s="7">
        <v>0.6552</v>
      </c>
      <c r="BJ609" s="4">
        <v>1449</v>
      </c>
      <c r="BK609" s="8">
        <v>61412.94</v>
      </c>
      <c r="BL609" s="2" t="s">
        <v>2420</v>
      </c>
      <c r="BM609" s="7">
        <v>0.0028</v>
      </c>
      <c r="BN609" s="7">
        <v>0.0029</v>
      </c>
      <c r="BO609" s="4">
        <v>4</v>
      </c>
      <c r="BP609" s="8">
        <v>177.64</v>
      </c>
      <c r="BQ609" s="4">
        <v>9</v>
      </c>
      <c r="BR609" s="8">
        <v>399.69</v>
      </c>
      <c r="BS609" s="7">
        <v>-0.5556</v>
      </c>
      <c r="BT609" s="7">
        <v>-0.5556</v>
      </c>
      <c r="BU609" s="2" t="s">
        <v>109</v>
      </c>
      <c r="BV609" s="2" t="s">
        <v>97</v>
      </c>
      <c r="BW609" s="2" t="s">
        <v>132</v>
      </c>
      <c r="BX609" s="2" t="s">
        <v>2421</v>
      </c>
      <c r="BY609" s="2" t="s">
        <v>112</v>
      </c>
      <c r="BZ609" s="2" t="s">
        <v>100</v>
      </c>
    </row>
    <row r="610">
      <c r="A610" s="2" t="s">
        <v>2422</v>
      </c>
      <c r="B610" s="2" t="s">
        <v>87</v>
      </c>
      <c r="C610" s="2" t="s">
        <v>88</v>
      </c>
      <c r="D610" s="2" t="s">
        <v>2308</v>
      </c>
      <c r="E610" s="2" t="s">
        <v>2309</v>
      </c>
      <c r="F610" s="2" t="s">
        <v>2415</v>
      </c>
      <c r="G610" s="2" t="s">
        <v>2416</v>
      </c>
      <c r="H610" s="2" t="s">
        <v>2417</v>
      </c>
      <c r="I610" s="2" t="s">
        <v>2418</v>
      </c>
      <c r="J610" s="2" t="s">
        <v>850</v>
      </c>
      <c r="K610" s="2" t="s">
        <v>666</v>
      </c>
      <c r="L610" s="3">
        <v>47</v>
      </c>
      <c r="M610" s="3">
        <v>49.35</v>
      </c>
      <c r="N610" s="3">
        <v>99.99</v>
      </c>
      <c r="O610" s="2" t="s">
        <v>97</v>
      </c>
      <c r="P610" s="2" t="s">
        <v>98</v>
      </c>
      <c r="Q610" s="2" t="s">
        <v>99</v>
      </c>
      <c r="R610" s="2" t="s">
        <v>100</v>
      </c>
      <c r="S610" s="2" t="s">
        <v>2419</v>
      </c>
      <c r="T610" s="2" t="s">
        <v>100</v>
      </c>
      <c r="U610" s="2" t="s">
        <v>1610</v>
      </c>
      <c r="V610" s="2" t="s">
        <v>601</v>
      </c>
      <c r="W610" s="2" t="s">
        <v>808</v>
      </c>
      <c r="X610" s="2" t="s">
        <v>1297</v>
      </c>
      <c r="Y610" s="2" t="s">
        <v>106</v>
      </c>
      <c r="Z610" s="4">
        <v>979</v>
      </c>
      <c r="AA610" s="4">
        <f>=ROUNDDOWN(9.98979591836735,0)</f>
      </c>
      <c r="AB610" s="5">
        <v>98</v>
      </c>
      <c r="AC610" s="2" t="s">
        <v>335</v>
      </c>
      <c r="AD610" s="4">
        <v>100</v>
      </c>
      <c r="AE610" s="4">
        <v>1850</v>
      </c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>
        <v>0</v>
      </c>
      <c r="AP610" s="4">
        <v>4</v>
      </c>
      <c r="AQ610" s="8">
        <v>197.4</v>
      </c>
      <c r="AR610" s="4">
        <v>4</v>
      </c>
      <c r="AS610" s="8">
        <v>197.4</v>
      </c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>
        <v>0.5263</v>
      </c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 t="s">
        <v>100</v>
      </c>
      <c r="BJ610" s="4">
        <v>1691</v>
      </c>
      <c r="BK610" s="8">
        <v>81437.55</v>
      </c>
      <c r="BL610" s="2" t="s">
        <v>2423</v>
      </c>
      <c r="BM610" s="7">
        <v>0.0024</v>
      </c>
      <c r="BN610" s="7">
        <v>0.0024</v>
      </c>
      <c r="BO610" s="4">
        <v>4</v>
      </c>
      <c r="BP610" s="8">
        <v>197.4</v>
      </c>
      <c r="BQ610" s="4">
        <v>4</v>
      </c>
      <c r="BR610" s="8">
        <v>197.4</v>
      </c>
      <c r="BS610" s="7"/>
      <c r="BT610" s="7"/>
      <c r="BU610" s="2" t="s">
        <v>109</v>
      </c>
      <c r="BV610" s="2" t="s">
        <v>97</v>
      </c>
      <c r="BW610" s="2" t="s">
        <v>132</v>
      </c>
      <c r="BX610" s="2" t="s">
        <v>409</v>
      </c>
      <c r="BY610" s="2" t="s">
        <v>112</v>
      </c>
      <c r="BZ610" s="2" t="s">
        <v>100</v>
      </c>
    </row>
    <row r="611">
      <c r="A611" s="2" t="s">
        <v>2424</v>
      </c>
      <c r="B611" s="2" t="s">
        <v>87</v>
      </c>
      <c r="C611" s="2" t="s">
        <v>88</v>
      </c>
      <c r="D611" s="2" t="s">
        <v>2308</v>
      </c>
      <c r="E611" s="2" t="s">
        <v>2309</v>
      </c>
      <c r="F611" s="2" t="s">
        <v>2415</v>
      </c>
      <c r="G611" s="2" t="s">
        <v>2416</v>
      </c>
      <c r="H611" s="2" t="s">
        <v>2417</v>
      </c>
      <c r="I611" s="2" t="s">
        <v>2418</v>
      </c>
      <c r="J611" s="2" t="s">
        <v>844</v>
      </c>
      <c r="K611" s="2" t="s">
        <v>2367</v>
      </c>
      <c r="L611" s="3">
        <v>42.3</v>
      </c>
      <c r="M611" s="3">
        <v>44.41</v>
      </c>
      <c r="N611" s="3">
        <v>89.99</v>
      </c>
      <c r="O611" s="2" t="s">
        <v>97</v>
      </c>
      <c r="P611" s="2" t="s">
        <v>98</v>
      </c>
      <c r="Q611" s="2" t="s">
        <v>99</v>
      </c>
      <c r="R611" s="2" t="s">
        <v>100</v>
      </c>
      <c r="S611" s="2" t="s">
        <v>2425</v>
      </c>
      <c r="T611" s="2" t="s">
        <v>100</v>
      </c>
      <c r="U611" s="2" t="s">
        <v>1610</v>
      </c>
      <c r="V611" s="2" t="s">
        <v>601</v>
      </c>
      <c r="W611" s="2" t="s">
        <v>808</v>
      </c>
      <c r="X611" s="2" t="s">
        <v>1297</v>
      </c>
      <c r="Y611" s="2" t="s">
        <v>106</v>
      </c>
      <c r="Z611" s="4">
        <v>1559</v>
      </c>
      <c r="AA611" s="4">
        <f>=ROUNDDOWN(27.3508771929825,0)</f>
      </c>
      <c r="AB611" s="5">
        <v>57</v>
      </c>
      <c r="AC611" s="2" t="s">
        <v>100</v>
      </c>
      <c r="AD611" s="4"/>
      <c r="AE611" s="4"/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>
        <v>4</v>
      </c>
      <c r="AW611" s="8">
        <v>197.4</v>
      </c>
      <c r="AX611" s="4">
        <v>8</v>
      </c>
      <c r="AY611" s="8">
        <v>394.8</v>
      </c>
      <c r="AZ611" s="7">
        <v>-0.5</v>
      </c>
      <c r="BA611" s="7">
        <v>-0.5</v>
      </c>
      <c r="BB611" s="7"/>
      <c r="BC611" s="4" t="s">
        <v>100</v>
      </c>
      <c r="BD611" s="8" t="s">
        <v>100</v>
      </c>
      <c r="BE611" s="4" t="s">
        <v>100</v>
      </c>
      <c r="BF611" s="8" t="s">
        <v>100</v>
      </c>
      <c r="BG611" s="7" t="s">
        <v>100</v>
      </c>
      <c r="BH611" s="7" t="s">
        <v>100</v>
      </c>
      <c r="BI611" s="7">
        <v>0.3448</v>
      </c>
      <c r="BJ611" s="4">
        <v>1156</v>
      </c>
      <c r="BK611" s="8">
        <v>50087.42</v>
      </c>
      <c r="BL611" s="2" t="s">
        <v>2426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97</v>
      </c>
      <c r="BW611" s="2" t="s">
        <v>606</v>
      </c>
      <c r="BX611" s="2" t="s">
        <v>100</v>
      </c>
      <c r="BY611" s="2" t="s">
        <v>112</v>
      </c>
      <c r="BZ611" s="2" t="s">
        <v>100</v>
      </c>
    </row>
    <row r="612">
      <c r="A612" s="2" t="s">
        <v>2427</v>
      </c>
      <c r="B612" s="2" t="s">
        <v>87</v>
      </c>
      <c r="C612" s="2" t="s">
        <v>88</v>
      </c>
      <c r="D612" s="2" t="s">
        <v>2308</v>
      </c>
      <c r="E612" s="2" t="s">
        <v>2309</v>
      </c>
      <c r="F612" s="2" t="s">
        <v>2415</v>
      </c>
      <c r="G612" s="2" t="s">
        <v>2416</v>
      </c>
      <c r="H612" s="2" t="s">
        <v>2417</v>
      </c>
      <c r="I612" s="2" t="s">
        <v>2418</v>
      </c>
      <c r="J612" s="2" t="s">
        <v>850</v>
      </c>
      <c r="K612" s="2" t="s">
        <v>2367</v>
      </c>
      <c r="L612" s="3">
        <v>47</v>
      </c>
      <c r="M612" s="3">
        <v>49.35</v>
      </c>
      <c r="N612" s="3">
        <v>99.99</v>
      </c>
      <c r="O612" s="2" t="s">
        <v>97</v>
      </c>
      <c r="P612" s="2" t="s">
        <v>98</v>
      </c>
      <c r="Q612" s="2" t="s">
        <v>99</v>
      </c>
      <c r="R612" s="2" t="s">
        <v>100</v>
      </c>
      <c r="S612" s="2" t="s">
        <v>2425</v>
      </c>
      <c r="T612" s="2" t="s">
        <v>100</v>
      </c>
      <c r="U612" s="2" t="s">
        <v>1610</v>
      </c>
      <c r="V612" s="2" t="s">
        <v>601</v>
      </c>
      <c r="W612" s="2" t="s">
        <v>808</v>
      </c>
      <c r="X612" s="2" t="s">
        <v>1297</v>
      </c>
      <c r="Y612" s="2" t="s">
        <v>106</v>
      </c>
      <c r="Z612" s="4">
        <v>1624</v>
      </c>
      <c r="AA612" s="4">
        <f>=ROUNDDOWN(29,0)</f>
      </c>
      <c r="AB612" s="5">
        <v>56</v>
      </c>
      <c r="AC612" s="2" t="s">
        <v>100</v>
      </c>
      <c r="AD612" s="4"/>
      <c r="AE612" s="4"/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>
        <v>0</v>
      </c>
      <c r="AP612" s="4">
        <v>4</v>
      </c>
      <c r="AQ612" s="8">
        <v>197.4</v>
      </c>
      <c r="AR612" s="4">
        <v>8</v>
      </c>
      <c r="AS612" s="8">
        <v>394.8</v>
      </c>
      <c r="AT612" s="7">
        <v>-0.5</v>
      </c>
      <c r="AU612" s="7">
        <v>-0.5</v>
      </c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>
        <v>1</v>
      </c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 t="s">
        <v>100</v>
      </c>
      <c r="BJ612" s="4">
        <v>1154</v>
      </c>
      <c r="BK612" s="8">
        <v>56387.35</v>
      </c>
      <c r="BL612" s="2" t="s">
        <v>2428</v>
      </c>
      <c r="BM612" s="7">
        <v>0.0035</v>
      </c>
      <c r="BN612" s="7">
        <v>0.0035</v>
      </c>
      <c r="BO612" s="4">
        <v>4</v>
      </c>
      <c r="BP612" s="8">
        <v>197.4</v>
      </c>
      <c r="BQ612" s="4">
        <v>8</v>
      </c>
      <c r="BR612" s="8">
        <v>394.8</v>
      </c>
      <c r="BS612" s="7">
        <v>-0.5</v>
      </c>
      <c r="BT612" s="7">
        <v>-0.5</v>
      </c>
      <c r="BU612" s="2" t="s">
        <v>109</v>
      </c>
      <c r="BV612" s="2" t="s">
        <v>97</v>
      </c>
      <c r="BW612" s="2" t="s">
        <v>132</v>
      </c>
      <c r="BX612" s="2" t="s">
        <v>2429</v>
      </c>
      <c r="BY612" s="2" t="s">
        <v>112</v>
      </c>
      <c r="BZ612" s="2" t="s">
        <v>100</v>
      </c>
    </row>
    <row r="613">
      <c r="A613" s="2" t="s">
        <v>2430</v>
      </c>
      <c r="B613" s="2" t="s">
        <v>87</v>
      </c>
      <c r="C613" s="2" t="s">
        <v>88</v>
      </c>
      <c r="D613" s="2" t="s">
        <v>2308</v>
      </c>
      <c r="E613" s="2" t="s">
        <v>2309</v>
      </c>
      <c r="F613" s="2" t="s">
        <v>2415</v>
      </c>
      <c r="G613" s="2" t="s">
        <v>2416</v>
      </c>
      <c r="H613" s="2" t="s">
        <v>2417</v>
      </c>
      <c r="I613" s="2" t="s">
        <v>2418</v>
      </c>
      <c r="J613" s="2" t="s">
        <v>844</v>
      </c>
      <c r="K613" s="2" t="s">
        <v>158</v>
      </c>
      <c r="L613" s="3">
        <v>42.3</v>
      </c>
      <c r="M613" s="3">
        <v>44.41</v>
      </c>
      <c r="N613" s="3">
        <v>89.99</v>
      </c>
      <c r="O613" s="2" t="s">
        <v>97</v>
      </c>
      <c r="P613" s="2" t="s">
        <v>182</v>
      </c>
      <c r="Q613" s="2" t="s">
        <v>99</v>
      </c>
      <c r="R613" s="2" t="s">
        <v>100</v>
      </c>
      <c r="S613" s="2" t="s">
        <v>2431</v>
      </c>
      <c r="T613" s="2" t="s">
        <v>184</v>
      </c>
      <c r="U613" s="2" t="s">
        <v>1610</v>
      </c>
      <c r="V613" s="2" t="s">
        <v>601</v>
      </c>
      <c r="W613" s="2" t="s">
        <v>808</v>
      </c>
      <c r="X613" s="2" t="s">
        <v>2068</v>
      </c>
      <c r="Y613" s="2" t="s">
        <v>2432</v>
      </c>
      <c r="Z613" s="4">
        <v>1023</v>
      </c>
      <c r="AA613" s="4">
        <f>=ROUNDDOWN(24.9512195121951,0)</f>
      </c>
      <c r="AB613" s="5">
        <v>41</v>
      </c>
      <c r="AC613" s="2" t="s">
        <v>766</v>
      </c>
      <c r="AD613" s="4">
        <v>150</v>
      </c>
      <c r="AE613" s="4">
        <v>350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 t="s">
        <v>100</v>
      </c>
      <c r="BJ613" s="4">
        <v>680</v>
      </c>
      <c r="BK613" s="8">
        <v>30156.62</v>
      </c>
      <c r="BL613" s="2" t="s">
        <v>2433</v>
      </c>
      <c r="BM613" s="7"/>
      <c r="BN613" s="7"/>
      <c r="BO613" s="4"/>
      <c r="BP613" s="8"/>
      <c r="BQ613" s="4"/>
      <c r="BR613" s="8"/>
      <c r="BS613" s="7"/>
      <c r="BT613" s="7"/>
      <c r="BU613" s="2" t="s">
        <v>147</v>
      </c>
      <c r="BV613" s="2" t="s">
        <v>97</v>
      </c>
      <c r="BW613" s="2" t="s">
        <v>100</v>
      </c>
      <c r="BX613" s="2" t="s">
        <v>100</v>
      </c>
      <c r="BY613" s="2" t="s">
        <v>112</v>
      </c>
      <c r="BZ613" s="2" t="s">
        <v>100</v>
      </c>
    </row>
    <row r="614">
      <c r="A614" s="2" t="s">
        <v>2434</v>
      </c>
      <c r="B614" s="2" t="s">
        <v>87</v>
      </c>
      <c r="C614" s="2" t="s">
        <v>88</v>
      </c>
      <c r="D614" s="2" t="s">
        <v>2308</v>
      </c>
      <c r="E614" s="2" t="s">
        <v>2309</v>
      </c>
      <c r="F614" s="2" t="s">
        <v>2415</v>
      </c>
      <c r="G614" s="2" t="s">
        <v>2416</v>
      </c>
      <c r="H614" s="2" t="s">
        <v>2417</v>
      </c>
      <c r="I614" s="2" t="s">
        <v>2418</v>
      </c>
      <c r="J614" s="2" t="s">
        <v>850</v>
      </c>
      <c r="K614" s="2" t="s">
        <v>158</v>
      </c>
      <c r="L614" s="3">
        <v>47</v>
      </c>
      <c r="M614" s="3">
        <v>49.35</v>
      </c>
      <c r="N614" s="3">
        <v>99.99</v>
      </c>
      <c r="O614" s="2" t="s">
        <v>97</v>
      </c>
      <c r="P614" s="2" t="s">
        <v>182</v>
      </c>
      <c r="Q614" s="2" t="s">
        <v>99</v>
      </c>
      <c r="R614" s="2" t="s">
        <v>100</v>
      </c>
      <c r="S614" s="2" t="s">
        <v>2431</v>
      </c>
      <c r="T614" s="2" t="s">
        <v>184</v>
      </c>
      <c r="U614" s="2" t="s">
        <v>1610</v>
      </c>
      <c r="V614" s="2" t="s">
        <v>601</v>
      </c>
      <c r="W614" s="2" t="s">
        <v>808</v>
      </c>
      <c r="X614" s="2" t="s">
        <v>2068</v>
      </c>
      <c r="Y614" s="2" t="s">
        <v>2432</v>
      </c>
      <c r="Z614" s="4">
        <v>861</v>
      </c>
      <c r="AA614" s="4">
        <f>=ROUNDDOWN(22.0769230769231,0)</f>
      </c>
      <c r="AB614" s="5">
        <v>39</v>
      </c>
      <c r="AC614" s="2" t="s">
        <v>766</v>
      </c>
      <c r="AD614" s="4">
        <v>150</v>
      </c>
      <c r="AE614" s="4">
        <v>800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 t="s">
        <v>100</v>
      </c>
      <c r="BJ614" s="4">
        <v>697</v>
      </c>
      <c r="BK614" s="8">
        <v>34888.89</v>
      </c>
      <c r="BL614" s="2" t="s">
        <v>2435</v>
      </c>
      <c r="BM614" s="7"/>
      <c r="BN614" s="7"/>
      <c r="BO614" s="4"/>
      <c r="BP614" s="8"/>
      <c r="BQ614" s="4"/>
      <c r="BR614" s="8"/>
      <c r="BS614" s="7"/>
      <c r="BT614" s="7"/>
      <c r="BU614" s="2" t="s">
        <v>147</v>
      </c>
      <c r="BV614" s="2" t="s">
        <v>97</v>
      </c>
      <c r="BW614" s="2" t="s">
        <v>100</v>
      </c>
      <c r="BX614" s="2" t="s">
        <v>100</v>
      </c>
      <c r="BY614" s="2" t="s">
        <v>112</v>
      </c>
      <c r="BZ614" s="2" t="s">
        <v>100</v>
      </c>
    </row>
    <row r="615">
      <c r="A615" s="2" t="s">
        <v>2436</v>
      </c>
      <c r="B615" s="2" t="s">
        <v>87</v>
      </c>
      <c r="C615" s="2" t="s">
        <v>88</v>
      </c>
      <c r="D615" s="2" t="s">
        <v>2308</v>
      </c>
      <c r="E615" s="2" t="s">
        <v>2309</v>
      </c>
      <c r="F615" s="2" t="s">
        <v>2415</v>
      </c>
      <c r="G615" s="2" t="s">
        <v>2416</v>
      </c>
      <c r="H615" s="2" t="s">
        <v>2417</v>
      </c>
      <c r="I615" s="2" t="s">
        <v>2418</v>
      </c>
      <c r="J615" s="2" t="s">
        <v>844</v>
      </c>
      <c r="K615" s="2" t="s">
        <v>650</v>
      </c>
      <c r="L615" s="3">
        <v>42.3</v>
      </c>
      <c r="M615" s="3">
        <v>44.41</v>
      </c>
      <c r="N615" s="3">
        <v>89.99</v>
      </c>
      <c r="O615" s="2" t="s">
        <v>97</v>
      </c>
      <c r="P615" s="2" t="s">
        <v>182</v>
      </c>
      <c r="Q615" s="2" t="s">
        <v>99</v>
      </c>
      <c r="R615" s="2" t="s">
        <v>100</v>
      </c>
      <c r="S615" s="2" t="s">
        <v>2437</v>
      </c>
      <c r="T615" s="2" t="s">
        <v>100</v>
      </c>
      <c r="U615" s="2" t="s">
        <v>1610</v>
      </c>
      <c r="V615" s="2" t="s">
        <v>601</v>
      </c>
      <c r="W615" s="2" t="s">
        <v>808</v>
      </c>
      <c r="X615" s="2" t="s">
        <v>809</v>
      </c>
      <c r="Y615" s="2" t="s">
        <v>2408</v>
      </c>
      <c r="Z615" s="4">
        <v>350</v>
      </c>
      <c r="AA615" s="4">
        <f>=ROUNDDOWN(6.25,0)</f>
      </c>
      <c r="AB615" s="5">
        <v>56</v>
      </c>
      <c r="AC615" s="2" t="s">
        <v>126</v>
      </c>
      <c r="AD615" s="4">
        <v>30</v>
      </c>
      <c r="AE615" s="4">
        <v>1230</v>
      </c>
      <c r="AF615" s="6">
        <v>64</v>
      </c>
      <c r="AG615" s="6">
        <v>47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 t="s">
        <v>100</v>
      </c>
      <c r="BJ615" s="4">
        <v>1139</v>
      </c>
      <c r="BK615" s="8">
        <v>48505.96</v>
      </c>
      <c r="BL615" s="2" t="s">
        <v>2438</v>
      </c>
      <c r="BM615" s="7"/>
      <c r="BN615" s="7"/>
      <c r="BO615" s="4"/>
      <c r="BP615" s="8"/>
      <c r="BQ615" s="4"/>
      <c r="BR615" s="8"/>
      <c r="BS615" s="7"/>
      <c r="BT615" s="7"/>
      <c r="BU615" s="2" t="s">
        <v>147</v>
      </c>
      <c r="BV615" s="2" t="s">
        <v>97</v>
      </c>
      <c r="BW615" s="2" t="s">
        <v>100</v>
      </c>
      <c r="BX615" s="2" t="s">
        <v>100</v>
      </c>
      <c r="BY615" s="2" t="s">
        <v>112</v>
      </c>
      <c r="BZ615" s="2" t="s">
        <v>100</v>
      </c>
    </row>
    <row r="616">
      <c r="A616" s="2" t="s">
        <v>2439</v>
      </c>
      <c r="B616" s="2" t="s">
        <v>87</v>
      </c>
      <c r="C616" s="2" t="s">
        <v>88</v>
      </c>
      <c r="D616" s="2" t="s">
        <v>2308</v>
      </c>
      <c r="E616" s="2" t="s">
        <v>2309</v>
      </c>
      <c r="F616" s="2" t="s">
        <v>2415</v>
      </c>
      <c r="G616" s="2" t="s">
        <v>2416</v>
      </c>
      <c r="H616" s="2" t="s">
        <v>2417</v>
      </c>
      <c r="I616" s="2" t="s">
        <v>2418</v>
      </c>
      <c r="J616" s="2" t="s">
        <v>850</v>
      </c>
      <c r="K616" s="2" t="s">
        <v>650</v>
      </c>
      <c r="L616" s="3">
        <v>47</v>
      </c>
      <c r="M616" s="3">
        <v>49.35</v>
      </c>
      <c r="N616" s="3">
        <v>99.99</v>
      </c>
      <c r="O616" s="2" t="s">
        <v>97</v>
      </c>
      <c r="P616" s="2" t="s">
        <v>182</v>
      </c>
      <c r="Q616" s="2" t="s">
        <v>99</v>
      </c>
      <c r="R616" s="2" t="s">
        <v>100</v>
      </c>
      <c r="S616" s="2" t="s">
        <v>2437</v>
      </c>
      <c r="T616" s="2" t="s">
        <v>100</v>
      </c>
      <c r="U616" s="2" t="s">
        <v>1610</v>
      </c>
      <c r="V616" s="2" t="s">
        <v>601</v>
      </c>
      <c r="W616" s="2" t="s">
        <v>808</v>
      </c>
      <c r="X616" s="2" t="s">
        <v>809</v>
      </c>
      <c r="Y616" s="2" t="s">
        <v>2408</v>
      </c>
      <c r="Z616" s="4">
        <v>370</v>
      </c>
      <c r="AA616" s="4">
        <f>=ROUNDDOWN(9.73684210526316,0)</f>
      </c>
      <c r="AB616" s="5">
        <v>38</v>
      </c>
      <c r="AC616" s="2" t="s">
        <v>126</v>
      </c>
      <c r="AD616" s="4">
        <v>60</v>
      </c>
      <c r="AE616" s="4">
        <v>800</v>
      </c>
      <c r="AF616" s="6">
        <v>64</v>
      </c>
      <c r="AG616" s="6">
        <v>47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 t="s">
        <v>100</v>
      </c>
      <c r="BJ616" s="4">
        <v>643</v>
      </c>
      <c r="BK616" s="8">
        <v>30673.56</v>
      </c>
      <c r="BL616" s="2" t="s">
        <v>2440</v>
      </c>
      <c r="BM616" s="7"/>
      <c r="BN616" s="7"/>
      <c r="BO616" s="4"/>
      <c r="BP616" s="8"/>
      <c r="BQ616" s="4"/>
      <c r="BR616" s="8"/>
      <c r="BS616" s="7"/>
      <c r="BT616" s="7"/>
      <c r="BU616" s="2" t="s">
        <v>147</v>
      </c>
      <c r="BV616" s="2" t="s">
        <v>97</v>
      </c>
      <c r="BW616" s="2" t="s">
        <v>100</v>
      </c>
      <c r="BX616" s="2" t="s">
        <v>100</v>
      </c>
      <c r="BY616" s="2" t="s">
        <v>112</v>
      </c>
      <c r="BZ616" s="2" t="s">
        <v>100</v>
      </c>
    </row>
    <row r="617">
      <c r="A617" s="2" t="s">
        <v>2441</v>
      </c>
      <c r="B617" s="2" t="s">
        <v>87</v>
      </c>
      <c r="C617" s="2" t="s">
        <v>88</v>
      </c>
      <c r="D617" s="2" t="s">
        <v>2308</v>
      </c>
      <c r="E617" s="2" t="s">
        <v>2309</v>
      </c>
      <c r="F617" s="2" t="s">
        <v>2415</v>
      </c>
      <c r="G617" s="2" t="s">
        <v>2416</v>
      </c>
      <c r="H617" s="2" t="s">
        <v>2417</v>
      </c>
      <c r="I617" s="2" t="s">
        <v>2418</v>
      </c>
      <c r="J617" s="2" t="s">
        <v>844</v>
      </c>
      <c r="K617" s="2" t="s">
        <v>713</v>
      </c>
      <c r="L617" s="3">
        <v>42.3</v>
      </c>
      <c r="M617" s="3">
        <v>44.41</v>
      </c>
      <c r="N617" s="3">
        <v>89.99</v>
      </c>
      <c r="O617" s="2" t="s">
        <v>97</v>
      </c>
      <c r="P617" s="2" t="s">
        <v>182</v>
      </c>
      <c r="Q617" s="2" t="s">
        <v>99</v>
      </c>
      <c r="R617" s="2" t="s">
        <v>100</v>
      </c>
      <c r="S617" s="2" t="s">
        <v>2442</v>
      </c>
      <c r="T617" s="2" t="s">
        <v>100</v>
      </c>
      <c r="U617" s="2" t="s">
        <v>1610</v>
      </c>
      <c r="V617" s="2" t="s">
        <v>601</v>
      </c>
      <c r="W617" s="2" t="s">
        <v>808</v>
      </c>
      <c r="X617" s="2" t="s">
        <v>809</v>
      </c>
      <c r="Y617" s="2" t="s">
        <v>2408</v>
      </c>
      <c r="Z617" s="4">
        <v>749</v>
      </c>
      <c r="AA617" s="4">
        <f>=ROUNDDOWN(16.2826086956522,0)</f>
      </c>
      <c r="AB617" s="5">
        <v>46</v>
      </c>
      <c r="AC617" s="2" t="s">
        <v>138</v>
      </c>
      <c r="AD617" s="4">
        <v>250</v>
      </c>
      <c r="AE617" s="4">
        <v>690</v>
      </c>
      <c r="AF617" s="6">
        <v>64</v>
      </c>
      <c r="AG617" s="6">
        <v>47</v>
      </c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 t="s">
        <v>100</v>
      </c>
      <c r="AY617" s="8" t="s">
        <v>100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 t="s">
        <v>100</v>
      </c>
      <c r="BJ617" s="4">
        <v>809</v>
      </c>
      <c r="BK617" s="8">
        <v>33674.23</v>
      </c>
      <c r="BL617" s="2" t="s">
        <v>2443</v>
      </c>
      <c r="BM617" s="7"/>
      <c r="BN617" s="7"/>
      <c r="BO617" s="4"/>
      <c r="BP617" s="8"/>
      <c r="BQ617" s="4"/>
      <c r="BR617" s="8"/>
      <c r="BS617" s="7"/>
      <c r="BT617" s="7"/>
      <c r="BU617" s="2" t="s">
        <v>147</v>
      </c>
      <c r="BV617" s="2" t="s">
        <v>97</v>
      </c>
      <c r="BW617" s="2" t="s">
        <v>100</v>
      </c>
      <c r="BX617" s="2" t="s">
        <v>100</v>
      </c>
      <c r="BY617" s="2" t="s">
        <v>112</v>
      </c>
      <c r="BZ617" s="2" t="s">
        <v>100</v>
      </c>
    </row>
    <row r="618">
      <c r="A618" s="2" t="s">
        <v>2444</v>
      </c>
      <c r="B618" s="2" t="s">
        <v>87</v>
      </c>
      <c r="C618" s="2" t="s">
        <v>88</v>
      </c>
      <c r="D618" s="2" t="s">
        <v>2308</v>
      </c>
      <c r="E618" s="2" t="s">
        <v>2309</v>
      </c>
      <c r="F618" s="2" t="s">
        <v>2415</v>
      </c>
      <c r="G618" s="2" t="s">
        <v>2416</v>
      </c>
      <c r="H618" s="2" t="s">
        <v>2417</v>
      </c>
      <c r="I618" s="2" t="s">
        <v>2418</v>
      </c>
      <c r="J618" s="2" t="s">
        <v>850</v>
      </c>
      <c r="K618" s="2" t="s">
        <v>713</v>
      </c>
      <c r="L618" s="3">
        <v>47</v>
      </c>
      <c r="M618" s="3">
        <v>49.35</v>
      </c>
      <c r="N618" s="3">
        <v>99.99</v>
      </c>
      <c r="O618" s="2" t="s">
        <v>97</v>
      </c>
      <c r="P618" s="2" t="s">
        <v>182</v>
      </c>
      <c r="Q618" s="2" t="s">
        <v>99</v>
      </c>
      <c r="R618" s="2" t="s">
        <v>100</v>
      </c>
      <c r="S618" s="2" t="s">
        <v>2442</v>
      </c>
      <c r="T618" s="2" t="s">
        <v>100</v>
      </c>
      <c r="U618" s="2" t="s">
        <v>1610</v>
      </c>
      <c r="V618" s="2" t="s">
        <v>601</v>
      </c>
      <c r="W618" s="2" t="s">
        <v>808</v>
      </c>
      <c r="X618" s="2" t="s">
        <v>809</v>
      </c>
      <c r="Y618" s="2" t="s">
        <v>2408</v>
      </c>
      <c r="Z618" s="4">
        <v>933</v>
      </c>
      <c r="AA618" s="4">
        <f>=ROUNDDOWN(28.2727272727273,0)</f>
      </c>
      <c r="AB618" s="5">
        <v>33</v>
      </c>
      <c r="AC618" s="2" t="s">
        <v>138</v>
      </c>
      <c r="AD618" s="4">
        <v>120</v>
      </c>
      <c r="AE618" s="4">
        <v>250</v>
      </c>
      <c r="AF618" s="6">
        <v>64</v>
      </c>
      <c r="AG618" s="6">
        <v>47</v>
      </c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 t="s">
        <v>100</v>
      </c>
      <c r="BJ618" s="4">
        <v>691</v>
      </c>
      <c r="BK618" s="8">
        <v>32537</v>
      </c>
      <c r="BL618" s="2" t="s">
        <v>2445</v>
      </c>
      <c r="BM618" s="7"/>
      <c r="BN618" s="7"/>
      <c r="BO618" s="4"/>
      <c r="BP618" s="8"/>
      <c r="BQ618" s="4"/>
      <c r="BR618" s="8"/>
      <c r="BS618" s="7"/>
      <c r="BT618" s="7"/>
      <c r="BU618" s="2" t="s">
        <v>147</v>
      </c>
      <c r="BV618" s="2" t="s">
        <v>97</v>
      </c>
      <c r="BW618" s="2" t="s">
        <v>100</v>
      </c>
      <c r="BX618" s="2" t="s">
        <v>100</v>
      </c>
      <c r="BY618" s="2" t="s">
        <v>112</v>
      </c>
      <c r="BZ618" s="2" t="s">
        <v>100</v>
      </c>
    </row>
    <row r="619">
      <c r="A619" s="2" t="s">
        <v>2446</v>
      </c>
      <c r="B619" s="2" t="s">
        <v>87</v>
      </c>
      <c r="C619" s="2" t="s">
        <v>88</v>
      </c>
      <c r="D619" s="2" t="s">
        <v>2308</v>
      </c>
      <c r="E619" s="2" t="s">
        <v>2309</v>
      </c>
      <c r="F619" s="2" t="s">
        <v>1879</v>
      </c>
      <c r="G619" s="2" t="s">
        <v>1880</v>
      </c>
      <c r="H619" s="2" t="s">
        <v>1881</v>
      </c>
      <c r="I619" s="2" t="s">
        <v>2447</v>
      </c>
      <c r="J619" s="2" t="s">
        <v>487</v>
      </c>
      <c r="K619" s="2" t="s">
        <v>713</v>
      </c>
      <c r="L619" s="3">
        <v>26.9</v>
      </c>
      <c r="M619" s="3">
        <v>28.24</v>
      </c>
      <c r="N619" s="3">
        <v>54.99</v>
      </c>
      <c r="O619" s="2" t="s">
        <v>97</v>
      </c>
      <c r="P619" s="2" t="s">
        <v>182</v>
      </c>
      <c r="Q619" s="2" t="s">
        <v>99</v>
      </c>
      <c r="R619" s="2" t="s">
        <v>100</v>
      </c>
      <c r="S619" s="2" t="s">
        <v>2448</v>
      </c>
      <c r="T619" s="2" t="s">
        <v>100</v>
      </c>
      <c r="U619" s="2" t="s">
        <v>2104</v>
      </c>
      <c r="V619" s="2" t="s">
        <v>601</v>
      </c>
      <c r="W619" s="2" t="s">
        <v>104</v>
      </c>
      <c r="X619" s="2" t="s">
        <v>759</v>
      </c>
      <c r="Y619" s="2" t="s">
        <v>106</v>
      </c>
      <c r="Z619" s="4">
        <v>121</v>
      </c>
      <c r="AA619" s="4">
        <f>=ROUNDDOWN(6.05,0)</f>
      </c>
      <c r="AB619" s="5">
        <v>20</v>
      </c>
      <c r="AC619" s="2" t="s">
        <v>2449</v>
      </c>
      <c r="AD619" s="4">
        <v>100</v>
      </c>
      <c r="AE619" s="4">
        <v>520</v>
      </c>
      <c r="AF619" s="6">
        <v>65</v>
      </c>
      <c r="AG619" s="6">
        <v>48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>
        <v>8</v>
      </c>
      <c r="AW619" s="8">
        <v>322.64</v>
      </c>
      <c r="AX619" s="4">
        <v>5</v>
      </c>
      <c r="AY619" s="8">
        <v>208.91</v>
      </c>
      <c r="AZ619" s="7">
        <v>0.6</v>
      </c>
      <c r="BA619" s="7">
        <v>0.5444</v>
      </c>
      <c r="BB619" s="7"/>
      <c r="BC619" s="4">
        <v>10</v>
      </c>
      <c r="BD619" s="8">
        <v>400.6</v>
      </c>
      <c r="BE619" s="4">
        <v>19</v>
      </c>
      <c r="BF619" s="8">
        <v>747.79</v>
      </c>
      <c r="BG619" s="7">
        <v>-0.4737</v>
      </c>
      <c r="BH619" s="7">
        <v>-0.4643</v>
      </c>
      <c r="BI619" s="7">
        <v>0.8054</v>
      </c>
      <c r="BJ619" s="4">
        <v>212</v>
      </c>
      <c r="BK619" s="8">
        <v>6441.93</v>
      </c>
      <c r="BL619" s="2" t="s">
        <v>2450</v>
      </c>
      <c r="BM619" s="7"/>
      <c r="BN619" s="7"/>
      <c r="BO619" s="4"/>
      <c r="BP619" s="8"/>
      <c r="BQ619" s="4"/>
      <c r="BR619" s="8"/>
      <c r="BS619" s="7"/>
      <c r="BT619" s="7"/>
      <c r="BU619" s="2" t="s">
        <v>147</v>
      </c>
      <c r="BV619" s="2" t="s">
        <v>97</v>
      </c>
      <c r="BW619" s="2" t="s">
        <v>100</v>
      </c>
      <c r="BX619" s="2" t="s">
        <v>100</v>
      </c>
      <c r="BY619" s="2" t="s">
        <v>112</v>
      </c>
      <c r="BZ619" s="2" t="s">
        <v>100</v>
      </c>
    </row>
    <row r="620">
      <c r="A620" s="2" t="s">
        <v>2451</v>
      </c>
      <c r="B620" s="2" t="s">
        <v>87</v>
      </c>
      <c r="C620" s="2" t="s">
        <v>88</v>
      </c>
      <c r="D620" s="2" t="s">
        <v>2308</v>
      </c>
      <c r="E620" s="2" t="s">
        <v>2309</v>
      </c>
      <c r="F620" s="2" t="s">
        <v>1879</v>
      </c>
      <c r="G620" s="2" t="s">
        <v>1880</v>
      </c>
      <c r="H620" s="2" t="s">
        <v>1881</v>
      </c>
      <c r="I620" s="2" t="s">
        <v>2447</v>
      </c>
      <c r="J620" s="2" t="s">
        <v>844</v>
      </c>
      <c r="K620" s="2" t="s">
        <v>713</v>
      </c>
      <c r="L620" s="3">
        <v>34.55</v>
      </c>
      <c r="M620" s="3">
        <v>36.28</v>
      </c>
      <c r="N620" s="3">
        <v>69.99</v>
      </c>
      <c r="O620" s="2" t="s">
        <v>97</v>
      </c>
      <c r="P620" s="2" t="s">
        <v>182</v>
      </c>
      <c r="Q620" s="2" t="s">
        <v>99</v>
      </c>
      <c r="R620" s="2" t="s">
        <v>100</v>
      </c>
      <c r="S620" s="2" t="s">
        <v>2448</v>
      </c>
      <c r="T620" s="2" t="s">
        <v>100</v>
      </c>
      <c r="U620" s="2" t="s">
        <v>1610</v>
      </c>
      <c r="V620" s="2" t="s">
        <v>601</v>
      </c>
      <c r="W620" s="2" t="s">
        <v>104</v>
      </c>
      <c r="X620" s="2" t="s">
        <v>759</v>
      </c>
      <c r="Y620" s="2" t="s">
        <v>106</v>
      </c>
      <c r="Z620" s="4">
        <v>378</v>
      </c>
      <c r="AA620" s="4">
        <f>=ROUNDDOWN(15.75,0)</f>
      </c>
      <c r="AB620" s="5">
        <v>24</v>
      </c>
      <c r="AC620" s="2" t="s">
        <v>2449</v>
      </c>
      <c r="AD620" s="4">
        <v>30</v>
      </c>
      <c r="AE620" s="4">
        <v>420</v>
      </c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>
        <v>0</v>
      </c>
      <c r="AP620" s="4">
        <v>2</v>
      </c>
      <c r="AQ620" s="8">
        <v>72.56</v>
      </c>
      <c r="AR620" s="4">
        <v>3</v>
      </c>
      <c r="AS620" s="8">
        <v>120.93</v>
      </c>
      <c r="AT620" s="7">
        <v>-0.3333</v>
      </c>
      <c r="AU620" s="7">
        <v>-0.4</v>
      </c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>
        <v>0.2249</v>
      </c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 t="s">
        <v>100</v>
      </c>
      <c r="BJ620" s="4">
        <v>298</v>
      </c>
      <c r="BK620" s="8">
        <v>11141.92</v>
      </c>
      <c r="BL620" s="2" t="s">
        <v>2452</v>
      </c>
      <c r="BM620" s="7">
        <v>0.0067</v>
      </c>
      <c r="BN620" s="7">
        <v>0.0065</v>
      </c>
      <c r="BO620" s="4">
        <v>2</v>
      </c>
      <c r="BP620" s="8">
        <v>72.56</v>
      </c>
      <c r="BQ620" s="4">
        <v>3</v>
      </c>
      <c r="BR620" s="8">
        <v>120.93</v>
      </c>
      <c r="BS620" s="7">
        <v>-0.3333</v>
      </c>
      <c r="BT620" s="7">
        <v>-0.4</v>
      </c>
      <c r="BU620" s="2" t="s">
        <v>109</v>
      </c>
      <c r="BV620" s="2" t="s">
        <v>97</v>
      </c>
      <c r="BW620" s="2" t="s">
        <v>2453</v>
      </c>
      <c r="BX620" s="2" t="s">
        <v>1391</v>
      </c>
      <c r="BY620" s="2" t="s">
        <v>112</v>
      </c>
      <c r="BZ620" s="2" t="s">
        <v>100</v>
      </c>
    </row>
    <row r="621">
      <c r="A621" s="2" t="s">
        <v>2454</v>
      </c>
      <c r="B621" s="2" t="s">
        <v>87</v>
      </c>
      <c r="C621" s="2" t="s">
        <v>88</v>
      </c>
      <c r="D621" s="2" t="s">
        <v>2308</v>
      </c>
      <c r="E621" s="2" t="s">
        <v>2309</v>
      </c>
      <c r="F621" s="2" t="s">
        <v>1879</v>
      </c>
      <c r="G621" s="2" t="s">
        <v>1880</v>
      </c>
      <c r="H621" s="2" t="s">
        <v>1881</v>
      </c>
      <c r="I621" s="2" t="s">
        <v>2447</v>
      </c>
      <c r="J621" s="2" t="s">
        <v>850</v>
      </c>
      <c r="K621" s="2" t="s">
        <v>713</v>
      </c>
      <c r="L621" s="3">
        <v>39.69</v>
      </c>
      <c r="M621" s="3">
        <v>41.67</v>
      </c>
      <c r="N621" s="3">
        <v>79.99</v>
      </c>
      <c r="O621" s="2" t="s">
        <v>97</v>
      </c>
      <c r="P621" s="2" t="s">
        <v>182</v>
      </c>
      <c r="Q621" s="2" t="s">
        <v>99</v>
      </c>
      <c r="R621" s="2" t="s">
        <v>100</v>
      </c>
      <c r="S621" s="2" t="s">
        <v>2448</v>
      </c>
      <c r="T621" s="2" t="s">
        <v>100</v>
      </c>
      <c r="U621" s="2" t="s">
        <v>1610</v>
      </c>
      <c r="V621" s="2" t="s">
        <v>601</v>
      </c>
      <c r="W621" s="2" t="s">
        <v>104</v>
      </c>
      <c r="X621" s="2" t="s">
        <v>759</v>
      </c>
      <c r="Y621" s="2" t="s">
        <v>106</v>
      </c>
      <c r="Z621" s="4">
        <v>439</v>
      </c>
      <c r="AA621" s="4">
        <f>=ROUNDDOWN(19.0869565217391,0)</f>
      </c>
      <c r="AB621" s="5">
        <v>23</v>
      </c>
      <c r="AC621" s="2" t="s">
        <v>330</v>
      </c>
      <c r="AD621" s="4">
        <v>50</v>
      </c>
      <c r="AE621" s="4">
        <v>340</v>
      </c>
      <c r="AF621" s="6">
        <v>65</v>
      </c>
      <c r="AG621" s="6">
        <v>48</v>
      </c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>
        <v>0</v>
      </c>
      <c r="AP621" s="4">
        <v>6</v>
      </c>
      <c r="AQ621" s="8">
        <v>250.08</v>
      </c>
      <c r="AR621" s="4">
        <v>2</v>
      </c>
      <c r="AS621" s="8">
        <v>87.98</v>
      </c>
      <c r="AT621" s="7">
        <v>2</v>
      </c>
      <c r="AU621" s="7">
        <v>1.8425</v>
      </c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>
        <v>0.7751</v>
      </c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 t="s">
        <v>100</v>
      </c>
      <c r="BJ621" s="4">
        <v>323</v>
      </c>
      <c r="BK621" s="8">
        <v>13895.05</v>
      </c>
      <c r="BL621" s="2" t="s">
        <v>2455</v>
      </c>
      <c r="BM621" s="7">
        <v>0.0186</v>
      </c>
      <c r="BN621" s="7">
        <v>0.018</v>
      </c>
      <c r="BO621" s="4">
        <v>6</v>
      </c>
      <c r="BP621" s="8">
        <v>250.08</v>
      </c>
      <c r="BQ621" s="4">
        <v>2</v>
      </c>
      <c r="BR621" s="8">
        <v>87.98</v>
      </c>
      <c r="BS621" s="7">
        <v>2</v>
      </c>
      <c r="BT621" s="7">
        <v>1.8425</v>
      </c>
      <c r="BU621" s="2" t="s">
        <v>109</v>
      </c>
      <c r="BV621" s="2" t="s">
        <v>97</v>
      </c>
      <c r="BW621" s="2" t="s">
        <v>2456</v>
      </c>
      <c r="BX621" s="2" t="s">
        <v>1644</v>
      </c>
      <c r="BY621" s="2" t="s">
        <v>112</v>
      </c>
      <c r="BZ621" s="2" t="s">
        <v>100</v>
      </c>
    </row>
    <row r="622">
      <c r="A622" s="2" t="s">
        <v>2457</v>
      </c>
      <c r="B622" s="2" t="s">
        <v>87</v>
      </c>
      <c r="C622" s="2" t="s">
        <v>88</v>
      </c>
      <c r="D622" s="2" t="s">
        <v>2308</v>
      </c>
      <c r="E622" s="2" t="s">
        <v>2309</v>
      </c>
      <c r="F622" s="2" t="s">
        <v>1879</v>
      </c>
      <c r="G622" s="2" t="s">
        <v>1880</v>
      </c>
      <c r="H622" s="2" t="s">
        <v>1881</v>
      </c>
      <c r="I622" s="2" t="s">
        <v>2447</v>
      </c>
      <c r="J622" s="2" t="s">
        <v>487</v>
      </c>
      <c r="K622" s="2" t="s">
        <v>1018</v>
      </c>
      <c r="L622" s="3">
        <v>26.9</v>
      </c>
      <c r="M622" s="3">
        <v>28.24</v>
      </c>
      <c r="N622" s="3">
        <v>54.99</v>
      </c>
      <c r="O622" s="2" t="s">
        <v>97</v>
      </c>
      <c r="P622" s="2" t="s">
        <v>182</v>
      </c>
      <c r="Q622" s="2" t="s">
        <v>99</v>
      </c>
      <c r="R622" s="2" t="s">
        <v>100</v>
      </c>
      <c r="S622" s="2" t="s">
        <v>2458</v>
      </c>
      <c r="T622" s="2" t="s">
        <v>100</v>
      </c>
      <c r="U622" s="2" t="s">
        <v>2104</v>
      </c>
      <c r="V622" s="2" t="s">
        <v>601</v>
      </c>
      <c r="W622" s="2" t="s">
        <v>104</v>
      </c>
      <c r="X622" s="2" t="s">
        <v>759</v>
      </c>
      <c r="Y622" s="2" t="s">
        <v>106</v>
      </c>
      <c r="Z622" s="4">
        <v>216</v>
      </c>
      <c r="AA622" s="4">
        <f>=ROUNDDOWN(19.6363636363636,0)</f>
      </c>
      <c r="AB622" s="5">
        <v>11</v>
      </c>
      <c r="AC622" s="2" t="s">
        <v>330</v>
      </c>
      <c r="AD622" s="4">
        <v>30</v>
      </c>
      <c r="AE622" s="4">
        <v>110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>
        <v>1</v>
      </c>
      <c r="AW622" s="8">
        <v>41.68</v>
      </c>
      <c r="AX622" s="4">
        <v>9</v>
      </c>
      <c r="AY622" s="8">
        <v>358.06</v>
      </c>
      <c r="AZ622" s="7">
        <v>-0.8889</v>
      </c>
      <c r="BA622" s="7">
        <v>-0.8836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>
        <v>0.104</v>
      </c>
      <c r="BJ622" s="4">
        <v>156</v>
      </c>
      <c r="BK622" s="8">
        <v>4519.52</v>
      </c>
      <c r="BL622" s="2" t="s">
        <v>2459</v>
      </c>
      <c r="BM622" s="7"/>
      <c r="BN622" s="7"/>
      <c r="BO622" s="4"/>
      <c r="BP622" s="8"/>
      <c r="BQ622" s="4"/>
      <c r="BR622" s="8"/>
      <c r="BS622" s="7"/>
      <c r="BT622" s="7"/>
      <c r="BU622" s="2" t="s">
        <v>147</v>
      </c>
      <c r="BV622" s="2" t="s">
        <v>97</v>
      </c>
      <c r="BW622" s="2" t="s">
        <v>100</v>
      </c>
      <c r="BX622" s="2" t="s">
        <v>100</v>
      </c>
      <c r="BY622" s="2" t="s">
        <v>112</v>
      </c>
      <c r="BZ622" s="2" t="s">
        <v>100</v>
      </c>
    </row>
    <row r="623">
      <c r="A623" s="2" t="s">
        <v>2460</v>
      </c>
      <c r="B623" s="2" t="s">
        <v>87</v>
      </c>
      <c r="C623" s="2" t="s">
        <v>88</v>
      </c>
      <c r="D623" s="2" t="s">
        <v>2308</v>
      </c>
      <c r="E623" s="2" t="s">
        <v>2309</v>
      </c>
      <c r="F623" s="2" t="s">
        <v>1879</v>
      </c>
      <c r="G623" s="2" t="s">
        <v>1880</v>
      </c>
      <c r="H623" s="2" t="s">
        <v>1881</v>
      </c>
      <c r="I623" s="2" t="s">
        <v>2447</v>
      </c>
      <c r="J623" s="2" t="s">
        <v>844</v>
      </c>
      <c r="K623" s="2" t="s">
        <v>1018</v>
      </c>
      <c r="L623" s="3">
        <v>34.55</v>
      </c>
      <c r="M623" s="3">
        <v>36.28</v>
      </c>
      <c r="N623" s="3">
        <v>69.99</v>
      </c>
      <c r="O623" s="2" t="s">
        <v>97</v>
      </c>
      <c r="P623" s="2" t="s">
        <v>182</v>
      </c>
      <c r="Q623" s="2" t="s">
        <v>99</v>
      </c>
      <c r="R623" s="2" t="s">
        <v>100</v>
      </c>
      <c r="S623" s="2" t="s">
        <v>2458</v>
      </c>
      <c r="T623" s="2" t="s">
        <v>100</v>
      </c>
      <c r="U623" s="2" t="s">
        <v>1610</v>
      </c>
      <c r="V623" s="2" t="s">
        <v>601</v>
      </c>
      <c r="W623" s="2" t="s">
        <v>104</v>
      </c>
      <c r="X623" s="2" t="s">
        <v>759</v>
      </c>
      <c r="Y623" s="2" t="s">
        <v>106</v>
      </c>
      <c r="Z623" s="4">
        <v>766</v>
      </c>
      <c r="AA623" s="4">
        <f>=ROUNDDOWN(40.3157894736842,0)</f>
      </c>
      <c r="AB623" s="5">
        <v>19</v>
      </c>
      <c r="AC623" s="2" t="s">
        <v>100</v>
      </c>
      <c r="AD623" s="4"/>
      <c r="AE623" s="4"/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>
        <v>0</v>
      </c>
      <c r="AP623" s="4"/>
      <c r="AQ623" s="8"/>
      <c r="AR623" s="4">
        <v>7</v>
      </c>
      <c r="AS623" s="8">
        <v>270.08</v>
      </c>
      <c r="AT623" s="7">
        <v>-1</v>
      </c>
      <c r="AU623" s="7">
        <v>-1</v>
      </c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 t="s">
        <v>100</v>
      </c>
      <c r="BJ623" s="4">
        <v>290</v>
      </c>
      <c r="BK623" s="8">
        <v>10764.35</v>
      </c>
      <c r="BL623" s="2" t="s">
        <v>2461</v>
      </c>
      <c r="BM623" s="7"/>
      <c r="BN623" s="7"/>
      <c r="BO623" s="4"/>
      <c r="BP623" s="8"/>
      <c r="BQ623" s="4">
        <v>7</v>
      </c>
      <c r="BR623" s="8">
        <v>270.08</v>
      </c>
      <c r="BS623" s="7">
        <v>-1</v>
      </c>
      <c r="BT623" s="7">
        <v>-1</v>
      </c>
      <c r="BU623" s="2" t="s">
        <v>109</v>
      </c>
      <c r="BV623" s="2" t="s">
        <v>97</v>
      </c>
      <c r="BW623" s="2" t="s">
        <v>2462</v>
      </c>
      <c r="BX623" s="2" t="s">
        <v>2463</v>
      </c>
      <c r="BY623" s="2" t="s">
        <v>112</v>
      </c>
      <c r="BZ623" s="2" t="s">
        <v>100</v>
      </c>
    </row>
    <row r="624">
      <c r="A624" s="2" t="s">
        <v>2464</v>
      </c>
      <c r="B624" s="2" t="s">
        <v>87</v>
      </c>
      <c r="C624" s="2" t="s">
        <v>88</v>
      </c>
      <c r="D624" s="2" t="s">
        <v>2308</v>
      </c>
      <c r="E624" s="2" t="s">
        <v>2309</v>
      </c>
      <c r="F624" s="2" t="s">
        <v>1879</v>
      </c>
      <c r="G624" s="2" t="s">
        <v>1880</v>
      </c>
      <c r="H624" s="2" t="s">
        <v>1881</v>
      </c>
      <c r="I624" s="2" t="s">
        <v>2447</v>
      </c>
      <c r="J624" s="2" t="s">
        <v>850</v>
      </c>
      <c r="K624" s="2" t="s">
        <v>1018</v>
      </c>
      <c r="L624" s="3">
        <v>39.69</v>
      </c>
      <c r="M624" s="3">
        <v>41.67</v>
      </c>
      <c r="N624" s="3">
        <v>79.99</v>
      </c>
      <c r="O624" s="2" t="s">
        <v>97</v>
      </c>
      <c r="P624" s="2" t="s">
        <v>182</v>
      </c>
      <c r="Q624" s="2" t="s">
        <v>99</v>
      </c>
      <c r="R624" s="2" t="s">
        <v>100</v>
      </c>
      <c r="S624" s="2" t="s">
        <v>2458</v>
      </c>
      <c r="T624" s="2" t="s">
        <v>100</v>
      </c>
      <c r="U624" s="2" t="s">
        <v>1610</v>
      </c>
      <c r="V624" s="2" t="s">
        <v>601</v>
      </c>
      <c r="W624" s="2" t="s">
        <v>104</v>
      </c>
      <c r="X624" s="2" t="s">
        <v>759</v>
      </c>
      <c r="Y624" s="2" t="s">
        <v>106</v>
      </c>
      <c r="Z624" s="4">
        <v>568</v>
      </c>
      <c r="AA624" s="4">
        <f>=ROUNDDOWN(16.2285714285714,0)</f>
      </c>
      <c r="AB624" s="5">
        <v>35</v>
      </c>
      <c r="AC624" s="2" t="s">
        <v>659</v>
      </c>
      <c r="AD624" s="4">
        <v>120</v>
      </c>
      <c r="AE624" s="4">
        <v>610</v>
      </c>
      <c r="AF624" s="6">
        <v>65</v>
      </c>
      <c r="AG624" s="6">
        <v>48</v>
      </c>
      <c r="AH624" s="7">
        <v>0.9455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>
        <v>0</v>
      </c>
      <c r="AP624" s="4">
        <v>1</v>
      </c>
      <c r="AQ624" s="8">
        <v>41.68</v>
      </c>
      <c r="AR624" s="4">
        <v>2</v>
      </c>
      <c r="AS624" s="8">
        <v>87.98</v>
      </c>
      <c r="AT624" s="7">
        <v>-0.5</v>
      </c>
      <c r="AU624" s="7">
        <v>-0.5263</v>
      </c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>
        <v>1</v>
      </c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 t="s">
        <v>100</v>
      </c>
      <c r="BJ624" s="4">
        <v>561</v>
      </c>
      <c r="BK624" s="8">
        <v>23493.91</v>
      </c>
      <c r="BL624" s="2" t="s">
        <v>2465</v>
      </c>
      <c r="BM624" s="7">
        <v>0.0018</v>
      </c>
      <c r="BN624" s="7">
        <v>0.0018</v>
      </c>
      <c r="BO624" s="4">
        <v>1</v>
      </c>
      <c r="BP624" s="8">
        <v>41.68</v>
      </c>
      <c r="BQ624" s="4">
        <v>2</v>
      </c>
      <c r="BR624" s="8">
        <v>87.98</v>
      </c>
      <c r="BS624" s="7">
        <v>-0.5</v>
      </c>
      <c r="BT624" s="7">
        <v>-0.5263</v>
      </c>
      <c r="BU624" s="2" t="s">
        <v>109</v>
      </c>
      <c r="BV624" s="2" t="s">
        <v>97</v>
      </c>
      <c r="BW624" s="2" t="s">
        <v>132</v>
      </c>
      <c r="BX624" s="2" t="s">
        <v>2466</v>
      </c>
      <c r="BY624" s="2" t="s">
        <v>112</v>
      </c>
      <c r="BZ624" s="2" t="s">
        <v>100</v>
      </c>
    </row>
    <row r="625">
      <c r="A625" s="2" t="s">
        <v>2467</v>
      </c>
      <c r="B625" s="2" t="s">
        <v>87</v>
      </c>
      <c r="C625" s="2" t="s">
        <v>88</v>
      </c>
      <c r="D625" s="2" t="s">
        <v>2308</v>
      </c>
      <c r="E625" s="2" t="s">
        <v>2309</v>
      </c>
      <c r="F625" s="2" t="s">
        <v>1879</v>
      </c>
      <c r="G625" s="2" t="s">
        <v>1880</v>
      </c>
      <c r="H625" s="2" t="s">
        <v>1881</v>
      </c>
      <c r="I625" s="2" t="s">
        <v>2447</v>
      </c>
      <c r="J625" s="2" t="s">
        <v>487</v>
      </c>
      <c r="K625" s="2" t="s">
        <v>2367</v>
      </c>
      <c r="L625" s="3">
        <v>26.9</v>
      </c>
      <c r="M625" s="3">
        <v>28.24</v>
      </c>
      <c r="N625" s="3">
        <v>54.99</v>
      </c>
      <c r="O625" s="2" t="s">
        <v>97</v>
      </c>
      <c r="P625" s="2" t="s">
        <v>182</v>
      </c>
      <c r="Q625" s="2" t="s">
        <v>99</v>
      </c>
      <c r="R625" s="2" t="s">
        <v>100</v>
      </c>
      <c r="S625" s="2" t="s">
        <v>2468</v>
      </c>
      <c r="T625" s="2" t="s">
        <v>100</v>
      </c>
      <c r="U625" s="2" t="s">
        <v>2104</v>
      </c>
      <c r="V625" s="2" t="s">
        <v>601</v>
      </c>
      <c r="W625" s="2" t="s">
        <v>104</v>
      </c>
      <c r="X625" s="2" t="s">
        <v>759</v>
      </c>
      <c r="Y625" s="2" t="s">
        <v>106</v>
      </c>
      <c r="Z625" s="4">
        <v>113</v>
      </c>
      <c r="AA625" s="4">
        <f>=ROUNDDOWN(5.65,0)</f>
      </c>
      <c r="AB625" s="5">
        <v>20</v>
      </c>
      <c r="AC625" s="2" t="s">
        <v>659</v>
      </c>
      <c r="AD625" s="4">
        <v>140</v>
      </c>
      <c r="AE625" s="4">
        <v>540</v>
      </c>
      <c r="AF625" s="6">
        <v>65</v>
      </c>
      <c r="AG625" s="6">
        <v>48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>
        <v>0</v>
      </c>
      <c r="AP625" s="4"/>
      <c r="AQ625" s="8"/>
      <c r="AR625" s="4">
        <v>3</v>
      </c>
      <c r="AS625" s="8">
        <v>94.2</v>
      </c>
      <c r="AT625" s="7">
        <v>-1</v>
      </c>
      <c r="AU625" s="7">
        <v>-1</v>
      </c>
      <c r="AV625" s="4">
        <v>1</v>
      </c>
      <c r="AW625" s="8">
        <v>36.28</v>
      </c>
      <c r="AX625" s="4">
        <v>5</v>
      </c>
      <c r="AY625" s="8">
        <v>180.82</v>
      </c>
      <c r="AZ625" s="7">
        <v>-0.8</v>
      </c>
      <c r="BA625" s="7">
        <v>-0.7994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>
        <v>0.0906</v>
      </c>
      <c r="BJ625" s="4">
        <v>279</v>
      </c>
      <c r="BK625" s="8">
        <v>8620.52</v>
      </c>
      <c r="BL625" s="2" t="s">
        <v>2469</v>
      </c>
      <c r="BM625" s="7"/>
      <c r="BN625" s="7"/>
      <c r="BO625" s="4"/>
      <c r="BP625" s="8"/>
      <c r="BQ625" s="4">
        <v>3</v>
      </c>
      <c r="BR625" s="8">
        <v>94.2</v>
      </c>
      <c r="BS625" s="7">
        <v>-1</v>
      </c>
      <c r="BT625" s="7">
        <v>-1</v>
      </c>
      <c r="BU625" s="2" t="s">
        <v>109</v>
      </c>
      <c r="BV625" s="2" t="s">
        <v>97</v>
      </c>
      <c r="BW625" s="2" t="s">
        <v>606</v>
      </c>
      <c r="BX625" s="2" t="s">
        <v>2470</v>
      </c>
      <c r="BY625" s="2" t="s">
        <v>112</v>
      </c>
      <c r="BZ625" s="2" t="s">
        <v>100</v>
      </c>
    </row>
    <row r="626">
      <c r="A626" s="2" t="s">
        <v>2471</v>
      </c>
      <c r="B626" s="2" t="s">
        <v>87</v>
      </c>
      <c r="C626" s="2" t="s">
        <v>88</v>
      </c>
      <c r="D626" s="2" t="s">
        <v>2308</v>
      </c>
      <c r="E626" s="2" t="s">
        <v>2309</v>
      </c>
      <c r="F626" s="2" t="s">
        <v>1879</v>
      </c>
      <c r="G626" s="2" t="s">
        <v>1880</v>
      </c>
      <c r="H626" s="2" t="s">
        <v>1881</v>
      </c>
      <c r="I626" s="2" t="s">
        <v>2447</v>
      </c>
      <c r="J626" s="2" t="s">
        <v>844</v>
      </c>
      <c r="K626" s="2" t="s">
        <v>2367</v>
      </c>
      <c r="L626" s="3">
        <v>34.55</v>
      </c>
      <c r="M626" s="3">
        <v>36.28</v>
      </c>
      <c r="N626" s="3">
        <v>69.99</v>
      </c>
      <c r="O626" s="2" t="s">
        <v>97</v>
      </c>
      <c r="P626" s="2" t="s">
        <v>182</v>
      </c>
      <c r="Q626" s="2" t="s">
        <v>99</v>
      </c>
      <c r="R626" s="2" t="s">
        <v>100</v>
      </c>
      <c r="S626" s="2" t="s">
        <v>2468</v>
      </c>
      <c r="T626" s="2" t="s">
        <v>100</v>
      </c>
      <c r="U626" s="2" t="s">
        <v>1610</v>
      </c>
      <c r="V626" s="2" t="s">
        <v>601</v>
      </c>
      <c r="W626" s="2" t="s">
        <v>104</v>
      </c>
      <c r="X626" s="2" t="s">
        <v>759</v>
      </c>
      <c r="Y626" s="2" t="s">
        <v>106</v>
      </c>
      <c r="Z626" s="4">
        <v>540</v>
      </c>
      <c r="AA626" s="4">
        <f>=ROUNDDOWN(15.8823529411765,0)</f>
      </c>
      <c r="AB626" s="5">
        <v>34</v>
      </c>
      <c r="AC626" s="2" t="s">
        <v>1221</v>
      </c>
      <c r="AD626" s="4">
        <v>100</v>
      </c>
      <c r="AE626" s="4">
        <v>720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>
        <v>0</v>
      </c>
      <c r="AP626" s="4">
        <v>1</v>
      </c>
      <c r="AQ626" s="8">
        <v>36.28</v>
      </c>
      <c r="AR626" s="4">
        <v>1</v>
      </c>
      <c r="AS626" s="8">
        <v>40.32</v>
      </c>
      <c r="AT626" s="7"/>
      <c r="AU626" s="7">
        <v>-0.1002</v>
      </c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>
        <v>1</v>
      </c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 t="s">
        <v>100</v>
      </c>
      <c r="BJ626" s="4">
        <v>520</v>
      </c>
      <c r="BK626" s="8">
        <v>20103.98</v>
      </c>
      <c r="BL626" s="2" t="s">
        <v>2472</v>
      </c>
      <c r="BM626" s="7">
        <v>0.0019</v>
      </c>
      <c r="BN626" s="7">
        <v>0.0018</v>
      </c>
      <c r="BO626" s="4">
        <v>1</v>
      </c>
      <c r="BP626" s="8">
        <v>36.28</v>
      </c>
      <c r="BQ626" s="4">
        <v>1</v>
      </c>
      <c r="BR626" s="8">
        <v>40.32</v>
      </c>
      <c r="BS626" s="7"/>
      <c r="BT626" s="7">
        <v>-0.1002</v>
      </c>
      <c r="BU626" s="2" t="s">
        <v>109</v>
      </c>
      <c r="BV626" s="2" t="s">
        <v>97</v>
      </c>
      <c r="BW626" s="2" t="s">
        <v>606</v>
      </c>
      <c r="BX626" s="2" t="s">
        <v>358</v>
      </c>
      <c r="BY626" s="2" t="s">
        <v>112</v>
      </c>
      <c r="BZ626" s="2" t="s">
        <v>100</v>
      </c>
    </row>
    <row r="627">
      <c r="A627" s="2" t="s">
        <v>2473</v>
      </c>
      <c r="B627" s="2" t="s">
        <v>87</v>
      </c>
      <c r="C627" s="2" t="s">
        <v>88</v>
      </c>
      <c r="D627" s="2" t="s">
        <v>2308</v>
      </c>
      <c r="E627" s="2" t="s">
        <v>2309</v>
      </c>
      <c r="F627" s="2" t="s">
        <v>1879</v>
      </c>
      <c r="G627" s="2" t="s">
        <v>1880</v>
      </c>
      <c r="H627" s="2" t="s">
        <v>1881</v>
      </c>
      <c r="I627" s="2" t="s">
        <v>2447</v>
      </c>
      <c r="J627" s="2" t="s">
        <v>850</v>
      </c>
      <c r="K627" s="2" t="s">
        <v>2367</v>
      </c>
      <c r="L627" s="3">
        <v>39.69</v>
      </c>
      <c r="M627" s="3">
        <v>41.67</v>
      </c>
      <c r="N627" s="3">
        <v>79.99</v>
      </c>
      <c r="O627" s="2" t="s">
        <v>97</v>
      </c>
      <c r="P627" s="2" t="s">
        <v>182</v>
      </c>
      <c r="Q627" s="2" t="s">
        <v>99</v>
      </c>
      <c r="R627" s="2" t="s">
        <v>100</v>
      </c>
      <c r="S627" s="2" t="s">
        <v>2468</v>
      </c>
      <c r="T627" s="2" t="s">
        <v>100</v>
      </c>
      <c r="U627" s="2" t="s">
        <v>1610</v>
      </c>
      <c r="V627" s="2" t="s">
        <v>601</v>
      </c>
      <c r="W627" s="2" t="s">
        <v>104</v>
      </c>
      <c r="X627" s="2" t="s">
        <v>759</v>
      </c>
      <c r="Y627" s="2" t="s">
        <v>106</v>
      </c>
      <c r="Z627" s="4">
        <v>478</v>
      </c>
      <c r="AA627" s="4">
        <f>=ROUNDDOWN(10.1702127659574,0)</f>
      </c>
      <c r="AB627" s="5">
        <v>47</v>
      </c>
      <c r="AC627" s="2" t="s">
        <v>659</v>
      </c>
      <c r="AD627" s="4">
        <v>240</v>
      </c>
      <c r="AE627" s="4">
        <v>1280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>
        <v>0</v>
      </c>
      <c r="AP627" s="4"/>
      <c r="AQ627" s="8"/>
      <c r="AR627" s="4">
        <v>1</v>
      </c>
      <c r="AS627" s="8">
        <v>46.3</v>
      </c>
      <c r="AT627" s="7">
        <v>-1</v>
      </c>
      <c r="AU627" s="7">
        <v>-1</v>
      </c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 t="s">
        <v>100</v>
      </c>
      <c r="BJ627" s="4">
        <v>766</v>
      </c>
      <c r="BK627" s="8">
        <v>33484.19</v>
      </c>
      <c r="BL627" s="2" t="s">
        <v>2474</v>
      </c>
      <c r="BM627" s="7"/>
      <c r="BN627" s="7"/>
      <c r="BO627" s="4"/>
      <c r="BP627" s="8"/>
      <c r="BQ627" s="4">
        <v>1</v>
      </c>
      <c r="BR627" s="8">
        <v>46.3</v>
      </c>
      <c r="BS627" s="7">
        <v>-1</v>
      </c>
      <c r="BT627" s="7">
        <v>-1</v>
      </c>
      <c r="BU627" s="2" t="s">
        <v>109</v>
      </c>
      <c r="BV627" s="2" t="s">
        <v>97</v>
      </c>
      <c r="BW627" s="2" t="s">
        <v>606</v>
      </c>
      <c r="BX627" s="2" t="s">
        <v>2475</v>
      </c>
      <c r="BY627" s="2" t="s">
        <v>112</v>
      </c>
      <c r="BZ627" s="2" t="s">
        <v>100</v>
      </c>
    </row>
    <row r="628">
      <c r="A628" s="2" t="s">
        <v>2476</v>
      </c>
      <c r="B628" s="2" t="s">
        <v>87</v>
      </c>
      <c r="C628" s="2" t="s">
        <v>88</v>
      </c>
      <c r="D628" s="2" t="s">
        <v>2308</v>
      </c>
      <c r="E628" s="2" t="s">
        <v>2309</v>
      </c>
      <c r="F628" s="2" t="s">
        <v>1879</v>
      </c>
      <c r="G628" s="2" t="s">
        <v>1880</v>
      </c>
      <c r="H628" s="2" t="s">
        <v>1881</v>
      </c>
      <c r="I628" s="2" t="s">
        <v>2477</v>
      </c>
      <c r="J628" s="2" t="s">
        <v>844</v>
      </c>
      <c r="K628" s="2" t="s">
        <v>2478</v>
      </c>
      <c r="L628" s="3">
        <v>34.55</v>
      </c>
      <c r="M628" s="3">
        <v>36.28</v>
      </c>
      <c r="N628" s="3">
        <v>69.99</v>
      </c>
      <c r="O628" s="2" t="s">
        <v>97</v>
      </c>
      <c r="P628" s="2" t="s">
        <v>2479</v>
      </c>
      <c r="Q628" s="2" t="s">
        <v>99</v>
      </c>
      <c r="R628" s="2" t="s">
        <v>100</v>
      </c>
      <c r="S628" s="2" t="s">
        <v>2480</v>
      </c>
      <c r="T628" s="2" t="s">
        <v>100</v>
      </c>
      <c r="U628" s="2" t="s">
        <v>1610</v>
      </c>
      <c r="V628" s="2" t="s">
        <v>601</v>
      </c>
      <c r="W628" s="2" t="s">
        <v>104</v>
      </c>
      <c r="X628" s="2" t="s">
        <v>759</v>
      </c>
      <c r="Y628" s="2" t="s">
        <v>100</v>
      </c>
      <c r="Z628" s="4"/>
      <c r="AA628" s="4">
        <f>=ROUNDDOWN({0},0)</f>
      </c>
      <c r="AB628" s="5"/>
      <c r="AC628" s="2" t="s">
        <v>1221</v>
      </c>
      <c r="AD628" s="4">
        <v>120</v>
      </c>
      <c r="AE628" s="4">
        <v>360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/>
      <c r="BK628" s="8"/>
      <c r="BL628" s="2" t="s">
        <v>100</v>
      </c>
      <c r="BM628" s="7"/>
      <c r="BN628" s="7"/>
      <c r="BO628" s="4"/>
      <c r="BP628" s="8"/>
      <c r="BQ628" s="4"/>
      <c r="BR628" s="8"/>
      <c r="BS628" s="7"/>
      <c r="BT628" s="7"/>
      <c r="BU628" s="2" t="s">
        <v>1171</v>
      </c>
      <c r="BV628" s="2" t="s">
        <v>97</v>
      </c>
      <c r="BW628" s="2" t="s">
        <v>100</v>
      </c>
      <c r="BX628" s="2" t="s">
        <v>100</v>
      </c>
      <c r="BY628" s="2" t="s">
        <v>112</v>
      </c>
      <c r="BZ628" s="2" t="s">
        <v>100</v>
      </c>
    </row>
    <row r="629">
      <c r="A629" s="2" t="s">
        <v>2481</v>
      </c>
      <c r="B629" s="2" t="s">
        <v>87</v>
      </c>
      <c r="C629" s="2" t="s">
        <v>88</v>
      </c>
      <c r="D629" s="2" t="s">
        <v>2308</v>
      </c>
      <c r="E629" s="2" t="s">
        <v>2309</v>
      </c>
      <c r="F629" s="2" t="s">
        <v>1879</v>
      </c>
      <c r="G629" s="2" t="s">
        <v>1880</v>
      </c>
      <c r="H629" s="2" t="s">
        <v>1881</v>
      </c>
      <c r="I629" s="2" t="s">
        <v>2447</v>
      </c>
      <c r="J629" s="2" t="s">
        <v>487</v>
      </c>
      <c r="K629" s="2" t="s">
        <v>158</v>
      </c>
      <c r="L629" s="3">
        <v>26.9</v>
      </c>
      <c r="M629" s="3">
        <v>28.24</v>
      </c>
      <c r="N629" s="3">
        <v>54.99</v>
      </c>
      <c r="O629" s="2" t="s">
        <v>97</v>
      </c>
      <c r="P629" s="2" t="s">
        <v>182</v>
      </c>
      <c r="Q629" s="2" t="s">
        <v>99</v>
      </c>
      <c r="R629" s="2" t="s">
        <v>100</v>
      </c>
      <c r="S629" s="2" t="s">
        <v>2482</v>
      </c>
      <c r="T629" s="2" t="s">
        <v>100</v>
      </c>
      <c r="U629" s="2" t="s">
        <v>2104</v>
      </c>
      <c r="V629" s="2" t="s">
        <v>601</v>
      </c>
      <c r="W629" s="2" t="s">
        <v>104</v>
      </c>
      <c r="X629" s="2" t="s">
        <v>759</v>
      </c>
      <c r="Y629" s="2" t="s">
        <v>106</v>
      </c>
      <c r="Z629" s="4">
        <v>66</v>
      </c>
      <c r="AA629" s="4">
        <f>=ROUNDDOWN(3.66666666666667,0)</f>
      </c>
      <c r="AB629" s="5">
        <v>18</v>
      </c>
      <c r="AC629" s="2" t="s">
        <v>126</v>
      </c>
      <c r="AD629" s="4">
        <v>30</v>
      </c>
      <c r="AE629" s="4">
        <v>490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 t="s">
        <v>100</v>
      </c>
      <c r="BJ629" s="4">
        <v>236</v>
      </c>
      <c r="BK629" s="8">
        <v>7228.93</v>
      </c>
      <c r="BL629" s="2" t="s">
        <v>2483</v>
      </c>
      <c r="BM629" s="7"/>
      <c r="BN629" s="7"/>
      <c r="BO629" s="4"/>
      <c r="BP629" s="8"/>
      <c r="BQ629" s="4"/>
      <c r="BR629" s="8"/>
      <c r="BS629" s="7"/>
      <c r="BT629" s="7"/>
      <c r="BU629" s="2" t="s">
        <v>147</v>
      </c>
      <c r="BV629" s="2" t="s">
        <v>97</v>
      </c>
      <c r="BW629" s="2" t="s">
        <v>100</v>
      </c>
      <c r="BX629" s="2" t="s">
        <v>100</v>
      </c>
      <c r="BY629" s="2" t="s">
        <v>112</v>
      </c>
      <c r="BZ629" s="2" t="s">
        <v>100</v>
      </c>
    </row>
    <row r="630">
      <c r="A630" s="2" t="s">
        <v>2484</v>
      </c>
      <c r="B630" s="2" t="s">
        <v>87</v>
      </c>
      <c r="C630" s="2" t="s">
        <v>88</v>
      </c>
      <c r="D630" s="2" t="s">
        <v>2308</v>
      </c>
      <c r="E630" s="2" t="s">
        <v>2309</v>
      </c>
      <c r="F630" s="2" t="s">
        <v>1879</v>
      </c>
      <c r="G630" s="2" t="s">
        <v>1880</v>
      </c>
      <c r="H630" s="2" t="s">
        <v>1881</v>
      </c>
      <c r="I630" s="2" t="s">
        <v>2447</v>
      </c>
      <c r="J630" s="2" t="s">
        <v>844</v>
      </c>
      <c r="K630" s="2" t="s">
        <v>158</v>
      </c>
      <c r="L630" s="3">
        <v>34.55</v>
      </c>
      <c r="M630" s="3">
        <v>36.28</v>
      </c>
      <c r="N630" s="3">
        <v>69.99</v>
      </c>
      <c r="O630" s="2" t="s">
        <v>97</v>
      </c>
      <c r="P630" s="2" t="s">
        <v>182</v>
      </c>
      <c r="Q630" s="2" t="s">
        <v>99</v>
      </c>
      <c r="R630" s="2" t="s">
        <v>100</v>
      </c>
      <c r="S630" s="2" t="s">
        <v>2482</v>
      </c>
      <c r="T630" s="2" t="s">
        <v>100</v>
      </c>
      <c r="U630" s="2" t="s">
        <v>1610</v>
      </c>
      <c r="V630" s="2" t="s">
        <v>601</v>
      </c>
      <c r="W630" s="2" t="s">
        <v>104</v>
      </c>
      <c r="X630" s="2" t="s">
        <v>759</v>
      </c>
      <c r="Y630" s="2" t="s">
        <v>106</v>
      </c>
      <c r="Z630" s="4">
        <v>376</v>
      </c>
      <c r="AA630" s="4">
        <f>=ROUNDDOWN(14.4615384615385,0)</f>
      </c>
      <c r="AB630" s="5">
        <v>26</v>
      </c>
      <c r="AC630" s="2" t="s">
        <v>2449</v>
      </c>
      <c r="AD630" s="4">
        <v>30</v>
      </c>
      <c r="AE630" s="4">
        <v>520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 t="s">
        <v>100</v>
      </c>
      <c r="BJ630" s="4">
        <v>398</v>
      </c>
      <c r="BK630" s="8">
        <v>14719.13</v>
      </c>
      <c r="BL630" s="2" t="s">
        <v>2485</v>
      </c>
      <c r="BM630" s="7"/>
      <c r="BN630" s="7"/>
      <c r="BO630" s="4"/>
      <c r="BP630" s="8"/>
      <c r="BQ630" s="4"/>
      <c r="BR630" s="8"/>
      <c r="BS630" s="7"/>
      <c r="BT630" s="7"/>
      <c r="BU630" s="2" t="s">
        <v>147</v>
      </c>
      <c r="BV630" s="2" t="s">
        <v>97</v>
      </c>
      <c r="BW630" s="2" t="s">
        <v>100</v>
      </c>
      <c r="BX630" s="2" t="s">
        <v>100</v>
      </c>
      <c r="BY630" s="2" t="s">
        <v>112</v>
      </c>
      <c r="BZ630" s="2" t="s">
        <v>100</v>
      </c>
    </row>
    <row r="631">
      <c r="A631" s="2" t="s">
        <v>2486</v>
      </c>
      <c r="B631" s="2" t="s">
        <v>87</v>
      </c>
      <c r="C631" s="2" t="s">
        <v>88</v>
      </c>
      <c r="D631" s="2" t="s">
        <v>2308</v>
      </c>
      <c r="E631" s="2" t="s">
        <v>2309</v>
      </c>
      <c r="F631" s="2" t="s">
        <v>1879</v>
      </c>
      <c r="G631" s="2" t="s">
        <v>1880</v>
      </c>
      <c r="H631" s="2" t="s">
        <v>1881</v>
      </c>
      <c r="I631" s="2" t="s">
        <v>2447</v>
      </c>
      <c r="J631" s="2" t="s">
        <v>850</v>
      </c>
      <c r="K631" s="2" t="s">
        <v>158</v>
      </c>
      <c r="L631" s="3">
        <v>39.69</v>
      </c>
      <c r="M631" s="3">
        <v>41.67</v>
      </c>
      <c r="N631" s="3">
        <v>79.99</v>
      </c>
      <c r="O631" s="2" t="s">
        <v>97</v>
      </c>
      <c r="P631" s="2" t="s">
        <v>182</v>
      </c>
      <c r="Q631" s="2" t="s">
        <v>99</v>
      </c>
      <c r="R631" s="2" t="s">
        <v>100</v>
      </c>
      <c r="S631" s="2" t="s">
        <v>2482</v>
      </c>
      <c r="T631" s="2" t="s">
        <v>100</v>
      </c>
      <c r="U631" s="2" t="s">
        <v>1610</v>
      </c>
      <c r="V631" s="2" t="s">
        <v>601</v>
      </c>
      <c r="W631" s="2" t="s">
        <v>104</v>
      </c>
      <c r="X631" s="2" t="s">
        <v>759</v>
      </c>
      <c r="Y631" s="2" t="s">
        <v>106</v>
      </c>
      <c r="Z631" s="4">
        <v>349</v>
      </c>
      <c r="AA631" s="4">
        <f>=ROUNDDOWN(9.69444444444444,0)</f>
      </c>
      <c r="AB631" s="5">
        <v>36</v>
      </c>
      <c r="AC631" s="2" t="s">
        <v>126</v>
      </c>
      <c r="AD631" s="4">
        <v>40</v>
      </c>
      <c r="AE631" s="4">
        <v>790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 t="s">
        <v>100</v>
      </c>
      <c r="BJ631" s="4">
        <v>560</v>
      </c>
      <c r="BK631" s="8">
        <v>23773.55</v>
      </c>
      <c r="BL631" s="2" t="s">
        <v>2487</v>
      </c>
      <c r="BM631" s="7"/>
      <c r="BN631" s="7"/>
      <c r="BO631" s="4"/>
      <c r="BP631" s="8"/>
      <c r="BQ631" s="4"/>
      <c r="BR631" s="8"/>
      <c r="BS631" s="7"/>
      <c r="BT631" s="7"/>
      <c r="BU631" s="2" t="s">
        <v>147</v>
      </c>
      <c r="BV631" s="2" t="s">
        <v>97</v>
      </c>
      <c r="BW631" s="2" t="s">
        <v>100</v>
      </c>
      <c r="BX631" s="2" t="s">
        <v>100</v>
      </c>
      <c r="BY631" s="2" t="s">
        <v>112</v>
      </c>
      <c r="BZ631" s="2" t="s">
        <v>100</v>
      </c>
    </row>
    <row r="632">
      <c r="A632" s="2" t="s">
        <v>2488</v>
      </c>
      <c r="B632" s="2" t="s">
        <v>87</v>
      </c>
      <c r="C632" s="2" t="s">
        <v>88</v>
      </c>
      <c r="D632" s="2" t="s">
        <v>2308</v>
      </c>
      <c r="E632" s="2" t="s">
        <v>2309</v>
      </c>
      <c r="F632" s="2" t="s">
        <v>1879</v>
      </c>
      <c r="G632" s="2" t="s">
        <v>1880</v>
      </c>
      <c r="H632" s="2" t="s">
        <v>1881</v>
      </c>
      <c r="I632" s="2" t="s">
        <v>2447</v>
      </c>
      <c r="J632" s="2" t="s">
        <v>487</v>
      </c>
      <c r="K632" s="2" t="s">
        <v>333</v>
      </c>
      <c r="L632" s="3">
        <v>26.9</v>
      </c>
      <c r="M632" s="3">
        <v>28.24</v>
      </c>
      <c r="N632" s="3">
        <v>54.99</v>
      </c>
      <c r="O632" s="2" t="s">
        <v>97</v>
      </c>
      <c r="P632" s="2" t="s">
        <v>182</v>
      </c>
      <c r="Q632" s="2" t="s">
        <v>99</v>
      </c>
      <c r="R632" s="2" t="s">
        <v>100</v>
      </c>
      <c r="S632" s="2" t="s">
        <v>2489</v>
      </c>
      <c r="T632" s="2" t="s">
        <v>100</v>
      </c>
      <c r="U632" s="2" t="s">
        <v>2104</v>
      </c>
      <c r="V632" s="2" t="s">
        <v>601</v>
      </c>
      <c r="W632" s="2" t="s">
        <v>104</v>
      </c>
      <c r="X632" s="2" t="s">
        <v>759</v>
      </c>
      <c r="Y632" s="2" t="s">
        <v>106</v>
      </c>
      <c r="Z632" s="4">
        <v>114</v>
      </c>
      <c r="AA632" s="4">
        <f>=ROUNDDOWN(16.2857142857143,0)</f>
      </c>
      <c r="AB632" s="5">
        <v>7</v>
      </c>
      <c r="AC632" s="2" t="s">
        <v>589</v>
      </c>
      <c r="AD632" s="4">
        <v>40</v>
      </c>
      <c r="AE632" s="4">
        <v>170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 t="s">
        <v>100</v>
      </c>
      <c r="BJ632" s="4">
        <v>127</v>
      </c>
      <c r="BK632" s="8">
        <v>3735.17</v>
      </c>
      <c r="BL632" s="2" t="s">
        <v>2490</v>
      </c>
      <c r="BM632" s="7"/>
      <c r="BN632" s="7"/>
      <c r="BO632" s="4"/>
      <c r="BP632" s="8"/>
      <c r="BQ632" s="4"/>
      <c r="BR632" s="8"/>
      <c r="BS632" s="7"/>
      <c r="BT632" s="7"/>
      <c r="BU632" s="2" t="s">
        <v>147</v>
      </c>
      <c r="BV632" s="2" t="s">
        <v>97</v>
      </c>
      <c r="BW632" s="2" t="s">
        <v>100</v>
      </c>
      <c r="BX632" s="2" t="s">
        <v>100</v>
      </c>
      <c r="BY632" s="2" t="s">
        <v>112</v>
      </c>
      <c r="BZ632" s="2" t="s">
        <v>100</v>
      </c>
    </row>
    <row r="633">
      <c r="A633" s="2" t="s">
        <v>2491</v>
      </c>
      <c r="B633" s="2" t="s">
        <v>87</v>
      </c>
      <c r="C633" s="2" t="s">
        <v>88</v>
      </c>
      <c r="D633" s="2" t="s">
        <v>2308</v>
      </c>
      <c r="E633" s="2" t="s">
        <v>2309</v>
      </c>
      <c r="F633" s="2" t="s">
        <v>1879</v>
      </c>
      <c r="G633" s="2" t="s">
        <v>1880</v>
      </c>
      <c r="H633" s="2" t="s">
        <v>1881</v>
      </c>
      <c r="I633" s="2" t="s">
        <v>2447</v>
      </c>
      <c r="J633" s="2" t="s">
        <v>844</v>
      </c>
      <c r="K633" s="2" t="s">
        <v>333</v>
      </c>
      <c r="L633" s="3">
        <v>34.55</v>
      </c>
      <c r="M633" s="3">
        <v>36.28</v>
      </c>
      <c r="N633" s="3">
        <v>69.99</v>
      </c>
      <c r="O633" s="2" t="s">
        <v>97</v>
      </c>
      <c r="P633" s="2" t="s">
        <v>182</v>
      </c>
      <c r="Q633" s="2" t="s">
        <v>99</v>
      </c>
      <c r="R633" s="2" t="s">
        <v>100</v>
      </c>
      <c r="S633" s="2" t="s">
        <v>2489</v>
      </c>
      <c r="T633" s="2" t="s">
        <v>100</v>
      </c>
      <c r="U633" s="2" t="s">
        <v>1610</v>
      </c>
      <c r="V633" s="2" t="s">
        <v>601</v>
      </c>
      <c r="W633" s="2" t="s">
        <v>104</v>
      </c>
      <c r="X633" s="2" t="s">
        <v>759</v>
      </c>
      <c r="Y633" s="2" t="s">
        <v>106</v>
      </c>
      <c r="Z633" s="4">
        <v>394</v>
      </c>
      <c r="AA633" s="4">
        <f>=ROUNDDOWN(23.1764705882353,0)</f>
      </c>
      <c r="AB633" s="5">
        <v>17</v>
      </c>
      <c r="AC633" s="2" t="s">
        <v>126</v>
      </c>
      <c r="AD633" s="4">
        <v>30</v>
      </c>
      <c r="AE633" s="4">
        <v>160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 t="s">
        <v>100</v>
      </c>
      <c r="BJ633" s="4">
        <v>291</v>
      </c>
      <c r="BK633" s="8">
        <v>10843.64</v>
      </c>
      <c r="BL633" s="2" t="s">
        <v>2492</v>
      </c>
      <c r="BM633" s="7"/>
      <c r="BN633" s="7"/>
      <c r="BO633" s="4"/>
      <c r="BP633" s="8"/>
      <c r="BQ633" s="4"/>
      <c r="BR633" s="8"/>
      <c r="BS633" s="7"/>
      <c r="BT633" s="7"/>
      <c r="BU633" s="2" t="s">
        <v>147</v>
      </c>
      <c r="BV633" s="2" t="s">
        <v>97</v>
      </c>
      <c r="BW633" s="2" t="s">
        <v>100</v>
      </c>
      <c r="BX633" s="2" t="s">
        <v>100</v>
      </c>
      <c r="BY633" s="2" t="s">
        <v>112</v>
      </c>
      <c r="BZ633" s="2" t="s">
        <v>100</v>
      </c>
    </row>
    <row r="634">
      <c r="A634" s="2" t="s">
        <v>2493</v>
      </c>
      <c r="B634" s="2" t="s">
        <v>87</v>
      </c>
      <c r="C634" s="2" t="s">
        <v>88</v>
      </c>
      <c r="D634" s="2" t="s">
        <v>2308</v>
      </c>
      <c r="E634" s="2" t="s">
        <v>2309</v>
      </c>
      <c r="F634" s="2" t="s">
        <v>1879</v>
      </c>
      <c r="G634" s="2" t="s">
        <v>1880</v>
      </c>
      <c r="H634" s="2" t="s">
        <v>1881</v>
      </c>
      <c r="I634" s="2" t="s">
        <v>2447</v>
      </c>
      <c r="J634" s="2" t="s">
        <v>850</v>
      </c>
      <c r="K634" s="2" t="s">
        <v>333</v>
      </c>
      <c r="L634" s="3">
        <v>39.69</v>
      </c>
      <c r="M634" s="3">
        <v>41.67</v>
      </c>
      <c r="N634" s="3">
        <v>79.99</v>
      </c>
      <c r="O634" s="2" t="s">
        <v>97</v>
      </c>
      <c r="P634" s="2" t="s">
        <v>182</v>
      </c>
      <c r="Q634" s="2" t="s">
        <v>99</v>
      </c>
      <c r="R634" s="2" t="s">
        <v>100</v>
      </c>
      <c r="S634" s="2" t="s">
        <v>2489</v>
      </c>
      <c r="T634" s="2" t="s">
        <v>100</v>
      </c>
      <c r="U634" s="2" t="s">
        <v>1610</v>
      </c>
      <c r="V634" s="2" t="s">
        <v>601</v>
      </c>
      <c r="W634" s="2" t="s">
        <v>104</v>
      </c>
      <c r="X634" s="2" t="s">
        <v>759</v>
      </c>
      <c r="Y634" s="2" t="s">
        <v>106</v>
      </c>
      <c r="Z634" s="4">
        <v>271</v>
      </c>
      <c r="AA634" s="4">
        <f>=ROUNDDOWN(12.9047619047619,0)</f>
      </c>
      <c r="AB634" s="5">
        <v>21</v>
      </c>
      <c r="AC634" s="2" t="s">
        <v>126</v>
      </c>
      <c r="AD634" s="4">
        <v>40</v>
      </c>
      <c r="AE634" s="4">
        <v>440</v>
      </c>
      <c r="AF634" s="6">
        <v>65</v>
      </c>
      <c r="AG634" s="6">
        <v>48</v>
      </c>
      <c r="AH634" s="7">
        <v>0.9758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 t="s">
        <v>100</v>
      </c>
      <c r="BJ634" s="4">
        <v>379</v>
      </c>
      <c r="BK634" s="8">
        <v>16178.02</v>
      </c>
      <c r="BL634" s="2" t="s">
        <v>2494</v>
      </c>
      <c r="BM634" s="7"/>
      <c r="BN634" s="7"/>
      <c r="BO634" s="4"/>
      <c r="BP634" s="8"/>
      <c r="BQ634" s="4"/>
      <c r="BR634" s="8"/>
      <c r="BS634" s="7"/>
      <c r="BT634" s="7"/>
      <c r="BU634" s="2" t="s">
        <v>147</v>
      </c>
      <c r="BV634" s="2" t="s">
        <v>97</v>
      </c>
      <c r="BW634" s="2" t="s">
        <v>100</v>
      </c>
      <c r="BX634" s="2" t="s">
        <v>100</v>
      </c>
      <c r="BY634" s="2" t="s">
        <v>112</v>
      </c>
      <c r="BZ634" s="2" t="s">
        <v>100</v>
      </c>
    </row>
    <row r="635">
      <c r="A635" s="2" t="s">
        <v>2495</v>
      </c>
      <c r="B635" s="2" t="s">
        <v>87</v>
      </c>
      <c r="C635" s="2" t="s">
        <v>88</v>
      </c>
      <c r="D635" s="2" t="s">
        <v>2308</v>
      </c>
      <c r="E635" s="2" t="s">
        <v>2309</v>
      </c>
      <c r="F635" s="2" t="s">
        <v>1879</v>
      </c>
      <c r="G635" s="2" t="s">
        <v>1880</v>
      </c>
      <c r="H635" s="2" t="s">
        <v>1881</v>
      </c>
      <c r="I635" s="2" t="s">
        <v>2447</v>
      </c>
      <c r="J635" s="2" t="s">
        <v>844</v>
      </c>
      <c r="K635" s="2" t="s">
        <v>2496</v>
      </c>
      <c r="L635" s="3">
        <v>34.55</v>
      </c>
      <c r="M635" s="3">
        <v>36.28</v>
      </c>
      <c r="N635" s="3">
        <v>69.99</v>
      </c>
      <c r="O635" s="2" t="s">
        <v>97</v>
      </c>
      <c r="P635" s="2" t="s">
        <v>182</v>
      </c>
      <c r="Q635" s="2" t="s">
        <v>99</v>
      </c>
      <c r="R635" s="2" t="s">
        <v>100</v>
      </c>
      <c r="S635" s="2" t="s">
        <v>2497</v>
      </c>
      <c r="T635" s="2" t="s">
        <v>100</v>
      </c>
      <c r="U635" s="2" t="s">
        <v>1610</v>
      </c>
      <c r="V635" s="2" t="s">
        <v>601</v>
      </c>
      <c r="W635" s="2" t="s">
        <v>104</v>
      </c>
      <c r="X635" s="2" t="s">
        <v>759</v>
      </c>
      <c r="Y635" s="2" t="s">
        <v>2498</v>
      </c>
      <c r="Z635" s="4">
        <v>351</v>
      </c>
      <c r="AA635" s="4">
        <f>=ROUNDDOWN(29.25,0)</f>
      </c>
      <c r="AB635" s="5">
        <v>12</v>
      </c>
      <c r="AC635" s="2" t="s">
        <v>330</v>
      </c>
      <c r="AD635" s="4">
        <v>30</v>
      </c>
      <c r="AE635" s="4">
        <v>90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 t="s">
        <v>100</v>
      </c>
      <c r="BJ635" s="4">
        <v>168</v>
      </c>
      <c r="BK635" s="8">
        <v>6465.9</v>
      </c>
      <c r="BL635" s="2" t="s">
        <v>2499</v>
      </c>
      <c r="BM635" s="7"/>
      <c r="BN635" s="7"/>
      <c r="BO635" s="4"/>
      <c r="BP635" s="8"/>
      <c r="BQ635" s="4"/>
      <c r="BR635" s="8"/>
      <c r="BS635" s="7"/>
      <c r="BT635" s="7"/>
      <c r="BU635" s="2" t="s">
        <v>147</v>
      </c>
      <c r="BV635" s="2" t="s">
        <v>97</v>
      </c>
      <c r="BW635" s="2" t="s">
        <v>100</v>
      </c>
      <c r="BX635" s="2" t="s">
        <v>100</v>
      </c>
      <c r="BY635" s="2" t="s">
        <v>112</v>
      </c>
      <c r="BZ635" s="2" t="s">
        <v>100</v>
      </c>
    </row>
    <row r="636">
      <c r="A636" s="2" t="s">
        <v>2500</v>
      </c>
      <c r="B636" s="2" t="s">
        <v>87</v>
      </c>
      <c r="C636" s="2" t="s">
        <v>88</v>
      </c>
      <c r="D636" s="2" t="s">
        <v>2308</v>
      </c>
      <c r="E636" s="2" t="s">
        <v>2309</v>
      </c>
      <c r="F636" s="2" t="s">
        <v>1879</v>
      </c>
      <c r="G636" s="2" t="s">
        <v>1880</v>
      </c>
      <c r="H636" s="2" t="s">
        <v>1881</v>
      </c>
      <c r="I636" s="2" t="s">
        <v>2447</v>
      </c>
      <c r="J636" s="2" t="s">
        <v>850</v>
      </c>
      <c r="K636" s="2" t="s">
        <v>2496</v>
      </c>
      <c r="L636" s="3">
        <v>39.69</v>
      </c>
      <c r="M636" s="3">
        <v>41.67</v>
      </c>
      <c r="N636" s="3">
        <v>79.99</v>
      </c>
      <c r="O636" s="2" t="s">
        <v>97</v>
      </c>
      <c r="P636" s="2" t="s">
        <v>182</v>
      </c>
      <c r="Q636" s="2" t="s">
        <v>99</v>
      </c>
      <c r="R636" s="2" t="s">
        <v>100</v>
      </c>
      <c r="S636" s="2" t="s">
        <v>2497</v>
      </c>
      <c r="T636" s="2" t="s">
        <v>100</v>
      </c>
      <c r="U636" s="2" t="s">
        <v>1610</v>
      </c>
      <c r="V636" s="2" t="s">
        <v>601</v>
      </c>
      <c r="W636" s="2" t="s">
        <v>104</v>
      </c>
      <c r="X636" s="2" t="s">
        <v>759</v>
      </c>
      <c r="Y636" s="2" t="s">
        <v>2498</v>
      </c>
      <c r="Z636" s="4">
        <v>416</v>
      </c>
      <c r="AA636" s="4">
        <f>=ROUNDDOWN(23.1111111111111,0)</f>
      </c>
      <c r="AB636" s="5">
        <v>18</v>
      </c>
      <c r="AC636" s="2" t="s">
        <v>330</v>
      </c>
      <c r="AD636" s="4">
        <v>20</v>
      </c>
      <c r="AE636" s="4">
        <v>220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 t="s">
        <v>100</v>
      </c>
      <c r="BJ636" s="4">
        <v>289</v>
      </c>
      <c r="BK636" s="8">
        <v>12806.19</v>
      </c>
      <c r="BL636" s="2" t="s">
        <v>2499</v>
      </c>
      <c r="BM636" s="7"/>
      <c r="BN636" s="7"/>
      <c r="BO636" s="4"/>
      <c r="BP636" s="8"/>
      <c r="BQ636" s="4"/>
      <c r="BR636" s="8"/>
      <c r="BS636" s="7"/>
      <c r="BT636" s="7"/>
      <c r="BU636" s="2" t="s">
        <v>147</v>
      </c>
      <c r="BV636" s="2" t="s">
        <v>97</v>
      </c>
      <c r="BW636" s="2" t="s">
        <v>100</v>
      </c>
      <c r="BX636" s="2" t="s">
        <v>100</v>
      </c>
      <c r="BY636" s="2" t="s">
        <v>112</v>
      </c>
      <c r="BZ636" s="2" t="s">
        <v>100</v>
      </c>
    </row>
    <row r="637">
      <c r="A637" s="2" t="s">
        <v>2501</v>
      </c>
      <c r="B637" s="2" t="s">
        <v>87</v>
      </c>
      <c r="C637" s="2" t="s">
        <v>88</v>
      </c>
      <c r="D637" s="2" t="s">
        <v>2308</v>
      </c>
      <c r="E637" s="2" t="s">
        <v>2309</v>
      </c>
      <c r="F637" s="2" t="s">
        <v>1879</v>
      </c>
      <c r="G637" s="2" t="s">
        <v>1880</v>
      </c>
      <c r="H637" s="2" t="s">
        <v>1881</v>
      </c>
      <c r="I637" s="2" t="s">
        <v>2447</v>
      </c>
      <c r="J637" s="2" t="s">
        <v>487</v>
      </c>
      <c r="K637" s="2" t="s">
        <v>197</v>
      </c>
      <c r="L637" s="3">
        <v>26.9</v>
      </c>
      <c r="M637" s="3">
        <v>28.24</v>
      </c>
      <c r="N637" s="3">
        <v>54.99</v>
      </c>
      <c r="O637" s="2" t="s">
        <v>97</v>
      </c>
      <c r="P637" s="2" t="s">
        <v>182</v>
      </c>
      <c r="Q637" s="2" t="s">
        <v>99</v>
      </c>
      <c r="R637" s="2" t="s">
        <v>100</v>
      </c>
      <c r="S637" s="2" t="s">
        <v>2502</v>
      </c>
      <c r="T637" s="2" t="s">
        <v>100</v>
      </c>
      <c r="U637" s="2" t="s">
        <v>2104</v>
      </c>
      <c r="V637" s="2" t="s">
        <v>601</v>
      </c>
      <c r="W637" s="2" t="s">
        <v>104</v>
      </c>
      <c r="X637" s="2" t="s">
        <v>759</v>
      </c>
      <c r="Y637" s="2" t="s">
        <v>2503</v>
      </c>
      <c r="Z637" s="4">
        <v>156</v>
      </c>
      <c r="AA637" s="4">
        <f>=ROUNDDOWN(14.1818181818182,0)</f>
      </c>
      <c r="AB637" s="5">
        <v>11</v>
      </c>
      <c r="AC637" s="2" t="s">
        <v>659</v>
      </c>
      <c r="AD637" s="4">
        <v>40</v>
      </c>
      <c r="AE637" s="4">
        <v>220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 t="s">
        <v>100</v>
      </c>
      <c r="BJ637" s="4">
        <v>175</v>
      </c>
      <c r="BK637" s="8">
        <v>5368.89</v>
      </c>
      <c r="BL637" s="2" t="s">
        <v>2504</v>
      </c>
      <c r="BM637" s="7"/>
      <c r="BN637" s="7"/>
      <c r="BO637" s="4"/>
      <c r="BP637" s="8"/>
      <c r="BQ637" s="4"/>
      <c r="BR637" s="8"/>
      <c r="BS637" s="7"/>
      <c r="BT637" s="7"/>
      <c r="BU637" s="2" t="s">
        <v>147</v>
      </c>
      <c r="BV637" s="2" t="s">
        <v>97</v>
      </c>
      <c r="BW637" s="2" t="s">
        <v>100</v>
      </c>
      <c r="BX637" s="2" t="s">
        <v>100</v>
      </c>
      <c r="BY637" s="2" t="s">
        <v>112</v>
      </c>
      <c r="BZ637" s="2" t="s">
        <v>100</v>
      </c>
    </row>
    <row r="638">
      <c r="A638" s="2" t="s">
        <v>2505</v>
      </c>
      <c r="B638" s="2" t="s">
        <v>87</v>
      </c>
      <c r="C638" s="2" t="s">
        <v>88</v>
      </c>
      <c r="D638" s="2" t="s">
        <v>2308</v>
      </c>
      <c r="E638" s="2" t="s">
        <v>2309</v>
      </c>
      <c r="F638" s="2" t="s">
        <v>1879</v>
      </c>
      <c r="G638" s="2" t="s">
        <v>1880</v>
      </c>
      <c r="H638" s="2" t="s">
        <v>1881</v>
      </c>
      <c r="I638" s="2" t="s">
        <v>2447</v>
      </c>
      <c r="J638" s="2" t="s">
        <v>844</v>
      </c>
      <c r="K638" s="2" t="s">
        <v>197</v>
      </c>
      <c r="L638" s="3">
        <v>34.55</v>
      </c>
      <c r="M638" s="3">
        <v>36.28</v>
      </c>
      <c r="N638" s="3">
        <v>69.99</v>
      </c>
      <c r="O638" s="2" t="s">
        <v>97</v>
      </c>
      <c r="P638" s="2" t="s">
        <v>182</v>
      </c>
      <c r="Q638" s="2" t="s">
        <v>99</v>
      </c>
      <c r="R638" s="2" t="s">
        <v>100</v>
      </c>
      <c r="S638" s="2" t="s">
        <v>2502</v>
      </c>
      <c r="T638" s="2" t="s">
        <v>100</v>
      </c>
      <c r="U638" s="2" t="s">
        <v>1610</v>
      </c>
      <c r="V638" s="2" t="s">
        <v>601</v>
      </c>
      <c r="W638" s="2" t="s">
        <v>104</v>
      </c>
      <c r="X638" s="2" t="s">
        <v>759</v>
      </c>
      <c r="Y638" s="2" t="s">
        <v>106</v>
      </c>
      <c r="Z638" s="4">
        <v>478</v>
      </c>
      <c r="AA638" s="4">
        <f>=ROUNDDOWN(39.8333333333333,0)</f>
      </c>
      <c r="AB638" s="5">
        <v>12</v>
      </c>
      <c r="AC638" s="2" t="s">
        <v>2449</v>
      </c>
      <c r="AD638" s="4">
        <v>30</v>
      </c>
      <c r="AE638" s="4">
        <v>30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 t="s">
        <v>100</v>
      </c>
      <c r="BJ638" s="4">
        <v>221</v>
      </c>
      <c r="BK638" s="8">
        <v>8411.72</v>
      </c>
      <c r="BL638" s="2" t="s">
        <v>2506</v>
      </c>
      <c r="BM638" s="7"/>
      <c r="BN638" s="7"/>
      <c r="BO638" s="4"/>
      <c r="BP638" s="8"/>
      <c r="BQ638" s="4"/>
      <c r="BR638" s="8"/>
      <c r="BS638" s="7"/>
      <c r="BT638" s="7"/>
      <c r="BU638" s="2" t="s">
        <v>147</v>
      </c>
      <c r="BV638" s="2" t="s">
        <v>97</v>
      </c>
      <c r="BW638" s="2" t="s">
        <v>100</v>
      </c>
      <c r="BX638" s="2" t="s">
        <v>100</v>
      </c>
      <c r="BY638" s="2" t="s">
        <v>112</v>
      </c>
      <c r="BZ638" s="2" t="s">
        <v>100</v>
      </c>
    </row>
    <row r="639">
      <c r="A639" s="2" t="s">
        <v>2507</v>
      </c>
      <c r="B639" s="2" t="s">
        <v>87</v>
      </c>
      <c r="C639" s="2" t="s">
        <v>88</v>
      </c>
      <c r="D639" s="2" t="s">
        <v>2308</v>
      </c>
      <c r="E639" s="2" t="s">
        <v>2309</v>
      </c>
      <c r="F639" s="2" t="s">
        <v>1879</v>
      </c>
      <c r="G639" s="2" t="s">
        <v>1880</v>
      </c>
      <c r="H639" s="2" t="s">
        <v>1881</v>
      </c>
      <c r="I639" s="2" t="s">
        <v>2447</v>
      </c>
      <c r="J639" s="2" t="s">
        <v>850</v>
      </c>
      <c r="K639" s="2" t="s">
        <v>197</v>
      </c>
      <c r="L639" s="3">
        <v>39.69</v>
      </c>
      <c r="M639" s="3">
        <v>41.67</v>
      </c>
      <c r="N639" s="3">
        <v>79.99</v>
      </c>
      <c r="O639" s="2" t="s">
        <v>97</v>
      </c>
      <c r="P639" s="2" t="s">
        <v>182</v>
      </c>
      <c r="Q639" s="2" t="s">
        <v>99</v>
      </c>
      <c r="R639" s="2" t="s">
        <v>100</v>
      </c>
      <c r="S639" s="2" t="s">
        <v>2502</v>
      </c>
      <c r="T639" s="2" t="s">
        <v>100</v>
      </c>
      <c r="U639" s="2" t="s">
        <v>1610</v>
      </c>
      <c r="V639" s="2" t="s">
        <v>601</v>
      </c>
      <c r="W639" s="2" t="s">
        <v>104</v>
      </c>
      <c r="X639" s="2" t="s">
        <v>759</v>
      </c>
      <c r="Y639" s="2" t="s">
        <v>106</v>
      </c>
      <c r="Z639" s="4">
        <v>371</v>
      </c>
      <c r="AA639" s="4">
        <f>=ROUNDDOWN(17.6666666666667,0)</f>
      </c>
      <c r="AB639" s="5">
        <v>21</v>
      </c>
      <c r="AC639" s="2" t="s">
        <v>2449</v>
      </c>
      <c r="AD639" s="4">
        <v>30</v>
      </c>
      <c r="AE639" s="4">
        <v>340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 t="s">
        <v>100</v>
      </c>
      <c r="BJ639" s="4">
        <v>295</v>
      </c>
      <c r="BK639" s="8">
        <v>12829.97</v>
      </c>
      <c r="BL639" s="2" t="s">
        <v>2508</v>
      </c>
      <c r="BM639" s="7"/>
      <c r="BN639" s="7"/>
      <c r="BO639" s="4"/>
      <c r="BP639" s="8"/>
      <c r="BQ639" s="4"/>
      <c r="BR639" s="8"/>
      <c r="BS639" s="7"/>
      <c r="BT639" s="7"/>
      <c r="BU639" s="2" t="s">
        <v>147</v>
      </c>
      <c r="BV639" s="2" t="s">
        <v>97</v>
      </c>
      <c r="BW639" s="2" t="s">
        <v>100</v>
      </c>
      <c r="BX639" s="2" t="s">
        <v>100</v>
      </c>
      <c r="BY639" s="2" t="s">
        <v>112</v>
      </c>
      <c r="BZ639" s="2" t="s">
        <v>100</v>
      </c>
    </row>
    <row r="640">
      <c r="A640" s="2" t="s">
        <v>2509</v>
      </c>
      <c r="B640" s="2" t="s">
        <v>87</v>
      </c>
      <c r="C640" s="2" t="s">
        <v>88</v>
      </c>
      <c r="D640" s="2" t="s">
        <v>2308</v>
      </c>
      <c r="E640" s="2" t="s">
        <v>2309</v>
      </c>
      <c r="F640" s="2" t="s">
        <v>1879</v>
      </c>
      <c r="G640" s="2" t="s">
        <v>1880</v>
      </c>
      <c r="H640" s="2" t="s">
        <v>1881</v>
      </c>
      <c r="I640" s="2" t="s">
        <v>2447</v>
      </c>
      <c r="J640" s="2" t="s">
        <v>844</v>
      </c>
      <c r="K640" s="2" t="s">
        <v>168</v>
      </c>
      <c r="L640" s="3">
        <v>34.55</v>
      </c>
      <c r="M640" s="3">
        <v>36.28</v>
      </c>
      <c r="N640" s="3">
        <v>69.99</v>
      </c>
      <c r="O640" s="2" t="s">
        <v>97</v>
      </c>
      <c r="P640" s="2" t="s">
        <v>182</v>
      </c>
      <c r="Q640" s="2" t="s">
        <v>99</v>
      </c>
      <c r="R640" s="2" t="s">
        <v>100</v>
      </c>
      <c r="S640" s="2" t="s">
        <v>2510</v>
      </c>
      <c r="T640" s="2" t="s">
        <v>100</v>
      </c>
      <c r="U640" s="2" t="s">
        <v>1610</v>
      </c>
      <c r="V640" s="2" t="s">
        <v>601</v>
      </c>
      <c r="W640" s="2" t="s">
        <v>104</v>
      </c>
      <c r="X640" s="2" t="s">
        <v>759</v>
      </c>
      <c r="Y640" s="2" t="s">
        <v>2511</v>
      </c>
      <c r="Z640" s="4">
        <v>220</v>
      </c>
      <c r="AA640" s="4">
        <f>=ROUNDDOWN(15.7142857142857,0)</f>
      </c>
      <c r="AB640" s="5">
        <v>14</v>
      </c>
      <c r="AC640" s="2" t="s">
        <v>659</v>
      </c>
      <c r="AD640" s="4">
        <v>40</v>
      </c>
      <c r="AE640" s="4">
        <v>290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 t="s">
        <v>100</v>
      </c>
      <c r="BJ640" s="4">
        <v>223</v>
      </c>
      <c r="BK640" s="8">
        <v>8528.74</v>
      </c>
      <c r="BL640" s="2" t="s">
        <v>2512</v>
      </c>
      <c r="BM640" s="7"/>
      <c r="BN640" s="7"/>
      <c r="BO640" s="4"/>
      <c r="BP640" s="8"/>
      <c r="BQ640" s="4"/>
      <c r="BR640" s="8"/>
      <c r="BS640" s="7"/>
      <c r="BT640" s="7"/>
      <c r="BU640" s="2" t="s">
        <v>147</v>
      </c>
      <c r="BV640" s="2" t="s">
        <v>97</v>
      </c>
      <c r="BW640" s="2" t="s">
        <v>100</v>
      </c>
      <c r="BX640" s="2" t="s">
        <v>100</v>
      </c>
      <c r="BY640" s="2" t="s">
        <v>112</v>
      </c>
      <c r="BZ640" s="2" t="s">
        <v>100</v>
      </c>
    </row>
    <row r="641">
      <c r="A641" s="2" t="s">
        <v>2513</v>
      </c>
      <c r="B641" s="2" t="s">
        <v>87</v>
      </c>
      <c r="C641" s="2" t="s">
        <v>88</v>
      </c>
      <c r="D641" s="2" t="s">
        <v>2308</v>
      </c>
      <c r="E641" s="2" t="s">
        <v>2309</v>
      </c>
      <c r="F641" s="2" t="s">
        <v>1879</v>
      </c>
      <c r="G641" s="2" t="s">
        <v>1880</v>
      </c>
      <c r="H641" s="2" t="s">
        <v>1881</v>
      </c>
      <c r="I641" s="2" t="s">
        <v>2447</v>
      </c>
      <c r="J641" s="2" t="s">
        <v>850</v>
      </c>
      <c r="K641" s="2" t="s">
        <v>168</v>
      </c>
      <c r="L641" s="3">
        <v>39.69</v>
      </c>
      <c r="M641" s="3">
        <v>41.67</v>
      </c>
      <c r="N641" s="3">
        <v>79.99</v>
      </c>
      <c r="O641" s="2" t="s">
        <v>97</v>
      </c>
      <c r="P641" s="2" t="s">
        <v>182</v>
      </c>
      <c r="Q641" s="2" t="s">
        <v>99</v>
      </c>
      <c r="R641" s="2" t="s">
        <v>100</v>
      </c>
      <c r="S641" s="2" t="s">
        <v>2510</v>
      </c>
      <c r="T641" s="2" t="s">
        <v>100</v>
      </c>
      <c r="U641" s="2" t="s">
        <v>1610</v>
      </c>
      <c r="V641" s="2" t="s">
        <v>601</v>
      </c>
      <c r="W641" s="2" t="s">
        <v>104</v>
      </c>
      <c r="X641" s="2" t="s">
        <v>759</v>
      </c>
      <c r="Y641" s="2" t="s">
        <v>2511</v>
      </c>
      <c r="Z641" s="4">
        <v>350</v>
      </c>
      <c r="AA641" s="4">
        <f>=ROUNDDOWN(19.4444444444444,0)</f>
      </c>
      <c r="AB641" s="5">
        <v>18</v>
      </c>
      <c r="AC641" s="2" t="s">
        <v>126</v>
      </c>
      <c r="AD641" s="4">
        <v>40</v>
      </c>
      <c r="AE641" s="4">
        <v>310</v>
      </c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 t="s">
        <v>100</v>
      </c>
      <c r="BJ641" s="4">
        <v>325</v>
      </c>
      <c r="BK641" s="8">
        <v>14001.01</v>
      </c>
      <c r="BL641" s="2" t="s">
        <v>2514</v>
      </c>
      <c r="BM641" s="7"/>
      <c r="BN641" s="7"/>
      <c r="BO641" s="4"/>
      <c r="BP641" s="8"/>
      <c r="BQ641" s="4"/>
      <c r="BR641" s="8"/>
      <c r="BS641" s="7"/>
      <c r="BT641" s="7"/>
      <c r="BU641" s="2" t="s">
        <v>147</v>
      </c>
      <c r="BV641" s="2" t="s">
        <v>97</v>
      </c>
      <c r="BW641" s="2" t="s">
        <v>100</v>
      </c>
      <c r="BX641" s="2" t="s">
        <v>100</v>
      </c>
      <c r="BY641" s="2" t="s">
        <v>112</v>
      </c>
      <c r="BZ641" s="2" t="s">
        <v>100</v>
      </c>
    </row>
    <row r="642">
      <c r="A642" s="2" t="s">
        <v>2515</v>
      </c>
      <c r="B642" s="2" t="s">
        <v>87</v>
      </c>
      <c r="C642" s="2" t="s">
        <v>88</v>
      </c>
      <c r="D642" s="2" t="s">
        <v>2308</v>
      </c>
      <c r="E642" s="2" t="s">
        <v>2309</v>
      </c>
      <c r="F642" s="2" t="s">
        <v>1879</v>
      </c>
      <c r="G642" s="2" t="s">
        <v>1880</v>
      </c>
      <c r="H642" s="2" t="s">
        <v>1881</v>
      </c>
      <c r="I642" s="2" t="s">
        <v>2447</v>
      </c>
      <c r="J642" s="2" t="s">
        <v>487</v>
      </c>
      <c r="K642" s="2" t="s">
        <v>666</v>
      </c>
      <c r="L642" s="3">
        <v>26.9</v>
      </c>
      <c r="M642" s="3">
        <v>28.24</v>
      </c>
      <c r="N642" s="3">
        <v>54.99</v>
      </c>
      <c r="O642" s="2" t="s">
        <v>97</v>
      </c>
      <c r="P642" s="2" t="s">
        <v>182</v>
      </c>
      <c r="Q642" s="2" t="s">
        <v>99</v>
      </c>
      <c r="R642" s="2" t="s">
        <v>100</v>
      </c>
      <c r="S642" s="2" t="s">
        <v>2516</v>
      </c>
      <c r="T642" s="2" t="s">
        <v>100</v>
      </c>
      <c r="U642" s="2" t="s">
        <v>2104</v>
      </c>
      <c r="V642" s="2" t="s">
        <v>601</v>
      </c>
      <c r="W642" s="2" t="s">
        <v>104</v>
      </c>
      <c r="X642" s="2" t="s">
        <v>759</v>
      </c>
      <c r="Y642" s="2" t="s">
        <v>106</v>
      </c>
      <c r="Z642" s="4">
        <v>30</v>
      </c>
      <c r="AA642" s="4">
        <f>=ROUNDDOWN(3.33333333333333,0)</f>
      </c>
      <c r="AB642" s="5">
        <v>9</v>
      </c>
      <c r="AC642" s="2" t="s">
        <v>659</v>
      </c>
      <c r="AD642" s="4">
        <v>50</v>
      </c>
      <c r="AE642" s="4">
        <v>230</v>
      </c>
      <c r="AF642" s="6">
        <v>65</v>
      </c>
      <c r="AG642" s="6">
        <v>48</v>
      </c>
      <c r="AH642" s="7">
        <v>0.9758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 t="s">
        <v>100</v>
      </c>
      <c r="AY642" s="8" t="s">
        <v>100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 t="s">
        <v>100</v>
      </c>
      <c r="BF642" s="8" t="s">
        <v>100</v>
      </c>
      <c r="BG642" s="7" t="s">
        <v>100</v>
      </c>
      <c r="BH642" s="7" t="s">
        <v>100</v>
      </c>
      <c r="BI642" s="7" t="s">
        <v>100</v>
      </c>
      <c r="BJ642" s="4">
        <v>252</v>
      </c>
      <c r="BK642" s="8">
        <v>7391.65</v>
      </c>
      <c r="BL642" s="2" t="s">
        <v>2517</v>
      </c>
      <c r="BM642" s="7"/>
      <c r="BN642" s="7"/>
      <c r="BO642" s="4"/>
      <c r="BP642" s="8"/>
      <c r="BQ642" s="4"/>
      <c r="BR642" s="8"/>
      <c r="BS642" s="7"/>
      <c r="BT642" s="7"/>
      <c r="BU642" s="2" t="s">
        <v>147</v>
      </c>
      <c r="BV642" s="2" t="s">
        <v>97</v>
      </c>
      <c r="BW642" s="2" t="s">
        <v>100</v>
      </c>
      <c r="BX642" s="2" t="s">
        <v>100</v>
      </c>
      <c r="BY642" s="2" t="s">
        <v>112</v>
      </c>
      <c r="BZ642" s="2" t="s">
        <v>100</v>
      </c>
    </row>
    <row r="643">
      <c r="A643" s="2" t="s">
        <v>2518</v>
      </c>
      <c r="B643" s="2" t="s">
        <v>87</v>
      </c>
      <c r="C643" s="2" t="s">
        <v>88</v>
      </c>
      <c r="D643" s="2" t="s">
        <v>2308</v>
      </c>
      <c r="E643" s="2" t="s">
        <v>2309</v>
      </c>
      <c r="F643" s="2" t="s">
        <v>1879</v>
      </c>
      <c r="G643" s="2" t="s">
        <v>1880</v>
      </c>
      <c r="H643" s="2" t="s">
        <v>1881</v>
      </c>
      <c r="I643" s="2" t="s">
        <v>2447</v>
      </c>
      <c r="J643" s="2" t="s">
        <v>844</v>
      </c>
      <c r="K643" s="2" t="s">
        <v>666</v>
      </c>
      <c r="L643" s="3">
        <v>34.55</v>
      </c>
      <c r="M643" s="3">
        <v>36.28</v>
      </c>
      <c r="N643" s="3">
        <v>69.99</v>
      </c>
      <c r="O643" s="2" t="s">
        <v>97</v>
      </c>
      <c r="P643" s="2" t="s">
        <v>182</v>
      </c>
      <c r="Q643" s="2" t="s">
        <v>99</v>
      </c>
      <c r="R643" s="2" t="s">
        <v>100</v>
      </c>
      <c r="S643" s="2" t="s">
        <v>2516</v>
      </c>
      <c r="T643" s="2" t="s">
        <v>100</v>
      </c>
      <c r="U643" s="2" t="s">
        <v>1610</v>
      </c>
      <c r="V643" s="2" t="s">
        <v>601</v>
      </c>
      <c r="W643" s="2" t="s">
        <v>104</v>
      </c>
      <c r="X643" s="2" t="s">
        <v>759</v>
      </c>
      <c r="Y643" s="2" t="s">
        <v>106</v>
      </c>
      <c r="Z643" s="4">
        <v>217</v>
      </c>
      <c r="AA643" s="4">
        <f>=ROUNDDOWN(12.0555555555556,0)</f>
      </c>
      <c r="AB643" s="5">
        <v>18</v>
      </c>
      <c r="AC643" s="2" t="s">
        <v>126</v>
      </c>
      <c r="AD643" s="4">
        <v>30</v>
      </c>
      <c r="AE643" s="4">
        <v>450</v>
      </c>
      <c r="AF643" s="6">
        <v>65</v>
      </c>
      <c r="AG643" s="6">
        <v>48</v>
      </c>
      <c r="AH643" s="7">
        <v>0.9758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 t="s">
        <v>100</v>
      </c>
      <c r="BJ643" s="4">
        <v>439</v>
      </c>
      <c r="BK643" s="8">
        <v>16185.4</v>
      </c>
      <c r="BL643" s="2" t="s">
        <v>2519</v>
      </c>
      <c r="BM643" s="7"/>
      <c r="BN643" s="7"/>
      <c r="BO643" s="4"/>
      <c r="BP643" s="8"/>
      <c r="BQ643" s="4"/>
      <c r="BR643" s="8"/>
      <c r="BS643" s="7"/>
      <c r="BT643" s="7"/>
      <c r="BU643" s="2" t="s">
        <v>147</v>
      </c>
      <c r="BV643" s="2" t="s">
        <v>97</v>
      </c>
      <c r="BW643" s="2" t="s">
        <v>100</v>
      </c>
      <c r="BX643" s="2" t="s">
        <v>100</v>
      </c>
      <c r="BY643" s="2" t="s">
        <v>112</v>
      </c>
      <c r="BZ643" s="2" t="s">
        <v>100</v>
      </c>
    </row>
    <row r="644">
      <c r="A644" s="2" t="s">
        <v>2520</v>
      </c>
      <c r="B644" s="2" t="s">
        <v>87</v>
      </c>
      <c r="C644" s="2" t="s">
        <v>88</v>
      </c>
      <c r="D644" s="2" t="s">
        <v>2308</v>
      </c>
      <c r="E644" s="2" t="s">
        <v>2309</v>
      </c>
      <c r="F644" s="2" t="s">
        <v>1879</v>
      </c>
      <c r="G644" s="2" t="s">
        <v>1880</v>
      </c>
      <c r="H644" s="2" t="s">
        <v>1881</v>
      </c>
      <c r="I644" s="2" t="s">
        <v>2447</v>
      </c>
      <c r="J644" s="2" t="s">
        <v>850</v>
      </c>
      <c r="K644" s="2" t="s">
        <v>666</v>
      </c>
      <c r="L644" s="3">
        <v>39.69</v>
      </c>
      <c r="M644" s="3">
        <v>41.67</v>
      </c>
      <c r="N644" s="3">
        <v>79.99</v>
      </c>
      <c r="O644" s="2" t="s">
        <v>97</v>
      </c>
      <c r="P644" s="2" t="s">
        <v>182</v>
      </c>
      <c r="Q644" s="2" t="s">
        <v>99</v>
      </c>
      <c r="R644" s="2" t="s">
        <v>100</v>
      </c>
      <c r="S644" s="2" t="s">
        <v>2516</v>
      </c>
      <c r="T644" s="2" t="s">
        <v>100</v>
      </c>
      <c r="U644" s="2" t="s">
        <v>1610</v>
      </c>
      <c r="V644" s="2" t="s">
        <v>601</v>
      </c>
      <c r="W644" s="2" t="s">
        <v>104</v>
      </c>
      <c r="X644" s="2" t="s">
        <v>759</v>
      </c>
      <c r="Y644" s="2" t="s">
        <v>106</v>
      </c>
      <c r="Z644" s="4">
        <v>333</v>
      </c>
      <c r="AA644" s="4">
        <f>=ROUNDDOWN(11.8928571428571,0)</f>
      </c>
      <c r="AB644" s="5">
        <v>28</v>
      </c>
      <c r="AC644" s="2" t="s">
        <v>659</v>
      </c>
      <c r="AD644" s="4">
        <v>30</v>
      </c>
      <c r="AE644" s="4">
        <v>590</v>
      </c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100</v>
      </c>
      <c r="AW644" s="8" t="s">
        <v>100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 t="s">
        <v>100</v>
      </c>
      <c r="BD644" s="8" t="s">
        <v>100</v>
      </c>
      <c r="BE644" s="4" t="s">
        <v>100</v>
      </c>
      <c r="BF644" s="8" t="s">
        <v>100</v>
      </c>
      <c r="BG644" s="7" t="s">
        <v>100</v>
      </c>
      <c r="BH644" s="7" t="s">
        <v>100</v>
      </c>
      <c r="BI644" s="7" t="s">
        <v>100</v>
      </c>
      <c r="BJ644" s="4">
        <v>442</v>
      </c>
      <c r="BK644" s="8">
        <v>18828.17</v>
      </c>
      <c r="BL644" s="2" t="s">
        <v>2519</v>
      </c>
      <c r="BM644" s="7"/>
      <c r="BN644" s="7"/>
      <c r="BO644" s="4"/>
      <c r="BP644" s="8"/>
      <c r="BQ644" s="4"/>
      <c r="BR644" s="8"/>
      <c r="BS644" s="7"/>
      <c r="BT644" s="7"/>
      <c r="BU644" s="2" t="s">
        <v>147</v>
      </c>
      <c r="BV644" s="2" t="s">
        <v>97</v>
      </c>
      <c r="BW644" s="2" t="s">
        <v>100</v>
      </c>
      <c r="BX644" s="2" t="s">
        <v>100</v>
      </c>
      <c r="BY644" s="2" t="s">
        <v>112</v>
      </c>
      <c r="BZ644" s="2" t="s">
        <v>100</v>
      </c>
    </row>
    <row r="645">
      <c r="A645" s="2" t="s">
        <v>2521</v>
      </c>
      <c r="B645" s="2" t="s">
        <v>87</v>
      </c>
      <c r="C645" s="2" t="s">
        <v>88</v>
      </c>
      <c r="D645" s="2" t="s">
        <v>2308</v>
      </c>
      <c r="E645" s="2" t="s">
        <v>2309</v>
      </c>
      <c r="F645" s="2" t="s">
        <v>2099</v>
      </c>
      <c r="G645" s="2" t="s">
        <v>2100</v>
      </c>
      <c r="H645" s="2" t="s">
        <v>2101</v>
      </c>
      <c r="I645" s="2" t="s">
        <v>2522</v>
      </c>
      <c r="J645" s="2" t="s">
        <v>487</v>
      </c>
      <c r="K645" s="2" t="s">
        <v>1935</v>
      </c>
      <c r="L645" s="3">
        <v>36.8</v>
      </c>
      <c r="M645" s="3">
        <v>38.64</v>
      </c>
      <c r="N645" s="3">
        <v>79.99</v>
      </c>
      <c r="O645" s="2" t="s">
        <v>97</v>
      </c>
      <c r="P645" s="2" t="s">
        <v>182</v>
      </c>
      <c r="Q645" s="2" t="s">
        <v>99</v>
      </c>
      <c r="R645" s="2" t="s">
        <v>100</v>
      </c>
      <c r="S645" s="2" t="s">
        <v>2103</v>
      </c>
      <c r="T645" s="2" t="s">
        <v>100</v>
      </c>
      <c r="U645" s="2" t="s">
        <v>2104</v>
      </c>
      <c r="V645" s="2" t="s">
        <v>455</v>
      </c>
      <c r="W645" s="2" t="s">
        <v>733</v>
      </c>
      <c r="X645" s="2" t="s">
        <v>2523</v>
      </c>
      <c r="Y645" s="2" t="s">
        <v>2106</v>
      </c>
      <c r="Z645" s="4">
        <v>800</v>
      </c>
      <c r="AA645" s="4">
        <f>=ROUNDDOWN(88.8888888888889,0)</f>
      </c>
      <c r="AB645" s="5">
        <v>9</v>
      </c>
      <c r="AC645" s="2" t="s">
        <v>100</v>
      </c>
      <c r="AD645" s="4"/>
      <c r="AE645" s="4"/>
      <c r="AF645" s="6">
        <v>71</v>
      </c>
      <c r="AG645" s="6">
        <v>79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>
        <v>0</v>
      </c>
      <c r="AP645" s="4"/>
      <c r="AQ645" s="8"/>
      <c r="AR645" s="4">
        <v>4</v>
      </c>
      <c r="AS645" s="8">
        <v>154.56</v>
      </c>
      <c r="AT645" s="7">
        <v>-1</v>
      </c>
      <c r="AU645" s="7">
        <v>-1</v>
      </c>
      <c r="AV645" s="4">
        <v>3</v>
      </c>
      <c r="AW645" s="8">
        <v>161.28</v>
      </c>
      <c r="AX645" s="4">
        <v>11</v>
      </c>
      <c r="AY645" s="8">
        <v>537.6</v>
      </c>
      <c r="AZ645" s="7">
        <v>-0.7273</v>
      </c>
      <c r="BA645" s="7">
        <v>-0.7</v>
      </c>
      <c r="BB645" s="7"/>
      <c r="BC645" s="4">
        <v>3</v>
      </c>
      <c r="BD645" s="8">
        <v>161.28</v>
      </c>
      <c r="BE645" s="4">
        <v>11</v>
      </c>
      <c r="BF645" s="8">
        <v>537.6</v>
      </c>
      <c r="BG645" s="7">
        <v>-0.7273</v>
      </c>
      <c r="BH645" s="7">
        <v>-0.7</v>
      </c>
      <c r="BI645" s="7">
        <v>1</v>
      </c>
      <c r="BJ645" s="4">
        <v>154</v>
      </c>
      <c r="BK645" s="8">
        <v>6163.12</v>
      </c>
      <c r="BL645" s="2" t="s">
        <v>2524</v>
      </c>
      <c r="BM645" s="7"/>
      <c r="BN645" s="7"/>
      <c r="BO645" s="4"/>
      <c r="BP645" s="8"/>
      <c r="BQ645" s="4">
        <v>4</v>
      </c>
      <c r="BR645" s="8">
        <v>154.56</v>
      </c>
      <c r="BS645" s="7">
        <v>-1</v>
      </c>
      <c r="BT645" s="7">
        <v>-1</v>
      </c>
      <c r="BU645" s="2" t="s">
        <v>109</v>
      </c>
      <c r="BV645" s="2" t="s">
        <v>97</v>
      </c>
      <c r="BW645" s="2" t="s">
        <v>2525</v>
      </c>
      <c r="BX645" s="2" t="s">
        <v>2526</v>
      </c>
      <c r="BY645" s="2" t="s">
        <v>112</v>
      </c>
      <c r="BZ645" s="2" t="s">
        <v>100</v>
      </c>
    </row>
    <row r="646">
      <c r="A646" s="2" t="s">
        <v>2527</v>
      </c>
      <c r="B646" s="2" t="s">
        <v>87</v>
      </c>
      <c r="C646" s="2" t="s">
        <v>88</v>
      </c>
      <c r="D646" s="2" t="s">
        <v>2308</v>
      </c>
      <c r="E646" s="2" t="s">
        <v>2309</v>
      </c>
      <c r="F646" s="2" t="s">
        <v>2099</v>
      </c>
      <c r="G646" s="2" t="s">
        <v>2100</v>
      </c>
      <c r="H646" s="2" t="s">
        <v>2101</v>
      </c>
      <c r="I646" s="2" t="s">
        <v>2522</v>
      </c>
      <c r="J646" s="2" t="s">
        <v>844</v>
      </c>
      <c r="K646" s="2" t="s">
        <v>1935</v>
      </c>
      <c r="L646" s="3">
        <v>48</v>
      </c>
      <c r="M646" s="3">
        <v>50.39</v>
      </c>
      <c r="N646" s="3">
        <v>99.99</v>
      </c>
      <c r="O646" s="2" t="s">
        <v>97</v>
      </c>
      <c r="P646" s="2" t="s">
        <v>182</v>
      </c>
      <c r="Q646" s="2" t="s">
        <v>99</v>
      </c>
      <c r="R646" s="2" t="s">
        <v>100</v>
      </c>
      <c r="S646" s="2" t="s">
        <v>2103</v>
      </c>
      <c r="T646" s="2" t="s">
        <v>732</v>
      </c>
      <c r="U646" s="2" t="s">
        <v>1610</v>
      </c>
      <c r="V646" s="2" t="s">
        <v>455</v>
      </c>
      <c r="W646" s="2" t="s">
        <v>733</v>
      </c>
      <c r="X646" s="2" t="s">
        <v>2523</v>
      </c>
      <c r="Y646" s="2" t="s">
        <v>2112</v>
      </c>
      <c r="Z646" s="4">
        <v>1745</v>
      </c>
      <c r="AA646" s="4">
        <f>=ROUNDDOWN(75.8695652173913,0)</f>
      </c>
      <c r="AB646" s="5">
        <v>23</v>
      </c>
      <c r="AC646" s="2" t="s">
        <v>100</v>
      </c>
      <c r="AD646" s="4"/>
      <c r="AE646" s="4"/>
      <c r="AF646" s="6">
        <v>71</v>
      </c>
      <c r="AG646" s="6">
        <v>79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>
        <v>0</v>
      </c>
      <c r="AP646" s="4">
        <v>2</v>
      </c>
      <c r="AQ646" s="8">
        <v>100.8</v>
      </c>
      <c r="AR646" s="4">
        <v>4</v>
      </c>
      <c r="AS646" s="8">
        <v>201.6</v>
      </c>
      <c r="AT646" s="7">
        <v>-0.5</v>
      </c>
      <c r="AU646" s="7">
        <v>-0.5</v>
      </c>
      <c r="AV646" s="4" t="s">
        <v>100</v>
      </c>
      <c r="AW646" s="8" t="s">
        <v>100</v>
      </c>
      <c r="AX646" s="4" t="s">
        <v>100</v>
      </c>
      <c r="AY646" s="8" t="s">
        <v>100</v>
      </c>
      <c r="AZ646" s="7" t="s">
        <v>100</v>
      </c>
      <c r="BA646" s="7" t="s">
        <v>100</v>
      </c>
      <c r="BB646" s="7">
        <v>0.625</v>
      </c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 t="s">
        <v>100</v>
      </c>
      <c r="BJ646" s="4">
        <v>425</v>
      </c>
      <c r="BK646" s="8">
        <v>21805.69</v>
      </c>
      <c r="BL646" s="2" t="s">
        <v>2528</v>
      </c>
      <c r="BM646" s="7">
        <v>0.0047</v>
      </c>
      <c r="BN646" s="7">
        <v>0.0046</v>
      </c>
      <c r="BO646" s="4">
        <v>2</v>
      </c>
      <c r="BP646" s="8">
        <v>100.8</v>
      </c>
      <c r="BQ646" s="4">
        <v>4</v>
      </c>
      <c r="BR646" s="8">
        <v>201.6</v>
      </c>
      <c r="BS646" s="7">
        <v>-0.5</v>
      </c>
      <c r="BT646" s="7">
        <v>-0.5</v>
      </c>
      <c r="BU646" s="2" t="s">
        <v>109</v>
      </c>
      <c r="BV646" s="2" t="s">
        <v>97</v>
      </c>
      <c r="BW646" s="2" t="s">
        <v>606</v>
      </c>
      <c r="BX646" s="2" t="s">
        <v>2529</v>
      </c>
      <c r="BY646" s="2" t="s">
        <v>112</v>
      </c>
      <c r="BZ646" s="2" t="s">
        <v>100</v>
      </c>
    </row>
    <row r="647">
      <c r="A647" s="2" t="s">
        <v>2530</v>
      </c>
      <c r="B647" s="2" t="s">
        <v>87</v>
      </c>
      <c r="C647" s="2" t="s">
        <v>88</v>
      </c>
      <c r="D647" s="2" t="s">
        <v>2308</v>
      </c>
      <c r="E647" s="2" t="s">
        <v>2309</v>
      </c>
      <c r="F647" s="2" t="s">
        <v>2099</v>
      </c>
      <c r="G647" s="2" t="s">
        <v>2100</v>
      </c>
      <c r="H647" s="2" t="s">
        <v>2101</v>
      </c>
      <c r="I647" s="2" t="s">
        <v>2522</v>
      </c>
      <c r="J647" s="2" t="s">
        <v>850</v>
      </c>
      <c r="K647" s="2" t="s">
        <v>1935</v>
      </c>
      <c r="L647" s="3">
        <v>57.6</v>
      </c>
      <c r="M647" s="3">
        <v>60.47</v>
      </c>
      <c r="N647" s="3">
        <v>119.99</v>
      </c>
      <c r="O647" s="2" t="s">
        <v>97</v>
      </c>
      <c r="P647" s="2" t="s">
        <v>182</v>
      </c>
      <c r="Q647" s="2" t="s">
        <v>99</v>
      </c>
      <c r="R647" s="2" t="s">
        <v>100</v>
      </c>
      <c r="S647" s="2" t="s">
        <v>2103</v>
      </c>
      <c r="T647" s="2" t="s">
        <v>732</v>
      </c>
      <c r="U647" s="2" t="s">
        <v>1610</v>
      </c>
      <c r="V647" s="2" t="s">
        <v>455</v>
      </c>
      <c r="W647" s="2" t="s">
        <v>733</v>
      </c>
      <c r="X647" s="2" t="s">
        <v>2523</v>
      </c>
      <c r="Y647" s="2" t="s">
        <v>2112</v>
      </c>
      <c r="Z647" s="4">
        <v>1900</v>
      </c>
      <c r="AA647" s="4">
        <f>=ROUNDDOWN(90.4761904761905,0)</f>
      </c>
      <c r="AB647" s="5">
        <v>21</v>
      </c>
      <c r="AC647" s="2" t="s">
        <v>100</v>
      </c>
      <c r="AD647" s="4"/>
      <c r="AE647" s="4"/>
      <c r="AF647" s="6">
        <v>71</v>
      </c>
      <c r="AG647" s="6">
        <v>79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>
        <v>0</v>
      </c>
      <c r="AP647" s="4">
        <v>1</v>
      </c>
      <c r="AQ647" s="8">
        <v>60.48</v>
      </c>
      <c r="AR647" s="4">
        <v>3</v>
      </c>
      <c r="AS647" s="8">
        <v>181.44</v>
      </c>
      <c r="AT647" s="7">
        <v>-0.6667</v>
      </c>
      <c r="AU647" s="7">
        <v>-0.6667</v>
      </c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0.375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386</v>
      </c>
      <c r="BK647" s="8">
        <v>24351.06</v>
      </c>
      <c r="BL647" s="2" t="s">
        <v>2531</v>
      </c>
      <c r="BM647" s="7">
        <v>0.0026</v>
      </c>
      <c r="BN647" s="7">
        <v>0.0025</v>
      </c>
      <c r="BO647" s="4">
        <v>1</v>
      </c>
      <c r="BP647" s="8">
        <v>60.48</v>
      </c>
      <c r="BQ647" s="4">
        <v>3</v>
      </c>
      <c r="BR647" s="8">
        <v>181.44</v>
      </c>
      <c r="BS647" s="7">
        <v>-0.6667</v>
      </c>
      <c r="BT647" s="7">
        <v>-0.6667</v>
      </c>
      <c r="BU647" s="2" t="s">
        <v>109</v>
      </c>
      <c r="BV647" s="2" t="s">
        <v>97</v>
      </c>
      <c r="BW647" s="2" t="s">
        <v>606</v>
      </c>
      <c r="BX647" s="2" t="s">
        <v>2532</v>
      </c>
      <c r="BY647" s="2" t="s">
        <v>112</v>
      </c>
      <c r="BZ647" s="2" t="s">
        <v>100</v>
      </c>
    </row>
    <row r="648">
      <c r="A648" s="2" t="s">
        <v>2533</v>
      </c>
      <c r="B648" s="2" t="s">
        <v>87</v>
      </c>
      <c r="C648" s="2" t="s">
        <v>88</v>
      </c>
      <c r="D648" s="2" t="s">
        <v>2308</v>
      </c>
      <c r="E648" s="2" t="s">
        <v>2309</v>
      </c>
      <c r="F648" s="2" t="s">
        <v>2099</v>
      </c>
      <c r="G648" s="2" t="s">
        <v>2100</v>
      </c>
      <c r="H648" s="2" t="s">
        <v>2101</v>
      </c>
      <c r="I648" s="2" t="s">
        <v>2522</v>
      </c>
      <c r="J648" s="2" t="s">
        <v>844</v>
      </c>
      <c r="K648" s="2" t="s">
        <v>650</v>
      </c>
      <c r="L648" s="3">
        <v>48</v>
      </c>
      <c r="M648" s="3">
        <v>50.39</v>
      </c>
      <c r="N648" s="3">
        <v>99.99</v>
      </c>
      <c r="O648" s="2" t="s">
        <v>97</v>
      </c>
      <c r="P648" s="2" t="s">
        <v>182</v>
      </c>
      <c r="Q648" s="2" t="s">
        <v>99</v>
      </c>
      <c r="R648" s="2" t="s">
        <v>100</v>
      </c>
      <c r="S648" s="2" t="s">
        <v>2119</v>
      </c>
      <c r="T648" s="2" t="s">
        <v>732</v>
      </c>
      <c r="U648" s="2" t="s">
        <v>1610</v>
      </c>
      <c r="V648" s="2" t="s">
        <v>455</v>
      </c>
      <c r="W648" s="2" t="s">
        <v>733</v>
      </c>
      <c r="X648" s="2" t="s">
        <v>2523</v>
      </c>
      <c r="Y648" s="2" t="s">
        <v>2112</v>
      </c>
      <c r="Z648" s="4">
        <v>931</v>
      </c>
      <c r="AA648" s="4">
        <f>=ROUNDDOWN(42.3181818181818,0)</f>
      </c>
      <c r="AB648" s="5">
        <v>22</v>
      </c>
      <c r="AC648" s="2" t="s">
        <v>1248</v>
      </c>
      <c r="AD648" s="4">
        <v>240</v>
      </c>
      <c r="AE648" s="4">
        <v>380</v>
      </c>
      <c r="AF648" s="6">
        <v>71</v>
      </c>
      <c r="AG648" s="6">
        <v>79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100</v>
      </c>
      <c r="AW648" s="8" t="s">
        <v>100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 t="s">
        <v>100</v>
      </c>
      <c r="BD648" s="8" t="s">
        <v>100</v>
      </c>
      <c r="BE648" s="4" t="s">
        <v>100</v>
      </c>
      <c r="BF648" s="8" t="s">
        <v>100</v>
      </c>
      <c r="BG648" s="7" t="s">
        <v>100</v>
      </c>
      <c r="BH648" s="7" t="s">
        <v>100</v>
      </c>
      <c r="BI648" s="7" t="s">
        <v>100</v>
      </c>
      <c r="BJ648" s="4">
        <v>469</v>
      </c>
      <c r="BK648" s="8">
        <v>24174.36</v>
      </c>
      <c r="BL648" s="2" t="s">
        <v>2534</v>
      </c>
      <c r="BM648" s="7"/>
      <c r="BN648" s="7"/>
      <c r="BO648" s="4"/>
      <c r="BP648" s="8"/>
      <c r="BQ648" s="4"/>
      <c r="BR648" s="8"/>
      <c r="BS648" s="7"/>
      <c r="BT648" s="7"/>
      <c r="BU648" s="2" t="s">
        <v>147</v>
      </c>
      <c r="BV648" s="2" t="s">
        <v>97</v>
      </c>
      <c r="BW648" s="2" t="s">
        <v>100</v>
      </c>
      <c r="BX648" s="2" t="s">
        <v>100</v>
      </c>
      <c r="BY648" s="2" t="s">
        <v>112</v>
      </c>
      <c r="BZ648" s="2" t="s">
        <v>100</v>
      </c>
    </row>
    <row r="649">
      <c r="A649" s="2" t="s">
        <v>2535</v>
      </c>
      <c r="B649" s="2" t="s">
        <v>87</v>
      </c>
      <c r="C649" s="2" t="s">
        <v>88</v>
      </c>
      <c r="D649" s="2" t="s">
        <v>2308</v>
      </c>
      <c r="E649" s="2" t="s">
        <v>2309</v>
      </c>
      <c r="F649" s="2" t="s">
        <v>2099</v>
      </c>
      <c r="G649" s="2" t="s">
        <v>2100</v>
      </c>
      <c r="H649" s="2" t="s">
        <v>2101</v>
      </c>
      <c r="I649" s="2" t="s">
        <v>2522</v>
      </c>
      <c r="J649" s="2" t="s">
        <v>850</v>
      </c>
      <c r="K649" s="2" t="s">
        <v>650</v>
      </c>
      <c r="L649" s="3">
        <v>57.6</v>
      </c>
      <c r="M649" s="3">
        <v>60.47</v>
      </c>
      <c r="N649" s="3">
        <v>119.99</v>
      </c>
      <c r="O649" s="2" t="s">
        <v>97</v>
      </c>
      <c r="P649" s="2" t="s">
        <v>182</v>
      </c>
      <c r="Q649" s="2" t="s">
        <v>99</v>
      </c>
      <c r="R649" s="2" t="s">
        <v>100</v>
      </c>
      <c r="S649" s="2" t="s">
        <v>2119</v>
      </c>
      <c r="T649" s="2" t="s">
        <v>732</v>
      </c>
      <c r="U649" s="2" t="s">
        <v>1610</v>
      </c>
      <c r="V649" s="2" t="s">
        <v>455</v>
      </c>
      <c r="W649" s="2" t="s">
        <v>733</v>
      </c>
      <c r="X649" s="2" t="s">
        <v>2523</v>
      </c>
      <c r="Y649" s="2" t="s">
        <v>2112</v>
      </c>
      <c r="Z649" s="4">
        <v>835</v>
      </c>
      <c r="AA649" s="4">
        <f>=ROUNDDOWN(59.6428571428571,0)</f>
      </c>
      <c r="AB649" s="5">
        <v>14</v>
      </c>
      <c r="AC649" s="2" t="s">
        <v>100</v>
      </c>
      <c r="AD649" s="4"/>
      <c r="AE649" s="4"/>
      <c r="AF649" s="6">
        <v>71</v>
      </c>
      <c r="AG649" s="6">
        <v>79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/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225</v>
      </c>
      <c r="BK649" s="8">
        <v>14243.61</v>
      </c>
      <c r="BL649" s="2" t="s">
        <v>838</v>
      </c>
      <c r="BM649" s="7"/>
      <c r="BN649" s="7"/>
      <c r="BO649" s="4"/>
      <c r="BP649" s="8"/>
      <c r="BQ649" s="4"/>
      <c r="BR649" s="8"/>
      <c r="BS649" s="7"/>
      <c r="BT649" s="7"/>
      <c r="BU649" s="2" t="s">
        <v>147</v>
      </c>
      <c r="BV649" s="2" t="s">
        <v>97</v>
      </c>
      <c r="BW649" s="2" t="s">
        <v>100</v>
      </c>
      <c r="BX649" s="2" t="s">
        <v>100</v>
      </c>
      <c r="BY649" s="2" t="s">
        <v>112</v>
      </c>
      <c r="BZ649" s="2" t="s">
        <v>100</v>
      </c>
    </row>
    <row r="650">
      <c r="A650" s="2" t="s">
        <v>2536</v>
      </c>
      <c r="B650" s="2" t="s">
        <v>87</v>
      </c>
      <c r="C650" s="2" t="s">
        <v>88</v>
      </c>
      <c r="D650" s="2" t="s">
        <v>2308</v>
      </c>
      <c r="E650" s="2" t="s">
        <v>2309</v>
      </c>
      <c r="F650" s="2" t="s">
        <v>2099</v>
      </c>
      <c r="G650" s="2" t="s">
        <v>2100</v>
      </c>
      <c r="H650" s="2" t="s">
        <v>2101</v>
      </c>
      <c r="I650" s="2" t="s">
        <v>2522</v>
      </c>
      <c r="J650" s="2" t="s">
        <v>844</v>
      </c>
      <c r="K650" s="2" t="s">
        <v>622</v>
      </c>
      <c r="L650" s="3">
        <v>48</v>
      </c>
      <c r="M650" s="3">
        <v>50.39</v>
      </c>
      <c r="N650" s="3">
        <v>99.99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2131</v>
      </c>
      <c r="T650" s="2" t="s">
        <v>100</v>
      </c>
      <c r="U650" s="2" t="s">
        <v>1610</v>
      </c>
      <c r="V650" s="2" t="s">
        <v>455</v>
      </c>
      <c r="W650" s="2" t="s">
        <v>733</v>
      </c>
      <c r="X650" s="2" t="s">
        <v>2523</v>
      </c>
      <c r="Y650" s="2" t="s">
        <v>2537</v>
      </c>
      <c r="Z650" s="4">
        <v>1072</v>
      </c>
      <c r="AA650" s="4">
        <f>=ROUNDDOWN(42.88,0)</f>
      </c>
      <c r="AB650" s="5">
        <v>25</v>
      </c>
      <c r="AC650" s="2" t="s">
        <v>2538</v>
      </c>
      <c r="AD650" s="4">
        <v>630</v>
      </c>
      <c r="AE650" s="4">
        <v>1210</v>
      </c>
      <c r="AF650" s="6">
        <v>71</v>
      </c>
      <c r="AG650" s="6">
        <v>79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602</v>
      </c>
      <c r="BK650" s="8">
        <v>31514.61</v>
      </c>
      <c r="BL650" s="2" t="s">
        <v>2539</v>
      </c>
      <c r="BM650" s="7"/>
      <c r="BN650" s="7"/>
      <c r="BO650" s="4"/>
      <c r="BP650" s="8"/>
      <c r="BQ650" s="4"/>
      <c r="BR650" s="8"/>
      <c r="BS650" s="7"/>
      <c r="BT650" s="7"/>
      <c r="BU650" s="2" t="s">
        <v>147</v>
      </c>
      <c r="BV650" s="2" t="s">
        <v>97</v>
      </c>
      <c r="BW650" s="2" t="s">
        <v>100</v>
      </c>
      <c r="BX650" s="2" t="s">
        <v>100</v>
      </c>
      <c r="BY650" s="2" t="s">
        <v>112</v>
      </c>
      <c r="BZ650" s="2" t="s">
        <v>100</v>
      </c>
    </row>
    <row r="651">
      <c r="A651" s="2" t="s">
        <v>2540</v>
      </c>
      <c r="B651" s="2" t="s">
        <v>87</v>
      </c>
      <c r="C651" s="2" t="s">
        <v>88</v>
      </c>
      <c r="D651" s="2" t="s">
        <v>2308</v>
      </c>
      <c r="E651" s="2" t="s">
        <v>2309</v>
      </c>
      <c r="F651" s="2" t="s">
        <v>2099</v>
      </c>
      <c r="G651" s="2" t="s">
        <v>2100</v>
      </c>
      <c r="H651" s="2" t="s">
        <v>2101</v>
      </c>
      <c r="I651" s="2" t="s">
        <v>2522</v>
      </c>
      <c r="J651" s="2" t="s">
        <v>850</v>
      </c>
      <c r="K651" s="2" t="s">
        <v>622</v>
      </c>
      <c r="L651" s="3">
        <v>57.6</v>
      </c>
      <c r="M651" s="3">
        <v>60.47</v>
      </c>
      <c r="N651" s="3">
        <v>119.99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2131</v>
      </c>
      <c r="T651" s="2" t="s">
        <v>100</v>
      </c>
      <c r="U651" s="2" t="s">
        <v>1610</v>
      </c>
      <c r="V651" s="2" t="s">
        <v>455</v>
      </c>
      <c r="W651" s="2" t="s">
        <v>733</v>
      </c>
      <c r="X651" s="2" t="s">
        <v>2523</v>
      </c>
      <c r="Y651" s="2" t="s">
        <v>2537</v>
      </c>
      <c r="Z651" s="4">
        <v>1997</v>
      </c>
      <c r="AA651" s="4">
        <f>=ROUNDDOWN(60.5151515151515,0)</f>
      </c>
      <c r="AB651" s="5">
        <v>33</v>
      </c>
      <c r="AC651" s="2" t="s">
        <v>1328</v>
      </c>
      <c r="AD651" s="4">
        <v>50</v>
      </c>
      <c r="AE651" s="4">
        <v>700</v>
      </c>
      <c r="AF651" s="6">
        <v>71</v>
      </c>
      <c r="AG651" s="6">
        <v>79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753</v>
      </c>
      <c r="BK651" s="8">
        <v>47879.28</v>
      </c>
      <c r="BL651" s="2" t="s">
        <v>2541</v>
      </c>
      <c r="BM651" s="7"/>
      <c r="BN651" s="7"/>
      <c r="BO651" s="4"/>
      <c r="BP651" s="8"/>
      <c r="BQ651" s="4"/>
      <c r="BR651" s="8"/>
      <c r="BS651" s="7"/>
      <c r="BT651" s="7"/>
      <c r="BU651" s="2" t="s">
        <v>147</v>
      </c>
      <c r="BV651" s="2" t="s">
        <v>97</v>
      </c>
      <c r="BW651" s="2" t="s">
        <v>100</v>
      </c>
      <c r="BX651" s="2" t="s">
        <v>100</v>
      </c>
      <c r="BY651" s="2" t="s">
        <v>112</v>
      </c>
      <c r="BZ651" s="2" t="s">
        <v>100</v>
      </c>
    </row>
    <row r="652">
      <c r="A652" s="2" t="s">
        <v>2542</v>
      </c>
      <c r="B652" s="2" t="s">
        <v>87</v>
      </c>
      <c r="C652" s="2" t="s">
        <v>88</v>
      </c>
      <c r="D652" s="2" t="s">
        <v>2308</v>
      </c>
      <c r="E652" s="2" t="s">
        <v>2309</v>
      </c>
      <c r="F652" s="2" t="s">
        <v>1786</v>
      </c>
      <c r="G652" s="2" t="s">
        <v>1963</v>
      </c>
      <c r="H652" s="2" t="s">
        <v>1398</v>
      </c>
      <c r="I652" s="2" t="s">
        <v>2543</v>
      </c>
      <c r="J652" s="2" t="s">
        <v>844</v>
      </c>
      <c r="K652" s="2" t="s">
        <v>1459</v>
      </c>
      <c r="L652" s="3">
        <v>38.09</v>
      </c>
      <c r="M652" s="3">
        <v>39.99</v>
      </c>
      <c r="N652" s="3">
        <v>79.99</v>
      </c>
      <c r="O652" s="2" t="s">
        <v>229</v>
      </c>
      <c r="P652" s="2" t="s">
        <v>198</v>
      </c>
      <c r="Q652" s="2" t="s">
        <v>99</v>
      </c>
      <c r="R652" s="2" t="s">
        <v>100</v>
      </c>
      <c r="S652" s="2" t="s">
        <v>2544</v>
      </c>
      <c r="T652" s="2" t="s">
        <v>184</v>
      </c>
      <c r="U652" s="2" t="s">
        <v>1610</v>
      </c>
      <c r="V652" s="2" t="s">
        <v>200</v>
      </c>
      <c r="W652" s="2" t="s">
        <v>759</v>
      </c>
      <c r="X652" s="2" t="s">
        <v>1288</v>
      </c>
      <c r="Y652" s="2" t="s">
        <v>2545</v>
      </c>
      <c r="Z652" s="4">
        <v>194</v>
      </c>
      <c r="AA652" s="4">
        <f>=ROUNDDOWN(970,0)</f>
      </c>
      <c r="AB652" s="5">
        <v>0.2</v>
      </c>
      <c r="AC652" s="2" t="s">
        <v>100</v>
      </c>
      <c r="AD652" s="4"/>
      <c r="AE652" s="4"/>
      <c r="AF652" s="6">
        <v>66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/>
      <c r="BJ652" s="4">
        <v>25</v>
      </c>
      <c r="BK652" s="8">
        <v>839.79</v>
      </c>
      <c r="BL652" s="2" t="s">
        <v>2546</v>
      </c>
      <c r="BM652" s="7"/>
      <c r="BN652" s="7"/>
      <c r="BO652" s="4"/>
      <c r="BP652" s="8"/>
      <c r="BQ652" s="4"/>
      <c r="BR652" s="8"/>
      <c r="BS652" s="7"/>
      <c r="BT652" s="7"/>
      <c r="BU652" s="2" t="s">
        <v>147</v>
      </c>
      <c r="BV652" s="2" t="s">
        <v>97</v>
      </c>
      <c r="BW652" s="2" t="s">
        <v>100</v>
      </c>
      <c r="BX652" s="2" t="s">
        <v>100</v>
      </c>
      <c r="BY652" s="2" t="s">
        <v>112</v>
      </c>
      <c r="BZ652" s="2" t="s">
        <v>100</v>
      </c>
    </row>
    <row r="653">
      <c r="A653" s="2" t="s">
        <v>2547</v>
      </c>
      <c r="B653" s="2" t="s">
        <v>87</v>
      </c>
      <c r="C653" s="2" t="s">
        <v>88</v>
      </c>
      <c r="D653" s="2" t="s">
        <v>2308</v>
      </c>
      <c r="E653" s="2" t="s">
        <v>2309</v>
      </c>
      <c r="F653" s="2" t="s">
        <v>1786</v>
      </c>
      <c r="G653" s="2" t="s">
        <v>1963</v>
      </c>
      <c r="H653" s="2" t="s">
        <v>1398</v>
      </c>
      <c r="I653" s="2" t="s">
        <v>2543</v>
      </c>
      <c r="J653" s="2" t="s">
        <v>850</v>
      </c>
      <c r="K653" s="2" t="s">
        <v>1459</v>
      </c>
      <c r="L653" s="3">
        <v>42.85</v>
      </c>
      <c r="M653" s="3">
        <v>44.99</v>
      </c>
      <c r="N653" s="3">
        <v>89.99</v>
      </c>
      <c r="O653" s="2" t="s">
        <v>229</v>
      </c>
      <c r="P653" s="2" t="s">
        <v>198</v>
      </c>
      <c r="Q653" s="2" t="s">
        <v>99</v>
      </c>
      <c r="R653" s="2" t="s">
        <v>100</v>
      </c>
      <c r="S653" s="2" t="s">
        <v>2544</v>
      </c>
      <c r="T653" s="2" t="s">
        <v>184</v>
      </c>
      <c r="U653" s="2" t="s">
        <v>1610</v>
      </c>
      <c r="V653" s="2" t="s">
        <v>200</v>
      </c>
      <c r="W653" s="2" t="s">
        <v>759</v>
      </c>
      <c r="X653" s="2" t="s">
        <v>1288</v>
      </c>
      <c r="Y653" s="2" t="s">
        <v>2545</v>
      </c>
      <c r="Z653" s="4">
        <v>203</v>
      </c>
      <c r="AA653" s="4">
        <f>=ROUNDDOWN(184.545454545455,0)</f>
      </c>
      <c r="AB653" s="5">
        <v>1.1</v>
      </c>
      <c r="AC653" s="2" t="s">
        <v>100</v>
      </c>
      <c r="AD653" s="4"/>
      <c r="AE653" s="4"/>
      <c r="AF653" s="6">
        <v>66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/>
      <c r="BJ653" s="4">
        <v>36</v>
      </c>
      <c r="BK653" s="8">
        <v>1433.51</v>
      </c>
      <c r="BL653" s="2" t="s">
        <v>1414</v>
      </c>
      <c r="BM653" s="7"/>
      <c r="BN653" s="7"/>
      <c r="BO653" s="4"/>
      <c r="BP653" s="8"/>
      <c r="BQ653" s="4"/>
      <c r="BR653" s="8"/>
      <c r="BS653" s="7"/>
      <c r="BT653" s="7"/>
      <c r="BU653" s="2" t="s">
        <v>147</v>
      </c>
      <c r="BV653" s="2" t="s">
        <v>97</v>
      </c>
      <c r="BW653" s="2" t="s">
        <v>100</v>
      </c>
      <c r="BX653" s="2" t="s">
        <v>100</v>
      </c>
      <c r="BY653" s="2" t="s">
        <v>112</v>
      </c>
      <c r="BZ653" s="2" t="s">
        <v>100</v>
      </c>
    </row>
    <row r="654">
      <c r="A654" s="2" t="s">
        <v>2548</v>
      </c>
      <c r="B654" s="2" t="s">
        <v>87</v>
      </c>
      <c r="C654" s="2" t="s">
        <v>88</v>
      </c>
      <c r="D654" s="2" t="s">
        <v>2308</v>
      </c>
      <c r="E654" s="2" t="s">
        <v>2309</v>
      </c>
      <c r="F654" s="2" t="s">
        <v>2549</v>
      </c>
      <c r="G654" s="2" t="s">
        <v>2550</v>
      </c>
      <c r="H654" s="2" t="s">
        <v>2551</v>
      </c>
      <c r="I654" s="2" t="s">
        <v>2552</v>
      </c>
      <c r="J654" s="2" t="s">
        <v>850</v>
      </c>
      <c r="K654" s="2" t="s">
        <v>2553</v>
      </c>
      <c r="L654" s="3">
        <v>42.85</v>
      </c>
      <c r="M654" s="3">
        <v>44.99</v>
      </c>
      <c r="N654" s="3">
        <v>89.99</v>
      </c>
      <c r="O654" s="2" t="s">
        <v>97</v>
      </c>
      <c r="P654" s="2" t="s">
        <v>198</v>
      </c>
      <c r="Q654" s="2" t="s">
        <v>99</v>
      </c>
      <c r="R654" s="2" t="s">
        <v>100</v>
      </c>
      <c r="S654" s="2" t="s">
        <v>2554</v>
      </c>
      <c r="T654" s="2" t="s">
        <v>100</v>
      </c>
      <c r="U654" s="2" t="s">
        <v>1610</v>
      </c>
      <c r="V654" s="2" t="s">
        <v>601</v>
      </c>
      <c r="W654" s="2" t="s">
        <v>759</v>
      </c>
      <c r="X654" s="2" t="s">
        <v>1288</v>
      </c>
      <c r="Y654" s="2" t="s">
        <v>645</v>
      </c>
      <c r="Z654" s="4">
        <v>132</v>
      </c>
      <c r="AA654" s="4">
        <f>=ROUNDDOWN(37.7142857142857,0)</f>
      </c>
      <c r="AB654" s="5">
        <v>3.5</v>
      </c>
      <c r="AC654" s="2" t="s">
        <v>100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/>
      <c r="BJ654" s="4">
        <v>135</v>
      </c>
      <c r="BK654" s="8">
        <v>5173.82</v>
      </c>
      <c r="BL654" s="2" t="s">
        <v>2555</v>
      </c>
      <c r="BM654" s="7"/>
      <c r="BN654" s="7"/>
      <c r="BO654" s="4"/>
      <c r="BP654" s="8"/>
      <c r="BQ654" s="4"/>
      <c r="BR654" s="8"/>
      <c r="BS654" s="7"/>
      <c r="BT654" s="7"/>
      <c r="BU654" s="2" t="s">
        <v>147</v>
      </c>
      <c r="BV654" s="2" t="s">
        <v>97</v>
      </c>
      <c r="BW654" s="2" t="s">
        <v>100</v>
      </c>
      <c r="BX654" s="2" t="s">
        <v>100</v>
      </c>
      <c r="BY654" s="2" t="s">
        <v>112</v>
      </c>
      <c r="BZ654" s="2" t="s">
        <v>100</v>
      </c>
    </row>
    <row r="655">
      <c r="A655" s="2" t="s">
        <v>2556</v>
      </c>
      <c r="B655" s="2" t="s">
        <v>87</v>
      </c>
      <c r="C655" s="2" t="s">
        <v>88</v>
      </c>
      <c r="D655" s="2" t="s">
        <v>2308</v>
      </c>
      <c r="E655" s="2" t="s">
        <v>2309</v>
      </c>
      <c r="F655" s="2" t="s">
        <v>2549</v>
      </c>
      <c r="G655" s="2" t="s">
        <v>2550</v>
      </c>
      <c r="H655" s="2" t="s">
        <v>2551</v>
      </c>
      <c r="I655" s="2" t="s">
        <v>2552</v>
      </c>
      <c r="J655" s="2" t="s">
        <v>844</v>
      </c>
      <c r="K655" s="2" t="s">
        <v>197</v>
      </c>
      <c r="L655" s="3">
        <v>38.09</v>
      </c>
      <c r="M655" s="3">
        <v>39.99</v>
      </c>
      <c r="N655" s="3">
        <v>79.99</v>
      </c>
      <c r="O655" s="2" t="s">
        <v>229</v>
      </c>
      <c r="P655" s="2" t="s">
        <v>198</v>
      </c>
      <c r="Q655" s="2" t="s">
        <v>99</v>
      </c>
      <c r="R655" s="2" t="s">
        <v>100</v>
      </c>
      <c r="S655" s="2" t="s">
        <v>2557</v>
      </c>
      <c r="T655" s="2" t="s">
        <v>100</v>
      </c>
      <c r="U655" s="2" t="s">
        <v>1610</v>
      </c>
      <c r="V655" s="2" t="s">
        <v>601</v>
      </c>
      <c r="W655" s="2" t="s">
        <v>759</v>
      </c>
      <c r="X655" s="2" t="s">
        <v>1288</v>
      </c>
      <c r="Y655" s="2" t="s">
        <v>645</v>
      </c>
      <c r="Z655" s="4">
        <v>132</v>
      </c>
      <c r="AA655" s="4">
        <f>=ROUNDDOWN(62.8571428571429,0)</f>
      </c>
      <c r="AB655" s="5">
        <v>2.1</v>
      </c>
      <c r="AC655" s="2" t="s">
        <v>100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/>
      <c r="BJ655" s="4">
        <v>96</v>
      </c>
      <c r="BK655" s="8">
        <v>3445.52</v>
      </c>
      <c r="BL655" s="2" t="s">
        <v>2433</v>
      </c>
      <c r="BM655" s="7"/>
      <c r="BN655" s="7"/>
      <c r="BO655" s="4"/>
      <c r="BP655" s="8"/>
      <c r="BQ655" s="4"/>
      <c r="BR655" s="8"/>
      <c r="BS655" s="7"/>
      <c r="BT655" s="7"/>
      <c r="BU655" s="2" t="s">
        <v>147</v>
      </c>
      <c r="BV655" s="2" t="s">
        <v>97</v>
      </c>
      <c r="BW655" s="2" t="s">
        <v>100</v>
      </c>
      <c r="BX655" s="2" t="s">
        <v>100</v>
      </c>
      <c r="BY655" s="2" t="s">
        <v>112</v>
      </c>
      <c r="BZ655" s="2" t="s">
        <v>100</v>
      </c>
    </row>
    <row r="656">
      <c r="A656" s="2" t="s">
        <v>2558</v>
      </c>
      <c r="B656" s="2" t="s">
        <v>87</v>
      </c>
      <c r="C656" s="2" t="s">
        <v>88</v>
      </c>
      <c r="D656" s="2" t="s">
        <v>2308</v>
      </c>
      <c r="E656" s="2" t="s">
        <v>2309</v>
      </c>
      <c r="F656" s="2" t="s">
        <v>2549</v>
      </c>
      <c r="G656" s="2" t="s">
        <v>2550</v>
      </c>
      <c r="H656" s="2" t="s">
        <v>2551</v>
      </c>
      <c r="I656" s="2" t="s">
        <v>2552</v>
      </c>
      <c r="J656" s="2" t="s">
        <v>850</v>
      </c>
      <c r="K656" s="2" t="s">
        <v>197</v>
      </c>
      <c r="L656" s="3">
        <v>42.85</v>
      </c>
      <c r="M656" s="3">
        <v>44.99</v>
      </c>
      <c r="N656" s="3">
        <v>89.99</v>
      </c>
      <c r="O656" s="2" t="s">
        <v>229</v>
      </c>
      <c r="P656" s="2" t="s">
        <v>198</v>
      </c>
      <c r="Q656" s="2" t="s">
        <v>99</v>
      </c>
      <c r="R656" s="2" t="s">
        <v>100</v>
      </c>
      <c r="S656" s="2" t="s">
        <v>2557</v>
      </c>
      <c r="T656" s="2" t="s">
        <v>100</v>
      </c>
      <c r="U656" s="2" t="s">
        <v>1610</v>
      </c>
      <c r="V656" s="2" t="s">
        <v>601</v>
      </c>
      <c r="W656" s="2" t="s">
        <v>759</v>
      </c>
      <c r="X656" s="2" t="s">
        <v>1288</v>
      </c>
      <c r="Y656" s="2" t="s">
        <v>645</v>
      </c>
      <c r="Z656" s="4">
        <v>236</v>
      </c>
      <c r="AA656" s="4">
        <f>=ROUNDDOWN(295,0)</f>
      </c>
      <c r="AB656" s="5">
        <v>0.8</v>
      </c>
      <c r="AC656" s="2" t="s">
        <v>100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/>
      <c r="BJ656" s="4">
        <v>75</v>
      </c>
      <c r="BK656" s="8">
        <v>2735.98</v>
      </c>
      <c r="BL656" s="2" t="s">
        <v>2559</v>
      </c>
      <c r="BM656" s="7"/>
      <c r="BN656" s="7"/>
      <c r="BO656" s="4"/>
      <c r="BP656" s="8"/>
      <c r="BQ656" s="4"/>
      <c r="BR656" s="8"/>
      <c r="BS656" s="7"/>
      <c r="BT656" s="7"/>
      <c r="BU656" s="2" t="s">
        <v>147</v>
      </c>
      <c r="BV656" s="2" t="s">
        <v>97</v>
      </c>
      <c r="BW656" s="2" t="s">
        <v>100</v>
      </c>
      <c r="BX656" s="2" t="s">
        <v>100</v>
      </c>
      <c r="BY656" s="2" t="s">
        <v>112</v>
      </c>
      <c r="BZ656" s="2" t="s">
        <v>100</v>
      </c>
    </row>
    <row r="657">
      <c r="A657" s="2" t="s">
        <v>2560</v>
      </c>
      <c r="B657" s="2" t="s">
        <v>87</v>
      </c>
      <c r="C657" s="2" t="s">
        <v>88</v>
      </c>
      <c r="D657" s="2" t="s">
        <v>2308</v>
      </c>
      <c r="E657" s="2" t="s">
        <v>2309</v>
      </c>
      <c r="F657" s="2" t="s">
        <v>1449</v>
      </c>
      <c r="G657" s="2" t="s">
        <v>1450</v>
      </c>
      <c r="H657" s="2" t="s">
        <v>1153</v>
      </c>
      <c r="I657" s="2" t="s">
        <v>2561</v>
      </c>
      <c r="J657" s="2" t="s">
        <v>844</v>
      </c>
      <c r="K657" s="2" t="s">
        <v>1452</v>
      </c>
      <c r="L657" s="3">
        <v>38.09</v>
      </c>
      <c r="M657" s="3">
        <v>39.99</v>
      </c>
      <c r="N657" s="3">
        <v>79.99</v>
      </c>
      <c r="O657" s="2" t="s">
        <v>97</v>
      </c>
      <c r="P657" s="2" t="s">
        <v>1166</v>
      </c>
      <c r="Q657" s="2" t="s">
        <v>99</v>
      </c>
      <c r="R657" s="2" t="s">
        <v>100</v>
      </c>
      <c r="S657" s="2" t="s">
        <v>1453</v>
      </c>
      <c r="T657" s="2" t="s">
        <v>184</v>
      </c>
      <c r="U657" s="2" t="s">
        <v>1610</v>
      </c>
      <c r="V657" s="2" t="s">
        <v>991</v>
      </c>
      <c r="W657" s="2" t="s">
        <v>1454</v>
      </c>
      <c r="X657" s="2" t="s">
        <v>1310</v>
      </c>
      <c r="Y657" s="2" t="s">
        <v>1455</v>
      </c>
      <c r="Z657" s="4"/>
      <c r="AA657" s="4">
        <f>=ROUNDDOWN({0},0)</f>
      </c>
      <c r="AB657" s="5">
        <v>17</v>
      </c>
      <c r="AC657" s="2" t="s">
        <v>1456</v>
      </c>
      <c r="AD657" s="4">
        <v>150</v>
      </c>
      <c r="AE657" s="4">
        <v>300</v>
      </c>
      <c r="AF657" s="6">
        <v>64</v>
      </c>
      <c r="AG657" s="6"/>
      <c r="AH657" s="7">
        <v>0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/>
      <c r="BJ657" s="4"/>
      <c r="BK657" s="8"/>
      <c r="BL657" s="2" t="s">
        <v>100</v>
      </c>
      <c r="BM657" s="7"/>
      <c r="BN657" s="7"/>
      <c r="BO657" s="4"/>
      <c r="BP657" s="8"/>
      <c r="BQ657" s="4"/>
      <c r="BR657" s="8"/>
      <c r="BS657" s="7"/>
      <c r="BT657" s="7"/>
      <c r="BU657" s="2" t="s">
        <v>1171</v>
      </c>
      <c r="BV657" s="2" t="s">
        <v>97</v>
      </c>
      <c r="BW657" s="2" t="s">
        <v>100</v>
      </c>
      <c r="BX657" s="2" t="s">
        <v>100</v>
      </c>
      <c r="BY657" s="2" t="s">
        <v>112</v>
      </c>
      <c r="BZ657" s="2" t="s">
        <v>100</v>
      </c>
    </row>
    <row r="658">
      <c r="A658" s="2" t="s">
        <v>2562</v>
      </c>
      <c r="B658" s="2" t="s">
        <v>87</v>
      </c>
      <c r="C658" s="2" t="s">
        <v>88</v>
      </c>
      <c r="D658" s="2" t="s">
        <v>2308</v>
      </c>
      <c r="E658" s="2" t="s">
        <v>2309</v>
      </c>
      <c r="F658" s="2" t="s">
        <v>1449</v>
      </c>
      <c r="G658" s="2" t="s">
        <v>1450</v>
      </c>
      <c r="H658" s="2" t="s">
        <v>1153</v>
      </c>
      <c r="I658" s="2" t="s">
        <v>2561</v>
      </c>
      <c r="J658" s="2" t="s">
        <v>850</v>
      </c>
      <c r="K658" s="2" t="s">
        <v>1452</v>
      </c>
      <c r="L658" s="3">
        <v>42.85</v>
      </c>
      <c r="M658" s="3">
        <v>44.99</v>
      </c>
      <c r="N658" s="3">
        <v>89.99</v>
      </c>
      <c r="O658" s="2" t="s">
        <v>97</v>
      </c>
      <c r="P658" s="2" t="s">
        <v>1166</v>
      </c>
      <c r="Q658" s="2" t="s">
        <v>99</v>
      </c>
      <c r="R658" s="2" t="s">
        <v>100</v>
      </c>
      <c r="S658" s="2" t="s">
        <v>1453</v>
      </c>
      <c r="T658" s="2" t="s">
        <v>184</v>
      </c>
      <c r="U658" s="2" t="s">
        <v>1610</v>
      </c>
      <c r="V658" s="2" t="s">
        <v>991</v>
      </c>
      <c r="W658" s="2" t="s">
        <v>1454</v>
      </c>
      <c r="X658" s="2" t="s">
        <v>1310</v>
      </c>
      <c r="Y658" s="2" t="s">
        <v>1455</v>
      </c>
      <c r="Z658" s="4"/>
      <c r="AA658" s="4">
        <f>=ROUNDDOWN({0},0)</f>
      </c>
      <c r="AB658" s="5">
        <v>20</v>
      </c>
      <c r="AC658" s="2" t="s">
        <v>1456</v>
      </c>
      <c r="AD658" s="4">
        <v>180</v>
      </c>
      <c r="AE658" s="4">
        <v>360</v>
      </c>
      <c r="AF658" s="6">
        <v>64</v>
      </c>
      <c r="AG658" s="6"/>
      <c r="AH658" s="7">
        <v>0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100</v>
      </c>
      <c r="AW658" s="8" t="s">
        <v>100</v>
      </c>
      <c r="AX658" s="4" t="s">
        <v>100</v>
      </c>
      <c r="AY658" s="8" t="s">
        <v>100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/>
      <c r="BJ658" s="4"/>
      <c r="BK658" s="8"/>
      <c r="BL658" s="2" t="s">
        <v>100</v>
      </c>
      <c r="BM658" s="7"/>
      <c r="BN658" s="7"/>
      <c r="BO658" s="4"/>
      <c r="BP658" s="8"/>
      <c r="BQ658" s="4"/>
      <c r="BR658" s="8"/>
      <c r="BS658" s="7"/>
      <c r="BT658" s="7"/>
      <c r="BU658" s="2" t="s">
        <v>1171</v>
      </c>
      <c r="BV658" s="2" t="s">
        <v>97</v>
      </c>
      <c r="BW658" s="2" t="s">
        <v>100</v>
      </c>
      <c r="BX658" s="2" t="s">
        <v>100</v>
      </c>
      <c r="BY658" s="2" t="s">
        <v>112</v>
      </c>
      <c r="BZ658" s="2" t="s">
        <v>100</v>
      </c>
    </row>
    <row r="659">
      <c r="A659" s="2" t="s">
        <v>2563</v>
      </c>
      <c r="B659" s="2" t="s">
        <v>87</v>
      </c>
      <c r="C659" s="2" t="s">
        <v>88</v>
      </c>
      <c r="D659" s="2" t="s">
        <v>2308</v>
      </c>
      <c r="E659" s="2" t="s">
        <v>2309</v>
      </c>
      <c r="F659" s="2" t="s">
        <v>1449</v>
      </c>
      <c r="G659" s="2" t="s">
        <v>1450</v>
      </c>
      <c r="H659" s="2" t="s">
        <v>1153</v>
      </c>
      <c r="I659" s="2" t="s">
        <v>2561</v>
      </c>
      <c r="J659" s="2" t="s">
        <v>844</v>
      </c>
      <c r="K659" s="2" t="s">
        <v>1459</v>
      </c>
      <c r="L659" s="3">
        <v>38.09</v>
      </c>
      <c r="M659" s="3">
        <v>39.99</v>
      </c>
      <c r="N659" s="3">
        <v>79.99</v>
      </c>
      <c r="O659" s="2" t="s">
        <v>97</v>
      </c>
      <c r="P659" s="2" t="s">
        <v>182</v>
      </c>
      <c r="Q659" s="2" t="s">
        <v>99</v>
      </c>
      <c r="R659" s="2" t="s">
        <v>100</v>
      </c>
      <c r="S659" s="2" t="s">
        <v>1460</v>
      </c>
      <c r="T659" s="2" t="s">
        <v>184</v>
      </c>
      <c r="U659" s="2" t="s">
        <v>1610</v>
      </c>
      <c r="V659" s="2" t="s">
        <v>991</v>
      </c>
      <c r="W659" s="2" t="s">
        <v>1454</v>
      </c>
      <c r="X659" s="2" t="s">
        <v>1310</v>
      </c>
      <c r="Y659" s="2" t="s">
        <v>2564</v>
      </c>
      <c r="Z659" s="4">
        <v>977</v>
      </c>
      <c r="AA659" s="4">
        <f>=ROUNDDOWN(29.6060606060606,0)</f>
      </c>
      <c r="AB659" s="5">
        <v>33</v>
      </c>
      <c r="AC659" s="2" t="s">
        <v>847</v>
      </c>
      <c r="AD659" s="4">
        <v>260</v>
      </c>
      <c r="AE659" s="4">
        <v>260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/>
      <c r="BJ659" s="4">
        <v>621</v>
      </c>
      <c r="BK659" s="8">
        <v>23988.09</v>
      </c>
      <c r="BL659" s="2" t="s">
        <v>2565</v>
      </c>
      <c r="BM659" s="7"/>
      <c r="BN659" s="7"/>
      <c r="BO659" s="4"/>
      <c r="BP659" s="8"/>
      <c r="BQ659" s="4"/>
      <c r="BR659" s="8"/>
      <c r="BS659" s="7"/>
      <c r="BT659" s="7"/>
      <c r="BU659" s="2" t="s">
        <v>147</v>
      </c>
      <c r="BV659" s="2" t="s">
        <v>97</v>
      </c>
      <c r="BW659" s="2" t="s">
        <v>100</v>
      </c>
      <c r="BX659" s="2" t="s">
        <v>100</v>
      </c>
      <c r="BY659" s="2" t="s">
        <v>112</v>
      </c>
      <c r="BZ659" s="2" t="s">
        <v>100</v>
      </c>
    </row>
    <row r="660">
      <c r="A660" s="2" t="s">
        <v>2566</v>
      </c>
      <c r="B660" s="2" t="s">
        <v>87</v>
      </c>
      <c r="C660" s="2" t="s">
        <v>88</v>
      </c>
      <c r="D660" s="2" t="s">
        <v>2308</v>
      </c>
      <c r="E660" s="2" t="s">
        <v>2309</v>
      </c>
      <c r="F660" s="2" t="s">
        <v>1449</v>
      </c>
      <c r="G660" s="2" t="s">
        <v>1450</v>
      </c>
      <c r="H660" s="2" t="s">
        <v>1153</v>
      </c>
      <c r="I660" s="2" t="s">
        <v>2561</v>
      </c>
      <c r="J660" s="2" t="s">
        <v>850</v>
      </c>
      <c r="K660" s="2" t="s">
        <v>1459</v>
      </c>
      <c r="L660" s="3">
        <v>42.85</v>
      </c>
      <c r="M660" s="3">
        <v>44.99</v>
      </c>
      <c r="N660" s="3">
        <v>89.99</v>
      </c>
      <c r="O660" s="2" t="s">
        <v>97</v>
      </c>
      <c r="P660" s="2" t="s">
        <v>182</v>
      </c>
      <c r="Q660" s="2" t="s">
        <v>99</v>
      </c>
      <c r="R660" s="2" t="s">
        <v>100</v>
      </c>
      <c r="S660" s="2" t="s">
        <v>1460</v>
      </c>
      <c r="T660" s="2" t="s">
        <v>184</v>
      </c>
      <c r="U660" s="2" t="s">
        <v>1610</v>
      </c>
      <c r="V660" s="2" t="s">
        <v>991</v>
      </c>
      <c r="W660" s="2" t="s">
        <v>1454</v>
      </c>
      <c r="X660" s="2" t="s">
        <v>1310</v>
      </c>
      <c r="Y660" s="2" t="s">
        <v>2564</v>
      </c>
      <c r="Z660" s="4">
        <v>578</v>
      </c>
      <c r="AA660" s="4">
        <f>=ROUNDDOWN(14.8205128205128,0)</f>
      </c>
      <c r="AB660" s="5">
        <v>39</v>
      </c>
      <c r="AC660" s="2" t="s">
        <v>563</v>
      </c>
      <c r="AD660" s="4">
        <v>640</v>
      </c>
      <c r="AE660" s="4">
        <v>850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/>
      <c r="BJ660" s="4">
        <v>714</v>
      </c>
      <c r="BK660" s="8">
        <v>31541.59</v>
      </c>
      <c r="BL660" s="2" t="s">
        <v>2567</v>
      </c>
      <c r="BM660" s="7"/>
      <c r="BN660" s="7"/>
      <c r="BO660" s="4"/>
      <c r="BP660" s="8"/>
      <c r="BQ660" s="4"/>
      <c r="BR660" s="8"/>
      <c r="BS660" s="7"/>
      <c r="BT660" s="7"/>
      <c r="BU660" s="2" t="s">
        <v>147</v>
      </c>
      <c r="BV660" s="2" t="s">
        <v>97</v>
      </c>
      <c r="BW660" s="2" t="s">
        <v>100</v>
      </c>
      <c r="BX660" s="2" t="s">
        <v>100</v>
      </c>
      <c r="BY660" s="2" t="s">
        <v>112</v>
      </c>
      <c r="BZ660" s="2" t="s">
        <v>100</v>
      </c>
    </row>
    <row r="661">
      <c r="A661" s="2" t="s">
        <v>2568</v>
      </c>
      <c r="B661" s="2" t="s">
        <v>87</v>
      </c>
      <c r="C661" s="2" t="s">
        <v>88</v>
      </c>
      <c r="D661" s="2" t="s">
        <v>2308</v>
      </c>
      <c r="E661" s="2" t="s">
        <v>2309</v>
      </c>
      <c r="F661" s="2" t="s">
        <v>2569</v>
      </c>
      <c r="G661" s="2" t="s">
        <v>2570</v>
      </c>
      <c r="H661" s="2" t="s">
        <v>2571</v>
      </c>
      <c r="I661" s="2" t="s">
        <v>2572</v>
      </c>
      <c r="J661" s="2" t="s">
        <v>844</v>
      </c>
      <c r="K661" s="2" t="s">
        <v>158</v>
      </c>
      <c r="L661" s="3">
        <v>52.8</v>
      </c>
      <c r="M661" s="3">
        <v>55.44</v>
      </c>
      <c r="N661" s="3">
        <v>109.99</v>
      </c>
      <c r="O661" s="2" t="s">
        <v>229</v>
      </c>
      <c r="P661" s="2" t="s">
        <v>198</v>
      </c>
      <c r="Q661" s="2" t="s">
        <v>99</v>
      </c>
      <c r="R661" s="2" t="s">
        <v>100</v>
      </c>
      <c r="S661" s="2" t="s">
        <v>2573</v>
      </c>
      <c r="T661" s="2" t="s">
        <v>100</v>
      </c>
      <c r="U661" s="2" t="s">
        <v>1610</v>
      </c>
      <c r="V661" s="2" t="s">
        <v>2574</v>
      </c>
      <c r="W661" s="2" t="s">
        <v>759</v>
      </c>
      <c r="X661" s="2" t="s">
        <v>1288</v>
      </c>
      <c r="Y661" s="2" t="s">
        <v>2575</v>
      </c>
      <c r="Z661" s="4">
        <v>325</v>
      </c>
      <c r="AA661" s="4">
        <f>=ROUNDDOWN(72.2222222222222,0)</f>
      </c>
      <c r="AB661" s="5">
        <v>4.5</v>
      </c>
      <c r="AC661" s="2" t="s">
        <v>100</v>
      </c>
      <c r="AD661" s="4"/>
      <c r="AE661" s="4"/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/>
      <c r="BJ661" s="4">
        <v>63</v>
      </c>
      <c r="BK661" s="8">
        <v>2559.22</v>
      </c>
      <c r="BL661" s="2" t="s">
        <v>2576</v>
      </c>
      <c r="BM661" s="7"/>
      <c r="BN661" s="7"/>
      <c r="BO661" s="4"/>
      <c r="BP661" s="8"/>
      <c r="BQ661" s="4"/>
      <c r="BR661" s="8"/>
      <c r="BS661" s="7"/>
      <c r="BT661" s="7"/>
      <c r="BU661" s="2" t="s">
        <v>147</v>
      </c>
      <c r="BV661" s="2" t="s">
        <v>97</v>
      </c>
      <c r="BW661" s="2" t="s">
        <v>100</v>
      </c>
      <c r="BX661" s="2" t="s">
        <v>100</v>
      </c>
      <c r="BY661" s="2" t="s">
        <v>112</v>
      </c>
      <c r="BZ661" s="2" t="s">
        <v>100</v>
      </c>
    </row>
    <row r="662">
      <c r="A662" s="2" t="s">
        <v>2577</v>
      </c>
      <c r="B662" s="2" t="s">
        <v>87</v>
      </c>
      <c r="C662" s="2" t="s">
        <v>88</v>
      </c>
      <c r="D662" s="2" t="s">
        <v>2308</v>
      </c>
      <c r="E662" s="2" t="s">
        <v>2309</v>
      </c>
      <c r="F662" s="2" t="s">
        <v>2569</v>
      </c>
      <c r="G662" s="2" t="s">
        <v>2570</v>
      </c>
      <c r="H662" s="2" t="s">
        <v>2571</v>
      </c>
      <c r="I662" s="2" t="s">
        <v>2572</v>
      </c>
      <c r="J662" s="2" t="s">
        <v>850</v>
      </c>
      <c r="K662" s="2" t="s">
        <v>158</v>
      </c>
      <c r="L662" s="3">
        <v>57.14</v>
      </c>
      <c r="M662" s="3">
        <v>60</v>
      </c>
      <c r="N662" s="3">
        <v>119.99</v>
      </c>
      <c r="O662" s="2" t="s">
        <v>229</v>
      </c>
      <c r="P662" s="2" t="s">
        <v>198</v>
      </c>
      <c r="Q662" s="2" t="s">
        <v>99</v>
      </c>
      <c r="R662" s="2" t="s">
        <v>100</v>
      </c>
      <c r="S662" s="2" t="s">
        <v>2573</v>
      </c>
      <c r="T662" s="2" t="s">
        <v>100</v>
      </c>
      <c r="U662" s="2" t="s">
        <v>1610</v>
      </c>
      <c r="V662" s="2" t="s">
        <v>2574</v>
      </c>
      <c r="W662" s="2" t="s">
        <v>759</v>
      </c>
      <c r="X662" s="2" t="s">
        <v>1288</v>
      </c>
      <c r="Y662" s="2" t="s">
        <v>2575</v>
      </c>
      <c r="Z662" s="4">
        <v>248</v>
      </c>
      <c r="AA662" s="4">
        <f>=ROUNDDOWN(82.6666666666667,0)</f>
      </c>
      <c r="AB662" s="5">
        <v>3</v>
      </c>
      <c r="AC662" s="2" t="s">
        <v>100</v>
      </c>
      <c r="AD662" s="4"/>
      <c r="AE662" s="4"/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/>
      <c r="BJ662" s="4">
        <v>50</v>
      </c>
      <c r="BK662" s="8">
        <v>2475.83</v>
      </c>
      <c r="BL662" s="2" t="s">
        <v>2578</v>
      </c>
      <c r="BM662" s="7"/>
      <c r="BN662" s="7"/>
      <c r="BO662" s="4"/>
      <c r="BP662" s="8"/>
      <c r="BQ662" s="4"/>
      <c r="BR662" s="8"/>
      <c r="BS662" s="7"/>
      <c r="BT662" s="7"/>
      <c r="BU662" s="2" t="s">
        <v>147</v>
      </c>
      <c r="BV662" s="2" t="s">
        <v>97</v>
      </c>
      <c r="BW662" s="2" t="s">
        <v>100</v>
      </c>
      <c r="BX662" s="2" t="s">
        <v>100</v>
      </c>
      <c r="BY662" s="2" t="s">
        <v>112</v>
      </c>
      <c r="BZ662" s="2" t="s">
        <v>100</v>
      </c>
    </row>
    <row r="663">
      <c r="A663" s="2" t="s">
        <v>2579</v>
      </c>
      <c r="B663" s="2" t="s">
        <v>87</v>
      </c>
      <c r="C663" s="2" t="s">
        <v>88</v>
      </c>
      <c r="D663" s="2" t="s">
        <v>2308</v>
      </c>
      <c r="E663" s="2" t="s">
        <v>2309</v>
      </c>
      <c r="F663" s="2" t="s">
        <v>2580</v>
      </c>
      <c r="G663" s="2" t="s">
        <v>2581</v>
      </c>
      <c r="H663" s="2" t="s">
        <v>2582</v>
      </c>
      <c r="I663" s="2" t="s">
        <v>2583</v>
      </c>
      <c r="J663" s="2" t="s">
        <v>844</v>
      </c>
      <c r="K663" s="2" t="s">
        <v>333</v>
      </c>
      <c r="L663" s="3">
        <v>36.57</v>
      </c>
      <c r="M663" s="3">
        <v>38.4</v>
      </c>
      <c r="N663" s="3">
        <v>79.99</v>
      </c>
      <c r="O663" s="2" t="s">
        <v>97</v>
      </c>
      <c r="P663" s="2" t="s">
        <v>1166</v>
      </c>
      <c r="Q663" s="2" t="s">
        <v>99</v>
      </c>
      <c r="R663" s="2" t="s">
        <v>100</v>
      </c>
      <c r="S663" s="2" t="s">
        <v>2584</v>
      </c>
      <c r="T663" s="2" t="s">
        <v>1168</v>
      </c>
      <c r="U663" s="2" t="s">
        <v>1610</v>
      </c>
      <c r="V663" s="2" t="s">
        <v>991</v>
      </c>
      <c r="W663" s="2" t="s">
        <v>759</v>
      </c>
      <c r="X663" s="2" t="s">
        <v>100</v>
      </c>
      <c r="Y663" s="2" t="s">
        <v>2217</v>
      </c>
      <c r="Z663" s="4">
        <v>337</v>
      </c>
      <c r="AA663" s="4">
        <f>=ROUNDDOWN(56.1666666666667,0)</f>
      </c>
      <c r="AB663" s="5">
        <v>6</v>
      </c>
      <c r="AC663" s="2" t="s">
        <v>100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/>
      <c r="BJ663" s="4">
        <v>14</v>
      </c>
      <c r="BK663" s="8">
        <v>558.38</v>
      </c>
      <c r="BL663" s="2" t="s">
        <v>2585</v>
      </c>
      <c r="BM663" s="7"/>
      <c r="BN663" s="7"/>
      <c r="BO663" s="4"/>
      <c r="BP663" s="8"/>
      <c r="BQ663" s="4"/>
      <c r="BR663" s="8"/>
      <c r="BS663" s="7"/>
      <c r="BT663" s="7"/>
      <c r="BU663" s="2" t="s">
        <v>147</v>
      </c>
      <c r="BV663" s="2" t="s">
        <v>97</v>
      </c>
      <c r="BW663" s="2" t="s">
        <v>100</v>
      </c>
      <c r="BX663" s="2" t="s">
        <v>100</v>
      </c>
      <c r="BY663" s="2" t="s">
        <v>112</v>
      </c>
      <c r="BZ663" s="2" t="s">
        <v>100</v>
      </c>
    </row>
    <row r="664">
      <c r="A664" s="2" t="s">
        <v>2586</v>
      </c>
      <c r="B664" s="2" t="s">
        <v>87</v>
      </c>
      <c r="C664" s="2" t="s">
        <v>88</v>
      </c>
      <c r="D664" s="2" t="s">
        <v>2308</v>
      </c>
      <c r="E664" s="2" t="s">
        <v>2309</v>
      </c>
      <c r="F664" s="2" t="s">
        <v>2580</v>
      </c>
      <c r="G664" s="2" t="s">
        <v>2581</v>
      </c>
      <c r="H664" s="2" t="s">
        <v>2582</v>
      </c>
      <c r="I664" s="2" t="s">
        <v>2583</v>
      </c>
      <c r="J664" s="2" t="s">
        <v>850</v>
      </c>
      <c r="K664" s="2" t="s">
        <v>333</v>
      </c>
      <c r="L664" s="3">
        <v>41.14</v>
      </c>
      <c r="M664" s="3">
        <v>43.2</v>
      </c>
      <c r="N664" s="3">
        <v>89.99</v>
      </c>
      <c r="O664" s="2" t="s">
        <v>97</v>
      </c>
      <c r="P664" s="2" t="s">
        <v>1166</v>
      </c>
      <c r="Q664" s="2" t="s">
        <v>99</v>
      </c>
      <c r="R664" s="2" t="s">
        <v>100</v>
      </c>
      <c r="S664" s="2" t="s">
        <v>2584</v>
      </c>
      <c r="T664" s="2" t="s">
        <v>1168</v>
      </c>
      <c r="U664" s="2" t="s">
        <v>1610</v>
      </c>
      <c r="V664" s="2" t="s">
        <v>991</v>
      </c>
      <c r="W664" s="2" t="s">
        <v>759</v>
      </c>
      <c r="X664" s="2" t="s">
        <v>100</v>
      </c>
      <c r="Y664" s="2" t="s">
        <v>2220</v>
      </c>
      <c r="Z664" s="4">
        <v>415</v>
      </c>
      <c r="AA664" s="4">
        <f>=ROUNDDOWN(59.2857142857143,0)</f>
      </c>
      <c r="AB664" s="5">
        <v>7</v>
      </c>
      <c r="AC664" s="2" t="s">
        <v>100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/>
      <c r="BJ664" s="4">
        <v>17</v>
      </c>
      <c r="BK664" s="8">
        <v>771.45</v>
      </c>
      <c r="BL664" s="2" t="s">
        <v>1484</v>
      </c>
      <c r="BM664" s="7"/>
      <c r="BN664" s="7"/>
      <c r="BO664" s="4"/>
      <c r="BP664" s="8"/>
      <c r="BQ664" s="4"/>
      <c r="BR664" s="8"/>
      <c r="BS664" s="7"/>
      <c r="BT664" s="7"/>
      <c r="BU664" s="2" t="s">
        <v>147</v>
      </c>
      <c r="BV664" s="2" t="s">
        <v>97</v>
      </c>
      <c r="BW664" s="2" t="s">
        <v>100</v>
      </c>
      <c r="BX664" s="2" t="s">
        <v>100</v>
      </c>
      <c r="BY664" s="2" t="s">
        <v>112</v>
      </c>
      <c r="BZ664" s="2" t="s">
        <v>100</v>
      </c>
    </row>
    <row r="665">
      <c r="A665" s="2" t="s">
        <v>2587</v>
      </c>
      <c r="B665" s="2" t="s">
        <v>87</v>
      </c>
      <c r="C665" s="2" t="s">
        <v>88</v>
      </c>
      <c r="D665" s="2" t="s">
        <v>2308</v>
      </c>
      <c r="E665" s="2" t="s">
        <v>2309</v>
      </c>
      <c r="F665" s="2" t="s">
        <v>2580</v>
      </c>
      <c r="G665" s="2" t="s">
        <v>2581</v>
      </c>
      <c r="H665" s="2" t="s">
        <v>2582</v>
      </c>
      <c r="I665" s="2" t="s">
        <v>2583</v>
      </c>
      <c r="J665" s="2" t="s">
        <v>844</v>
      </c>
      <c r="K665" s="2" t="s">
        <v>871</v>
      </c>
      <c r="L665" s="3">
        <v>36.57</v>
      </c>
      <c r="M665" s="3">
        <v>38.4</v>
      </c>
      <c r="N665" s="3">
        <v>79.99</v>
      </c>
      <c r="O665" s="2" t="s">
        <v>97</v>
      </c>
      <c r="P665" s="2" t="s">
        <v>1166</v>
      </c>
      <c r="Q665" s="2" t="s">
        <v>99</v>
      </c>
      <c r="R665" s="2" t="s">
        <v>100</v>
      </c>
      <c r="S665" s="2" t="s">
        <v>2588</v>
      </c>
      <c r="T665" s="2" t="s">
        <v>1168</v>
      </c>
      <c r="U665" s="2" t="s">
        <v>1610</v>
      </c>
      <c r="V665" s="2" t="s">
        <v>991</v>
      </c>
      <c r="W665" s="2" t="s">
        <v>759</v>
      </c>
      <c r="X665" s="2" t="s">
        <v>100</v>
      </c>
      <c r="Y665" s="2" t="s">
        <v>2589</v>
      </c>
      <c r="Z665" s="4">
        <v>311</v>
      </c>
      <c r="AA665" s="4">
        <f>=ROUNDDOWN(207.333333333333,0)</f>
      </c>
      <c r="AB665" s="5">
        <v>1.5</v>
      </c>
      <c r="AC665" s="2" t="s">
        <v>100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/>
      <c r="BJ665" s="4">
        <v>40</v>
      </c>
      <c r="BK665" s="8">
        <v>1617.97</v>
      </c>
      <c r="BL665" s="2" t="s">
        <v>2050</v>
      </c>
      <c r="BM665" s="7"/>
      <c r="BN665" s="7"/>
      <c r="BO665" s="4"/>
      <c r="BP665" s="8"/>
      <c r="BQ665" s="4"/>
      <c r="BR665" s="8"/>
      <c r="BS665" s="7"/>
      <c r="BT665" s="7"/>
      <c r="BU665" s="2" t="s">
        <v>147</v>
      </c>
      <c r="BV665" s="2" t="s">
        <v>97</v>
      </c>
      <c r="BW665" s="2" t="s">
        <v>100</v>
      </c>
      <c r="BX665" s="2" t="s">
        <v>100</v>
      </c>
      <c r="BY665" s="2" t="s">
        <v>112</v>
      </c>
      <c r="BZ665" s="2" t="s">
        <v>100</v>
      </c>
    </row>
    <row r="666">
      <c r="A666" s="2" t="s">
        <v>2590</v>
      </c>
      <c r="B666" s="2" t="s">
        <v>87</v>
      </c>
      <c r="C666" s="2" t="s">
        <v>88</v>
      </c>
      <c r="D666" s="2" t="s">
        <v>2308</v>
      </c>
      <c r="E666" s="2" t="s">
        <v>2309</v>
      </c>
      <c r="F666" s="2" t="s">
        <v>2580</v>
      </c>
      <c r="G666" s="2" t="s">
        <v>2581</v>
      </c>
      <c r="H666" s="2" t="s">
        <v>2582</v>
      </c>
      <c r="I666" s="2" t="s">
        <v>2583</v>
      </c>
      <c r="J666" s="2" t="s">
        <v>850</v>
      </c>
      <c r="K666" s="2" t="s">
        <v>871</v>
      </c>
      <c r="L666" s="3">
        <v>41.14</v>
      </c>
      <c r="M666" s="3">
        <v>43.2</v>
      </c>
      <c r="N666" s="3">
        <v>89.99</v>
      </c>
      <c r="O666" s="2" t="s">
        <v>97</v>
      </c>
      <c r="P666" s="2" t="s">
        <v>1166</v>
      </c>
      <c r="Q666" s="2" t="s">
        <v>99</v>
      </c>
      <c r="R666" s="2" t="s">
        <v>100</v>
      </c>
      <c r="S666" s="2" t="s">
        <v>2588</v>
      </c>
      <c r="T666" s="2" t="s">
        <v>1168</v>
      </c>
      <c r="U666" s="2" t="s">
        <v>1610</v>
      </c>
      <c r="V666" s="2" t="s">
        <v>991</v>
      </c>
      <c r="W666" s="2" t="s">
        <v>759</v>
      </c>
      <c r="X666" s="2" t="s">
        <v>100</v>
      </c>
      <c r="Y666" s="2" t="s">
        <v>2589</v>
      </c>
      <c r="Z666" s="4">
        <v>394</v>
      </c>
      <c r="AA666" s="4">
        <f>=ROUNDDOWN(43.7777777777778,0)</f>
      </c>
      <c r="AB666" s="5">
        <v>9</v>
      </c>
      <c r="AC666" s="2" t="s">
        <v>100</v>
      </c>
      <c r="AD666" s="4"/>
      <c r="AE666" s="4"/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/>
      <c r="BJ666" s="4">
        <v>35</v>
      </c>
      <c r="BK666" s="8">
        <v>1617.28</v>
      </c>
      <c r="BL666" s="2" t="s">
        <v>2591</v>
      </c>
      <c r="BM666" s="7"/>
      <c r="BN666" s="7"/>
      <c r="BO666" s="4"/>
      <c r="BP666" s="8"/>
      <c r="BQ666" s="4"/>
      <c r="BR666" s="8"/>
      <c r="BS666" s="7"/>
      <c r="BT666" s="7"/>
      <c r="BU666" s="2" t="s">
        <v>147</v>
      </c>
      <c r="BV666" s="2" t="s">
        <v>97</v>
      </c>
      <c r="BW666" s="2" t="s">
        <v>100</v>
      </c>
      <c r="BX666" s="2" t="s">
        <v>100</v>
      </c>
      <c r="BY666" s="2" t="s">
        <v>112</v>
      </c>
      <c r="BZ666" s="2" t="s">
        <v>100</v>
      </c>
    </row>
    <row r="667">
      <c r="A667" s="2" t="s">
        <v>2592</v>
      </c>
      <c r="B667" s="2" t="s">
        <v>87</v>
      </c>
      <c r="C667" s="2" t="s">
        <v>88</v>
      </c>
      <c r="D667" s="2" t="s">
        <v>2308</v>
      </c>
      <c r="E667" s="2" t="s">
        <v>2309</v>
      </c>
      <c r="F667" s="2" t="s">
        <v>2593</v>
      </c>
      <c r="G667" s="2" t="s">
        <v>2594</v>
      </c>
      <c r="H667" s="2" t="s">
        <v>2595</v>
      </c>
      <c r="I667" s="2" t="s">
        <v>2596</v>
      </c>
      <c r="J667" s="2" t="s">
        <v>844</v>
      </c>
      <c r="K667" s="2" t="s">
        <v>635</v>
      </c>
      <c r="L667" s="3">
        <v>28.57</v>
      </c>
      <c r="M667" s="3">
        <v>30</v>
      </c>
      <c r="N667" s="3">
        <v>59.99</v>
      </c>
      <c r="O667" s="2" t="s">
        <v>97</v>
      </c>
      <c r="P667" s="2" t="s">
        <v>198</v>
      </c>
      <c r="Q667" s="2" t="s">
        <v>99</v>
      </c>
      <c r="R667" s="2" t="s">
        <v>100</v>
      </c>
      <c r="S667" s="2" t="s">
        <v>2597</v>
      </c>
      <c r="T667" s="2" t="s">
        <v>184</v>
      </c>
      <c r="U667" s="2" t="s">
        <v>1610</v>
      </c>
      <c r="V667" s="2" t="s">
        <v>601</v>
      </c>
      <c r="W667" s="2" t="s">
        <v>759</v>
      </c>
      <c r="X667" s="2" t="s">
        <v>808</v>
      </c>
      <c r="Y667" s="2" t="s">
        <v>116</v>
      </c>
      <c r="Z667" s="4">
        <v>277</v>
      </c>
      <c r="AA667" s="4">
        <f>=ROUNDDOWN(47.7586206896552,0)</f>
      </c>
      <c r="AB667" s="5">
        <v>5.8</v>
      </c>
      <c r="AC667" s="2" t="s">
        <v>100</v>
      </c>
      <c r="AD667" s="4"/>
      <c r="AE667" s="4"/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/>
      <c r="BJ667" s="4">
        <v>151</v>
      </c>
      <c r="BK667" s="8">
        <v>4106.27</v>
      </c>
      <c r="BL667" s="2" t="s">
        <v>2598</v>
      </c>
      <c r="BM667" s="7"/>
      <c r="BN667" s="7"/>
      <c r="BO667" s="4"/>
      <c r="BP667" s="8"/>
      <c r="BQ667" s="4"/>
      <c r="BR667" s="8"/>
      <c r="BS667" s="7"/>
      <c r="BT667" s="7"/>
      <c r="BU667" s="2" t="s">
        <v>147</v>
      </c>
      <c r="BV667" s="2" t="s">
        <v>97</v>
      </c>
      <c r="BW667" s="2" t="s">
        <v>100</v>
      </c>
      <c r="BX667" s="2" t="s">
        <v>100</v>
      </c>
      <c r="BY667" s="2" t="s">
        <v>112</v>
      </c>
      <c r="BZ667" s="2" t="s">
        <v>100</v>
      </c>
    </row>
    <row r="668">
      <c r="A668" s="2" t="s">
        <v>2599</v>
      </c>
      <c r="B668" s="2" t="s">
        <v>87</v>
      </c>
      <c r="C668" s="2" t="s">
        <v>88</v>
      </c>
      <c r="D668" s="2" t="s">
        <v>2308</v>
      </c>
      <c r="E668" s="2" t="s">
        <v>2309</v>
      </c>
      <c r="F668" s="2" t="s">
        <v>2593</v>
      </c>
      <c r="G668" s="2" t="s">
        <v>2594</v>
      </c>
      <c r="H668" s="2" t="s">
        <v>2595</v>
      </c>
      <c r="I668" s="2" t="s">
        <v>2596</v>
      </c>
      <c r="J668" s="2" t="s">
        <v>850</v>
      </c>
      <c r="K668" s="2" t="s">
        <v>635</v>
      </c>
      <c r="L668" s="3">
        <v>33.33</v>
      </c>
      <c r="M668" s="3">
        <v>35</v>
      </c>
      <c r="N668" s="3">
        <v>69.99</v>
      </c>
      <c r="O668" s="2" t="s">
        <v>97</v>
      </c>
      <c r="P668" s="2" t="s">
        <v>198</v>
      </c>
      <c r="Q668" s="2" t="s">
        <v>99</v>
      </c>
      <c r="R668" s="2" t="s">
        <v>100</v>
      </c>
      <c r="S668" s="2" t="s">
        <v>2597</v>
      </c>
      <c r="T668" s="2" t="s">
        <v>184</v>
      </c>
      <c r="U668" s="2" t="s">
        <v>1610</v>
      </c>
      <c r="V668" s="2" t="s">
        <v>601</v>
      </c>
      <c r="W668" s="2" t="s">
        <v>759</v>
      </c>
      <c r="X668" s="2" t="s">
        <v>808</v>
      </c>
      <c r="Y668" s="2" t="s">
        <v>116</v>
      </c>
      <c r="Z668" s="4">
        <v>389</v>
      </c>
      <c r="AA668" s="4">
        <f>=ROUNDDOWN(53.2876712328767,0)</f>
      </c>
      <c r="AB668" s="5">
        <v>7.3</v>
      </c>
      <c r="AC668" s="2" t="s">
        <v>100</v>
      </c>
      <c r="AD668" s="4"/>
      <c r="AE668" s="4"/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/>
      <c r="BJ668" s="4">
        <v>157</v>
      </c>
      <c r="BK668" s="8">
        <v>4795.85</v>
      </c>
      <c r="BL668" s="2" t="s">
        <v>2600</v>
      </c>
      <c r="BM668" s="7"/>
      <c r="BN668" s="7"/>
      <c r="BO668" s="4"/>
      <c r="BP668" s="8"/>
      <c r="BQ668" s="4"/>
      <c r="BR668" s="8"/>
      <c r="BS668" s="7"/>
      <c r="BT668" s="7"/>
      <c r="BU668" s="2" t="s">
        <v>147</v>
      </c>
      <c r="BV668" s="2" t="s">
        <v>97</v>
      </c>
      <c r="BW668" s="2" t="s">
        <v>100</v>
      </c>
      <c r="BX668" s="2" t="s">
        <v>100</v>
      </c>
      <c r="BY668" s="2" t="s">
        <v>112</v>
      </c>
      <c r="BZ668" s="2" t="s">
        <v>100</v>
      </c>
    </row>
    <row r="669">
      <c r="A669" s="2" t="s">
        <v>2601</v>
      </c>
      <c r="B669" s="2" t="s">
        <v>87</v>
      </c>
      <c r="C669" s="2" t="s">
        <v>88</v>
      </c>
      <c r="D669" s="2" t="s">
        <v>2308</v>
      </c>
      <c r="E669" s="2" t="s">
        <v>2309</v>
      </c>
      <c r="F669" s="2" t="s">
        <v>2593</v>
      </c>
      <c r="G669" s="2" t="s">
        <v>2594</v>
      </c>
      <c r="H669" s="2" t="s">
        <v>2595</v>
      </c>
      <c r="I669" s="2" t="s">
        <v>2596</v>
      </c>
      <c r="J669" s="2" t="s">
        <v>844</v>
      </c>
      <c r="K669" s="2" t="s">
        <v>1592</v>
      </c>
      <c r="L669" s="3">
        <v>28.57</v>
      </c>
      <c r="M669" s="3">
        <v>30</v>
      </c>
      <c r="N669" s="3">
        <v>59.99</v>
      </c>
      <c r="O669" s="2" t="s">
        <v>97</v>
      </c>
      <c r="P669" s="2" t="s">
        <v>198</v>
      </c>
      <c r="Q669" s="2" t="s">
        <v>99</v>
      </c>
      <c r="R669" s="2" t="s">
        <v>100</v>
      </c>
      <c r="S669" s="2" t="s">
        <v>2602</v>
      </c>
      <c r="T669" s="2" t="s">
        <v>184</v>
      </c>
      <c r="U669" s="2" t="s">
        <v>1610</v>
      </c>
      <c r="V669" s="2" t="s">
        <v>601</v>
      </c>
      <c r="W669" s="2" t="s">
        <v>759</v>
      </c>
      <c r="X669" s="2" t="s">
        <v>808</v>
      </c>
      <c r="Y669" s="2" t="s">
        <v>116</v>
      </c>
      <c r="Z669" s="4">
        <v>377</v>
      </c>
      <c r="AA669" s="4">
        <f>=ROUNDDOWN(35.9047619047619,0)</f>
      </c>
      <c r="AB669" s="5">
        <v>10.5</v>
      </c>
      <c r="AC669" s="2" t="s">
        <v>100</v>
      </c>
      <c r="AD669" s="4"/>
      <c r="AE669" s="4"/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/>
      <c r="BJ669" s="4">
        <v>255</v>
      </c>
      <c r="BK669" s="8">
        <v>6440.11</v>
      </c>
      <c r="BL669" s="2" t="s">
        <v>2603</v>
      </c>
      <c r="BM669" s="7"/>
      <c r="BN669" s="7"/>
      <c r="BO669" s="4"/>
      <c r="BP669" s="8"/>
      <c r="BQ669" s="4"/>
      <c r="BR669" s="8"/>
      <c r="BS669" s="7"/>
      <c r="BT669" s="7"/>
      <c r="BU669" s="2" t="s">
        <v>147</v>
      </c>
      <c r="BV669" s="2" t="s">
        <v>97</v>
      </c>
      <c r="BW669" s="2" t="s">
        <v>100</v>
      </c>
      <c r="BX669" s="2" t="s">
        <v>100</v>
      </c>
      <c r="BY669" s="2" t="s">
        <v>112</v>
      </c>
      <c r="BZ669" s="2" t="s">
        <v>100</v>
      </c>
    </row>
    <row r="670">
      <c r="A670" s="2" t="s">
        <v>2604</v>
      </c>
      <c r="B670" s="2" t="s">
        <v>87</v>
      </c>
      <c r="C670" s="2" t="s">
        <v>88</v>
      </c>
      <c r="D670" s="2" t="s">
        <v>2308</v>
      </c>
      <c r="E670" s="2" t="s">
        <v>2309</v>
      </c>
      <c r="F670" s="2" t="s">
        <v>2593</v>
      </c>
      <c r="G670" s="2" t="s">
        <v>2594</v>
      </c>
      <c r="H670" s="2" t="s">
        <v>2595</v>
      </c>
      <c r="I670" s="2" t="s">
        <v>2596</v>
      </c>
      <c r="J670" s="2" t="s">
        <v>850</v>
      </c>
      <c r="K670" s="2" t="s">
        <v>1592</v>
      </c>
      <c r="L670" s="3">
        <v>33.33</v>
      </c>
      <c r="M670" s="3">
        <v>35</v>
      </c>
      <c r="N670" s="3">
        <v>69.99</v>
      </c>
      <c r="O670" s="2" t="s">
        <v>97</v>
      </c>
      <c r="P670" s="2" t="s">
        <v>198</v>
      </c>
      <c r="Q670" s="2" t="s">
        <v>99</v>
      </c>
      <c r="R670" s="2" t="s">
        <v>100</v>
      </c>
      <c r="S670" s="2" t="s">
        <v>2602</v>
      </c>
      <c r="T670" s="2" t="s">
        <v>184</v>
      </c>
      <c r="U670" s="2" t="s">
        <v>1610</v>
      </c>
      <c r="V670" s="2" t="s">
        <v>601</v>
      </c>
      <c r="W670" s="2" t="s">
        <v>759</v>
      </c>
      <c r="X670" s="2" t="s">
        <v>808</v>
      </c>
      <c r="Y670" s="2" t="s">
        <v>116</v>
      </c>
      <c r="Z670" s="4">
        <v>606</v>
      </c>
      <c r="AA670" s="4">
        <f>=ROUNDDOWN(63.7894736842105,0)</f>
      </c>
      <c r="AB670" s="5">
        <v>9.5</v>
      </c>
      <c r="AC670" s="2" t="s">
        <v>100</v>
      </c>
      <c r="AD670" s="4"/>
      <c r="AE670" s="4"/>
      <c r="AF670" s="6">
        <v>64</v>
      </c>
      <c r="AG670" s="6"/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/>
      <c r="BJ670" s="4">
        <v>298</v>
      </c>
      <c r="BK670" s="8">
        <v>9379.52</v>
      </c>
      <c r="BL670" s="2" t="s">
        <v>2605</v>
      </c>
      <c r="BM670" s="7"/>
      <c r="BN670" s="7"/>
      <c r="BO670" s="4"/>
      <c r="BP670" s="8"/>
      <c r="BQ670" s="4"/>
      <c r="BR670" s="8"/>
      <c r="BS670" s="7"/>
      <c r="BT670" s="7"/>
      <c r="BU670" s="2" t="s">
        <v>147</v>
      </c>
      <c r="BV670" s="2" t="s">
        <v>97</v>
      </c>
      <c r="BW670" s="2" t="s">
        <v>100</v>
      </c>
      <c r="BX670" s="2" t="s">
        <v>100</v>
      </c>
      <c r="BY670" s="2" t="s">
        <v>112</v>
      </c>
      <c r="BZ670" s="2" t="s">
        <v>100</v>
      </c>
    </row>
    <row r="671">
      <c r="A671" s="2" t="s">
        <v>2606</v>
      </c>
      <c r="B671" s="2" t="s">
        <v>87</v>
      </c>
      <c r="C671" s="2" t="s">
        <v>88</v>
      </c>
      <c r="D671" s="2" t="s">
        <v>2308</v>
      </c>
      <c r="E671" s="2" t="s">
        <v>2309</v>
      </c>
      <c r="F671" s="2" t="s">
        <v>2607</v>
      </c>
      <c r="G671" s="2" t="s">
        <v>2608</v>
      </c>
      <c r="H671" s="2" t="s">
        <v>2609</v>
      </c>
      <c r="I671" s="2" t="s">
        <v>2610</v>
      </c>
      <c r="J671" s="2" t="s">
        <v>844</v>
      </c>
      <c r="K671" s="2" t="s">
        <v>2611</v>
      </c>
      <c r="L671" s="3">
        <v>36.8</v>
      </c>
      <c r="M671" s="3">
        <v>38.64</v>
      </c>
      <c r="N671" s="3">
        <v>79.99</v>
      </c>
      <c r="O671" s="2" t="s">
        <v>97</v>
      </c>
      <c r="P671" s="2" t="s">
        <v>182</v>
      </c>
      <c r="Q671" s="2" t="s">
        <v>99</v>
      </c>
      <c r="R671" s="2" t="s">
        <v>100</v>
      </c>
      <c r="S671" s="2" t="s">
        <v>2612</v>
      </c>
      <c r="T671" s="2" t="s">
        <v>184</v>
      </c>
      <c r="U671" s="2" t="s">
        <v>1610</v>
      </c>
      <c r="V671" s="2" t="s">
        <v>1287</v>
      </c>
      <c r="W671" s="2" t="s">
        <v>312</v>
      </c>
      <c r="X671" s="2" t="s">
        <v>492</v>
      </c>
      <c r="Y671" s="2" t="s">
        <v>2613</v>
      </c>
      <c r="Z671" s="4">
        <v>627</v>
      </c>
      <c r="AA671" s="4">
        <f>=ROUNDDOWN(24.1153846153846,0)</f>
      </c>
      <c r="AB671" s="5">
        <v>26</v>
      </c>
      <c r="AC671" s="2" t="s">
        <v>936</v>
      </c>
      <c r="AD671" s="4">
        <v>320</v>
      </c>
      <c r="AE671" s="4">
        <v>1090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/>
      <c r="BJ671" s="4">
        <v>548</v>
      </c>
      <c r="BK671" s="8">
        <v>21258.12</v>
      </c>
      <c r="BL671" s="2" t="s">
        <v>2614</v>
      </c>
      <c r="BM671" s="7"/>
      <c r="BN671" s="7"/>
      <c r="BO671" s="4"/>
      <c r="BP671" s="8"/>
      <c r="BQ671" s="4"/>
      <c r="BR671" s="8"/>
      <c r="BS671" s="7"/>
      <c r="BT671" s="7"/>
      <c r="BU671" s="2" t="s">
        <v>147</v>
      </c>
      <c r="BV671" s="2" t="s">
        <v>97</v>
      </c>
      <c r="BW671" s="2" t="s">
        <v>100</v>
      </c>
      <c r="BX671" s="2" t="s">
        <v>100</v>
      </c>
      <c r="BY671" s="2" t="s">
        <v>112</v>
      </c>
      <c r="BZ671" s="2" t="s">
        <v>100</v>
      </c>
    </row>
    <row r="672">
      <c r="A672" s="2" t="s">
        <v>2615</v>
      </c>
      <c r="B672" s="2" t="s">
        <v>87</v>
      </c>
      <c r="C672" s="2" t="s">
        <v>88</v>
      </c>
      <c r="D672" s="2" t="s">
        <v>2308</v>
      </c>
      <c r="E672" s="2" t="s">
        <v>2309</v>
      </c>
      <c r="F672" s="2" t="s">
        <v>2607</v>
      </c>
      <c r="G672" s="2" t="s">
        <v>2608</v>
      </c>
      <c r="H672" s="2" t="s">
        <v>2609</v>
      </c>
      <c r="I672" s="2" t="s">
        <v>2610</v>
      </c>
      <c r="J672" s="2" t="s">
        <v>850</v>
      </c>
      <c r="K672" s="2" t="s">
        <v>2611</v>
      </c>
      <c r="L672" s="3">
        <v>42.3</v>
      </c>
      <c r="M672" s="3">
        <v>44.41</v>
      </c>
      <c r="N672" s="3">
        <v>89.99</v>
      </c>
      <c r="O672" s="2" t="s">
        <v>97</v>
      </c>
      <c r="P672" s="2" t="s">
        <v>182</v>
      </c>
      <c r="Q672" s="2" t="s">
        <v>99</v>
      </c>
      <c r="R672" s="2" t="s">
        <v>100</v>
      </c>
      <c r="S672" s="2" t="s">
        <v>2612</v>
      </c>
      <c r="T672" s="2" t="s">
        <v>184</v>
      </c>
      <c r="U672" s="2" t="s">
        <v>1610</v>
      </c>
      <c r="V672" s="2" t="s">
        <v>1287</v>
      </c>
      <c r="W672" s="2" t="s">
        <v>312</v>
      </c>
      <c r="X672" s="2" t="s">
        <v>492</v>
      </c>
      <c r="Y672" s="2" t="s">
        <v>2613</v>
      </c>
      <c r="Z672" s="4">
        <v>430</v>
      </c>
      <c r="AA672" s="4">
        <f>=ROUNDDOWN(17.2,0)</f>
      </c>
      <c r="AB672" s="5">
        <v>25</v>
      </c>
      <c r="AC672" s="2" t="s">
        <v>936</v>
      </c>
      <c r="AD672" s="4">
        <v>270</v>
      </c>
      <c r="AE672" s="4">
        <v>1280</v>
      </c>
      <c r="AF672" s="6">
        <v>65</v>
      </c>
      <c r="AG672" s="6"/>
      <c r="AH672" s="7">
        <v>0.9576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/>
      <c r="BJ672" s="4">
        <v>525</v>
      </c>
      <c r="BK672" s="8">
        <v>23092.23</v>
      </c>
      <c r="BL672" s="2" t="s">
        <v>2616</v>
      </c>
      <c r="BM672" s="7"/>
      <c r="BN672" s="7"/>
      <c r="BO672" s="4"/>
      <c r="BP672" s="8"/>
      <c r="BQ672" s="4"/>
      <c r="BR672" s="8"/>
      <c r="BS672" s="7"/>
      <c r="BT672" s="7"/>
      <c r="BU672" s="2" t="s">
        <v>147</v>
      </c>
      <c r="BV672" s="2" t="s">
        <v>97</v>
      </c>
      <c r="BW672" s="2" t="s">
        <v>100</v>
      </c>
      <c r="BX672" s="2" t="s">
        <v>100</v>
      </c>
      <c r="BY672" s="2" t="s">
        <v>112</v>
      </c>
      <c r="BZ672" s="2" t="s">
        <v>100</v>
      </c>
    </row>
    <row r="673">
      <c r="A673" s="2" t="s">
        <v>2617</v>
      </c>
      <c r="B673" s="2" t="s">
        <v>87</v>
      </c>
      <c r="C673" s="2" t="s">
        <v>88</v>
      </c>
      <c r="D673" s="2" t="s">
        <v>2308</v>
      </c>
      <c r="E673" s="2" t="s">
        <v>2309</v>
      </c>
      <c r="F673" s="2" t="s">
        <v>2607</v>
      </c>
      <c r="G673" s="2" t="s">
        <v>2608</v>
      </c>
      <c r="H673" s="2" t="s">
        <v>2609</v>
      </c>
      <c r="I673" s="2" t="s">
        <v>2610</v>
      </c>
      <c r="J673" s="2" t="s">
        <v>844</v>
      </c>
      <c r="K673" s="2" t="s">
        <v>2618</v>
      </c>
      <c r="L673" s="3">
        <v>36.8</v>
      </c>
      <c r="M673" s="3">
        <v>38.64</v>
      </c>
      <c r="N673" s="3">
        <v>79.99</v>
      </c>
      <c r="O673" s="2" t="s">
        <v>97</v>
      </c>
      <c r="P673" s="2" t="s">
        <v>182</v>
      </c>
      <c r="Q673" s="2" t="s">
        <v>99</v>
      </c>
      <c r="R673" s="2" t="s">
        <v>100</v>
      </c>
      <c r="S673" s="2" t="s">
        <v>2619</v>
      </c>
      <c r="T673" s="2" t="s">
        <v>184</v>
      </c>
      <c r="U673" s="2" t="s">
        <v>1610</v>
      </c>
      <c r="V673" s="2" t="s">
        <v>1287</v>
      </c>
      <c r="W673" s="2" t="s">
        <v>312</v>
      </c>
      <c r="X673" s="2" t="s">
        <v>492</v>
      </c>
      <c r="Y673" s="2" t="s">
        <v>2620</v>
      </c>
      <c r="Z673" s="4">
        <v>497</v>
      </c>
      <c r="AA673" s="4">
        <f>=ROUNDDOWN(22.5909090909091,0)</f>
      </c>
      <c r="AB673" s="5">
        <v>22</v>
      </c>
      <c r="AC673" s="2" t="s">
        <v>126</v>
      </c>
      <c r="AD673" s="4">
        <v>240</v>
      </c>
      <c r="AE673" s="4">
        <v>620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/>
      <c r="BJ673" s="4">
        <v>538</v>
      </c>
      <c r="BK673" s="8">
        <v>20703.88</v>
      </c>
      <c r="BL673" s="2" t="s">
        <v>2621</v>
      </c>
      <c r="BM673" s="7"/>
      <c r="BN673" s="7"/>
      <c r="BO673" s="4"/>
      <c r="BP673" s="8"/>
      <c r="BQ673" s="4"/>
      <c r="BR673" s="8"/>
      <c r="BS673" s="7"/>
      <c r="BT673" s="7"/>
      <c r="BU673" s="2" t="s">
        <v>147</v>
      </c>
      <c r="BV673" s="2" t="s">
        <v>97</v>
      </c>
      <c r="BW673" s="2" t="s">
        <v>100</v>
      </c>
      <c r="BX673" s="2" t="s">
        <v>100</v>
      </c>
      <c r="BY673" s="2" t="s">
        <v>112</v>
      </c>
      <c r="BZ673" s="2" t="s">
        <v>100</v>
      </c>
    </row>
    <row r="674">
      <c r="A674" s="2" t="s">
        <v>2622</v>
      </c>
      <c r="B674" s="2" t="s">
        <v>87</v>
      </c>
      <c r="C674" s="2" t="s">
        <v>88</v>
      </c>
      <c r="D674" s="2" t="s">
        <v>2308</v>
      </c>
      <c r="E674" s="2" t="s">
        <v>2309</v>
      </c>
      <c r="F674" s="2" t="s">
        <v>2607</v>
      </c>
      <c r="G674" s="2" t="s">
        <v>2608</v>
      </c>
      <c r="H674" s="2" t="s">
        <v>2609</v>
      </c>
      <c r="I674" s="2" t="s">
        <v>2610</v>
      </c>
      <c r="J674" s="2" t="s">
        <v>850</v>
      </c>
      <c r="K674" s="2" t="s">
        <v>2618</v>
      </c>
      <c r="L674" s="3">
        <v>42.3</v>
      </c>
      <c r="M674" s="3">
        <v>44.41</v>
      </c>
      <c r="N674" s="3">
        <v>89.99</v>
      </c>
      <c r="O674" s="2" t="s">
        <v>97</v>
      </c>
      <c r="P674" s="2" t="s">
        <v>182</v>
      </c>
      <c r="Q674" s="2" t="s">
        <v>99</v>
      </c>
      <c r="R674" s="2" t="s">
        <v>100</v>
      </c>
      <c r="S674" s="2" t="s">
        <v>2619</v>
      </c>
      <c r="T674" s="2" t="s">
        <v>184</v>
      </c>
      <c r="U674" s="2" t="s">
        <v>1610</v>
      </c>
      <c r="V674" s="2" t="s">
        <v>1287</v>
      </c>
      <c r="W674" s="2" t="s">
        <v>312</v>
      </c>
      <c r="X674" s="2" t="s">
        <v>492</v>
      </c>
      <c r="Y674" s="2" t="s">
        <v>2623</v>
      </c>
      <c r="Z674" s="4">
        <v>314</v>
      </c>
      <c r="AA674" s="4">
        <f>=ROUNDDOWN(18.4705882352941,0)</f>
      </c>
      <c r="AB674" s="5">
        <v>17</v>
      </c>
      <c r="AC674" s="2" t="s">
        <v>126</v>
      </c>
      <c r="AD674" s="4">
        <v>360</v>
      </c>
      <c r="AE674" s="4">
        <v>600</v>
      </c>
      <c r="AF674" s="6">
        <v>65</v>
      </c>
      <c r="AG674" s="6"/>
      <c r="AH674" s="7">
        <v>0.9818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/>
      <c r="BJ674" s="4">
        <v>347</v>
      </c>
      <c r="BK674" s="8">
        <v>15060.12</v>
      </c>
      <c r="BL674" s="2" t="s">
        <v>2624</v>
      </c>
      <c r="BM674" s="7"/>
      <c r="BN674" s="7"/>
      <c r="BO674" s="4"/>
      <c r="BP674" s="8"/>
      <c r="BQ674" s="4"/>
      <c r="BR674" s="8"/>
      <c r="BS674" s="7"/>
      <c r="BT674" s="7"/>
      <c r="BU674" s="2" t="s">
        <v>147</v>
      </c>
      <c r="BV674" s="2" t="s">
        <v>97</v>
      </c>
      <c r="BW674" s="2" t="s">
        <v>100</v>
      </c>
      <c r="BX674" s="2" t="s">
        <v>100</v>
      </c>
      <c r="BY674" s="2" t="s">
        <v>112</v>
      </c>
      <c r="BZ674" s="2" t="s">
        <v>100</v>
      </c>
    </row>
    <row r="675">
      <c r="A675" s="2" t="s">
        <v>2625</v>
      </c>
      <c r="B675" s="2" t="s">
        <v>87</v>
      </c>
      <c r="C675" s="2" t="s">
        <v>88</v>
      </c>
      <c r="D675" s="2" t="s">
        <v>2308</v>
      </c>
      <c r="E675" s="2" t="s">
        <v>2309</v>
      </c>
      <c r="F675" s="2" t="s">
        <v>2626</v>
      </c>
      <c r="G675" s="2" t="s">
        <v>1185</v>
      </c>
      <c r="H675" s="2" t="s">
        <v>2627</v>
      </c>
      <c r="I675" s="2" t="s">
        <v>2628</v>
      </c>
      <c r="J675" s="2" t="s">
        <v>850</v>
      </c>
      <c r="K675" s="2" t="s">
        <v>2629</v>
      </c>
      <c r="L675" s="3">
        <v>57.14</v>
      </c>
      <c r="M675" s="3">
        <v>60</v>
      </c>
      <c r="N675" s="3">
        <v>119.99</v>
      </c>
      <c r="O675" s="2" t="s">
        <v>97</v>
      </c>
      <c r="P675" s="2" t="s">
        <v>198</v>
      </c>
      <c r="Q675" s="2" t="s">
        <v>99</v>
      </c>
      <c r="R675" s="2" t="s">
        <v>100</v>
      </c>
      <c r="S675" s="2" t="s">
        <v>2630</v>
      </c>
      <c r="T675" s="2" t="s">
        <v>732</v>
      </c>
      <c r="U675" s="2" t="s">
        <v>1610</v>
      </c>
      <c r="V675" s="2" t="s">
        <v>491</v>
      </c>
      <c r="W675" s="2" t="s">
        <v>808</v>
      </c>
      <c r="X675" s="2" t="s">
        <v>1288</v>
      </c>
      <c r="Y675" s="2" t="s">
        <v>2631</v>
      </c>
      <c r="Z675" s="4">
        <v>3</v>
      </c>
      <c r="AA675" s="4">
        <f>=ROUNDDOWN(0.0806451612903226,0)</f>
      </c>
      <c r="AB675" s="5">
        <v>37.2</v>
      </c>
      <c r="AC675" s="2" t="s">
        <v>100</v>
      </c>
      <c r="AD675" s="4"/>
      <c r="AE675" s="4"/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/>
      <c r="BD675" s="8"/>
      <c r="BE675" s="4"/>
      <c r="BF675" s="8"/>
      <c r="BG675" s="7"/>
      <c r="BH675" s="7"/>
      <c r="BI675" s="7"/>
      <c r="BJ675" s="4">
        <v>586</v>
      </c>
      <c r="BK675" s="8">
        <v>25912.52</v>
      </c>
      <c r="BL675" s="2" t="s">
        <v>2632</v>
      </c>
      <c r="BM675" s="7"/>
      <c r="BN675" s="7"/>
      <c r="BO675" s="4"/>
      <c r="BP675" s="8"/>
      <c r="BQ675" s="4"/>
      <c r="BR675" s="8"/>
      <c r="BS675" s="7"/>
      <c r="BT675" s="7"/>
      <c r="BU675" s="2" t="s">
        <v>147</v>
      </c>
      <c r="BV675" s="2" t="s">
        <v>97</v>
      </c>
      <c r="BW675" s="2" t="s">
        <v>100</v>
      </c>
      <c r="BX675" s="2" t="s">
        <v>100</v>
      </c>
      <c r="BY675" s="2" t="s">
        <v>112</v>
      </c>
      <c r="BZ675" s="2" t="s">
        <v>100</v>
      </c>
    </row>
    <row r="676">
      <c r="A676" s="2" t="s">
        <v>2633</v>
      </c>
      <c r="B676" s="2" t="s">
        <v>87</v>
      </c>
      <c r="C676" s="2" t="s">
        <v>88</v>
      </c>
      <c r="D676" s="2" t="s">
        <v>2308</v>
      </c>
      <c r="E676" s="2" t="s">
        <v>2309</v>
      </c>
      <c r="F676" s="2" t="s">
        <v>2297</v>
      </c>
      <c r="G676" s="2" t="s">
        <v>1106</v>
      </c>
      <c r="H676" s="2" t="s">
        <v>2298</v>
      </c>
      <c r="I676" s="2" t="s">
        <v>2634</v>
      </c>
      <c r="J676" s="2" t="s">
        <v>844</v>
      </c>
      <c r="K676" s="2" t="s">
        <v>2300</v>
      </c>
      <c r="L676" s="3">
        <v>43.2</v>
      </c>
      <c r="M676" s="3">
        <v>45.35</v>
      </c>
      <c r="N676" s="3">
        <v>89.99</v>
      </c>
      <c r="O676" s="2" t="s">
        <v>97</v>
      </c>
      <c r="P676" s="2" t="s">
        <v>182</v>
      </c>
      <c r="Q676" s="2" t="s">
        <v>99</v>
      </c>
      <c r="R676" s="2" t="s">
        <v>100</v>
      </c>
      <c r="S676" s="2" t="s">
        <v>2635</v>
      </c>
      <c r="T676" s="2" t="s">
        <v>732</v>
      </c>
      <c r="U676" s="2" t="s">
        <v>1610</v>
      </c>
      <c r="V676" s="2" t="s">
        <v>455</v>
      </c>
      <c r="W676" s="2" t="s">
        <v>1530</v>
      </c>
      <c r="X676" s="2" t="s">
        <v>185</v>
      </c>
      <c r="Y676" s="2" t="s">
        <v>2636</v>
      </c>
      <c r="Z676" s="4">
        <v>195</v>
      </c>
      <c r="AA676" s="4">
        <f>=ROUNDDOWN(39,0)</f>
      </c>
      <c r="AB676" s="5">
        <v>5</v>
      </c>
      <c r="AC676" s="2" t="s">
        <v>100</v>
      </c>
      <c r="AD676" s="4"/>
      <c r="AE676" s="4"/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/>
      <c r="BJ676" s="4">
        <v>122</v>
      </c>
      <c r="BK676" s="8">
        <v>5695.9</v>
      </c>
      <c r="BL676" s="2" t="s">
        <v>2637</v>
      </c>
      <c r="BM676" s="7"/>
      <c r="BN676" s="7"/>
      <c r="BO676" s="4"/>
      <c r="BP676" s="8"/>
      <c r="BQ676" s="4"/>
      <c r="BR676" s="8"/>
      <c r="BS676" s="7"/>
      <c r="BT676" s="7"/>
      <c r="BU676" s="2" t="s">
        <v>147</v>
      </c>
      <c r="BV676" s="2" t="s">
        <v>97</v>
      </c>
      <c r="BW676" s="2" t="s">
        <v>100</v>
      </c>
      <c r="BX676" s="2" t="s">
        <v>100</v>
      </c>
      <c r="BY676" s="2" t="s">
        <v>112</v>
      </c>
      <c r="BZ676" s="2" t="s">
        <v>100</v>
      </c>
    </row>
    <row r="677">
      <c r="A677" s="2" t="s">
        <v>2638</v>
      </c>
      <c r="B677" s="2" t="s">
        <v>87</v>
      </c>
      <c r="C677" s="2" t="s">
        <v>88</v>
      </c>
      <c r="D677" s="2" t="s">
        <v>2308</v>
      </c>
      <c r="E677" s="2" t="s">
        <v>2309</v>
      </c>
      <c r="F677" s="2" t="s">
        <v>2297</v>
      </c>
      <c r="G677" s="2" t="s">
        <v>1106</v>
      </c>
      <c r="H677" s="2" t="s">
        <v>2298</v>
      </c>
      <c r="I677" s="2" t="s">
        <v>2634</v>
      </c>
      <c r="J677" s="2" t="s">
        <v>850</v>
      </c>
      <c r="K677" s="2" t="s">
        <v>2300</v>
      </c>
      <c r="L677" s="3">
        <v>52.8</v>
      </c>
      <c r="M677" s="3">
        <v>55.43</v>
      </c>
      <c r="N677" s="3">
        <v>109.99</v>
      </c>
      <c r="O677" s="2" t="s">
        <v>97</v>
      </c>
      <c r="P677" s="2" t="s">
        <v>182</v>
      </c>
      <c r="Q677" s="2" t="s">
        <v>99</v>
      </c>
      <c r="R677" s="2" t="s">
        <v>100</v>
      </c>
      <c r="S677" s="2" t="s">
        <v>2635</v>
      </c>
      <c r="T677" s="2" t="s">
        <v>732</v>
      </c>
      <c r="U677" s="2" t="s">
        <v>1610</v>
      </c>
      <c r="V677" s="2" t="s">
        <v>455</v>
      </c>
      <c r="W677" s="2" t="s">
        <v>1530</v>
      </c>
      <c r="X677" s="2" t="s">
        <v>185</v>
      </c>
      <c r="Y677" s="2" t="s">
        <v>2636</v>
      </c>
      <c r="Z677" s="4">
        <v>127</v>
      </c>
      <c r="AA677" s="4">
        <f>=ROUNDDOWN(10.16,0)</f>
      </c>
      <c r="AB677" s="5">
        <v>12.5</v>
      </c>
      <c r="AC677" s="2" t="s">
        <v>2305</v>
      </c>
      <c r="AD677" s="4">
        <v>30</v>
      </c>
      <c r="AE677" s="4">
        <v>70</v>
      </c>
      <c r="AF677" s="6">
        <v>69</v>
      </c>
      <c r="AG677" s="6"/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/>
      <c r="BJ677" s="4">
        <v>201</v>
      </c>
      <c r="BK677" s="8">
        <v>11523.81</v>
      </c>
      <c r="BL677" s="2" t="s">
        <v>2639</v>
      </c>
      <c r="BM677" s="7"/>
      <c r="BN677" s="7"/>
      <c r="BO677" s="4"/>
      <c r="BP677" s="8"/>
      <c r="BQ677" s="4"/>
      <c r="BR677" s="8"/>
      <c r="BS677" s="7"/>
      <c r="BT677" s="7"/>
      <c r="BU677" s="2" t="s">
        <v>147</v>
      </c>
      <c r="BV677" s="2" t="s">
        <v>97</v>
      </c>
      <c r="BW677" s="2" t="s">
        <v>100</v>
      </c>
      <c r="BX677" s="2" t="s">
        <v>100</v>
      </c>
      <c r="BY677" s="2" t="s">
        <v>112</v>
      </c>
      <c r="BZ677" s="2" t="s">
        <v>100</v>
      </c>
    </row>
    <row r="678">
      <c r="A678" s="2" t="s">
        <v>2640</v>
      </c>
      <c r="B678" s="2" t="s">
        <v>87</v>
      </c>
      <c r="C678" s="2" t="s">
        <v>88</v>
      </c>
      <c r="D678" s="2" t="s">
        <v>2308</v>
      </c>
      <c r="E678" s="2" t="s">
        <v>2641</v>
      </c>
      <c r="F678" s="2" t="s">
        <v>2642</v>
      </c>
      <c r="G678" s="2" t="s">
        <v>2643</v>
      </c>
      <c r="H678" s="2" t="s">
        <v>2644</v>
      </c>
      <c r="I678" s="2" t="s">
        <v>2645</v>
      </c>
      <c r="J678" s="2" t="s">
        <v>844</v>
      </c>
      <c r="K678" s="2" t="s">
        <v>142</v>
      </c>
      <c r="L678" s="3">
        <v>65</v>
      </c>
      <c r="M678" s="3">
        <v>68.24</v>
      </c>
      <c r="N678" s="3">
        <v>129.99</v>
      </c>
      <c r="O678" s="2" t="s">
        <v>97</v>
      </c>
      <c r="P678" s="2" t="s">
        <v>182</v>
      </c>
      <c r="Q678" s="2" t="s">
        <v>99</v>
      </c>
      <c r="R678" s="2" t="s">
        <v>100</v>
      </c>
      <c r="S678" s="2" t="s">
        <v>2646</v>
      </c>
      <c r="T678" s="2" t="s">
        <v>100</v>
      </c>
      <c r="U678" s="2" t="s">
        <v>102</v>
      </c>
      <c r="V678" s="2" t="s">
        <v>637</v>
      </c>
      <c r="W678" s="2" t="s">
        <v>104</v>
      </c>
      <c r="X678" s="2" t="s">
        <v>1310</v>
      </c>
      <c r="Y678" s="2" t="s">
        <v>106</v>
      </c>
      <c r="Z678" s="4">
        <v>118</v>
      </c>
      <c r="AA678" s="4">
        <f>=ROUNDDOWN(4.72,0)</f>
      </c>
      <c r="AB678" s="5">
        <v>25</v>
      </c>
      <c r="AC678" s="2" t="s">
        <v>659</v>
      </c>
      <c r="AD678" s="4">
        <v>200</v>
      </c>
      <c r="AE678" s="4">
        <v>780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>
        <v>0</v>
      </c>
      <c r="AP678" s="4">
        <v>2</v>
      </c>
      <c r="AQ678" s="8">
        <v>136.48</v>
      </c>
      <c r="AR678" s="4">
        <v>1</v>
      </c>
      <c r="AS678" s="8">
        <v>68.24</v>
      </c>
      <c r="AT678" s="7">
        <v>1</v>
      </c>
      <c r="AU678" s="7">
        <v>1</v>
      </c>
      <c r="AV678" s="4">
        <v>4</v>
      </c>
      <c r="AW678" s="8">
        <v>297.12</v>
      </c>
      <c r="AX678" s="4">
        <v>3</v>
      </c>
      <c r="AY678" s="8">
        <v>228.88</v>
      </c>
      <c r="AZ678" s="7">
        <v>0.3333</v>
      </c>
      <c r="BA678" s="7">
        <v>0.2981</v>
      </c>
      <c r="BB678" s="7">
        <v>0.4593</v>
      </c>
      <c r="BC678" s="4">
        <v>6</v>
      </c>
      <c r="BD678" s="8">
        <v>433.6</v>
      </c>
      <c r="BE678" s="4">
        <v>8</v>
      </c>
      <c r="BF678" s="8">
        <v>594.24</v>
      </c>
      <c r="BG678" s="7">
        <v>-0.25</v>
      </c>
      <c r="BH678" s="7">
        <v>-0.2703</v>
      </c>
      <c r="BI678" s="7">
        <v>0.6852</v>
      </c>
      <c r="BJ678" s="4">
        <v>426</v>
      </c>
      <c r="BK678" s="8">
        <v>28475.12</v>
      </c>
      <c r="BL678" s="2" t="s">
        <v>2647</v>
      </c>
      <c r="BM678" s="7">
        <v>0.0047</v>
      </c>
      <c r="BN678" s="7">
        <v>0.0048</v>
      </c>
      <c r="BO678" s="4">
        <v>2</v>
      </c>
      <c r="BP678" s="8">
        <v>136.48</v>
      </c>
      <c r="BQ678" s="4">
        <v>1</v>
      </c>
      <c r="BR678" s="8">
        <v>68.24</v>
      </c>
      <c r="BS678" s="7">
        <v>1</v>
      </c>
      <c r="BT678" s="7">
        <v>1</v>
      </c>
      <c r="BU678" s="2" t="s">
        <v>109</v>
      </c>
      <c r="BV678" s="2" t="s">
        <v>97</v>
      </c>
      <c r="BW678" s="2" t="s">
        <v>132</v>
      </c>
      <c r="BX678" s="2" t="s">
        <v>2648</v>
      </c>
      <c r="BY678" s="2" t="s">
        <v>112</v>
      </c>
      <c r="BZ678" s="2" t="s">
        <v>100</v>
      </c>
    </row>
    <row r="679">
      <c r="A679" s="2" t="s">
        <v>2649</v>
      </c>
      <c r="B679" s="2" t="s">
        <v>87</v>
      </c>
      <c r="C679" s="2" t="s">
        <v>88</v>
      </c>
      <c r="D679" s="2" t="s">
        <v>2308</v>
      </c>
      <c r="E679" s="2" t="s">
        <v>2641</v>
      </c>
      <c r="F679" s="2" t="s">
        <v>2642</v>
      </c>
      <c r="G679" s="2" t="s">
        <v>2643</v>
      </c>
      <c r="H679" s="2" t="s">
        <v>2644</v>
      </c>
      <c r="I679" s="2" t="s">
        <v>2645</v>
      </c>
      <c r="J679" s="2" t="s">
        <v>850</v>
      </c>
      <c r="K679" s="2" t="s">
        <v>142</v>
      </c>
      <c r="L679" s="3">
        <v>76.49</v>
      </c>
      <c r="M679" s="3">
        <v>80.32</v>
      </c>
      <c r="N679" s="3">
        <v>149.99</v>
      </c>
      <c r="O679" s="2" t="s">
        <v>97</v>
      </c>
      <c r="P679" s="2" t="s">
        <v>182</v>
      </c>
      <c r="Q679" s="2" t="s">
        <v>99</v>
      </c>
      <c r="R679" s="2" t="s">
        <v>100</v>
      </c>
      <c r="S679" s="2" t="s">
        <v>2646</v>
      </c>
      <c r="T679" s="2" t="s">
        <v>100</v>
      </c>
      <c r="U679" s="2" t="s">
        <v>102</v>
      </c>
      <c r="V679" s="2" t="s">
        <v>637</v>
      </c>
      <c r="W679" s="2" t="s">
        <v>104</v>
      </c>
      <c r="X679" s="2" t="s">
        <v>1310</v>
      </c>
      <c r="Y679" s="2" t="s">
        <v>106</v>
      </c>
      <c r="Z679" s="4">
        <v>72</v>
      </c>
      <c r="AA679" s="4">
        <f>=ROUNDDOWN(2.25,0)</f>
      </c>
      <c r="AB679" s="5">
        <v>32</v>
      </c>
      <c r="AC679" s="2" t="s">
        <v>659</v>
      </c>
      <c r="AD679" s="4">
        <v>180</v>
      </c>
      <c r="AE679" s="4">
        <v>1040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>
        <v>0</v>
      </c>
      <c r="AP679" s="4">
        <v>2</v>
      </c>
      <c r="AQ679" s="8">
        <v>160.64</v>
      </c>
      <c r="AR679" s="4">
        <v>2</v>
      </c>
      <c r="AS679" s="8">
        <v>160.64</v>
      </c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>
        <v>0.5407</v>
      </c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555</v>
      </c>
      <c r="BK679" s="8">
        <v>42869.47</v>
      </c>
      <c r="BL679" s="2" t="s">
        <v>2650</v>
      </c>
      <c r="BM679" s="7">
        <v>0.0036</v>
      </c>
      <c r="BN679" s="7">
        <v>0.0037</v>
      </c>
      <c r="BO679" s="4">
        <v>2</v>
      </c>
      <c r="BP679" s="8">
        <v>160.64</v>
      </c>
      <c r="BQ679" s="4">
        <v>2</v>
      </c>
      <c r="BR679" s="8">
        <v>160.64</v>
      </c>
      <c r="BS679" s="7"/>
      <c r="BT679" s="7"/>
      <c r="BU679" s="2" t="s">
        <v>109</v>
      </c>
      <c r="BV679" s="2" t="s">
        <v>97</v>
      </c>
      <c r="BW679" s="2" t="s">
        <v>132</v>
      </c>
      <c r="BX679" s="2" t="s">
        <v>2651</v>
      </c>
      <c r="BY679" s="2" t="s">
        <v>112</v>
      </c>
      <c r="BZ679" s="2" t="s">
        <v>100</v>
      </c>
    </row>
    <row r="680">
      <c r="A680" s="2" t="s">
        <v>2652</v>
      </c>
      <c r="B680" s="2" t="s">
        <v>87</v>
      </c>
      <c r="C680" s="2" t="s">
        <v>88</v>
      </c>
      <c r="D680" s="2" t="s">
        <v>2308</v>
      </c>
      <c r="E680" s="2" t="s">
        <v>2641</v>
      </c>
      <c r="F680" s="2" t="s">
        <v>2642</v>
      </c>
      <c r="G680" s="2" t="s">
        <v>2643</v>
      </c>
      <c r="H680" s="2" t="s">
        <v>2644</v>
      </c>
      <c r="I680" s="2" t="s">
        <v>2645</v>
      </c>
      <c r="J680" s="2" t="s">
        <v>844</v>
      </c>
      <c r="K680" s="2" t="s">
        <v>1412</v>
      </c>
      <c r="L680" s="3">
        <v>65</v>
      </c>
      <c r="M680" s="3">
        <v>68.24</v>
      </c>
      <c r="N680" s="3">
        <v>129.99</v>
      </c>
      <c r="O680" s="2" t="s">
        <v>97</v>
      </c>
      <c r="P680" s="2" t="s">
        <v>143</v>
      </c>
      <c r="Q680" s="2" t="s">
        <v>99</v>
      </c>
      <c r="R680" s="2" t="s">
        <v>100</v>
      </c>
      <c r="S680" s="2" t="s">
        <v>2653</v>
      </c>
      <c r="T680" s="2" t="s">
        <v>100</v>
      </c>
      <c r="U680" s="2" t="s">
        <v>102</v>
      </c>
      <c r="V680" s="2" t="s">
        <v>637</v>
      </c>
      <c r="W680" s="2" t="s">
        <v>104</v>
      </c>
      <c r="X680" s="2" t="s">
        <v>1310</v>
      </c>
      <c r="Y680" s="2" t="s">
        <v>106</v>
      </c>
      <c r="Z680" s="4">
        <v>243</v>
      </c>
      <c r="AA680" s="4">
        <f>=ROUNDDOWN(6.075,0)</f>
      </c>
      <c r="AB680" s="5">
        <v>40</v>
      </c>
      <c r="AC680" s="2" t="s">
        <v>936</v>
      </c>
      <c r="AD680" s="4">
        <v>50</v>
      </c>
      <c r="AE680" s="4">
        <v>1150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>
        <v>0</v>
      </c>
      <c r="AP680" s="4">
        <v>2</v>
      </c>
      <c r="AQ680" s="8">
        <v>136.48</v>
      </c>
      <c r="AR680" s="4">
        <v>3</v>
      </c>
      <c r="AS680" s="8">
        <v>204.72</v>
      </c>
      <c r="AT680" s="7">
        <v>-0.3333</v>
      </c>
      <c r="AU680" s="7">
        <v>-0.3333</v>
      </c>
      <c r="AV680" s="4">
        <v>2</v>
      </c>
      <c r="AW680" s="8">
        <v>136.48</v>
      </c>
      <c r="AX680" s="4">
        <v>5</v>
      </c>
      <c r="AY680" s="8">
        <v>365.36</v>
      </c>
      <c r="AZ680" s="7">
        <v>-0.6</v>
      </c>
      <c r="BA680" s="7">
        <v>-0.6265</v>
      </c>
      <c r="BB680" s="7">
        <v>1</v>
      </c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>
        <v>0.3148</v>
      </c>
      <c r="BJ680" s="4">
        <v>744</v>
      </c>
      <c r="BK680" s="8">
        <v>49856.3</v>
      </c>
      <c r="BL680" s="2" t="s">
        <v>2654</v>
      </c>
      <c r="BM680" s="7">
        <v>0.0027</v>
      </c>
      <c r="BN680" s="7">
        <v>0.0027</v>
      </c>
      <c r="BO680" s="4">
        <v>2</v>
      </c>
      <c r="BP680" s="8">
        <v>136.48</v>
      </c>
      <c r="BQ680" s="4">
        <v>3</v>
      </c>
      <c r="BR680" s="8">
        <v>204.72</v>
      </c>
      <c r="BS680" s="7">
        <v>-0.3333</v>
      </c>
      <c r="BT680" s="7">
        <v>-0.3333</v>
      </c>
      <c r="BU680" s="2" t="s">
        <v>109</v>
      </c>
      <c r="BV680" s="2" t="s">
        <v>97</v>
      </c>
      <c r="BW680" s="2" t="s">
        <v>132</v>
      </c>
      <c r="BX680" s="2" t="s">
        <v>2655</v>
      </c>
      <c r="BY680" s="2" t="s">
        <v>112</v>
      </c>
      <c r="BZ680" s="2" t="s">
        <v>100</v>
      </c>
    </row>
    <row r="681">
      <c r="A681" s="2" t="s">
        <v>2656</v>
      </c>
      <c r="B681" s="2" t="s">
        <v>87</v>
      </c>
      <c r="C681" s="2" t="s">
        <v>88</v>
      </c>
      <c r="D681" s="2" t="s">
        <v>2308</v>
      </c>
      <c r="E681" s="2" t="s">
        <v>2641</v>
      </c>
      <c r="F681" s="2" t="s">
        <v>2642</v>
      </c>
      <c r="G681" s="2" t="s">
        <v>2643</v>
      </c>
      <c r="H681" s="2" t="s">
        <v>2644</v>
      </c>
      <c r="I681" s="2" t="s">
        <v>2645</v>
      </c>
      <c r="J681" s="2" t="s">
        <v>850</v>
      </c>
      <c r="K681" s="2" t="s">
        <v>1412</v>
      </c>
      <c r="L681" s="3">
        <v>76.49</v>
      </c>
      <c r="M681" s="3">
        <v>80.32</v>
      </c>
      <c r="N681" s="3">
        <v>149.99</v>
      </c>
      <c r="O681" s="2" t="s">
        <v>97</v>
      </c>
      <c r="P681" s="2" t="s">
        <v>143</v>
      </c>
      <c r="Q681" s="2" t="s">
        <v>99</v>
      </c>
      <c r="R681" s="2" t="s">
        <v>100</v>
      </c>
      <c r="S681" s="2" t="s">
        <v>2653</v>
      </c>
      <c r="T681" s="2" t="s">
        <v>100</v>
      </c>
      <c r="U681" s="2" t="s">
        <v>102</v>
      </c>
      <c r="V681" s="2" t="s">
        <v>637</v>
      </c>
      <c r="W681" s="2" t="s">
        <v>104</v>
      </c>
      <c r="X681" s="2" t="s">
        <v>1310</v>
      </c>
      <c r="Y681" s="2" t="s">
        <v>106</v>
      </c>
      <c r="Z681" s="4">
        <v>334</v>
      </c>
      <c r="AA681" s="4">
        <f>=ROUNDDOWN(5.85964912280702,0)</f>
      </c>
      <c r="AB681" s="5">
        <v>57</v>
      </c>
      <c r="AC681" s="2" t="s">
        <v>936</v>
      </c>
      <c r="AD681" s="4">
        <v>80</v>
      </c>
      <c r="AE681" s="4">
        <v>1550</v>
      </c>
      <c r="AF681" s="6">
        <v>65</v>
      </c>
      <c r="AG681" s="6">
        <v>48</v>
      </c>
      <c r="AH681" s="7">
        <v>0.9939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>
        <v>0</v>
      </c>
      <c r="AP681" s="4"/>
      <c r="AQ681" s="8"/>
      <c r="AR681" s="4">
        <v>2</v>
      </c>
      <c r="AS681" s="8">
        <v>160.64</v>
      </c>
      <c r="AT681" s="7">
        <v>-1</v>
      </c>
      <c r="AU681" s="7">
        <v>-1</v>
      </c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1088</v>
      </c>
      <c r="BK681" s="8">
        <v>84990.74</v>
      </c>
      <c r="BL681" s="2" t="s">
        <v>2657</v>
      </c>
      <c r="BM681" s="7"/>
      <c r="BN681" s="7"/>
      <c r="BO681" s="4"/>
      <c r="BP681" s="8"/>
      <c r="BQ681" s="4">
        <v>2</v>
      </c>
      <c r="BR681" s="8">
        <v>160.64</v>
      </c>
      <c r="BS681" s="7">
        <v>-1</v>
      </c>
      <c r="BT681" s="7">
        <v>-1</v>
      </c>
      <c r="BU681" s="2" t="s">
        <v>109</v>
      </c>
      <c r="BV681" s="2" t="s">
        <v>97</v>
      </c>
      <c r="BW681" s="2" t="s">
        <v>132</v>
      </c>
      <c r="BX681" s="2" t="s">
        <v>2658</v>
      </c>
      <c r="BY681" s="2" t="s">
        <v>112</v>
      </c>
      <c r="BZ681" s="2" t="s">
        <v>100</v>
      </c>
    </row>
    <row r="682">
      <c r="A682" s="2" t="s">
        <v>2659</v>
      </c>
      <c r="B682" s="2" t="s">
        <v>87</v>
      </c>
      <c r="C682" s="2" t="s">
        <v>88</v>
      </c>
      <c r="D682" s="2" t="s">
        <v>2308</v>
      </c>
      <c r="E682" s="2" t="s">
        <v>2641</v>
      </c>
      <c r="F682" s="2" t="s">
        <v>2660</v>
      </c>
      <c r="G682" s="2" t="s">
        <v>2661</v>
      </c>
      <c r="H682" s="2" t="s">
        <v>2662</v>
      </c>
      <c r="I682" s="2" t="s">
        <v>2663</v>
      </c>
      <c r="J682" s="2" t="s">
        <v>844</v>
      </c>
      <c r="K682" s="2" t="s">
        <v>158</v>
      </c>
      <c r="L682" s="3">
        <v>49.5</v>
      </c>
      <c r="M682" s="3">
        <v>51.98</v>
      </c>
      <c r="N682" s="3">
        <v>99.99</v>
      </c>
      <c r="O682" s="2" t="s">
        <v>97</v>
      </c>
      <c r="P682" s="2" t="s">
        <v>182</v>
      </c>
      <c r="Q682" s="2" t="s">
        <v>99</v>
      </c>
      <c r="R682" s="2" t="s">
        <v>100</v>
      </c>
      <c r="S682" s="2" t="s">
        <v>2664</v>
      </c>
      <c r="T682" s="2" t="s">
        <v>100</v>
      </c>
      <c r="U682" s="2" t="s">
        <v>490</v>
      </c>
      <c r="V682" s="2" t="s">
        <v>455</v>
      </c>
      <c r="W682" s="2" t="s">
        <v>1530</v>
      </c>
      <c r="X682" s="2" t="s">
        <v>907</v>
      </c>
      <c r="Y682" s="2" t="s">
        <v>106</v>
      </c>
      <c r="Z682" s="4">
        <v>785</v>
      </c>
      <c r="AA682" s="4">
        <f>=ROUNDDOWN(25.3225806451613,0)</f>
      </c>
      <c r="AB682" s="5">
        <v>31</v>
      </c>
      <c r="AC682" s="2" t="s">
        <v>512</v>
      </c>
      <c r="AD682" s="4">
        <v>200</v>
      </c>
      <c r="AE682" s="4">
        <v>510</v>
      </c>
      <c r="AF682" s="6">
        <v>65</v>
      </c>
      <c r="AG682" s="6">
        <v>73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>
        <v>0</v>
      </c>
      <c r="AP682" s="4">
        <v>5</v>
      </c>
      <c r="AQ682" s="8">
        <v>259.9</v>
      </c>
      <c r="AR682" s="4">
        <v>2</v>
      </c>
      <c r="AS682" s="8">
        <v>109.72</v>
      </c>
      <c r="AT682" s="7">
        <v>1.5</v>
      </c>
      <c r="AU682" s="7">
        <v>1.3688</v>
      </c>
      <c r="AV682" s="4">
        <v>8</v>
      </c>
      <c r="AW682" s="8">
        <v>429.97</v>
      </c>
      <c r="AX682" s="4">
        <v>5</v>
      </c>
      <c r="AY682" s="8">
        <v>292.39</v>
      </c>
      <c r="AZ682" s="7">
        <v>0.6</v>
      </c>
      <c r="BA682" s="7">
        <v>0.4705</v>
      </c>
      <c r="BB682" s="7">
        <v>0.6045</v>
      </c>
      <c r="BC682" s="4">
        <v>8</v>
      </c>
      <c r="BD682" s="8">
        <v>429.97</v>
      </c>
      <c r="BE682" s="4">
        <v>5</v>
      </c>
      <c r="BF682" s="8">
        <v>292.39</v>
      </c>
      <c r="BG682" s="7">
        <v>0.6</v>
      </c>
      <c r="BH682" s="7">
        <v>0.4705</v>
      </c>
      <c r="BI682" s="7">
        <v>1</v>
      </c>
      <c r="BJ682" s="4">
        <v>583</v>
      </c>
      <c r="BK682" s="8">
        <v>31915.97</v>
      </c>
      <c r="BL682" s="2" t="s">
        <v>2665</v>
      </c>
      <c r="BM682" s="7">
        <v>0.0086</v>
      </c>
      <c r="BN682" s="7">
        <v>0.0081</v>
      </c>
      <c r="BO682" s="4">
        <v>5</v>
      </c>
      <c r="BP682" s="8">
        <v>259.9</v>
      </c>
      <c r="BQ682" s="4">
        <v>2</v>
      </c>
      <c r="BR682" s="8">
        <v>109.72</v>
      </c>
      <c r="BS682" s="7">
        <v>1.5</v>
      </c>
      <c r="BT682" s="7">
        <v>1.3688</v>
      </c>
      <c r="BU682" s="2" t="s">
        <v>109</v>
      </c>
      <c r="BV682" s="2" t="s">
        <v>97</v>
      </c>
      <c r="BW682" s="2" t="s">
        <v>217</v>
      </c>
      <c r="BX682" s="2" t="s">
        <v>516</v>
      </c>
      <c r="BY682" s="2" t="s">
        <v>112</v>
      </c>
      <c r="BZ682" s="2" t="s">
        <v>100</v>
      </c>
    </row>
    <row r="683">
      <c r="A683" s="2" t="s">
        <v>2666</v>
      </c>
      <c r="B683" s="2" t="s">
        <v>87</v>
      </c>
      <c r="C683" s="2" t="s">
        <v>88</v>
      </c>
      <c r="D683" s="2" t="s">
        <v>2308</v>
      </c>
      <c r="E683" s="2" t="s">
        <v>2641</v>
      </c>
      <c r="F683" s="2" t="s">
        <v>2660</v>
      </c>
      <c r="G683" s="2" t="s">
        <v>2661</v>
      </c>
      <c r="H683" s="2" t="s">
        <v>2662</v>
      </c>
      <c r="I683" s="2" t="s">
        <v>2663</v>
      </c>
      <c r="J683" s="2" t="s">
        <v>850</v>
      </c>
      <c r="K683" s="2" t="s">
        <v>158</v>
      </c>
      <c r="L683" s="3">
        <v>53.99</v>
      </c>
      <c r="M683" s="3">
        <v>56.69</v>
      </c>
      <c r="N683" s="3">
        <v>109.99</v>
      </c>
      <c r="O683" s="2" t="s">
        <v>97</v>
      </c>
      <c r="P683" s="2" t="s">
        <v>182</v>
      </c>
      <c r="Q683" s="2" t="s">
        <v>99</v>
      </c>
      <c r="R683" s="2" t="s">
        <v>100</v>
      </c>
      <c r="S683" s="2" t="s">
        <v>2664</v>
      </c>
      <c r="T683" s="2" t="s">
        <v>100</v>
      </c>
      <c r="U683" s="2" t="s">
        <v>490</v>
      </c>
      <c r="V683" s="2" t="s">
        <v>455</v>
      </c>
      <c r="W683" s="2" t="s">
        <v>1530</v>
      </c>
      <c r="X683" s="2" t="s">
        <v>907</v>
      </c>
      <c r="Y683" s="2" t="s">
        <v>106</v>
      </c>
      <c r="Z683" s="4">
        <v>1053</v>
      </c>
      <c r="AA683" s="4">
        <f>=ROUNDDOWN(25.0714285714286,0)</f>
      </c>
      <c r="AB683" s="5">
        <v>42</v>
      </c>
      <c r="AC683" s="2" t="s">
        <v>512</v>
      </c>
      <c r="AD683" s="4">
        <v>220</v>
      </c>
      <c r="AE683" s="4">
        <v>520</v>
      </c>
      <c r="AF683" s="6">
        <v>65</v>
      </c>
      <c r="AG683" s="6">
        <v>73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>
        <v>0</v>
      </c>
      <c r="AP683" s="4">
        <v>3</v>
      </c>
      <c r="AQ683" s="8">
        <v>170.07</v>
      </c>
      <c r="AR683" s="4">
        <v>3</v>
      </c>
      <c r="AS683" s="8">
        <v>182.67</v>
      </c>
      <c r="AT683" s="7"/>
      <c r="AU683" s="7">
        <v>-0.069</v>
      </c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>
        <v>0.3955</v>
      </c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 t="s">
        <v>100</v>
      </c>
      <c r="BJ683" s="4">
        <v>823</v>
      </c>
      <c r="BK683" s="8">
        <v>50369.55</v>
      </c>
      <c r="BL683" s="2" t="s">
        <v>2667</v>
      </c>
      <c r="BM683" s="7">
        <v>0.0036</v>
      </c>
      <c r="BN683" s="7">
        <v>0.0034</v>
      </c>
      <c r="BO683" s="4">
        <v>3</v>
      </c>
      <c r="BP683" s="8">
        <v>170.07</v>
      </c>
      <c r="BQ683" s="4">
        <v>3</v>
      </c>
      <c r="BR683" s="8">
        <v>182.67</v>
      </c>
      <c r="BS683" s="7"/>
      <c r="BT683" s="7">
        <v>-0.069</v>
      </c>
      <c r="BU683" s="2" t="s">
        <v>109</v>
      </c>
      <c r="BV683" s="2" t="s">
        <v>97</v>
      </c>
      <c r="BW683" s="2" t="s">
        <v>217</v>
      </c>
      <c r="BX683" s="2" t="s">
        <v>218</v>
      </c>
      <c r="BY683" s="2" t="s">
        <v>112</v>
      </c>
      <c r="BZ683" s="2" t="s">
        <v>100</v>
      </c>
    </row>
    <row r="684">
      <c r="A684" s="2" t="s">
        <v>2668</v>
      </c>
      <c r="B684" s="2" t="s">
        <v>87</v>
      </c>
      <c r="C684" s="2" t="s">
        <v>88</v>
      </c>
      <c r="D684" s="2" t="s">
        <v>2308</v>
      </c>
      <c r="E684" s="2" t="s">
        <v>2641</v>
      </c>
      <c r="F684" s="2" t="s">
        <v>2660</v>
      </c>
      <c r="G684" s="2" t="s">
        <v>2661</v>
      </c>
      <c r="H684" s="2" t="s">
        <v>2662</v>
      </c>
      <c r="I684" s="2" t="s">
        <v>2663</v>
      </c>
      <c r="J684" s="2" t="s">
        <v>844</v>
      </c>
      <c r="K684" s="2" t="s">
        <v>1828</v>
      </c>
      <c r="L684" s="3">
        <v>49.5</v>
      </c>
      <c r="M684" s="3">
        <v>51.98</v>
      </c>
      <c r="N684" s="3">
        <v>99.99</v>
      </c>
      <c r="O684" s="2" t="s">
        <v>97</v>
      </c>
      <c r="P684" s="2" t="s">
        <v>182</v>
      </c>
      <c r="Q684" s="2" t="s">
        <v>99</v>
      </c>
      <c r="R684" s="2" t="s">
        <v>100</v>
      </c>
      <c r="S684" s="2" t="s">
        <v>2669</v>
      </c>
      <c r="T684" s="2" t="s">
        <v>100</v>
      </c>
      <c r="U684" s="2" t="s">
        <v>490</v>
      </c>
      <c r="V684" s="2" t="s">
        <v>455</v>
      </c>
      <c r="W684" s="2" t="s">
        <v>1530</v>
      </c>
      <c r="X684" s="2" t="s">
        <v>907</v>
      </c>
      <c r="Y684" s="2" t="s">
        <v>106</v>
      </c>
      <c r="Z684" s="4">
        <v>441</v>
      </c>
      <c r="AA684" s="4">
        <f>=ROUNDDOWN(29.4,0)</f>
      </c>
      <c r="AB684" s="5">
        <v>15</v>
      </c>
      <c r="AC684" s="2" t="s">
        <v>2670</v>
      </c>
      <c r="AD684" s="4">
        <v>90</v>
      </c>
      <c r="AE684" s="4">
        <v>90</v>
      </c>
      <c r="AF684" s="6">
        <v>65</v>
      </c>
      <c r="AG684" s="6">
        <v>73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 t="s">
        <v>100</v>
      </c>
      <c r="BJ684" s="4">
        <v>271</v>
      </c>
      <c r="BK684" s="8">
        <v>14564.54</v>
      </c>
      <c r="BL684" s="2" t="s">
        <v>2671</v>
      </c>
      <c r="BM684" s="7"/>
      <c r="BN684" s="7"/>
      <c r="BO684" s="4"/>
      <c r="BP684" s="8"/>
      <c r="BQ684" s="4"/>
      <c r="BR684" s="8"/>
      <c r="BS684" s="7"/>
      <c r="BT684" s="7"/>
      <c r="BU684" s="2" t="s">
        <v>147</v>
      </c>
      <c r="BV684" s="2" t="s">
        <v>97</v>
      </c>
      <c r="BW684" s="2" t="s">
        <v>100</v>
      </c>
      <c r="BX684" s="2" t="s">
        <v>100</v>
      </c>
      <c r="BY684" s="2" t="s">
        <v>112</v>
      </c>
      <c r="BZ684" s="2" t="s">
        <v>100</v>
      </c>
    </row>
    <row r="685">
      <c r="A685" s="2" t="s">
        <v>2672</v>
      </c>
      <c r="B685" s="2" t="s">
        <v>87</v>
      </c>
      <c r="C685" s="2" t="s">
        <v>88</v>
      </c>
      <c r="D685" s="2" t="s">
        <v>2308</v>
      </c>
      <c r="E685" s="2" t="s">
        <v>2641</v>
      </c>
      <c r="F685" s="2" t="s">
        <v>2660</v>
      </c>
      <c r="G685" s="2" t="s">
        <v>2661</v>
      </c>
      <c r="H685" s="2" t="s">
        <v>2662</v>
      </c>
      <c r="I685" s="2" t="s">
        <v>2663</v>
      </c>
      <c r="J685" s="2" t="s">
        <v>850</v>
      </c>
      <c r="K685" s="2" t="s">
        <v>1828</v>
      </c>
      <c r="L685" s="3">
        <v>53.99</v>
      </c>
      <c r="M685" s="3">
        <v>56.69</v>
      </c>
      <c r="N685" s="3">
        <v>109.99</v>
      </c>
      <c r="O685" s="2" t="s">
        <v>97</v>
      </c>
      <c r="P685" s="2" t="s">
        <v>182</v>
      </c>
      <c r="Q685" s="2" t="s">
        <v>99</v>
      </c>
      <c r="R685" s="2" t="s">
        <v>100</v>
      </c>
      <c r="S685" s="2" t="s">
        <v>2669</v>
      </c>
      <c r="T685" s="2" t="s">
        <v>100</v>
      </c>
      <c r="U685" s="2" t="s">
        <v>490</v>
      </c>
      <c r="V685" s="2" t="s">
        <v>455</v>
      </c>
      <c r="W685" s="2" t="s">
        <v>1530</v>
      </c>
      <c r="X685" s="2" t="s">
        <v>907</v>
      </c>
      <c r="Y685" s="2" t="s">
        <v>106</v>
      </c>
      <c r="Z685" s="4">
        <v>834</v>
      </c>
      <c r="AA685" s="4">
        <f>=ROUNDDOWN(37.9090909090909,0)</f>
      </c>
      <c r="AB685" s="5">
        <v>22</v>
      </c>
      <c r="AC685" s="2" t="s">
        <v>2670</v>
      </c>
      <c r="AD685" s="4">
        <v>200</v>
      </c>
      <c r="AE685" s="4">
        <v>200</v>
      </c>
      <c r="AF685" s="6">
        <v>65</v>
      </c>
      <c r="AG685" s="6">
        <v>73</v>
      </c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 t="s">
        <v>100</v>
      </c>
      <c r="BJ685" s="4">
        <v>367</v>
      </c>
      <c r="BK685" s="8">
        <v>21702.28</v>
      </c>
      <c r="BL685" s="2" t="s">
        <v>2673</v>
      </c>
      <c r="BM685" s="7"/>
      <c r="BN685" s="7"/>
      <c r="BO685" s="4"/>
      <c r="BP685" s="8"/>
      <c r="BQ685" s="4"/>
      <c r="BR685" s="8"/>
      <c r="BS685" s="7"/>
      <c r="BT685" s="7"/>
      <c r="BU685" s="2" t="s">
        <v>147</v>
      </c>
      <c r="BV685" s="2" t="s">
        <v>97</v>
      </c>
      <c r="BW685" s="2" t="s">
        <v>100</v>
      </c>
      <c r="BX685" s="2" t="s">
        <v>100</v>
      </c>
      <c r="BY685" s="2" t="s">
        <v>112</v>
      </c>
      <c r="BZ685" s="2" t="s">
        <v>100</v>
      </c>
    </row>
    <row r="686">
      <c r="A686" s="2" t="s">
        <v>2674</v>
      </c>
      <c r="B686" s="2" t="s">
        <v>87</v>
      </c>
      <c r="C686" s="2" t="s">
        <v>88</v>
      </c>
      <c r="D686" s="2" t="s">
        <v>2308</v>
      </c>
      <c r="E686" s="2" t="s">
        <v>2641</v>
      </c>
      <c r="F686" s="2" t="s">
        <v>1864</v>
      </c>
      <c r="G686" s="2" t="s">
        <v>1865</v>
      </c>
      <c r="H686" s="2" t="s">
        <v>1866</v>
      </c>
      <c r="I686" s="2" t="s">
        <v>2675</v>
      </c>
      <c r="J686" s="2" t="s">
        <v>844</v>
      </c>
      <c r="K686" s="2" t="s">
        <v>96</v>
      </c>
      <c r="L686" s="3">
        <v>44.99</v>
      </c>
      <c r="M686" s="3">
        <v>47.24</v>
      </c>
      <c r="N686" s="3">
        <v>89.99</v>
      </c>
      <c r="O686" s="2" t="s">
        <v>97</v>
      </c>
      <c r="P686" s="2" t="s">
        <v>182</v>
      </c>
      <c r="Q686" s="2" t="s">
        <v>99</v>
      </c>
      <c r="R686" s="2" t="s">
        <v>100</v>
      </c>
      <c r="S686" s="2" t="s">
        <v>1867</v>
      </c>
      <c r="T686" s="2" t="s">
        <v>100</v>
      </c>
      <c r="U686" s="2" t="s">
        <v>790</v>
      </c>
      <c r="V686" s="2" t="s">
        <v>404</v>
      </c>
      <c r="W686" s="2" t="s">
        <v>405</v>
      </c>
      <c r="X686" s="2" t="s">
        <v>456</v>
      </c>
      <c r="Y686" s="2" t="s">
        <v>106</v>
      </c>
      <c r="Z686" s="4">
        <v>213</v>
      </c>
      <c r="AA686" s="4">
        <f>=ROUNDDOWN(30.4285714285714,0)</f>
      </c>
      <c r="AB686" s="5">
        <v>7</v>
      </c>
      <c r="AC686" s="2" t="s">
        <v>356</v>
      </c>
      <c r="AD686" s="4">
        <v>70</v>
      </c>
      <c r="AE686" s="4">
        <v>390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>
        <v>0</v>
      </c>
      <c r="AP686" s="4">
        <v>4</v>
      </c>
      <c r="AQ686" s="8">
        <v>188.96</v>
      </c>
      <c r="AR686" s="4">
        <v>8</v>
      </c>
      <c r="AS686" s="8">
        <v>404.17</v>
      </c>
      <c r="AT686" s="7">
        <v>-0.5</v>
      </c>
      <c r="AU686" s="7">
        <v>-0.5325</v>
      </c>
      <c r="AV686" s="4">
        <v>6</v>
      </c>
      <c r="AW686" s="8">
        <v>292.92</v>
      </c>
      <c r="AX686" s="4">
        <v>12</v>
      </c>
      <c r="AY686" s="8">
        <v>629.37</v>
      </c>
      <c r="AZ686" s="7">
        <v>-0.5</v>
      </c>
      <c r="BA686" s="7">
        <v>-0.5346</v>
      </c>
      <c r="BB686" s="7">
        <v>0.6451</v>
      </c>
      <c r="BC686" s="4">
        <v>7</v>
      </c>
      <c r="BD686" s="8">
        <v>344.9</v>
      </c>
      <c r="BE686" s="4">
        <v>18</v>
      </c>
      <c r="BF686" s="8">
        <v>944.31</v>
      </c>
      <c r="BG686" s="7">
        <v>-0.6111</v>
      </c>
      <c r="BH686" s="7">
        <v>-0.6348</v>
      </c>
      <c r="BI686" s="7">
        <v>0.8493</v>
      </c>
      <c r="BJ686" s="4">
        <v>182</v>
      </c>
      <c r="BK686" s="8">
        <v>8867.58</v>
      </c>
      <c r="BL686" s="2" t="s">
        <v>1010</v>
      </c>
      <c r="BM686" s="7">
        <v>0.022</v>
      </c>
      <c r="BN686" s="7">
        <v>0.0213</v>
      </c>
      <c r="BO686" s="4">
        <v>4</v>
      </c>
      <c r="BP686" s="8">
        <v>188.96</v>
      </c>
      <c r="BQ686" s="4">
        <v>8</v>
      </c>
      <c r="BR686" s="8">
        <v>404.17</v>
      </c>
      <c r="BS686" s="7">
        <v>-0.5</v>
      </c>
      <c r="BT686" s="7">
        <v>-0.5325</v>
      </c>
      <c r="BU686" s="2" t="s">
        <v>109</v>
      </c>
      <c r="BV686" s="2" t="s">
        <v>97</v>
      </c>
      <c r="BW686" s="2" t="s">
        <v>217</v>
      </c>
      <c r="BX686" s="2" t="s">
        <v>233</v>
      </c>
      <c r="BY686" s="2" t="s">
        <v>112</v>
      </c>
      <c r="BZ686" s="2" t="s">
        <v>100</v>
      </c>
    </row>
    <row r="687">
      <c r="A687" s="2" t="s">
        <v>2676</v>
      </c>
      <c r="B687" s="2" t="s">
        <v>87</v>
      </c>
      <c r="C687" s="2" t="s">
        <v>88</v>
      </c>
      <c r="D687" s="2" t="s">
        <v>2308</v>
      </c>
      <c r="E687" s="2" t="s">
        <v>2641</v>
      </c>
      <c r="F687" s="2" t="s">
        <v>1864</v>
      </c>
      <c r="G687" s="2" t="s">
        <v>1865</v>
      </c>
      <c r="H687" s="2" t="s">
        <v>1866</v>
      </c>
      <c r="I687" s="2" t="s">
        <v>2675</v>
      </c>
      <c r="J687" s="2" t="s">
        <v>850</v>
      </c>
      <c r="K687" s="2" t="s">
        <v>96</v>
      </c>
      <c r="L687" s="3">
        <v>49.5</v>
      </c>
      <c r="M687" s="3">
        <v>51.98</v>
      </c>
      <c r="N687" s="3">
        <v>99.99</v>
      </c>
      <c r="O687" s="2" t="s">
        <v>97</v>
      </c>
      <c r="P687" s="2" t="s">
        <v>182</v>
      </c>
      <c r="Q687" s="2" t="s">
        <v>99</v>
      </c>
      <c r="R687" s="2" t="s">
        <v>100</v>
      </c>
      <c r="S687" s="2" t="s">
        <v>1867</v>
      </c>
      <c r="T687" s="2" t="s">
        <v>100</v>
      </c>
      <c r="U687" s="2" t="s">
        <v>790</v>
      </c>
      <c r="V687" s="2" t="s">
        <v>404</v>
      </c>
      <c r="W687" s="2" t="s">
        <v>405</v>
      </c>
      <c r="X687" s="2" t="s">
        <v>456</v>
      </c>
      <c r="Y687" s="2" t="s">
        <v>106</v>
      </c>
      <c r="Z687" s="4">
        <v>257</v>
      </c>
      <c r="AA687" s="4">
        <f>=ROUNDDOWN(25.7,0)</f>
      </c>
      <c r="AB687" s="5">
        <v>10</v>
      </c>
      <c r="AC687" s="2" t="s">
        <v>356</v>
      </c>
      <c r="AD687" s="4">
        <v>90</v>
      </c>
      <c r="AE687" s="4">
        <v>270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>
        <v>0</v>
      </c>
      <c r="AP687" s="4">
        <v>2</v>
      </c>
      <c r="AQ687" s="8">
        <v>103.96</v>
      </c>
      <c r="AR687" s="4">
        <v>4</v>
      </c>
      <c r="AS687" s="8">
        <v>225.2</v>
      </c>
      <c r="AT687" s="7">
        <v>-0.5</v>
      </c>
      <c r="AU687" s="7">
        <v>-0.5384</v>
      </c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>
        <v>0.3549</v>
      </c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 t="s">
        <v>100</v>
      </c>
      <c r="BJ687" s="4">
        <v>215</v>
      </c>
      <c r="BK687" s="8">
        <v>11897.82</v>
      </c>
      <c r="BL687" s="2" t="s">
        <v>2677</v>
      </c>
      <c r="BM687" s="7">
        <v>0.0093</v>
      </c>
      <c r="BN687" s="7">
        <v>0.0087</v>
      </c>
      <c r="BO687" s="4">
        <v>2</v>
      </c>
      <c r="BP687" s="8">
        <v>103.96</v>
      </c>
      <c r="BQ687" s="4">
        <v>4</v>
      </c>
      <c r="BR687" s="8">
        <v>225.2</v>
      </c>
      <c r="BS687" s="7">
        <v>-0.5</v>
      </c>
      <c r="BT687" s="7">
        <v>-0.5384</v>
      </c>
      <c r="BU687" s="2" t="s">
        <v>109</v>
      </c>
      <c r="BV687" s="2" t="s">
        <v>97</v>
      </c>
      <c r="BW687" s="2" t="s">
        <v>217</v>
      </c>
      <c r="BX687" s="2" t="s">
        <v>516</v>
      </c>
      <c r="BY687" s="2" t="s">
        <v>112</v>
      </c>
      <c r="BZ687" s="2" t="s">
        <v>100</v>
      </c>
    </row>
    <row r="688">
      <c r="A688" s="2" t="s">
        <v>2678</v>
      </c>
      <c r="B688" s="2" t="s">
        <v>87</v>
      </c>
      <c r="C688" s="2" t="s">
        <v>88</v>
      </c>
      <c r="D688" s="2" t="s">
        <v>2308</v>
      </c>
      <c r="E688" s="2" t="s">
        <v>2641</v>
      </c>
      <c r="F688" s="2" t="s">
        <v>1864</v>
      </c>
      <c r="G688" s="2" t="s">
        <v>1865</v>
      </c>
      <c r="H688" s="2" t="s">
        <v>1866</v>
      </c>
      <c r="I688" s="2" t="s">
        <v>2675</v>
      </c>
      <c r="J688" s="2" t="s">
        <v>844</v>
      </c>
      <c r="K688" s="2" t="s">
        <v>158</v>
      </c>
      <c r="L688" s="3">
        <v>44.99</v>
      </c>
      <c r="M688" s="3">
        <v>47.24</v>
      </c>
      <c r="N688" s="3">
        <v>89.99</v>
      </c>
      <c r="O688" s="2" t="s">
        <v>97</v>
      </c>
      <c r="P688" s="2" t="s">
        <v>182</v>
      </c>
      <c r="Q688" s="2" t="s">
        <v>99</v>
      </c>
      <c r="R688" s="2" t="s">
        <v>100</v>
      </c>
      <c r="S688" s="2" t="s">
        <v>1867</v>
      </c>
      <c r="T688" s="2" t="s">
        <v>100</v>
      </c>
      <c r="U688" s="2" t="s">
        <v>790</v>
      </c>
      <c r="V688" s="2" t="s">
        <v>404</v>
      </c>
      <c r="W688" s="2" t="s">
        <v>405</v>
      </c>
      <c r="X688" s="2" t="s">
        <v>456</v>
      </c>
      <c r="Y688" s="2" t="s">
        <v>106</v>
      </c>
      <c r="Z688" s="4">
        <v>199</v>
      </c>
      <c r="AA688" s="4">
        <f>=ROUNDDOWN(12.1341463414634,0)</f>
      </c>
      <c r="AB688" s="5">
        <v>16.4</v>
      </c>
      <c r="AC688" s="2" t="s">
        <v>126</v>
      </c>
      <c r="AD688" s="4">
        <v>230</v>
      </c>
      <c r="AE688" s="4">
        <v>690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>
        <v>0</v>
      </c>
      <c r="AP688" s="4"/>
      <c r="AQ688" s="8"/>
      <c r="AR688" s="4">
        <v>6</v>
      </c>
      <c r="AS688" s="8">
        <v>314.94</v>
      </c>
      <c r="AT688" s="7">
        <v>-1</v>
      </c>
      <c r="AU688" s="7">
        <v>-1</v>
      </c>
      <c r="AV688" s="4">
        <v>1</v>
      </c>
      <c r="AW688" s="8">
        <v>51.98</v>
      </c>
      <c r="AX688" s="4">
        <v>6</v>
      </c>
      <c r="AY688" s="8">
        <v>314.94</v>
      </c>
      <c r="AZ688" s="7">
        <v>-0.8333</v>
      </c>
      <c r="BA688" s="7">
        <v>-0.835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>
        <v>0.1507</v>
      </c>
      <c r="BJ688" s="4">
        <v>291</v>
      </c>
      <c r="BK688" s="8">
        <v>14390.74</v>
      </c>
      <c r="BL688" s="2" t="s">
        <v>2679</v>
      </c>
      <c r="BM688" s="7"/>
      <c r="BN688" s="7"/>
      <c r="BO688" s="4"/>
      <c r="BP688" s="8"/>
      <c r="BQ688" s="4">
        <v>6</v>
      </c>
      <c r="BR688" s="8">
        <v>314.94</v>
      </c>
      <c r="BS688" s="7">
        <v>-1</v>
      </c>
      <c r="BT688" s="7">
        <v>-1</v>
      </c>
      <c r="BU688" s="2" t="s">
        <v>109</v>
      </c>
      <c r="BV688" s="2" t="s">
        <v>97</v>
      </c>
      <c r="BW688" s="2" t="s">
        <v>217</v>
      </c>
      <c r="BX688" s="2" t="s">
        <v>516</v>
      </c>
      <c r="BY688" s="2" t="s">
        <v>112</v>
      </c>
      <c r="BZ688" s="2" t="s">
        <v>100</v>
      </c>
    </row>
    <row r="689">
      <c r="A689" s="2" t="s">
        <v>2680</v>
      </c>
      <c r="B689" s="2" t="s">
        <v>87</v>
      </c>
      <c r="C689" s="2" t="s">
        <v>88</v>
      </c>
      <c r="D689" s="2" t="s">
        <v>2308</v>
      </c>
      <c r="E689" s="2" t="s">
        <v>2641</v>
      </c>
      <c r="F689" s="2" t="s">
        <v>1864</v>
      </c>
      <c r="G689" s="2" t="s">
        <v>1865</v>
      </c>
      <c r="H689" s="2" t="s">
        <v>1866</v>
      </c>
      <c r="I689" s="2" t="s">
        <v>2675</v>
      </c>
      <c r="J689" s="2" t="s">
        <v>850</v>
      </c>
      <c r="K689" s="2" t="s">
        <v>158</v>
      </c>
      <c r="L689" s="3">
        <v>49.5</v>
      </c>
      <c r="M689" s="3">
        <v>51.98</v>
      </c>
      <c r="N689" s="3">
        <v>99.99</v>
      </c>
      <c r="O689" s="2" t="s">
        <v>97</v>
      </c>
      <c r="P689" s="2" t="s">
        <v>182</v>
      </c>
      <c r="Q689" s="2" t="s">
        <v>99</v>
      </c>
      <c r="R689" s="2" t="s">
        <v>100</v>
      </c>
      <c r="S689" s="2" t="s">
        <v>1867</v>
      </c>
      <c r="T689" s="2" t="s">
        <v>100</v>
      </c>
      <c r="U689" s="2" t="s">
        <v>790</v>
      </c>
      <c r="V689" s="2" t="s">
        <v>404</v>
      </c>
      <c r="W689" s="2" t="s">
        <v>405</v>
      </c>
      <c r="X689" s="2" t="s">
        <v>456</v>
      </c>
      <c r="Y689" s="2" t="s">
        <v>106</v>
      </c>
      <c r="Z689" s="4">
        <v>767</v>
      </c>
      <c r="AA689" s="4">
        <f>=ROUNDDOWN(38.35,0)</f>
      </c>
      <c r="AB689" s="5">
        <v>20</v>
      </c>
      <c r="AC689" s="2" t="s">
        <v>382</v>
      </c>
      <c r="AD689" s="4">
        <v>30</v>
      </c>
      <c r="AE689" s="4">
        <v>320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>
        <v>0</v>
      </c>
      <c r="AP689" s="4">
        <v>1</v>
      </c>
      <c r="AQ689" s="8">
        <v>51.98</v>
      </c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>
        <v>1</v>
      </c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 t="s">
        <v>100</v>
      </c>
      <c r="BJ689" s="4">
        <v>456</v>
      </c>
      <c r="BK689" s="8">
        <v>26162.74</v>
      </c>
      <c r="BL689" s="2" t="s">
        <v>2681</v>
      </c>
      <c r="BM689" s="7">
        <v>0.0022</v>
      </c>
      <c r="BN689" s="7">
        <v>0.002</v>
      </c>
      <c r="BO689" s="4">
        <v>1</v>
      </c>
      <c r="BP689" s="8">
        <v>51.98</v>
      </c>
      <c r="BQ689" s="4"/>
      <c r="BR689" s="8"/>
      <c r="BS689" s="7"/>
      <c r="BT689" s="7"/>
      <c r="BU689" s="2" t="s">
        <v>109</v>
      </c>
      <c r="BV689" s="2" t="s">
        <v>97</v>
      </c>
      <c r="BW689" s="2" t="s">
        <v>217</v>
      </c>
      <c r="BX689" s="2" t="s">
        <v>218</v>
      </c>
      <c r="BY689" s="2" t="s">
        <v>112</v>
      </c>
      <c r="BZ689" s="2" t="s">
        <v>100</v>
      </c>
    </row>
    <row r="690">
      <c r="A690" s="2" t="s">
        <v>2682</v>
      </c>
      <c r="B690" s="2" t="s">
        <v>87</v>
      </c>
      <c r="C690" s="2" t="s">
        <v>88</v>
      </c>
      <c r="D690" s="2" t="s">
        <v>2308</v>
      </c>
      <c r="E690" s="2" t="s">
        <v>2641</v>
      </c>
      <c r="F690" s="2" t="s">
        <v>2006</v>
      </c>
      <c r="G690" s="2" t="s">
        <v>2007</v>
      </c>
      <c r="H690" s="2" t="s">
        <v>2008</v>
      </c>
      <c r="I690" s="2" t="s">
        <v>2683</v>
      </c>
      <c r="J690" s="2" t="s">
        <v>844</v>
      </c>
      <c r="K690" s="2" t="s">
        <v>142</v>
      </c>
      <c r="L690" s="3">
        <v>54.99</v>
      </c>
      <c r="M690" s="3">
        <v>57.74</v>
      </c>
      <c r="N690" s="3">
        <v>109.99</v>
      </c>
      <c r="O690" s="2" t="s">
        <v>97</v>
      </c>
      <c r="P690" s="2" t="s">
        <v>182</v>
      </c>
      <c r="Q690" s="2" t="s">
        <v>99</v>
      </c>
      <c r="R690" s="2" t="s">
        <v>100</v>
      </c>
      <c r="S690" s="2" t="s">
        <v>2684</v>
      </c>
      <c r="T690" s="2" t="s">
        <v>100</v>
      </c>
      <c r="U690" s="2" t="s">
        <v>490</v>
      </c>
      <c r="V690" s="2" t="s">
        <v>1364</v>
      </c>
      <c r="W690" s="2" t="s">
        <v>405</v>
      </c>
      <c r="X690" s="2" t="s">
        <v>456</v>
      </c>
      <c r="Y690" s="2" t="s">
        <v>106</v>
      </c>
      <c r="Z690" s="4">
        <v>171</v>
      </c>
      <c r="AA690" s="4">
        <f>=ROUNDDOWN(17.1,0)</f>
      </c>
      <c r="AB690" s="5">
        <v>10</v>
      </c>
      <c r="AC690" s="2" t="s">
        <v>107</v>
      </c>
      <c r="AD690" s="4">
        <v>120</v>
      </c>
      <c r="AE690" s="4">
        <v>280</v>
      </c>
      <c r="AF690" s="6">
        <v>65</v>
      </c>
      <c r="AG690" s="6">
        <v>48</v>
      </c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>
        <v>0</v>
      </c>
      <c r="AP690" s="4">
        <v>3</v>
      </c>
      <c r="AQ690" s="8">
        <v>173.22</v>
      </c>
      <c r="AR690" s="4">
        <v>2</v>
      </c>
      <c r="AS690" s="8">
        <v>115.48</v>
      </c>
      <c r="AT690" s="7">
        <v>0.5</v>
      </c>
      <c r="AU690" s="7">
        <v>0.5</v>
      </c>
      <c r="AV690" s="4">
        <v>5</v>
      </c>
      <c r="AW690" s="8">
        <v>299.2</v>
      </c>
      <c r="AX690" s="4">
        <v>3</v>
      </c>
      <c r="AY690" s="8">
        <v>178.47</v>
      </c>
      <c r="AZ690" s="7">
        <v>0.6667</v>
      </c>
      <c r="BA690" s="7">
        <v>0.6765</v>
      </c>
      <c r="BB690" s="7">
        <v>0.5789</v>
      </c>
      <c r="BC690" s="4">
        <v>5</v>
      </c>
      <c r="BD690" s="8">
        <v>299.2</v>
      </c>
      <c r="BE690" s="4">
        <v>3</v>
      </c>
      <c r="BF690" s="8">
        <v>178.47</v>
      </c>
      <c r="BG690" s="7">
        <v>0.6667</v>
      </c>
      <c r="BH690" s="7">
        <v>0.6765</v>
      </c>
      <c r="BI690" s="7">
        <v>1</v>
      </c>
      <c r="BJ690" s="4">
        <v>165</v>
      </c>
      <c r="BK690" s="8">
        <v>9312.55</v>
      </c>
      <c r="BL690" s="2" t="s">
        <v>2685</v>
      </c>
      <c r="BM690" s="7">
        <v>0.0182</v>
      </c>
      <c r="BN690" s="7">
        <v>0.0186</v>
      </c>
      <c r="BO690" s="4">
        <v>3</v>
      </c>
      <c r="BP690" s="8">
        <v>173.22</v>
      </c>
      <c r="BQ690" s="4">
        <v>2</v>
      </c>
      <c r="BR690" s="8">
        <v>115.48</v>
      </c>
      <c r="BS690" s="7">
        <v>0.5</v>
      </c>
      <c r="BT690" s="7">
        <v>0.5</v>
      </c>
      <c r="BU690" s="2" t="s">
        <v>109</v>
      </c>
      <c r="BV690" s="2" t="s">
        <v>97</v>
      </c>
      <c r="BW690" s="2" t="s">
        <v>2686</v>
      </c>
      <c r="BX690" s="2" t="s">
        <v>2429</v>
      </c>
      <c r="BY690" s="2" t="s">
        <v>112</v>
      </c>
      <c r="BZ690" s="2" t="s">
        <v>100</v>
      </c>
    </row>
    <row r="691">
      <c r="A691" s="2" t="s">
        <v>2687</v>
      </c>
      <c r="B691" s="2" t="s">
        <v>87</v>
      </c>
      <c r="C691" s="2" t="s">
        <v>88</v>
      </c>
      <c r="D691" s="2" t="s">
        <v>2308</v>
      </c>
      <c r="E691" s="2" t="s">
        <v>2641</v>
      </c>
      <c r="F691" s="2" t="s">
        <v>2006</v>
      </c>
      <c r="G691" s="2" t="s">
        <v>2007</v>
      </c>
      <c r="H691" s="2" t="s">
        <v>2008</v>
      </c>
      <c r="I691" s="2" t="s">
        <v>2683</v>
      </c>
      <c r="J691" s="2" t="s">
        <v>850</v>
      </c>
      <c r="K691" s="2" t="s">
        <v>142</v>
      </c>
      <c r="L691" s="3">
        <v>59.99</v>
      </c>
      <c r="M691" s="3">
        <v>62.99</v>
      </c>
      <c r="N691" s="3">
        <v>119.99</v>
      </c>
      <c r="O691" s="2" t="s">
        <v>97</v>
      </c>
      <c r="P691" s="2" t="s">
        <v>182</v>
      </c>
      <c r="Q691" s="2" t="s">
        <v>99</v>
      </c>
      <c r="R691" s="2" t="s">
        <v>100</v>
      </c>
      <c r="S691" s="2" t="s">
        <v>2684</v>
      </c>
      <c r="T691" s="2" t="s">
        <v>100</v>
      </c>
      <c r="U691" s="2" t="s">
        <v>490</v>
      </c>
      <c r="V691" s="2" t="s">
        <v>1364</v>
      </c>
      <c r="W691" s="2" t="s">
        <v>405</v>
      </c>
      <c r="X691" s="2" t="s">
        <v>456</v>
      </c>
      <c r="Y691" s="2" t="s">
        <v>106</v>
      </c>
      <c r="Z691" s="4">
        <v>425</v>
      </c>
      <c r="AA691" s="4">
        <f>=ROUNDDOWN(28.3333333333333,0)</f>
      </c>
      <c r="AB691" s="5">
        <v>15</v>
      </c>
      <c r="AC691" s="2" t="s">
        <v>107</v>
      </c>
      <c r="AD691" s="4">
        <v>90</v>
      </c>
      <c r="AE691" s="4">
        <v>250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>
        <v>0</v>
      </c>
      <c r="AP691" s="4">
        <v>2</v>
      </c>
      <c r="AQ691" s="8">
        <v>125.98</v>
      </c>
      <c r="AR691" s="4">
        <v>1</v>
      </c>
      <c r="AS691" s="8">
        <v>62.99</v>
      </c>
      <c r="AT691" s="7">
        <v>1</v>
      </c>
      <c r="AU691" s="7">
        <v>1</v>
      </c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>
        <v>0.4211</v>
      </c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 t="s">
        <v>100</v>
      </c>
      <c r="BJ691" s="4">
        <v>294</v>
      </c>
      <c r="BK691" s="8">
        <v>18087.3</v>
      </c>
      <c r="BL691" s="2" t="s">
        <v>2688</v>
      </c>
      <c r="BM691" s="7">
        <v>0.0068</v>
      </c>
      <c r="BN691" s="7">
        <v>0.007</v>
      </c>
      <c r="BO691" s="4">
        <v>2</v>
      </c>
      <c r="BP691" s="8">
        <v>125.98</v>
      </c>
      <c r="BQ691" s="4">
        <v>1</v>
      </c>
      <c r="BR691" s="8">
        <v>62.99</v>
      </c>
      <c r="BS691" s="7">
        <v>1</v>
      </c>
      <c r="BT691" s="7">
        <v>1</v>
      </c>
      <c r="BU691" s="2" t="s">
        <v>109</v>
      </c>
      <c r="BV691" s="2" t="s">
        <v>97</v>
      </c>
      <c r="BW691" s="2" t="s">
        <v>782</v>
      </c>
      <c r="BX691" s="2" t="s">
        <v>2689</v>
      </c>
      <c r="BY691" s="2" t="s">
        <v>112</v>
      </c>
      <c r="BZ691" s="2" t="s">
        <v>100</v>
      </c>
    </row>
    <row r="692">
      <c r="A692" s="2" t="s">
        <v>2690</v>
      </c>
      <c r="B692" s="2" t="s">
        <v>87</v>
      </c>
      <c r="C692" s="2" t="s">
        <v>88</v>
      </c>
      <c r="D692" s="2" t="s">
        <v>2308</v>
      </c>
      <c r="E692" s="2" t="s">
        <v>2641</v>
      </c>
      <c r="F692" s="2" t="s">
        <v>2691</v>
      </c>
      <c r="G692" s="2" t="s">
        <v>2692</v>
      </c>
      <c r="H692" s="2" t="s">
        <v>2693</v>
      </c>
      <c r="I692" s="2" t="s">
        <v>2694</v>
      </c>
      <c r="J692" s="2" t="s">
        <v>844</v>
      </c>
      <c r="K692" s="2" t="s">
        <v>158</v>
      </c>
      <c r="L692" s="3">
        <v>54.99</v>
      </c>
      <c r="M692" s="3">
        <v>57.74</v>
      </c>
      <c r="N692" s="3">
        <v>109.99</v>
      </c>
      <c r="O692" s="2" t="s">
        <v>97</v>
      </c>
      <c r="P692" s="2" t="s">
        <v>143</v>
      </c>
      <c r="Q692" s="2" t="s">
        <v>99</v>
      </c>
      <c r="R692" s="2" t="s">
        <v>100</v>
      </c>
      <c r="S692" s="2" t="s">
        <v>2695</v>
      </c>
      <c r="T692" s="2" t="s">
        <v>100</v>
      </c>
      <c r="U692" s="2" t="s">
        <v>490</v>
      </c>
      <c r="V692" s="2" t="s">
        <v>1275</v>
      </c>
      <c r="W692" s="2" t="s">
        <v>104</v>
      </c>
      <c r="X692" s="2" t="s">
        <v>1289</v>
      </c>
      <c r="Y692" s="2" t="s">
        <v>106</v>
      </c>
      <c r="Z692" s="4">
        <v>1784</v>
      </c>
      <c r="AA692" s="4">
        <f>=ROUNDDOWN(48.2162162162162,0)</f>
      </c>
      <c r="AB692" s="5">
        <v>37</v>
      </c>
      <c r="AC692" s="2" t="s">
        <v>382</v>
      </c>
      <c r="AD692" s="4">
        <v>650</v>
      </c>
      <c r="AE692" s="4">
        <v>650</v>
      </c>
      <c r="AF692" s="6">
        <v>64</v>
      </c>
      <c r="AG692" s="6">
        <v>47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>
        <v>0</v>
      </c>
      <c r="AP692" s="4">
        <v>4</v>
      </c>
      <c r="AQ692" s="8">
        <v>230.96</v>
      </c>
      <c r="AR692" s="4">
        <v>5</v>
      </c>
      <c r="AS692" s="8">
        <v>288.7</v>
      </c>
      <c r="AT692" s="7">
        <v>-0.2</v>
      </c>
      <c r="AU692" s="7">
        <v>-0.2</v>
      </c>
      <c r="AV692" s="4">
        <v>4</v>
      </c>
      <c r="AW692" s="8">
        <v>230.96</v>
      </c>
      <c r="AX692" s="4">
        <v>7</v>
      </c>
      <c r="AY692" s="8">
        <v>414.68</v>
      </c>
      <c r="AZ692" s="7">
        <v>-0.4286</v>
      </c>
      <c r="BA692" s="7">
        <v>-0.443</v>
      </c>
      <c r="BB692" s="7">
        <v>1</v>
      </c>
      <c r="BC692" s="4">
        <v>4</v>
      </c>
      <c r="BD692" s="8">
        <v>230.96</v>
      </c>
      <c r="BE692" s="4">
        <v>7</v>
      </c>
      <c r="BF692" s="8">
        <v>414.68</v>
      </c>
      <c r="BG692" s="7">
        <v>-0.4286</v>
      </c>
      <c r="BH692" s="7">
        <v>-0.443</v>
      </c>
      <c r="BI692" s="7">
        <v>1</v>
      </c>
      <c r="BJ692" s="4">
        <v>899</v>
      </c>
      <c r="BK692" s="8">
        <v>52478.11</v>
      </c>
      <c r="BL692" s="2" t="s">
        <v>813</v>
      </c>
      <c r="BM692" s="7">
        <v>0.0044</v>
      </c>
      <c r="BN692" s="7">
        <v>0.0044</v>
      </c>
      <c r="BO692" s="4">
        <v>4</v>
      </c>
      <c r="BP692" s="8">
        <v>230.96</v>
      </c>
      <c r="BQ692" s="4">
        <v>5</v>
      </c>
      <c r="BR692" s="8">
        <v>288.7</v>
      </c>
      <c r="BS692" s="7">
        <v>-0.2</v>
      </c>
      <c r="BT692" s="7">
        <v>-0.2</v>
      </c>
      <c r="BU692" s="2" t="s">
        <v>109</v>
      </c>
      <c r="BV692" s="2" t="s">
        <v>97</v>
      </c>
      <c r="BW692" s="2" t="s">
        <v>217</v>
      </c>
      <c r="BX692" s="2" t="s">
        <v>516</v>
      </c>
      <c r="BY692" s="2" t="s">
        <v>112</v>
      </c>
      <c r="BZ692" s="2" t="s">
        <v>100</v>
      </c>
    </row>
    <row r="693">
      <c r="A693" s="2" t="s">
        <v>2696</v>
      </c>
      <c r="B693" s="2" t="s">
        <v>87</v>
      </c>
      <c r="C693" s="2" t="s">
        <v>88</v>
      </c>
      <c r="D693" s="2" t="s">
        <v>2308</v>
      </c>
      <c r="E693" s="2" t="s">
        <v>2641</v>
      </c>
      <c r="F693" s="2" t="s">
        <v>2691</v>
      </c>
      <c r="G693" s="2" t="s">
        <v>2692</v>
      </c>
      <c r="H693" s="2" t="s">
        <v>2693</v>
      </c>
      <c r="I693" s="2" t="s">
        <v>2694</v>
      </c>
      <c r="J693" s="2" t="s">
        <v>850</v>
      </c>
      <c r="K693" s="2" t="s">
        <v>158</v>
      </c>
      <c r="L693" s="3">
        <v>59.99</v>
      </c>
      <c r="M693" s="3">
        <v>62.99</v>
      </c>
      <c r="N693" s="3">
        <v>119.99</v>
      </c>
      <c r="O693" s="2" t="s">
        <v>97</v>
      </c>
      <c r="P693" s="2" t="s">
        <v>143</v>
      </c>
      <c r="Q693" s="2" t="s">
        <v>99</v>
      </c>
      <c r="R693" s="2" t="s">
        <v>100</v>
      </c>
      <c r="S693" s="2" t="s">
        <v>2695</v>
      </c>
      <c r="T693" s="2" t="s">
        <v>100</v>
      </c>
      <c r="U693" s="2" t="s">
        <v>490</v>
      </c>
      <c r="V693" s="2" t="s">
        <v>1275</v>
      </c>
      <c r="W693" s="2" t="s">
        <v>104</v>
      </c>
      <c r="X693" s="2" t="s">
        <v>1289</v>
      </c>
      <c r="Y693" s="2" t="s">
        <v>106</v>
      </c>
      <c r="Z693" s="4">
        <v>1898</v>
      </c>
      <c r="AA693" s="4">
        <f>=ROUNDDOWN(52.7222222222222,0)</f>
      </c>
      <c r="AB693" s="5">
        <v>36</v>
      </c>
      <c r="AC693" s="2" t="s">
        <v>382</v>
      </c>
      <c r="AD693" s="4">
        <v>50</v>
      </c>
      <c r="AE693" s="4">
        <v>50</v>
      </c>
      <c r="AF693" s="6">
        <v>64</v>
      </c>
      <c r="AG693" s="6">
        <v>47</v>
      </c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>
        <v>0</v>
      </c>
      <c r="AP693" s="4"/>
      <c r="AQ693" s="8"/>
      <c r="AR693" s="4">
        <v>2</v>
      </c>
      <c r="AS693" s="8">
        <v>125.98</v>
      </c>
      <c r="AT693" s="7">
        <v>-1</v>
      </c>
      <c r="AU693" s="7">
        <v>-1</v>
      </c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 t="s">
        <v>100</v>
      </c>
      <c r="BJ693" s="4">
        <v>944</v>
      </c>
      <c r="BK693" s="8">
        <v>60357.42</v>
      </c>
      <c r="BL693" s="2" t="s">
        <v>2697</v>
      </c>
      <c r="BM693" s="7"/>
      <c r="BN693" s="7"/>
      <c r="BO693" s="4"/>
      <c r="BP693" s="8"/>
      <c r="BQ693" s="4">
        <v>2</v>
      </c>
      <c r="BR693" s="8">
        <v>125.98</v>
      </c>
      <c r="BS693" s="7">
        <v>-1</v>
      </c>
      <c r="BT693" s="7">
        <v>-1</v>
      </c>
      <c r="BU693" s="2" t="s">
        <v>109</v>
      </c>
      <c r="BV693" s="2" t="s">
        <v>97</v>
      </c>
      <c r="BW693" s="2" t="s">
        <v>217</v>
      </c>
      <c r="BX693" s="2" t="s">
        <v>347</v>
      </c>
      <c r="BY693" s="2" t="s">
        <v>112</v>
      </c>
      <c r="BZ693" s="2" t="s">
        <v>100</v>
      </c>
    </row>
    <row r="694">
      <c r="A694" s="2" t="s">
        <v>2698</v>
      </c>
      <c r="B694" s="2" t="s">
        <v>87</v>
      </c>
      <c r="C694" s="2" t="s">
        <v>88</v>
      </c>
      <c r="D694" s="2" t="s">
        <v>2308</v>
      </c>
      <c r="E694" s="2" t="s">
        <v>2641</v>
      </c>
      <c r="F694" s="2" t="s">
        <v>2691</v>
      </c>
      <c r="G694" s="2" t="s">
        <v>2692</v>
      </c>
      <c r="H694" s="2" t="s">
        <v>2693</v>
      </c>
      <c r="I694" s="2" t="s">
        <v>2694</v>
      </c>
      <c r="J694" s="2" t="s">
        <v>844</v>
      </c>
      <c r="K694" s="2" t="s">
        <v>298</v>
      </c>
      <c r="L694" s="3">
        <v>54.99</v>
      </c>
      <c r="M694" s="3">
        <v>57.74</v>
      </c>
      <c r="N694" s="3">
        <v>109.99</v>
      </c>
      <c r="O694" s="2" t="s">
        <v>97</v>
      </c>
      <c r="P694" s="2" t="s">
        <v>182</v>
      </c>
      <c r="Q694" s="2" t="s">
        <v>99</v>
      </c>
      <c r="R694" s="2" t="s">
        <v>100</v>
      </c>
      <c r="S694" s="2" t="s">
        <v>2699</v>
      </c>
      <c r="T694" s="2" t="s">
        <v>100</v>
      </c>
      <c r="U694" s="2" t="s">
        <v>490</v>
      </c>
      <c r="V694" s="2" t="s">
        <v>1275</v>
      </c>
      <c r="W694" s="2" t="s">
        <v>104</v>
      </c>
      <c r="X694" s="2" t="s">
        <v>1289</v>
      </c>
      <c r="Y694" s="2" t="s">
        <v>106</v>
      </c>
      <c r="Z694" s="4">
        <v>797</v>
      </c>
      <c r="AA694" s="4">
        <f>=ROUNDDOWN(36.2272727272727,0)</f>
      </c>
      <c r="AB694" s="5">
        <v>22</v>
      </c>
      <c r="AC694" s="2" t="s">
        <v>382</v>
      </c>
      <c r="AD694" s="4">
        <v>230</v>
      </c>
      <c r="AE694" s="4">
        <v>230</v>
      </c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 t="s">
        <v>100</v>
      </c>
      <c r="BJ694" s="4">
        <v>477</v>
      </c>
      <c r="BK694" s="8">
        <v>27332.26</v>
      </c>
      <c r="BL694" s="2" t="s">
        <v>2700</v>
      </c>
      <c r="BM694" s="7"/>
      <c r="BN694" s="7"/>
      <c r="BO694" s="4"/>
      <c r="BP694" s="8"/>
      <c r="BQ694" s="4"/>
      <c r="BR694" s="8"/>
      <c r="BS694" s="7"/>
      <c r="BT694" s="7"/>
      <c r="BU694" s="2" t="s">
        <v>147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2701</v>
      </c>
      <c r="B695" s="2" t="s">
        <v>87</v>
      </c>
      <c r="C695" s="2" t="s">
        <v>88</v>
      </c>
      <c r="D695" s="2" t="s">
        <v>2308</v>
      </c>
      <c r="E695" s="2" t="s">
        <v>2641</v>
      </c>
      <c r="F695" s="2" t="s">
        <v>2691</v>
      </c>
      <c r="G695" s="2" t="s">
        <v>2692</v>
      </c>
      <c r="H695" s="2" t="s">
        <v>2693</v>
      </c>
      <c r="I695" s="2" t="s">
        <v>2694</v>
      </c>
      <c r="J695" s="2" t="s">
        <v>850</v>
      </c>
      <c r="K695" s="2" t="s">
        <v>298</v>
      </c>
      <c r="L695" s="3">
        <v>59.99</v>
      </c>
      <c r="M695" s="3">
        <v>62.99</v>
      </c>
      <c r="N695" s="3">
        <v>119.99</v>
      </c>
      <c r="O695" s="2" t="s">
        <v>97</v>
      </c>
      <c r="P695" s="2" t="s">
        <v>182</v>
      </c>
      <c r="Q695" s="2" t="s">
        <v>99</v>
      </c>
      <c r="R695" s="2" t="s">
        <v>100</v>
      </c>
      <c r="S695" s="2" t="s">
        <v>2699</v>
      </c>
      <c r="T695" s="2" t="s">
        <v>100</v>
      </c>
      <c r="U695" s="2" t="s">
        <v>490</v>
      </c>
      <c r="V695" s="2" t="s">
        <v>1275</v>
      </c>
      <c r="W695" s="2" t="s">
        <v>104</v>
      </c>
      <c r="X695" s="2" t="s">
        <v>1289</v>
      </c>
      <c r="Y695" s="2" t="s">
        <v>106</v>
      </c>
      <c r="Z695" s="4">
        <v>991</v>
      </c>
      <c r="AA695" s="4">
        <f>=ROUNDDOWN(61.9375,0)</f>
      </c>
      <c r="AB695" s="5">
        <v>16</v>
      </c>
      <c r="AC695" s="2" t="s">
        <v>382</v>
      </c>
      <c r="AD695" s="4">
        <v>330</v>
      </c>
      <c r="AE695" s="4">
        <v>330</v>
      </c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 t="s">
        <v>100</v>
      </c>
      <c r="BJ695" s="4">
        <v>400</v>
      </c>
      <c r="BK695" s="8">
        <v>24933.19</v>
      </c>
      <c r="BL695" s="2" t="s">
        <v>2702</v>
      </c>
      <c r="BM695" s="7"/>
      <c r="BN695" s="7"/>
      <c r="BO695" s="4"/>
      <c r="BP695" s="8"/>
      <c r="BQ695" s="4"/>
      <c r="BR695" s="8"/>
      <c r="BS695" s="7"/>
      <c r="BT695" s="7"/>
      <c r="BU695" s="2" t="s">
        <v>147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2703</v>
      </c>
      <c r="B696" s="2" t="s">
        <v>87</v>
      </c>
      <c r="C696" s="2" t="s">
        <v>88</v>
      </c>
      <c r="D696" s="2" t="s">
        <v>2308</v>
      </c>
      <c r="E696" s="2" t="s">
        <v>2641</v>
      </c>
      <c r="F696" s="2" t="s">
        <v>2240</v>
      </c>
      <c r="G696" s="2" t="s">
        <v>2704</v>
      </c>
      <c r="H696" s="2" t="s">
        <v>1163</v>
      </c>
      <c r="I696" s="2" t="s">
        <v>2705</v>
      </c>
      <c r="J696" s="2" t="s">
        <v>844</v>
      </c>
      <c r="K696" s="2" t="s">
        <v>622</v>
      </c>
      <c r="L696" s="3">
        <v>51.84</v>
      </c>
      <c r="M696" s="3">
        <v>54.43</v>
      </c>
      <c r="N696" s="3">
        <v>109.99</v>
      </c>
      <c r="O696" s="2" t="s">
        <v>97</v>
      </c>
      <c r="P696" s="2" t="s">
        <v>143</v>
      </c>
      <c r="Q696" s="2" t="s">
        <v>99</v>
      </c>
      <c r="R696" s="2" t="s">
        <v>100</v>
      </c>
      <c r="S696" s="2" t="s">
        <v>2706</v>
      </c>
      <c r="T696" s="2" t="s">
        <v>100</v>
      </c>
      <c r="U696" s="2" t="s">
        <v>490</v>
      </c>
      <c r="V696" s="2" t="s">
        <v>491</v>
      </c>
      <c r="W696" s="2" t="s">
        <v>104</v>
      </c>
      <c r="X696" s="2" t="s">
        <v>380</v>
      </c>
      <c r="Y696" s="2" t="s">
        <v>106</v>
      </c>
      <c r="Z696" s="4">
        <v>2624</v>
      </c>
      <c r="AA696" s="4">
        <f>=ROUNDDOWN(35.4594594594595,0)</f>
      </c>
      <c r="AB696" s="5">
        <v>74</v>
      </c>
      <c r="AC696" s="2" t="s">
        <v>1546</v>
      </c>
      <c r="AD696" s="4">
        <v>230</v>
      </c>
      <c r="AE696" s="4">
        <v>280</v>
      </c>
      <c r="AF696" s="6">
        <v>65</v>
      </c>
      <c r="AG696" s="6">
        <v>73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>
        <v>0</v>
      </c>
      <c r="AP696" s="4">
        <v>2</v>
      </c>
      <c r="AQ696" s="8">
        <v>108.88</v>
      </c>
      <c r="AR696" s="4">
        <v>13</v>
      </c>
      <c r="AS696" s="8">
        <v>761.99</v>
      </c>
      <c r="AT696" s="7">
        <v>-0.8462</v>
      </c>
      <c r="AU696" s="7">
        <v>-0.8571</v>
      </c>
      <c r="AV696" s="4">
        <v>3</v>
      </c>
      <c r="AW696" s="8">
        <v>169.07</v>
      </c>
      <c r="AX696" s="4">
        <v>20</v>
      </c>
      <c r="AY696" s="8">
        <v>1216.77</v>
      </c>
      <c r="AZ696" s="7">
        <v>-0.85</v>
      </c>
      <c r="BA696" s="7">
        <v>-0.8611</v>
      </c>
      <c r="BB696" s="7">
        <v>0.644</v>
      </c>
      <c r="BC696" s="4">
        <v>4</v>
      </c>
      <c r="BD696" s="8">
        <v>229.26</v>
      </c>
      <c r="BE696" s="4">
        <v>23</v>
      </c>
      <c r="BF696" s="8">
        <v>1410.72</v>
      </c>
      <c r="BG696" s="7">
        <v>-0.8261</v>
      </c>
      <c r="BH696" s="7">
        <v>-0.8375</v>
      </c>
      <c r="BI696" s="7">
        <v>0.7375</v>
      </c>
      <c r="BJ696" s="4">
        <v>1547</v>
      </c>
      <c r="BK696" s="8">
        <v>89363.62</v>
      </c>
      <c r="BL696" s="2" t="s">
        <v>2707</v>
      </c>
      <c r="BM696" s="7">
        <v>0.0013</v>
      </c>
      <c r="BN696" s="7">
        <v>0.0012</v>
      </c>
      <c r="BO696" s="4">
        <v>2</v>
      </c>
      <c r="BP696" s="8">
        <v>108.88</v>
      </c>
      <c r="BQ696" s="4">
        <v>13</v>
      </c>
      <c r="BR696" s="8">
        <v>761.99</v>
      </c>
      <c r="BS696" s="7">
        <v>-0.8462</v>
      </c>
      <c r="BT696" s="7">
        <v>-0.8571</v>
      </c>
      <c r="BU696" s="2" t="s">
        <v>109</v>
      </c>
      <c r="BV696" s="2" t="s">
        <v>97</v>
      </c>
      <c r="BW696" s="2" t="s">
        <v>132</v>
      </c>
      <c r="BX696" s="2" t="s">
        <v>133</v>
      </c>
      <c r="BY696" s="2" t="s">
        <v>112</v>
      </c>
      <c r="BZ696" s="2" t="s">
        <v>100</v>
      </c>
    </row>
    <row r="697">
      <c r="A697" s="2" t="s">
        <v>2708</v>
      </c>
      <c r="B697" s="2" t="s">
        <v>87</v>
      </c>
      <c r="C697" s="2" t="s">
        <v>88</v>
      </c>
      <c r="D697" s="2" t="s">
        <v>2308</v>
      </c>
      <c r="E697" s="2" t="s">
        <v>2641</v>
      </c>
      <c r="F697" s="2" t="s">
        <v>2240</v>
      </c>
      <c r="G697" s="2" t="s">
        <v>2704</v>
      </c>
      <c r="H697" s="2" t="s">
        <v>1163</v>
      </c>
      <c r="I697" s="2" t="s">
        <v>2705</v>
      </c>
      <c r="J697" s="2" t="s">
        <v>850</v>
      </c>
      <c r="K697" s="2" t="s">
        <v>622</v>
      </c>
      <c r="L697" s="3">
        <v>57.32</v>
      </c>
      <c r="M697" s="3">
        <v>60.19</v>
      </c>
      <c r="N697" s="3">
        <v>119.99</v>
      </c>
      <c r="O697" s="2" t="s">
        <v>97</v>
      </c>
      <c r="P697" s="2" t="s">
        <v>143</v>
      </c>
      <c r="Q697" s="2" t="s">
        <v>99</v>
      </c>
      <c r="R697" s="2" t="s">
        <v>100</v>
      </c>
      <c r="S697" s="2" t="s">
        <v>2706</v>
      </c>
      <c r="T697" s="2" t="s">
        <v>100</v>
      </c>
      <c r="U697" s="2" t="s">
        <v>490</v>
      </c>
      <c r="V697" s="2" t="s">
        <v>491</v>
      </c>
      <c r="W697" s="2" t="s">
        <v>104</v>
      </c>
      <c r="X697" s="2" t="s">
        <v>380</v>
      </c>
      <c r="Y697" s="2" t="s">
        <v>106</v>
      </c>
      <c r="Z697" s="4">
        <v>1760</v>
      </c>
      <c r="AA697" s="4">
        <f>=ROUNDDOWN(20.2298850574713,0)</f>
      </c>
      <c r="AB697" s="5">
        <v>87</v>
      </c>
      <c r="AC697" s="2" t="s">
        <v>2709</v>
      </c>
      <c r="AD697" s="4">
        <v>320</v>
      </c>
      <c r="AE697" s="4">
        <v>1130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>
        <v>0</v>
      </c>
      <c r="AP697" s="4">
        <v>1</v>
      </c>
      <c r="AQ697" s="8">
        <v>60.19</v>
      </c>
      <c r="AR697" s="4">
        <v>7</v>
      </c>
      <c r="AS697" s="8">
        <v>454.78</v>
      </c>
      <c r="AT697" s="7">
        <v>-0.8571</v>
      </c>
      <c r="AU697" s="7">
        <v>-0.8677</v>
      </c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>
        <v>0.356</v>
      </c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 t="s">
        <v>100</v>
      </c>
      <c r="BJ697" s="4">
        <v>1672</v>
      </c>
      <c r="BK697" s="8">
        <v>105712.05</v>
      </c>
      <c r="BL697" s="2" t="s">
        <v>2710</v>
      </c>
      <c r="BM697" s="7">
        <v>0.0006</v>
      </c>
      <c r="BN697" s="7">
        <v>0.0006</v>
      </c>
      <c r="BO697" s="4">
        <v>1</v>
      </c>
      <c r="BP697" s="8">
        <v>60.19</v>
      </c>
      <c r="BQ697" s="4">
        <v>7</v>
      </c>
      <c r="BR697" s="8">
        <v>454.78</v>
      </c>
      <c r="BS697" s="7">
        <v>-0.8571</v>
      </c>
      <c r="BT697" s="7">
        <v>-0.8677</v>
      </c>
      <c r="BU697" s="2" t="s">
        <v>109</v>
      </c>
      <c r="BV697" s="2" t="s">
        <v>97</v>
      </c>
      <c r="BW697" s="2" t="s">
        <v>132</v>
      </c>
      <c r="BX697" s="2" t="s">
        <v>2711</v>
      </c>
      <c r="BY697" s="2" t="s">
        <v>112</v>
      </c>
      <c r="BZ697" s="2" t="s">
        <v>100</v>
      </c>
    </row>
    <row r="698">
      <c r="A698" s="2" t="s">
        <v>2712</v>
      </c>
      <c r="B698" s="2" t="s">
        <v>87</v>
      </c>
      <c r="C698" s="2" t="s">
        <v>88</v>
      </c>
      <c r="D698" s="2" t="s">
        <v>2308</v>
      </c>
      <c r="E698" s="2" t="s">
        <v>2641</v>
      </c>
      <c r="F698" s="2" t="s">
        <v>2240</v>
      </c>
      <c r="G698" s="2" t="s">
        <v>2704</v>
      </c>
      <c r="H698" s="2" t="s">
        <v>1163</v>
      </c>
      <c r="I698" s="2" t="s">
        <v>2705</v>
      </c>
      <c r="J698" s="2" t="s">
        <v>844</v>
      </c>
      <c r="K698" s="2" t="s">
        <v>158</v>
      </c>
      <c r="L698" s="3">
        <v>51.84</v>
      </c>
      <c r="M698" s="3">
        <v>54.43</v>
      </c>
      <c r="N698" s="3">
        <v>109.99</v>
      </c>
      <c r="O698" s="2" t="s">
        <v>97</v>
      </c>
      <c r="P698" s="2" t="s">
        <v>143</v>
      </c>
      <c r="Q698" s="2" t="s">
        <v>99</v>
      </c>
      <c r="R698" s="2" t="s">
        <v>100</v>
      </c>
      <c r="S698" s="2" t="s">
        <v>2713</v>
      </c>
      <c r="T698" s="2" t="s">
        <v>100</v>
      </c>
      <c r="U698" s="2" t="s">
        <v>490</v>
      </c>
      <c r="V698" s="2" t="s">
        <v>491</v>
      </c>
      <c r="W698" s="2" t="s">
        <v>104</v>
      </c>
      <c r="X698" s="2" t="s">
        <v>380</v>
      </c>
      <c r="Y698" s="2" t="s">
        <v>106</v>
      </c>
      <c r="Z698" s="4">
        <v>1656</v>
      </c>
      <c r="AA698" s="4">
        <f>=ROUNDDOWN(20.9620253164557,0)</f>
      </c>
      <c r="AB698" s="5">
        <v>79</v>
      </c>
      <c r="AC698" s="2" t="s">
        <v>2709</v>
      </c>
      <c r="AD698" s="4">
        <v>300</v>
      </c>
      <c r="AE698" s="4">
        <v>820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>
        <v>1</v>
      </c>
      <c r="AW698" s="8">
        <v>60.19</v>
      </c>
      <c r="AX698" s="4">
        <v>3</v>
      </c>
      <c r="AY698" s="8">
        <v>193.95</v>
      </c>
      <c r="AZ698" s="7">
        <v>-0.6667</v>
      </c>
      <c r="BA698" s="7">
        <v>-0.6897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>
        <v>0.2625</v>
      </c>
      <c r="BJ698" s="4">
        <v>1341</v>
      </c>
      <c r="BK698" s="8">
        <v>78472.74</v>
      </c>
      <c r="BL698" s="2" t="s">
        <v>2714</v>
      </c>
      <c r="BM698" s="7"/>
      <c r="BN698" s="7"/>
      <c r="BO698" s="4"/>
      <c r="BP698" s="8"/>
      <c r="BQ698" s="4"/>
      <c r="BR698" s="8"/>
      <c r="BS698" s="7"/>
      <c r="BT698" s="7"/>
      <c r="BU698" s="2" t="s">
        <v>109</v>
      </c>
      <c r="BV698" s="2" t="s">
        <v>97</v>
      </c>
      <c r="BW698" s="2" t="s">
        <v>606</v>
      </c>
      <c r="BX698" s="2" t="s">
        <v>100</v>
      </c>
      <c r="BY698" s="2" t="s">
        <v>112</v>
      </c>
      <c r="BZ698" s="2" t="s">
        <v>100</v>
      </c>
    </row>
    <row r="699">
      <c r="A699" s="2" t="s">
        <v>2715</v>
      </c>
      <c r="B699" s="2" t="s">
        <v>87</v>
      </c>
      <c r="C699" s="2" t="s">
        <v>88</v>
      </c>
      <c r="D699" s="2" t="s">
        <v>2308</v>
      </c>
      <c r="E699" s="2" t="s">
        <v>2641</v>
      </c>
      <c r="F699" s="2" t="s">
        <v>2240</v>
      </c>
      <c r="G699" s="2" t="s">
        <v>2704</v>
      </c>
      <c r="H699" s="2" t="s">
        <v>1163</v>
      </c>
      <c r="I699" s="2" t="s">
        <v>2705</v>
      </c>
      <c r="J699" s="2" t="s">
        <v>850</v>
      </c>
      <c r="K699" s="2" t="s">
        <v>158</v>
      </c>
      <c r="L699" s="3">
        <v>57.32</v>
      </c>
      <c r="M699" s="3">
        <v>60.19</v>
      </c>
      <c r="N699" s="3">
        <v>119.99</v>
      </c>
      <c r="O699" s="2" t="s">
        <v>97</v>
      </c>
      <c r="P699" s="2" t="s">
        <v>143</v>
      </c>
      <c r="Q699" s="2" t="s">
        <v>99</v>
      </c>
      <c r="R699" s="2" t="s">
        <v>100</v>
      </c>
      <c r="S699" s="2" t="s">
        <v>2713</v>
      </c>
      <c r="T699" s="2" t="s">
        <v>100</v>
      </c>
      <c r="U699" s="2" t="s">
        <v>490</v>
      </c>
      <c r="V699" s="2" t="s">
        <v>491</v>
      </c>
      <c r="W699" s="2" t="s">
        <v>104</v>
      </c>
      <c r="X699" s="2" t="s">
        <v>380</v>
      </c>
      <c r="Y699" s="2" t="s">
        <v>106</v>
      </c>
      <c r="Z699" s="4">
        <v>2177</v>
      </c>
      <c r="AA699" s="4">
        <f>=ROUNDDOWN(26.5487804878049,0)</f>
      </c>
      <c r="AB699" s="5">
        <v>82</v>
      </c>
      <c r="AC699" s="2" t="s">
        <v>474</v>
      </c>
      <c r="AD699" s="4">
        <v>140</v>
      </c>
      <c r="AE699" s="4">
        <v>220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>
        <v>0</v>
      </c>
      <c r="AP699" s="4">
        <v>1</v>
      </c>
      <c r="AQ699" s="8">
        <v>60.19</v>
      </c>
      <c r="AR699" s="4">
        <v>3</v>
      </c>
      <c r="AS699" s="8">
        <v>193.95</v>
      </c>
      <c r="AT699" s="7">
        <v>-0.6667</v>
      </c>
      <c r="AU699" s="7">
        <v>-0.6897</v>
      </c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>
        <v>1</v>
      </c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 t="s">
        <v>100</v>
      </c>
      <c r="BJ699" s="4">
        <v>1415</v>
      </c>
      <c r="BK699" s="8">
        <v>89893.13</v>
      </c>
      <c r="BL699" s="2" t="s">
        <v>2716</v>
      </c>
      <c r="BM699" s="7">
        <v>0.0007</v>
      </c>
      <c r="BN699" s="7">
        <v>0.0007</v>
      </c>
      <c r="BO699" s="4">
        <v>1</v>
      </c>
      <c r="BP699" s="8">
        <v>60.19</v>
      </c>
      <c r="BQ699" s="4">
        <v>3</v>
      </c>
      <c r="BR699" s="8">
        <v>193.95</v>
      </c>
      <c r="BS699" s="7">
        <v>-0.6667</v>
      </c>
      <c r="BT699" s="7">
        <v>-0.6897</v>
      </c>
      <c r="BU699" s="2" t="s">
        <v>109</v>
      </c>
      <c r="BV699" s="2" t="s">
        <v>97</v>
      </c>
      <c r="BW699" s="2" t="s">
        <v>606</v>
      </c>
      <c r="BX699" s="2" t="s">
        <v>361</v>
      </c>
      <c r="BY699" s="2" t="s">
        <v>112</v>
      </c>
      <c r="BZ699" s="2" t="s">
        <v>100</v>
      </c>
    </row>
    <row r="700">
      <c r="A700" s="2" t="s">
        <v>2717</v>
      </c>
      <c r="B700" s="2" t="s">
        <v>87</v>
      </c>
      <c r="C700" s="2" t="s">
        <v>88</v>
      </c>
      <c r="D700" s="2" t="s">
        <v>2308</v>
      </c>
      <c r="E700" s="2" t="s">
        <v>2641</v>
      </c>
      <c r="F700" s="2" t="s">
        <v>1042</v>
      </c>
      <c r="G700" s="2" t="s">
        <v>1043</v>
      </c>
      <c r="H700" s="2" t="s">
        <v>1044</v>
      </c>
      <c r="I700" s="2" t="s">
        <v>2718</v>
      </c>
      <c r="J700" s="2" t="s">
        <v>844</v>
      </c>
      <c r="K700" s="2" t="s">
        <v>247</v>
      </c>
      <c r="L700" s="3">
        <v>62.4</v>
      </c>
      <c r="M700" s="3">
        <v>65.51</v>
      </c>
      <c r="N700" s="3">
        <v>129.99</v>
      </c>
      <c r="O700" s="2" t="s">
        <v>97</v>
      </c>
      <c r="P700" s="2" t="s">
        <v>182</v>
      </c>
      <c r="Q700" s="2" t="s">
        <v>99</v>
      </c>
      <c r="R700" s="2" t="s">
        <v>100</v>
      </c>
      <c r="S700" s="2" t="s">
        <v>1045</v>
      </c>
      <c r="T700" s="2" t="s">
        <v>732</v>
      </c>
      <c r="U700" s="2" t="s">
        <v>490</v>
      </c>
      <c r="V700" s="2" t="s">
        <v>906</v>
      </c>
      <c r="W700" s="2" t="s">
        <v>906</v>
      </c>
      <c r="X700" s="2" t="s">
        <v>907</v>
      </c>
      <c r="Y700" s="2" t="s">
        <v>106</v>
      </c>
      <c r="Z700" s="4">
        <v>364</v>
      </c>
      <c r="AA700" s="4">
        <f>=ROUNDDOWN(15.2301255230126,0)</f>
      </c>
      <c r="AB700" s="5">
        <v>23.9</v>
      </c>
      <c r="AC700" s="2" t="s">
        <v>563</v>
      </c>
      <c r="AD700" s="4">
        <v>220</v>
      </c>
      <c r="AE700" s="4">
        <v>600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>
        <v>0</v>
      </c>
      <c r="AP700" s="4">
        <v>1</v>
      </c>
      <c r="AQ700" s="8">
        <v>65.52</v>
      </c>
      <c r="AR700" s="4"/>
      <c r="AS700" s="8"/>
      <c r="AT700" s="7"/>
      <c r="AU700" s="7"/>
      <c r="AV700" s="4">
        <v>2</v>
      </c>
      <c r="AW700" s="8">
        <v>136.08</v>
      </c>
      <c r="AX700" s="4">
        <v>1</v>
      </c>
      <c r="AY700" s="8">
        <v>70.56</v>
      </c>
      <c r="AZ700" s="7">
        <v>1</v>
      </c>
      <c r="BA700" s="7">
        <v>0.9286</v>
      </c>
      <c r="BB700" s="7">
        <v>0.4815</v>
      </c>
      <c r="BC700" s="4">
        <v>2</v>
      </c>
      <c r="BD700" s="8">
        <v>136.08</v>
      </c>
      <c r="BE700" s="4">
        <v>1</v>
      </c>
      <c r="BF700" s="8">
        <v>70.56</v>
      </c>
      <c r="BG700" s="7">
        <v>1</v>
      </c>
      <c r="BH700" s="7">
        <v>0.9286</v>
      </c>
      <c r="BI700" s="7">
        <v>1</v>
      </c>
      <c r="BJ700" s="4">
        <v>452</v>
      </c>
      <c r="BK700" s="8">
        <v>30420.68</v>
      </c>
      <c r="BL700" s="2" t="s">
        <v>2719</v>
      </c>
      <c r="BM700" s="7">
        <v>0.0022</v>
      </c>
      <c r="BN700" s="7">
        <v>0.0022</v>
      </c>
      <c r="BO700" s="4">
        <v>1</v>
      </c>
      <c r="BP700" s="8">
        <v>65.52</v>
      </c>
      <c r="BQ700" s="4"/>
      <c r="BR700" s="8"/>
      <c r="BS700" s="7"/>
      <c r="BT700" s="7"/>
      <c r="BU700" s="2" t="s">
        <v>109</v>
      </c>
      <c r="BV700" s="2" t="s">
        <v>97</v>
      </c>
      <c r="BW700" s="2" t="s">
        <v>606</v>
      </c>
      <c r="BX700" s="2" t="s">
        <v>2720</v>
      </c>
      <c r="BY700" s="2" t="s">
        <v>112</v>
      </c>
      <c r="BZ700" s="2" t="s">
        <v>100</v>
      </c>
    </row>
    <row r="701">
      <c r="A701" s="2" t="s">
        <v>2721</v>
      </c>
      <c r="B701" s="2" t="s">
        <v>87</v>
      </c>
      <c r="C701" s="2" t="s">
        <v>88</v>
      </c>
      <c r="D701" s="2" t="s">
        <v>2308</v>
      </c>
      <c r="E701" s="2" t="s">
        <v>2641</v>
      </c>
      <c r="F701" s="2" t="s">
        <v>1042</v>
      </c>
      <c r="G701" s="2" t="s">
        <v>1043</v>
      </c>
      <c r="H701" s="2" t="s">
        <v>1044</v>
      </c>
      <c r="I701" s="2" t="s">
        <v>2718</v>
      </c>
      <c r="J701" s="2" t="s">
        <v>850</v>
      </c>
      <c r="K701" s="2" t="s">
        <v>247</v>
      </c>
      <c r="L701" s="3">
        <v>67.2</v>
      </c>
      <c r="M701" s="3">
        <v>70.55</v>
      </c>
      <c r="N701" s="3">
        <v>139.99</v>
      </c>
      <c r="O701" s="2" t="s">
        <v>97</v>
      </c>
      <c r="P701" s="2" t="s">
        <v>182</v>
      </c>
      <c r="Q701" s="2" t="s">
        <v>99</v>
      </c>
      <c r="R701" s="2" t="s">
        <v>100</v>
      </c>
      <c r="S701" s="2" t="s">
        <v>1045</v>
      </c>
      <c r="T701" s="2" t="s">
        <v>732</v>
      </c>
      <c r="U701" s="2" t="s">
        <v>490</v>
      </c>
      <c r="V701" s="2" t="s">
        <v>906</v>
      </c>
      <c r="W701" s="2" t="s">
        <v>906</v>
      </c>
      <c r="X701" s="2" t="s">
        <v>907</v>
      </c>
      <c r="Y701" s="2" t="s">
        <v>106</v>
      </c>
      <c r="Z701" s="4">
        <v>302</v>
      </c>
      <c r="AA701" s="4">
        <f>=ROUNDDOWN(13.1304347826087,0)</f>
      </c>
      <c r="AB701" s="5">
        <v>23</v>
      </c>
      <c r="AC701" s="2" t="s">
        <v>563</v>
      </c>
      <c r="AD701" s="4">
        <v>180</v>
      </c>
      <c r="AE701" s="4">
        <v>630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>
        <v>0</v>
      </c>
      <c r="AP701" s="4">
        <v>1</v>
      </c>
      <c r="AQ701" s="8">
        <v>70.56</v>
      </c>
      <c r="AR701" s="4">
        <v>1</v>
      </c>
      <c r="AS701" s="8">
        <v>70.56</v>
      </c>
      <c r="AT701" s="7"/>
      <c r="AU701" s="7"/>
      <c r="AV701" s="4" t="s">
        <v>100</v>
      </c>
      <c r="AW701" s="8" t="s">
        <v>100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>
        <v>0.5185</v>
      </c>
      <c r="BC701" s="4" t="s">
        <v>100</v>
      </c>
      <c r="BD701" s="8" t="s">
        <v>100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 t="s">
        <v>100</v>
      </c>
      <c r="BJ701" s="4">
        <v>478</v>
      </c>
      <c r="BK701" s="8">
        <v>34615.15</v>
      </c>
      <c r="BL701" s="2" t="s">
        <v>2722</v>
      </c>
      <c r="BM701" s="7">
        <v>0.0021</v>
      </c>
      <c r="BN701" s="7">
        <v>0.002</v>
      </c>
      <c r="BO701" s="4">
        <v>1</v>
      </c>
      <c r="BP701" s="8">
        <v>70.56</v>
      </c>
      <c r="BQ701" s="4">
        <v>1</v>
      </c>
      <c r="BR701" s="8">
        <v>70.56</v>
      </c>
      <c r="BS701" s="7"/>
      <c r="BT701" s="7"/>
      <c r="BU701" s="2" t="s">
        <v>109</v>
      </c>
      <c r="BV701" s="2" t="s">
        <v>97</v>
      </c>
      <c r="BW701" s="2" t="s">
        <v>606</v>
      </c>
      <c r="BX701" s="2" t="s">
        <v>2723</v>
      </c>
      <c r="BY701" s="2" t="s">
        <v>112</v>
      </c>
      <c r="BZ701" s="2" t="s">
        <v>100</v>
      </c>
    </row>
    <row r="702">
      <c r="A702" s="2" t="s">
        <v>2724</v>
      </c>
      <c r="B702" s="2" t="s">
        <v>87</v>
      </c>
      <c r="C702" s="2" t="s">
        <v>88</v>
      </c>
      <c r="D702" s="2" t="s">
        <v>2308</v>
      </c>
      <c r="E702" s="2" t="s">
        <v>2641</v>
      </c>
      <c r="F702" s="2" t="s">
        <v>1042</v>
      </c>
      <c r="G702" s="2" t="s">
        <v>1043</v>
      </c>
      <c r="H702" s="2" t="s">
        <v>1044</v>
      </c>
      <c r="I702" s="2" t="s">
        <v>2718</v>
      </c>
      <c r="J702" s="2" t="s">
        <v>844</v>
      </c>
      <c r="K702" s="2" t="s">
        <v>267</v>
      </c>
      <c r="L702" s="3">
        <v>62.4</v>
      </c>
      <c r="M702" s="3">
        <v>65.52</v>
      </c>
      <c r="N702" s="3">
        <v>129.99</v>
      </c>
      <c r="O702" s="2" t="s">
        <v>97</v>
      </c>
      <c r="P702" s="2" t="s">
        <v>182</v>
      </c>
      <c r="Q702" s="2" t="s">
        <v>99</v>
      </c>
      <c r="R702" s="2" t="s">
        <v>100</v>
      </c>
      <c r="S702" s="2" t="s">
        <v>2725</v>
      </c>
      <c r="T702" s="2" t="s">
        <v>732</v>
      </c>
      <c r="U702" s="2" t="s">
        <v>490</v>
      </c>
      <c r="V702" s="2" t="s">
        <v>906</v>
      </c>
      <c r="W702" s="2" t="s">
        <v>906</v>
      </c>
      <c r="X702" s="2" t="s">
        <v>185</v>
      </c>
      <c r="Y702" s="2" t="s">
        <v>1056</v>
      </c>
      <c r="Z702" s="4">
        <v>592</v>
      </c>
      <c r="AA702" s="4">
        <f>=ROUNDDOWN(34.4186046511628,0)</f>
      </c>
      <c r="AB702" s="5">
        <v>17.2</v>
      </c>
      <c r="AC702" s="2" t="s">
        <v>1057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/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339</v>
      </c>
      <c r="BK702" s="8">
        <v>21720.24</v>
      </c>
      <c r="BL702" s="2" t="s">
        <v>2726</v>
      </c>
      <c r="BM702" s="7"/>
      <c r="BN702" s="7"/>
      <c r="BO702" s="4"/>
      <c r="BP702" s="8"/>
      <c r="BQ702" s="4"/>
      <c r="BR702" s="8"/>
      <c r="BS702" s="7"/>
      <c r="BT702" s="7"/>
      <c r="BU702" s="2" t="s">
        <v>147</v>
      </c>
      <c r="BV702" s="2" t="s">
        <v>97</v>
      </c>
      <c r="BW702" s="2" t="s">
        <v>100</v>
      </c>
      <c r="BX702" s="2" t="s">
        <v>100</v>
      </c>
      <c r="BY702" s="2" t="s">
        <v>112</v>
      </c>
      <c r="BZ702" s="2" t="s">
        <v>100</v>
      </c>
    </row>
    <row r="703">
      <c r="A703" s="2" t="s">
        <v>2727</v>
      </c>
      <c r="B703" s="2" t="s">
        <v>87</v>
      </c>
      <c r="C703" s="2" t="s">
        <v>88</v>
      </c>
      <c r="D703" s="2" t="s">
        <v>2308</v>
      </c>
      <c r="E703" s="2" t="s">
        <v>2641</v>
      </c>
      <c r="F703" s="2" t="s">
        <v>1042</v>
      </c>
      <c r="G703" s="2" t="s">
        <v>1043</v>
      </c>
      <c r="H703" s="2" t="s">
        <v>1044</v>
      </c>
      <c r="I703" s="2" t="s">
        <v>2718</v>
      </c>
      <c r="J703" s="2" t="s">
        <v>850</v>
      </c>
      <c r="K703" s="2" t="s">
        <v>267</v>
      </c>
      <c r="L703" s="3">
        <v>67.2</v>
      </c>
      <c r="M703" s="3">
        <v>70.56</v>
      </c>
      <c r="N703" s="3">
        <v>139.99</v>
      </c>
      <c r="O703" s="2" t="s">
        <v>97</v>
      </c>
      <c r="P703" s="2" t="s">
        <v>182</v>
      </c>
      <c r="Q703" s="2" t="s">
        <v>99</v>
      </c>
      <c r="R703" s="2" t="s">
        <v>100</v>
      </c>
      <c r="S703" s="2" t="s">
        <v>2725</v>
      </c>
      <c r="T703" s="2" t="s">
        <v>732</v>
      </c>
      <c r="U703" s="2" t="s">
        <v>490</v>
      </c>
      <c r="V703" s="2" t="s">
        <v>906</v>
      </c>
      <c r="W703" s="2" t="s">
        <v>906</v>
      </c>
      <c r="X703" s="2" t="s">
        <v>185</v>
      </c>
      <c r="Y703" s="2" t="s">
        <v>2728</v>
      </c>
      <c r="Z703" s="4">
        <v>575</v>
      </c>
      <c r="AA703" s="4">
        <f>=ROUNDDOWN(38.5906040268456,0)</f>
      </c>
      <c r="AB703" s="5">
        <v>14.9</v>
      </c>
      <c r="AC703" s="2" t="s">
        <v>1057</v>
      </c>
      <c r="AD703" s="4">
        <v>150</v>
      </c>
      <c r="AE703" s="4">
        <v>270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 t="s">
        <v>100</v>
      </c>
      <c r="BJ703" s="4">
        <v>427</v>
      </c>
      <c r="BK703" s="8">
        <v>29865.11</v>
      </c>
      <c r="BL703" s="2" t="s">
        <v>2729</v>
      </c>
      <c r="BM703" s="7"/>
      <c r="BN703" s="7"/>
      <c r="BO703" s="4"/>
      <c r="BP703" s="8"/>
      <c r="BQ703" s="4"/>
      <c r="BR703" s="8"/>
      <c r="BS703" s="7"/>
      <c r="BT703" s="7"/>
      <c r="BU703" s="2" t="s">
        <v>147</v>
      </c>
      <c r="BV703" s="2" t="s">
        <v>97</v>
      </c>
      <c r="BW703" s="2" t="s">
        <v>100</v>
      </c>
      <c r="BX703" s="2" t="s">
        <v>100</v>
      </c>
      <c r="BY703" s="2" t="s">
        <v>112</v>
      </c>
      <c r="BZ703" s="2" t="s">
        <v>100</v>
      </c>
    </row>
    <row r="704">
      <c r="A704" s="2" t="s">
        <v>2730</v>
      </c>
      <c r="B704" s="2" t="s">
        <v>87</v>
      </c>
      <c r="C704" s="2" t="s">
        <v>88</v>
      </c>
      <c r="D704" s="2" t="s">
        <v>2308</v>
      </c>
      <c r="E704" s="2" t="s">
        <v>2641</v>
      </c>
      <c r="F704" s="2" t="s">
        <v>2731</v>
      </c>
      <c r="G704" s="2" t="s">
        <v>2732</v>
      </c>
      <c r="H704" s="2" t="s">
        <v>2733</v>
      </c>
      <c r="I704" s="2" t="s">
        <v>2663</v>
      </c>
      <c r="J704" s="2" t="s">
        <v>844</v>
      </c>
      <c r="K704" s="2" t="s">
        <v>2734</v>
      </c>
      <c r="L704" s="3">
        <v>54.99</v>
      </c>
      <c r="M704" s="3">
        <v>57.74</v>
      </c>
      <c r="N704" s="3">
        <v>109.99</v>
      </c>
      <c r="O704" s="2" t="s">
        <v>97</v>
      </c>
      <c r="P704" s="2" t="s">
        <v>182</v>
      </c>
      <c r="Q704" s="2" t="s">
        <v>99</v>
      </c>
      <c r="R704" s="2" t="s">
        <v>100</v>
      </c>
      <c r="S704" s="2" t="s">
        <v>2735</v>
      </c>
      <c r="T704" s="2" t="s">
        <v>100</v>
      </c>
      <c r="U704" s="2" t="s">
        <v>490</v>
      </c>
      <c r="V704" s="2" t="s">
        <v>404</v>
      </c>
      <c r="W704" s="2" t="s">
        <v>104</v>
      </c>
      <c r="X704" s="2" t="s">
        <v>2736</v>
      </c>
      <c r="Y704" s="2" t="s">
        <v>106</v>
      </c>
      <c r="Z704" s="4">
        <v>279</v>
      </c>
      <c r="AA704" s="4">
        <f>=ROUNDDOWN(31,0)</f>
      </c>
      <c r="AB704" s="5">
        <v>9</v>
      </c>
      <c r="AC704" s="2" t="s">
        <v>2670</v>
      </c>
      <c r="AD704" s="4">
        <v>99</v>
      </c>
      <c r="AE704" s="4">
        <v>99</v>
      </c>
      <c r="AF704" s="6">
        <v>65</v>
      </c>
      <c r="AG704" s="6">
        <v>73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>
        <v>0</v>
      </c>
      <c r="AP704" s="4">
        <v>1</v>
      </c>
      <c r="AQ704" s="8">
        <v>57.75</v>
      </c>
      <c r="AR704" s="4">
        <v>2</v>
      </c>
      <c r="AS704" s="8">
        <v>115.5</v>
      </c>
      <c r="AT704" s="7">
        <v>-0.5</v>
      </c>
      <c r="AU704" s="7">
        <v>-0.5</v>
      </c>
      <c r="AV704" s="4">
        <v>2</v>
      </c>
      <c r="AW704" s="8">
        <v>120.75</v>
      </c>
      <c r="AX704" s="4">
        <v>6</v>
      </c>
      <c r="AY704" s="8">
        <v>367.5</v>
      </c>
      <c r="AZ704" s="7">
        <v>-0.6667</v>
      </c>
      <c r="BA704" s="7">
        <v>-0.6714</v>
      </c>
      <c r="BB704" s="7">
        <v>0.4783</v>
      </c>
      <c r="BC704" s="4">
        <v>2</v>
      </c>
      <c r="BD704" s="8">
        <v>120.75</v>
      </c>
      <c r="BE704" s="4">
        <v>6</v>
      </c>
      <c r="BF704" s="8">
        <v>367.5</v>
      </c>
      <c r="BG704" s="7">
        <v>-0.6667</v>
      </c>
      <c r="BH704" s="7">
        <v>-0.6714</v>
      </c>
      <c r="BI704" s="7">
        <v>1</v>
      </c>
      <c r="BJ704" s="4">
        <v>136</v>
      </c>
      <c r="BK704" s="8">
        <v>7817.45</v>
      </c>
      <c r="BL704" s="2" t="s">
        <v>2737</v>
      </c>
      <c r="BM704" s="7">
        <v>0.0074</v>
      </c>
      <c r="BN704" s="7">
        <v>0.0074</v>
      </c>
      <c r="BO704" s="4">
        <v>1</v>
      </c>
      <c r="BP704" s="8">
        <v>57.75</v>
      </c>
      <c r="BQ704" s="4">
        <v>2</v>
      </c>
      <c r="BR704" s="8">
        <v>115.5</v>
      </c>
      <c r="BS704" s="7">
        <v>-0.5</v>
      </c>
      <c r="BT704" s="7">
        <v>-0.5</v>
      </c>
      <c r="BU704" s="2" t="s">
        <v>109</v>
      </c>
      <c r="BV704" s="2" t="s">
        <v>97</v>
      </c>
      <c r="BW704" s="2" t="s">
        <v>606</v>
      </c>
      <c r="BX704" s="2" t="s">
        <v>664</v>
      </c>
      <c r="BY704" s="2" t="s">
        <v>112</v>
      </c>
      <c r="BZ704" s="2" t="s">
        <v>100</v>
      </c>
    </row>
    <row r="705">
      <c r="A705" s="2" t="s">
        <v>2738</v>
      </c>
      <c r="B705" s="2" t="s">
        <v>87</v>
      </c>
      <c r="C705" s="2" t="s">
        <v>88</v>
      </c>
      <c r="D705" s="2" t="s">
        <v>2308</v>
      </c>
      <c r="E705" s="2" t="s">
        <v>2641</v>
      </c>
      <c r="F705" s="2" t="s">
        <v>2731</v>
      </c>
      <c r="G705" s="2" t="s">
        <v>2732</v>
      </c>
      <c r="H705" s="2" t="s">
        <v>2733</v>
      </c>
      <c r="I705" s="2" t="s">
        <v>2663</v>
      </c>
      <c r="J705" s="2" t="s">
        <v>850</v>
      </c>
      <c r="K705" s="2" t="s">
        <v>2734</v>
      </c>
      <c r="L705" s="3">
        <v>59.99</v>
      </c>
      <c r="M705" s="3">
        <v>62.99</v>
      </c>
      <c r="N705" s="3">
        <v>119.99</v>
      </c>
      <c r="O705" s="2" t="s">
        <v>97</v>
      </c>
      <c r="P705" s="2" t="s">
        <v>182</v>
      </c>
      <c r="Q705" s="2" t="s">
        <v>99</v>
      </c>
      <c r="R705" s="2" t="s">
        <v>100</v>
      </c>
      <c r="S705" s="2" t="s">
        <v>2735</v>
      </c>
      <c r="T705" s="2" t="s">
        <v>100</v>
      </c>
      <c r="U705" s="2" t="s">
        <v>490</v>
      </c>
      <c r="V705" s="2" t="s">
        <v>404</v>
      </c>
      <c r="W705" s="2" t="s">
        <v>104</v>
      </c>
      <c r="X705" s="2" t="s">
        <v>2736</v>
      </c>
      <c r="Y705" s="2" t="s">
        <v>106</v>
      </c>
      <c r="Z705" s="4">
        <v>880</v>
      </c>
      <c r="AA705" s="4">
        <f>=ROUNDDOWN(30.3448275862069,0)</f>
      </c>
      <c r="AB705" s="5">
        <v>29</v>
      </c>
      <c r="AC705" s="2" t="s">
        <v>1057</v>
      </c>
      <c r="AD705" s="4">
        <v>140</v>
      </c>
      <c r="AE705" s="4">
        <v>420</v>
      </c>
      <c r="AF705" s="6">
        <v>65</v>
      </c>
      <c r="AG705" s="6">
        <v>73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>
        <v>0</v>
      </c>
      <c r="AP705" s="4">
        <v>1</v>
      </c>
      <c r="AQ705" s="8">
        <v>63</v>
      </c>
      <c r="AR705" s="4">
        <v>4</v>
      </c>
      <c r="AS705" s="8">
        <v>252</v>
      </c>
      <c r="AT705" s="7">
        <v>-0.75</v>
      </c>
      <c r="AU705" s="7">
        <v>-0.75</v>
      </c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>
        <v>0.5217</v>
      </c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 t="s">
        <v>100</v>
      </c>
      <c r="BJ705" s="4">
        <v>510</v>
      </c>
      <c r="BK705" s="8">
        <v>31878.71</v>
      </c>
      <c r="BL705" s="2" t="s">
        <v>2739</v>
      </c>
      <c r="BM705" s="7">
        <v>0.002</v>
      </c>
      <c r="BN705" s="7">
        <v>0.002</v>
      </c>
      <c r="BO705" s="4">
        <v>1</v>
      </c>
      <c r="BP705" s="8">
        <v>63</v>
      </c>
      <c r="BQ705" s="4">
        <v>4</v>
      </c>
      <c r="BR705" s="8">
        <v>252</v>
      </c>
      <c r="BS705" s="7">
        <v>-0.75</v>
      </c>
      <c r="BT705" s="7">
        <v>-0.75</v>
      </c>
      <c r="BU705" s="2" t="s">
        <v>109</v>
      </c>
      <c r="BV705" s="2" t="s">
        <v>97</v>
      </c>
      <c r="BW705" s="2" t="s">
        <v>606</v>
      </c>
      <c r="BX705" s="2" t="s">
        <v>640</v>
      </c>
      <c r="BY705" s="2" t="s">
        <v>112</v>
      </c>
      <c r="BZ705" s="2" t="s">
        <v>100</v>
      </c>
    </row>
    <row r="706">
      <c r="A706" s="2" t="s">
        <v>2740</v>
      </c>
      <c r="B706" s="2" t="s">
        <v>87</v>
      </c>
      <c r="C706" s="2" t="s">
        <v>88</v>
      </c>
      <c r="D706" s="2" t="s">
        <v>2308</v>
      </c>
      <c r="E706" s="2" t="s">
        <v>2641</v>
      </c>
      <c r="F706" s="2" t="s">
        <v>2741</v>
      </c>
      <c r="G706" s="2" t="s">
        <v>2742</v>
      </c>
      <c r="H706" s="2" t="s">
        <v>2743</v>
      </c>
      <c r="I706" s="2" t="s">
        <v>2744</v>
      </c>
      <c r="J706" s="2" t="s">
        <v>844</v>
      </c>
      <c r="K706" s="2" t="s">
        <v>181</v>
      </c>
      <c r="L706" s="3">
        <v>58.12</v>
      </c>
      <c r="M706" s="3">
        <v>61.03</v>
      </c>
      <c r="N706" s="3">
        <v>119.99</v>
      </c>
      <c r="O706" s="2" t="s">
        <v>97</v>
      </c>
      <c r="P706" s="2" t="s">
        <v>182</v>
      </c>
      <c r="Q706" s="2" t="s">
        <v>99</v>
      </c>
      <c r="R706" s="2" t="s">
        <v>100</v>
      </c>
      <c r="S706" s="2" t="s">
        <v>2745</v>
      </c>
      <c r="T706" s="2" t="s">
        <v>732</v>
      </c>
      <c r="U706" s="2" t="s">
        <v>490</v>
      </c>
      <c r="V706" s="2" t="s">
        <v>491</v>
      </c>
      <c r="W706" s="2" t="s">
        <v>808</v>
      </c>
      <c r="X706" s="2" t="s">
        <v>907</v>
      </c>
      <c r="Y706" s="2" t="s">
        <v>106</v>
      </c>
      <c r="Z706" s="4">
        <v>825</v>
      </c>
      <c r="AA706" s="4">
        <f>=ROUNDDOWN(34.375,0)</f>
      </c>
      <c r="AB706" s="5">
        <v>24</v>
      </c>
      <c r="AC706" s="2" t="s">
        <v>100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>
        <v>0</v>
      </c>
      <c r="AP706" s="4"/>
      <c r="AQ706" s="8"/>
      <c r="AR706" s="4">
        <v>3</v>
      </c>
      <c r="AS706" s="8">
        <v>189.87</v>
      </c>
      <c r="AT706" s="7">
        <v>-1</v>
      </c>
      <c r="AU706" s="7">
        <v>-1</v>
      </c>
      <c r="AV706" s="4">
        <v>1</v>
      </c>
      <c r="AW706" s="8">
        <v>65.73</v>
      </c>
      <c r="AX706" s="4">
        <v>5</v>
      </c>
      <c r="AY706" s="8">
        <v>335.93</v>
      </c>
      <c r="AZ706" s="7">
        <v>-0.8</v>
      </c>
      <c r="BA706" s="7">
        <v>-0.8043</v>
      </c>
      <c r="BB706" s="7"/>
      <c r="BC706" s="4">
        <v>1</v>
      </c>
      <c r="BD706" s="8">
        <v>65.73</v>
      </c>
      <c r="BE706" s="4">
        <v>5</v>
      </c>
      <c r="BF706" s="8">
        <v>335.93</v>
      </c>
      <c r="BG706" s="7">
        <v>-0.8</v>
      </c>
      <c r="BH706" s="7">
        <v>-0.8043</v>
      </c>
      <c r="BI706" s="7">
        <v>1</v>
      </c>
      <c r="BJ706" s="4">
        <v>331</v>
      </c>
      <c r="BK706" s="8">
        <v>21049.02</v>
      </c>
      <c r="BL706" s="2" t="s">
        <v>2746</v>
      </c>
      <c r="BM706" s="7"/>
      <c r="BN706" s="7"/>
      <c r="BO706" s="4"/>
      <c r="BP706" s="8"/>
      <c r="BQ706" s="4">
        <v>3</v>
      </c>
      <c r="BR706" s="8">
        <v>189.87</v>
      </c>
      <c r="BS706" s="7">
        <v>-1</v>
      </c>
      <c r="BT706" s="7">
        <v>-1</v>
      </c>
      <c r="BU706" s="2" t="s">
        <v>109</v>
      </c>
      <c r="BV706" s="2" t="s">
        <v>97</v>
      </c>
      <c r="BW706" s="2" t="s">
        <v>606</v>
      </c>
      <c r="BX706" s="2" t="s">
        <v>2747</v>
      </c>
      <c r="BY706" s="2" t="s">
        <v>112</v>
      </c>
      <c r="BZ706" s="2" t="s">
        <v>100</v>
      </c>
    </row>
    <row r="707">
      <c r="A707" s="2" t="s">
        <v>2748</v>
      </c>
      <c r="B707" s="2" t="s">
        <v>87</v>
      </c>
      <c r="C707" s="2" t="s">
        <v>88</v>
      </c>
      <c r="D707" s="2" t="s">
        <v>2308</v>
      </c>
      <c r="E707" s="2" t="s">
        <v>2641</v>
      </c>
      <c r="F707" s="2" t="s">
        <v>2741</v>
      </c>
      <c r="G707" s="2" t="s">
        <v>2742</v>
      </c>
      <c r="H707" s="2" t="s">
        <v>2743</v>
      </c>
      <c r="I707" s="2" t="s">
        <v>2744</v>
      </c>
      <c r="J707" s="2" t="s">
        <v>850</v>
      </c>
      <c r="K707" s="2" t="s">
        <v>181</v>
      </c>
      <c r="L707" s="3">
        <v>62.6</v>
      </c>
      <c r="M707" s="3">
        <v>65.73</v>
      </c>
      <c r="N707" s="3">
        <v>129.99</v>
      </c>
      <c r="O707" s="2" t="s">
        <v>97</v>
      </c>
      <c r="P707" s="2" t="s">
        <v>182</v>
      </c>
      <c r="Q707" s="2" t="s">
        <v>99</v>
      </c>
      <c r="R707" s="2" t="s">
        <v>100</v>
      </c>
      <c r="S707" s="2" t="s">
        <v>2745</v>
      </c>
      <c r="T707" s="2" t="s">
        <v>732</v>
      </c>
      <c r="U707" s="2" t="s">
        <v>490</v>
      </c>
      <c r="V707" s="2" t="s">
        <v>491</v>
      </c>
      <c r="W707" s="2" t="s">
        <v>808</v>
      </c>
      <c r="X707" s="2" t="s">
        <v>907</v>
      </c>
      <c r="Y707" s="2" t="s">
        <v>106</v>
      </c>
      <c r="Z707" s="4">
        <v>906</v>
      </c>
      <c r="AA707" s="4">
        <f>=ROUNDDOWN(30.2,0)</f>
      </c>
      <c r="AB707" s="5">
        <v>30</v>
      </c>
      <c r="AC707" s="2" t="s">
        <v>100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>
        <v>0</v>
      </c>
      <c r="AP707" s="4">
        <v>1</v>
      </c>
      <c r="AQ707" s="8">
        <v>65.73</v>
      </c>
      <c r="AR707" s="4">
        <v>2</v>
      </c>
      <c r="AS707" s="8">
        <v>146.06</v>
      </c>
      <c r="AT707" s="7">
        <v>-0.5</v>
      </c>
      <c r="AU707" s="7">
        <v>-0.55</v>
      </c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>
        <v>1</v>
      </c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 t="s">
        <v>100</v>
      </c>
      <c r="BJ707" s="4">
        <v>569</v>
      </c>
      <c r="BK707" s="8">
        <v>38503.2</v>
      </c>
      <c r="BL707" s="2" t="s">
        <v>2749</v>
      </c>
      <c r="BM707" s="7">
        <v>0.0018</v>
      </c>
      <c r="BN707" s="7">
        <v>0.0017</v>
      </c>
      <c r="BO707" s="4">
        <v>1</v>
      </c>
      <c r="BP707" s="8">
        <v>65.73</v>
      </c>
      <c r="BQ707" s="4">
        <v>2</v>
      </c>
      <c r="BR707" s="8">
        <v>146.06</v>
      </c>
      <c r="BS707" s="7">
        <v>-0.5</v>
      </c>
      <c r="BT707" s="7">
        <v>-0.55</v>
      </c>
      <c r="BU707" s="2" t="s">
        <v>109</v>
      </c>
      <c r="BV707" s="2" t="s">
        <v>97</v>
      </c>
      <c r="BW707" s="2" t="s">
        <v>2525</v>
      </c>
      <c r="BX707" s="2" t="s">
        <v>2750</v>
      </c>
      <c r="BY707" s="2" t="s">
        <v>112</v>
      </c>
      <c r="BZ707" s="2" t="s">
        <v>100</v>
      </c>
    </row>
    <row r="708">
      <c r="A708" s="2" t="s">
        <v>2751</v>
      </c>
      <c r="B708" s="2" t="s">
        <v>87</v>
      </c>
      <c r="C708" s="2" t="s">
        <v>88</v>
      </c>
      <c r="D708" s="2" t="s">
        <v>2308</v>
      </c>
      <c r="E708" s="2" t="s">
        <v>2641</v>
      </c>
      <c r="F708" s="2" t="s">
        <v>2752</v>
      </c>
      <c r="G708" s="2" t="s">
        <v>2753</v>
      </c>
      <c r="H708" s="2" t="s">
        <v>2754</v>
      </c>
      <c r="I708" s="2" t="s">
        <v>2755</v>
      </c>
      <c r="J708" s="2" t="s">
        <v>487</v>
      </c>
      <c r="K708" s="2" t="s">
        <v>1767</v>
      </c>
      <c r="L708" s="3">
        <v>49.99</v>
      </c>
      <c r="M708" s="3">
        <v>52.49</v>
      </c>
      <c r="N708" s="3">
        <v>99.99</v>
      </c>
      <c r="O708" s="2" t="s">
        <v>97</v>
      </c>
      <c r="P708" s="2" t="s">
        <v>1265</v>
      </c>
      <c r="Q708" s="2" t="s">
        <v>99</v>
      </c>
      <c r="R708" s="2" t="s">
        <v>100</v>
      </c>
      <c r="S708" s="2" t="s">
        <v>2756</v>
      </c>
      <c r="T708" s="2" t="s">
        <v>100</v>
      </c>
      <c r="U708" s="2" t="s">
        <v>790</v>
      </c>
      <c r="V708" s="2" t="s">
        <v>1741</v>
      </c>
      <c r="W708" s="2" t="s">
        <v>1530</v>
      </c>
      <c r="X708" s="2" t="s">
        <v>1742</v>
      </c>
      <c r="Y708" s="2" t="s">
        <v>106</v>
      </c>
      <c r="Z708" s="4">
        <v>107</v>
      </c>
      <c r="AA708" s="4">
        <f>=ROUNDDOWN(35.6666666666667,0)</f>
      </c>
      <c r="AB708" s="5">
        <v>3</v>
      </c>
      <c r="AC708" s="2" t="s">
        <v>100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>
        <v>0</v>
      </c>
      <c r="AP708" s="4"/>
      <c r="AQ708" s="8"/>
      <c r="AR708" s="4">
        <v>1</v>
      </c>
      <c r="AS708" s="8">
        <v>52.5</v>
      </c>
      <c r="AT708" s="7">
        <v>-1</v>
      </c>
      <c r="AU708" s="7">
        <v>-1</v>
      </c>
      <c r="AV708" s="4">
        <v>1</v>
      </c>
      <c r="AW708" s="8">
        <v>63</v>
      </c>
      <c r="AX708" s="4">
        <v>6</v>
      </c>
      <c r="AY708" s="8">
        <v>351.75</v>
      </c>
      <c r="AZ708" s="7">
        <v>-0.8333</v>
      </c>
      <c r="BA708" s="7">
        <v>-0.8209</v>
      </c>
      <c r="BB708" s="7"/>
      <c r="BC708" s="4">
        <v>1</v>
      </c>
      <c r="BD708" s="8">
        <v>63</v>
      </c>
      <c r="BE708" s="4">
        <v>6</v>
      </c>
      <c r="BF708" s="8">
        <v>351.75</v>
      </c>
      <c r="BG708" s="7">
        <v>-0.8333</v>
      </c>
      <c r="BH708" s="7">
        <v>-0.8209</v>
      </c>
      <c r="BI708" s="7">
        <v>1</v>
      </c>
      <c r="BJ708" s="4">
        <v>68</v>
      </c>
      <c r="BK708" s="8">
        <v>3534.79</v>
      </c>
      <c r="BL708" s="2" t="s">
        <v>2757</v>
      </c>
      <c r="BM708" s="7"/>
      <c r="BN708" s="7"/>
      <c r="BO708" s="4"/>
      <c r="BP708" s="8"/>
      <c r="BQ708" s="4">
        <v>1</v>
      </c>
      <c r="BR708" s="8">
        <v>52.5</v>
      </c>
      <c r="BS708" s="7">
        <v>-1</v>
      </c>
      <c r="BT708" s="7">
        <v>-1</v>
      </c>
      <c r="BU708" s="2" t="s">
        <v>109</v>
      </c>
      <c r="BV708" s="2" t="s">
        <v>97</v>
      </c>
      <c r="BW708" s="2" t="s">
        <v>606</v>
      </c>
      <c r="BX708" s="2" t="s">
        <v>2758</v>
      </c>
      <c r="BY708" s="2" t="s">
        <v>112</v>
      </c>
      <c r="BZ708" s="2" t="s">
        <v>100</v>
      </c>
    </row>
    <row r="709">
      <c r="A709" s="2" t="s">
        <v>2759</v>
      </c>
      <c r="B709" s="2" t="s">
        <v>87</v>
      </c>
      <c r="C709" s="2" t="s">
        <v>88</v>
      </c>
      <c r="D709" s="2" t="s">
        <v>2308</v>
      </c>
      <c r="E709" s="2" t="s">
        <v>2641</v>
      </c>
      <c r="F709" s="2" t="s">
        <v>2752</v>
      </c>
      <c r="G709" s="2" t="s">
        <v>2753</v>
      </c>
      <c r="H709" s="2" t="s">
        <v>2754</v>
      </c>
      <c r="I709" s="2" t="s">
        <v>2755</v>
      </c>
      <c r="J709" s="2" t="s">
        <v>844</v>
      </c>
      <c r="K709" s="2" t="s">
        <v>1767</v>
      </c>
      <c r="L709" s="3">
        <v>54.99</v>
      </c>
      <c r="M709" s="3">
        <v>57.74</v>
      </c>
      <c r="N709" s="3">
        <v>109.99</v>
      </c>
      <c r="O709" s="2" t="s">
        <v>97</v>
      </c>
      <c r="P709" s="2" t="s">
        <v>182</v>
      </c>
      <c r="Q709" s="2" t="s">
        <v>99</v>
      </c>
      <c r="R709" s="2" t="s">
        <v>100</v>
      </c>
      <c r="S709" s="2" t="s">
        <v>2756</v>
      </c>
      <c r="T709" s="2" t="s">
        <v>100</v>
      </c>
      <c r="U709" s="2" t="s">
        <v>490</v>
      </c>
      <c r="V709" s="2" t="s">
        <v>1741</v>
      </c>
      <c r="W709" s="2" t="s">
        <v>1530</v>
      </c>
      <c r="X709" s="2" t="s">
        <v>1742</v>
      </c>
      <c r="Y709" s="2" t="s">
        <v>106</v>
      </c>
      <c r="Z709" s="4">
        <v>177</v>
      </c>
      <c r="AA709" s="4">
        <f>=ROUNDDOWN(17.7,0)</f>
      </c>
      <c r="AB709" s="5">
        <v>10</v>
      </c>
      <c r="AC709" s="2" t="s">
        <v>130</v>
      </c>
      <c r="AD709" s="4">
        <v>60</v>
      </c>
      <c r="AE709" s="4">
        <v>260</v>
      </c>
      <c r="AF709" s="6">
        <v>65</v>
      </c>
      <c r="AG709" s="6">
        <v>73</v>
      </c>
      <c r="AH709" s="7">
        <v>0.8606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>
        <v>0</v>
      </c>
      <c r="AP709" s="4"/>
      <c r="AQ709" s="8"/>
      <c r="AR709" s="4">
        <v>3</v>
      </c>
      <c r="AS709" s="8">
        <v>173.25</v>
      </c>
      <c r="AT709" s="7">
        <v>-1</v>
      </c>
      <c r="AU709" s="7">
        <v>-1</v>
      </c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 t="s">
        <v>100</v>
      </c>
      <c r="BJ709" s="4">
        <v>206</v>
      </c>
      <c r="BK709" s="8">
        <v>11663.02</v>
      </c>
      <c r="BL709" s="2" t="s">
        <v>2760</v>
      </c>
      <c r="BM709" s="7"/>
      <c r="BN709" s="7"/>
      <c r="BO709" s="4"/>
      <c r="BP709" s="8"/>
      <c r="BQ709" s="4">
        <v>3</v>
      </c>
      <c r="BR709" s="8">
        <v>173.25</v>
      </c>
      <c r="BS709" s="7">
        <v>-1</v>
      </c>
      <c r="BT709" s="7">
        <v>-1</v>
      </c>
      <c r="BU709" s="2" t="s">
        <v>109</v>
      </c>
      <c r="BV709" s="2" t="s">
        <v>97</v>
      </c>
      <c r="BW709" s="2" t="s">
        <v>606</v>
      </c>
      <c r="BX709" s="2" t="s">
        <v>2761</v>
      </c>
      <c r="BY709" s="2" t="s">
        <v>112</v>
      </c>
      <c r="BZ709" s="2" t="s">
        <v>100</v>
      </c>
    </row>
    <row r="710">
      <c r="A710" s="2" t="s">
        <v>2762</v>
      </c>
      <c r="B710" s="2" t="s">
        <v>87</v>
      </c>
      <c r="C710" s="2" t="s">
        <v>88</v>
      </c>
      <c r="D710" s="2" t="s">
        <v>2308</v>
      </c>
      <c r="E710" s="2" t="s">
        <v>2641</v>
      </c>
      <c r="F710" s="2" t="s">
        <v>2752</v>
      </c>
      <c r="G710" s="2" t="s">
        <v>2753</v>
      </c>
      <c r="H710" s="2" t="s">
        <v>2754</v>
      </c>
      <c r="I710" s="2" t="s">
        <v>2755</v>
      </c>
      <c r="J710" s="2" t="s">
        <v>850</v>
      </c>
      <c r="K710" s="2" t="s">
        <v>1767</v>
      </c>
      <c r="L710" s="3">
        <v>59.99</v>
      </c>
      <c r="M710" s="3">
        <v>62.99</v>
      </c>
      <c r="N710" s="3">
        <v>119.99</v>
      </c>
      <c r="O710" s="2" t="s">
        <v>97</v>
      </c>
      <c r="P710" s="2" t="s">
        <v>182</v>
      </c>
      <c r="Q710" s="2" t="s">
        <v>99</v>
      </c>
      <c r="R710" s="2" t="s">
        <v>100</v>
      </c>
      <c r="S710" s="2" t="s">
        <v>2756</v>
      </c>
      <c r="T710" s="2" t="s">
        <v>100</v>
      </c>
      <c r="U710" s="2" t="s">
        <v>490</v>
      </c>
      <c r="V710" s="2" t="s">
        <v>1741</v>
      </c>
      <c r="W710" s="2" t="s">
        <v>1530</v>
      </c>
      <c r="X710" s="2" t="s">
        <v>1742</v>
      </c>
      <c r="Y710" s="2" t="s">
        <v>106</v>
      </c>
      <c r="Z710" s="4">
        <v>229</v>
      </c>
      <c r="AA710" s="4">
        <f>=ROUNDDOWN(15.2666666666667,0)</f>
      </c>
      <c r="AB710" s="5">
        <v>15</v>
      </c>
      <c r="AC710" s="2" t="s">
        <v>130</v>
      </c>
      <c r="AD710" s="4">
        <v>60</v>
      </c>
      <c r="AE710" s="4">
        <v>360</v>
      </c>
      <c r="AF710" s="6">
        <v>65</v>
      </c>
      <c r="AG710" s="6">
        <v>73</v>
      </c>
      <c r="AH710" s="7">
        <v>0.9212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>
        <v>0</v>
      </c>
      <c r="AP710" s="4">
        <v>1</v>
      </c>
      <c r="AQ710" s="8">
        <v>63</v>
      </c>
      <c r="AR710" s="4">
        <v>2</v>
      </c>
      <c r="AS710" s="8">
        <v>126</v>
      </c>
      <c r="AT710" s="7">
        <v>-0.5</v>
      </c>
      <c r="AU710" s="7">
        <v>-0.5</v>
      </c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>
        <v>1</v>
      </c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 t="s">
        <v>100</v>
      </c>
      <c r="BJ710" s="4">
        <v>276</v>
      </c>
      <c r="BK710" s="8">
        <v>17231.9</v>
      </c>
      <c r="BL710" s="2" t="s">
        <v>2763</v>
      </c>
      <c r="BM710" s="7">
        <v>0.0036</v>
      </c>
      <c r="BN710" s="7">
        <v>0.0037</v>
      </c>
      <c r="BO710" s="4">
        <v>1</v>
      </c>
      <c r="BP710" s="8">
        <v>63</v>
      </c>
      <c r="BQ710" s="4">
        <v>2</v>
      </c>
      <c r="BR710" s="8">
        <v>126</v>
      </c>
      <c r="BS710" s="7">
        <v>-0.5</v>
      </c>
      <c r="BT710" s="7">
        <v>-0.5</v>
      </c>
      <c r="BU710" s="2" t="s">
        <v>109</v>
      </c>
      <c r="BV710" s="2" t="s">
        <v>97</v>
      </c>
      <c r="BW710" s="2" t="s">
        <v>606</v>
      </c>
      <c r="BX710" s="2" t="s">
        <v>2764</v>
      </c>
      <c r="BY710" s="2" t="s">
        <v>112</v>
      </c>
      <c r="BZ710" s="2" t="s">
        <v>100</v>
      </c>
    </row>
    <row r="711">
      <c r="A711" s="2" t="s">
        <v>2765</v>
      </c>
      <c r="B711" s="2" t="s">
        <v>87</v>
      </c>
      <c r="C711" s="2" t="s">
        <v>88</v>
      </c>
      <c r="D711" s="2" t="s">
        <v>2308</v>
      </c>
      <c r="E711" s="2" t="s">
        <v>2641</v>
      </c>
      <c r="F711" s="2" t="s">
        <v>1144</v>
      </c>
      <c r="G711" s="2" t="s">
        <v>1145</v>
      </c>
      <c r="H711" s="2" t="s">
        <v>1146</v>
      </c>
      <c r="I711" s="2" t="s">
        <v>2766</v>
      </c>
      <c r="J711" s="2" t="s">
        <v>850</v>
      </c>
      <c r="K711" s="2" t="s">
        <v>666</v>
      </c>
      <c r="L711" s="3">
        <v>75</v>
      </c>
      <c r="M711" s="3">
        <v>78.75</v>
      </c>
      <c r="N711" s="3">
        <v>149.99</v>
      </c>
      <c r="O711" s="2" t="s">
        <v>1148</v>
      </c>
      <c r="P711" s="2" t="s">
        <v>198</v>
      </c>
      <c r="Q711" s="2" t="s">
        <v>99</v>
      </c>
      <c r="R711" s="2" t="s">
        <v>100</v>
      </c>
      <c r="S711" s="2" t="s">
        <v>100</v>
      </c>
      <c r="T711" s="2" t="s">
        <v>100</v>
      </c>
      <c r="U711" s="2" t="s">
        <v>490</v>
      </c>
      <c r="V711" s="2" t="s">
        <v>601</v>
      </c>
      <c r="W711" s="2" t="s">
        <v>759</v>
      </c>
      <c r="X711" s="2" t="s">
        <v>1149</v>
      </c>
      <c r="Y711" s="2" t="s">
        <v>1150</v>
      </c>
      <c r="Z711" s="4"/>
      <c r="AA711" s="4">
        <f>=ROUNDDOWN({0},0)</f>
      </c>
      <c r="AB711" s="5"/>
      <c r="AC711" s="2" t="s">
        <v>100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100</v>
      </c>
      <c r="BM711" s="7"/>
      <c r="BN711" s="7"/>
      <c r="BO711" s="4"/>
      <c r="BP711" s="8"/>
      <c r="BQ711" s="4"/>
      <c r="BR711" s="8"/>
      <c r="BS711" s="7"/>
      <c r="BT711" s="7"/>
      <c r="BU711" s="2" t="s">
        <v>147</v>
      </c>
      <c r="BV711" s="2" t="s">
        <v>97</v>
      </c>
      <c r="BW711" s="2" t="s">
        <v>100</v>
      </c>
      <c r="BX711" s="2" t="s">
        <v>100</v>
      </c>
      <c r="BY711" s="2" t="s">
        <v>112</v>
      </c>
      <c r="BZ711" s="2" t="s">
        <v>100</v>
      </c>
    </row>
    <row r="712">
      <c r="A712" s="2" t="s">
        <v>2767</v>
      </c>
      <c r="B712" s="2" t="s">
        <v>87</v>
      </c>
      <c r="C712" s="2" t="s">
        <v>88</v>
      </c>
      <c r="D712" s="2" t="s">
        <v>2308</v>
      </c>
      <c r="E712" s="2" t="s">
        <v>2641</v>
      </c>
      <c r="F712" s="2" t="s">
        <v>974</v>
      </c>
      <c r="G712" s="2" t="s">
        <v>975</v>
      </c>
      <c r="H712" s="2" t="s">
        <v>976</v>
      </c>
      <c r="I712" s="2" t="s">
        <v>2768</v>
      </c>
      <c r="J712" s="2" t="s">
        <v>487</v>
      </c>
      <c r="K712" s="2" t="s">
        <v>158</v>
      </c>
      <c r="L712" s="3">
        <v>49.99</v>
      </c>
      <c r="M712" s="3">
        <v>52.49</v>
      </c>
      <c r="N712" s="3">
        <v>99.99</v>
      </c>
      <c r="O712" s="2" t="s">
        <v>97</v>
      </c>
      <c r="P712" s="2" t="s">
        <v>182</v>
      </c>
      <c r="Q712" s="2" t="s">
        <v>99</v>
      </c>
      <c r="R712" s="2" t="s">
        <v>100</v>
      </c>
      <c r="S712" s="2" t="s">
        <v>978</v>
      </c>
      <c r="T712" s="2" t="s">
        <v>100</v>
      </c>
      <c r="U712" s="2" t="s">
        <v>790</v>
      </c>
      <c r="V712" s="2" t="s">
        <v>906</v>
      </c>
      <c r="W712" s="2" t="s">
        <v>906</v>
      </c>
      <c r="X712" s="2" t="s">
        <v>185</v>
      </c>
      <c r="Y712" s="2" t="s">
        <v>106</v>
      </c>
      <c r="Z712" s="4">
        <v>229</v>
      </c>
      <c r="AA712" s="4">
        <f>=ROUNDDOWN(25.4444444444444,0)</f>
      </c>
      <c r="AB712" s="5">
        <v>9</v>
      </c>
      <c r="AC712" s="2" t="s">
        <v>874</v>
      </c>
      <c r="AD712" s="4">
        <v>30</v>
      </c>
      <c r="AE712" s="4">
        <v>250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155</v>
      </c>
      <c r="BK712" s="8">
        <v>7857.43</v>
      </c>
      <c r="BL712" s="2" t="s">
        <v>2769</v>
      </c>
      <c r="BM712" s="7"/>
      <c r="BN712" s="7"/>
      <c r="BO712" s="4"/>
      <c r="BP712" s="8"/>
      <c r="BQ712" s="4"/>
      <c r="BR712" s="8"/>
      <c r="BS712" s="7"/>
      <c r="BT712" s="7"/>
      <c r="BU712" s="2" t="s">
        <v>147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2770</v>
      </c>
      <c r="B713" s="2" t="s">
        <v>87</v>
      </c>
      <c r="C713" s="2" t="s">
        <v>88</v>
      </c>
      <c r="D713" s="2" t="s">
        <v>2308</v>
      </c>
      <c r="E713" s="2" t="s">
        <v>2641</v>
      </c>
      <c r="F713" s="2" t="s">
        <v>974</v>
      </c>
      <c r="G713" s="2" t="s">
        <v>975</v>
      </c>
      <c r="H713" s="2" t="s">
        <v>976</v>
      </c>
      <c r="I713" s="2" t="s">
        <v>2768</v>
      </c>
      <c r="J713" s="2" t="s">
        <v>844</v>
      </c>
      <c r="K713" s="2" t="s">
        <v>158</v>
      </c>
      <c r="L713" s="3">
        <v>54.99</v>
      </c>
      <c r="M713" s="3">
        <v>57.74</v>
      </c>
      <c r="N713" s="3">
        <v>109.99</v>
      </c>
      <c r="O713" s="2" t="s">
        <v>97</v>
      </c>
      <c r="P713" s="2" t="s">
        <v>182</v>
      </c>
      <c r="Q713" s="2" t="s">
        <v>99</v>
      </c>
      <c r="R713" s="2" t="s">
        <v>100</v>
      </c>
      <c r="S713" s="2" t="s">
        <v>978</v>
      </c>
      <c r="T713" s="2" t="s">
        <v>100</v>
      </c>
      <c r="U713" s="2" t="s">
        <v>490</v>
      </c>
      <c r="V713" s="2" t="s">
        <v>906</v>
      </c>
      <c r="W713" s="2" t="s">
        <v>906</v>
      </c>
      <c r="X713" s="2" t="s">
        <v>185</v>
      </c>
      <c r="Y713" s="2" t="s">
        <v>106</v>
      </c>
      <c r="Z713" s="4">
        <v>637</v>
      </c>
      <c r="AA713" s="4">
        <f>=ROUNDDOWN(39.8125,0)</f>
      </c>
      <c r="AB713" s="5">
        <v>16</v>
      </c>
      <c r="AC713" s="2" t="s">
        <v>874</v>
      </c>
      <c r="AD713" s="4">
        <v>130</v>
      </c>
      <c r="AE713" s="4">
        <v>410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303</v>
      </c>
      <c r="BK713" s="8">
        <v>16818.62</v>
      </c>
      <c r="BL713" s="2" t="s">
        <v>2771</v>
      </c>
      <c r="BM713" s="7"/>
      <c r="BN713" s="7"/>
      <c r="BO713" s="4"/>
      <c r="BP713" s="8"/>
      <c r="BQ713" s="4"/>
      <c r="BR713" s="8"/>
      <c r="BS713" s="7"/>
      <c r="BT713" s="7"/>
      <c r="BU713" s="2" t="s">
        <v>147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2772</v>
      </c>
      <c r="B714" s="2" t="s">
        <v>87</v>
      </c>
      <c r="C714" s="2" t="s">
        <v>88</v>
      </c>
      <c r="D714" s="2" t="s">
        <v>2308</v>
      </c>
      <c r="E714" s="2" t="s">
        <v>2641</v>
      </c>
      <c r="F714" s="2" t="s">
        <v>974</v>
      </c>
      <c r="G714" s="2" t="s">
        <v>975</v>
      </c>
      <c r="H714" s="2" t="s">
        <v>976</v>
      </c>
      <c r="I714" s="2" t="s">
        <v>2768</v>
      </c>
      <c r="J714" s="2" t="s">
        <v>114</v>
      </c>
      <c r="K714" s="2" t="s">
        <v>158</v>
      </c>
      <c r="L714" s="3">
        <v>59.99</v>
      </c>
      <c r="M714" s="3">
        <v>62.99</v>
      </c>
      <c r="N714" s="3">
        <v>119.99</v>
      </c>
      <c r="O714" s="2" t="s">
        <v>97</v>
      </c>
      <c r="P714" s="2" t="s">
        <v>182</v>
      </c>
      <c r="Q714" s="2" t="s">
        <v>99</v>
      </c>
      <c r="R714" s="2" t="s">
        <v>100</v>
      </c>
      <c r="S714" s="2" t="s">
        <v>978</v>
      </c>
      <c r="T714" s="2" t="s">
        <v>100</v>
      </c>
      <c r="U714" s="2" t="s">
        <v>490</v>
      </c>
      <c r="V714" s="2" t="s">
        <v>906</v>
      </c>
      <c r="W714" s="2" t="s">
        <v>906</v>
      </c>
      <c r="X714" s="2" t="s">
        <v>185</v>
      </c>
      <c r="Y714" s="2" t="s">
        <v>106</v>
      </c>
      <c r="Z714" s="4">
        <v>406</v>
      </c>
      <c r="AA714" s="4">
        <f>=ROUNDDOWN(21.3684210526316,0)</f>
      </c>
      <c r="AB714" s="5">
        <v>19</v>
      </c>
      <c r="AC714" s="2" t="s">
        <v>874</v>
      </c>
      <c r="AD714" s="4">
        <v>70</v>
      </c>
      <c r="AE714" s="4">
        <v>540</v>
      </c>
      <c r="AF714" s="6">
        <v>65</v>
      </c>
      <c r="AG714" s="6">
        <v>73</v>
      </c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100</v>
      </c>
      <c r="AW714" s="8" t="s">
        <v>100</v>
      </c>
      <c r="AX714" s="4" t="s">
        <v>100</v>
      </c>
      <c r="AY714" s="8" t="s">
        <v>100</v>
      </c>
      <c r="AZ714" s="7" t="s">
        <v>100</v>
      </c>
      <c r="BA714" s="7" t="s">
        <v>100</v>
      </c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413</v>
      </c>
      <c r="BK714" s="8">
        <v>25551</v>
      </c>
      <c r="BL714" s="2" t="s">
        <v>2773</v>
      </c>
      <c r="BM714" s="7"/>
      <c r="BN714" s="7"/>
      <c r="BO714" s="4"/>
      <c r="BP714" s="8"/>
      <c r="BQ714" s="4"/>
      <c r="BR714" s="8"/>
      <c r="BS714" s="7"/>
      <c r="BT714" s="7"/>
      <c r="BU714" s="2" t="s">
        <v>147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2774</v>
      </c>
      <c r="B715" s="2" t="s">
        <v>87</v>
      </c>
      <c r="C715" s="2" t="s">
        <v>88</v>
      </c>
      <c r="D715" s="2" t="s">
        <v>2308</v>
      </c>
      <c r="E715" s="2" t="s">
        <v>2641</v>
      </c>
      <c r="F715" s="2" t="s">
        <v>930</v>
      </c>
      <c r="G715" s="2" t="s">
        <v>931</v>
      </c>
      <c r="H715" s="2" t="s">
        <v>932</v>
      </c>
      <c r="I715" s="2" t="s">
        <v>2683</v>
      </c>
      <c r="J715" s="2" t="s">
        <v>844</v>
      </c>
      <c r="K715" s="2" t="s">
        <v>933</v>
      </c>
      <c r="L715" s="3">
        <v>54.99</v>
      </c>
      <c r="M715" s="3">
        <v>57.74</v>
      </c>
      <c r="N715" s="3">
        <v>109.99</v>
      </c>
      <c r="O715" s="2" t="s">
        <v>97</v>
      </c>
      <c r="P715" s="2" t="s">
        <v>143</v>
      </c>
      <c r="Q715" s="2" t="s">
        <v>99</v>
      </c>
      <c r="R715" s="2" t="s">
        <v>100</v>
      </c>
      <c r="S715" s="2" t="s">
        <v>2775</v>
      </c>
      <c r="T715" s="2" t="s">
        <v>100</v>
      </c>
      <c r="U715" s="2" t="s">
        <v>490</v>
      </c>
      <c r="V715" s="2" t="s">
        <v>455</v>
      </c>
      <c r="W715" s="2" t="s">
        <v>405</v>
      </c>
      <c r="X715" s="2" t="s">
        <v>456</v>
      </c>
      <c r="Y715" s="2" t="s">
        <v>106</v>
      </c>
      <c r="Z715" s="4">
        <v>679</v>
      </c>
      <c r="AA715" s="4">
        <f>=ROUNDDOWN(13.8571428571429,0)</f>
      </c>
      <c r="AB715" s="5">
        <v>49</v>
      </c>
      <c r="AC715" s="2" t="s">
        <v>936</v>
      </c>
      <c r="AD715" s="4">
        <v>30</v>
      </c>
      <c r="AE715" s="4">
        <v>1770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847</v>
      </c>
      <c r="BK715" s="8">
        <v>48142.43</v>
      </c>
      <c r="BL715" s="2" t="s">
        <v>2776</v>
      </c>
      <c r="BM715" s="7"/>
      <c r="BN715" s="7"/>
      <c r="BO715" s="4"/>
      <c r="BP715" s="8"/>
      <c r="BQ715" s="4"/>
      <c r="BR715" s="8"/>
      <c r="BS715" s="7"/>
      <c r="BT715" s="7"/>
      <c r="BU715" s="2" t="s">
        <v>109</v>
      </c>
      <c r="BV715" s="2" t="s">
        <v>97</v>
      </c>
      <c r="BW715" s="2" t="s">
        <v>580</v>
      </c>
      <c r="BX715" s="2" t="s">
        <v>100</v>
      </c>
      <c r="BY715" s="2" t="s">
        <v>112</v>
      </c>
      <c r="BZ715" s="2" t="s">
        <v>100</v>
      </c>
    </row>
    <row r="716">
      <c r="A716" s="2" t="s">
        <v>2777</v>
      </c>
      <c r="B716" s="2" t="s">
        <v>87</v>
      </c>
      <c r="C716" s="2" t="s">
        <v>88</v>
      </c>
      <c r="D716" s="2" t="s">
        <v>2308</v>
      </c>
      <c r="E716" s="2" t="s">
        <v>2641</v>
      </c>
      <c r="F716" s="2" t="s">
        <v>930</v>
      </c>
      <c r="G716" s="2" t="s">
        <v>931</v>
      </c>
      <c r="H716" s="2" t="s">
        <v>932</v>
      </c>
      <c r="I716" s="2" t="s">
        <v>2683</v>
      </c>
      <c r="J716" s="2" t="s">
        <v>850</v>
      </c>
      <c r="K716" s="2" t="s">
        <v>933</v>
      </c>
      <c r="L716" s="3">
        <v>59.99</v>
      </c>
      <c r="M716" s="3">
        <v>62.99</v>
      </c>
      <c r="N716" s="3">
        <v>119.99</v>
      </c>
      <c r="O716" s="2" t="s">
        <v>97</v>
      </c>
      <c r="P716" s="2" t="s">
        <v>143</v>
      </c>
      <c r="Q716" s="2" t="s">
        <v>99</v>
      </c>
      <c r="R716" s="2" t="s">
        <v>100</v>
      </c>
      <c r="S716" s="2" t="s">
        <v>2775</v>
      </c>
      <c r="T716" s="2" t="s">
        <v>100</v>
      </c>
      <c r="U716" s="2" t="s">
        <v>490</v>
      </c>
      <c r="V716" s="2" t="s">
        <v>455</v>
      </c>
      <c r="W716" s="2" t="s">
        <v>405</v>
      </c>
      <c r="X716" s="2" t="s">
        <v>456</v>
      </c>
      <c r="Y716" s="2" t="s">
        <v>106</v>
      </c>
      <c r="Z716" s="4">
        <v>899</v>
      </c>
      <c r="AA716" s="4">
        <f>=ROUNDDOWN(10.9634146341463,0)</f>
      </c>
      <c r="AB716" s="5">
        <v>82</v>
      </c>
      <c r="AC716" s="2" t="s">
        <v>936</v>
      </c>
      <c r="AD716" s="4">
        <v>60</v>
      </c>
      <c r="AE716" s="4">
        <v>3280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1418</v>
      </c>
      <c r="BK716" s="8">
        <v>88943.88</v>
      </c>
      <c r="BL716" s="2" t="s">
        <v>2778</v>
      </c>
      <c r="BM716" s="7"/>
      <c r="BN716" s="7"/>
      <c r="BO716" s="4"/>
      <c r="BP716" s="8"/>
      <c r="BQ716" s="4"/>
      <c r="BR716" s="8"/>
      <c r="BS716" s="7"/>
      <c r="BT716" s="7"/>
      <c r="BU716" s="2" t="s">
        <v>109</v>
      </c>
      <c r="BV716" s="2" t="s">
        <v>97</v>
      </c>
      <c r="BW716" s="2" t="s">
        <v>580</v>
      </c>
      <c r="BX716" s="2" t="s">
        <v>100</v>
      </c>
      <c r="BY716" s="2" t="s">
        <v>112</v>
      </c>
      <c r="BZ716" s="2" t="s">
        <v>100</v>
      </c>
    </row>
    <row r="717">
      <c r="A717" s="2" t="s">
        <v>2779</v>
      </c>
      <c r="B717" s="2" t="s">
        <v>87</v>
      </c>
      <c r="C717" s="2" t="s">
        <v>88</v>
      </c>
      <c r="D717" s="2" t="s">
        <v>2308</v>
      </c>
      <c r="E717" s="2" t="s">
        <v>2641</v>
      </c>
      <c r="F717" s="2" t="s">
        <v>1225</v>
      </c>
      <c r="G717" s="2" t="s">
        <v>1226</v>
      </c>
      <c r="H717" s="2" t="s">
        <v>1227</v>
      </c>
      <c r="I717" s="2" t="s">
        <v>2780</v>
      </c>
      <c r="J717" s="2" t="s">
        <v>844</v>
      </c>
      <c r="K717" s="2" t="s">
        <v>333</v>
      </c>
      <c r="L717" s="3">
        <v>48</v>
      </c>
      <c r="M717" s="3">
        <v>50.39</v>
      </c>
      <c r="N717" s="3">
        <v>99.99</v>
      </c>
      <c r="O717" s="2" t="s">
        <v>97</v>
      </c>
      <c r="P717" s="2" t="s">
        <v>198</v>
      </c>
      <c r="Q717" s="2" t="s">
        <v>99</v>
      </c>
      <c r="R717" s="2" t="s">
        <v>100</v>
      </c>
      <c r="S717" s="2" t="s">
        <v>1234</v>
      </c>
      <c r="T717" s="2" t="s">
        <v>100</v>
      </c>
      <c r="U717" s="2" t="s">
        <v>1482</v>
      </c>
      <c r="V717" s="2" t="s">
        <v>991</v>
      </c>
      <c r="W717" s="2" t="s">
        <v>405</v>
      </c>
      <c r="X717" s="2" t="s">
        <v>406</v>
      </c>
      <c r="Y717" s="2" t="s">
        <v>889</v>
      </c>
      <c r="Z717" s="4">
        <v>24</v>
      </c>
      <c r="AA717" s="4">
        <f>=ROUNDDOWN(4.8,0)</f>
      </c>
      <c r="AB717" s="5">
        <v>5</v>
      </c>
      <c r="AC717" s="2" t="s">
        <v>100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140</v>
      </c>
      <c r="BK717" s="8">
        <v>7141.81</v>
      </c>
      <c r="BL717" s="2" t="s">
        <v>2781</v>
      </c>
      <c r="BM717" s="7"/>
      <c r="BN717" s="7"/>
      <c r="BO717" s="4"/>
      <c r="BP717" s="8"/>
      <c r="BQ717" s="4"/>
      <c r="BR717" s="8"/>
      <c r="BS717" s="7"/>
      <c r="BT717" s="7"/>
      <c r="BU717" s="2" t="s">
        <v>147</v>
      </c>
      <c r="BV717" s="2" t="s">
        <v>97</v>
      </c>
      <c r="BW717" s="2" t="s">
        <v>100</v>
      </c>
      <c r="BX717" s="2" t="s">
        <v>100</v>
      </c>
      <c r="BY717" s="2" t="s">
        <v>112</v>
      </c>
      <c r="BZ717" s="2" t="s">
        <v>100</v>
      </c>
    </row>
    <row r="718">
      <c r="A718" s="2" t="s">
        <v>2782</v>
      </c>
      <c r="B718" s="2" t="s">
        <v>87</v>
      </c>
      <c r="C718" s="2" t="s">
        <v>88</v>
      </c>
      <c r="D718" s="2" t="s">
        <v>2308</v>
      </c>
      <c r="E718" s="2" t="s">
        <v>2641</v>
      </c>
      <c r="F718" s="2" t="s">
        <v>1225</v>
      </c>
      <c r="G718" s="2" t="s">
        <v>1226</v>
      </c>
      <c r="H718" s="2" t="s">
        <v>1227</v>
      </c>
      <c r="I718" s="2" t="s">
        <v>2780</v>
      </c>
      <c r="J718" s="2" t="s">
        <v>850</v>
      </c>
      <c r="K718" s="2" t="s">
        <v>333</v>
      </c>
      <c r="L718" s="3">
        <v>52.8</v>
      </c>
      <c r="M718" s="3">
        <v>55.43</v>
      </c>
      <c r="N718" s="3">
        <v>109.99</v>
      </c>
      <c r="O718" s="2" t="s">
        <v>97</v>
      </c>
      <c r="P718" s="2" t="s">
        <v>198</v>
      </c>
      <c r="Q718" s="2" t="s">
        <v>99</v>
      </c>
      <c r="R718" s="2" t="s">
        <v>100</v>
      </c>
      <c r="S718" s="2" t="s">
        <v>1234</v>
      </c>
      <c r="T718" s="2" t="s">
        <v>100</v>
      </c>
      <c r="U718" s="2" t="s">
        <v>1482</v>
      </c>
      <c r="V718" s="2" t="s">
        <v>991</v>
      </c>
      <c r="W718" s="2" t="s">
        <v>405</v>
      </c>
      <c r="X718" s="2" t="s">
        <v>406</v>
      </c>
      <c r="Y718" s="2" t="s">
        <v>889</v>
      </c>
      <c r="Z718" s="4">
        <v>145</v>
      </c>
      <c r="AA718" s="4">
        <f>=ROUNDDOWN(20.7142857142857,0)</f>
      </c>
      <c r="AB718" s="5">
        <v>7</v>
      </c>
      <c r="AC718" s="2" t="s">
        <v>100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180</v>
      </c>
      <c r="BK718" s="8">
        <v>9739.77</v>
      </c>
      <c r="BL718" s="2" t="s">
        <v>2783</v>
      </c>
      <c r="BM718" s="7"/>
      <c r="BN718" s="7"/>
      <c r="BO718" s="4"/>
      <c r="BP718" s="8"/>
      <c r="BQ718" s="4"/>
      <c r="BR718" s="8"/>
      <c r="BS718" s="7"/>
      <c r="BT718" s="7"/>
      <c r="BU718" s="2" t="s">
        <v>147</v>
      </c>
      <c r="BV718" s="2" t="s">
        <v>97</v>
      </c>
      <c r="BW718" s="2" t="s">
        <v>100</v>
      </c>
      <c r="BX718" s="2" t="s">
        <v>100</v>
      </c>
      <c r="BY718" s="2" t="s">
        <v>112</v>
      </c>
      <c r="BZ718" s="2" t="s">
        <v>100</v>
      </c>
    </row>
    <row r="719">
      <c r="A719" s="2" t="s">
        <v>2784</v>
      </c>
      <c r="B719" s="2" t="s">
        <v>87</v>
      </c>
      <c r="C719" s="2" t="s">
        <v>88</v>
      </c>
      <c r="D719" s="2" t="s">
        <v>2308</v>
      </c>
      <c r="E719" s="2" t="s">
        <v>2641</v>
      </c>
      <c r="F719" s="2" t="s">
        <v>1225</v>
      </c>
      <c r="G719" s="2" t="s">
        <v>1226</v>
      </c>
      <c r="H719" s="2" t="s">
        <v>1227</v>
      </c>
      <c r="I719" s="2" t="s">
        <v>2780</v>
      </c>
      <c r="J719" s="2" t="s">
        <v>844</v>
      </c>
      <c r="K719" s="2" t="s">
        <v>197</v>
      </c>
      <c r="L719" s="3">
        <v>48</v>
      </c>
      <c r="M719" s="3">
        <v>50.39</v>
      </c>
      <c r="N719" s="3">
        <v>99.99</v>
      </c>
      <c r="O719" s="2" t="s">
        <v>97</v>
      </c>
      <c r="P719" s="2" t="s">
        <v>182</v>
      </c>
      <c r="Q719" s="2" t="s">
        <v>99</v>
      </c>
      <c r="R719" s="2" t="s">
        <v>100</v>
      </c>
      <c r="S719" s="2" t="s">
        <v>2785</v>
      </c>
      <c r="T719" s="2" t="s">
        <v>100</v>
      </c>
      <c r="U719" s="2" t="s">
        <v>1482</v>
      </c>
      <c r="V719" s="2" t="s">
        <v>991</v>
      </c>
      <c r="W719" s="2" t="s">
        <v>405</v>
      </c>
      <c r="X719" s="2" t="s">
        <v>406</v>
      </c>
      <c r="Y719" s="2" t="s">
        <v>2786</v>
      </c>
      <c r="Z719" s="4">
        <v>201</v>
      </c>
      <c r="AA719" s="4">
        <f>=ROUNDDOWN(11.2921348314607,0)</f>
      </c>
      <c r="AB719" s="5">
        <v>17.8</v>
      </c>
      <c r="AC719" s="2" t="s">
        <v>518</v>
      </c>
      <c r="AD719" s="4">
        <v>50</v>
      </c>
      <c r="AE719" s="4">
        <v>400</v>
      </c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257</v>
      </c>
      <c r="BK719" s="8">
        <v>13470.37</v>
      </c>
      <c r="BL719" s="2" t="s">
        <v>2787</v>
      </c>
      <c r="BM719" s="7"/>
      <c r="BN719" s="7"/>
      <c r="BO719" s="4"/>
      <c r="BP719" s="8"/>
      <c r="BQ719" s="4"/>
      <c r="BR719" s="8"/>
      <c r="BS719" s="7"/>
      <c r="BT719" s="7"/>
      <c r="BU719" s="2" t="s">
        <v>147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2788</v>
      </c>
      <c r="B720" s="2" t="s">
        <v>87</v>
      </c>
      <c r="C720" s="2" t="s">
        <v>88</v>
      </c>
      <c r="D720" s="2" t="s">
        <v>2308</v>
      </c>
      <c r="E720" s="2" t="s">
        <v>2641</v>
      </c>
      <c r="F720" s="2" t="s">
        <v>1225</v>
      </c>
      <c r="G720" s="2" t="s">
        <v>1226</v>
      </c>
      <c r="H720" s="2" t="s">
        <v>1227</v>
      </c>
      <c r="I720" s="2" t="s">
        <v>2780</v>
      </c>
      <c r="J720" s="2" t="s">
        <v>850</v>
      </c>
      <c r="K720" s="2" t="s">
        <v>197</v>
      </c>
      <c r="L720" s="3">
        <v>52.8</v>
      </c>
      <c r="M720" s="3">
        <v>55.43</v>
      </c>
      <c r="N720" s="3">
        <v>109.99</v>
      </c>
      <c r="O720" s="2" t="s">
        <v>97</v>
      </c>
      <c r="P720" s="2" t="s">
        <v>182</v>
      </c>
      <c r="Q720" s="2" t="s">
        <v>99</v>
      </c>
      <c r="R720" s="2" t="s">
        <v>100</v>
      </c>
      <c r="S720" s="2" t="s">
        <v>2785</v>
      </c>
      <c r="T720" s="2" t="s">
        <v>100</v>
      </c>
      <c r="U720" s="2" t="s">
        <v>1482</v>
      </c>
      <c r="V720" s="2" t="s">
        <v>991</v>
      </c>
      <c r="W720" s="2" t="s">
        <v>405</v>
      </c>
      <c r="X720" s="2" t="s">
        <v>406</v>
      </c>
      <c r="Y720" s="2" t="s">
        <v>2786</v>
      </c>
      <c r="Z720" s="4">
        <v>126</v>
      </c>
      <c r="AA720" s="4">
        <f>=ROUNDDOWN(7.92452830188679,0)</f>
      </c>
      <c r="AB720" s="5">
        <v>15.9</v>
      </c>
      <c r="AC720" s="2" t="s">
        <v>1698</v>
      </c>
      <c r="AD720" s="4">
        <v>70</v>
      </c>
      <c r="AE720" s="4">
        <v>570</v>
      </c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307</v>
      </c>
      <c r="BK720" s="8">
        <v>17639.49</v>
      </c>
      <c r="BL720" s="2" t="s">
        <v>2789</v>
      </c>
      <c r="BM720" s="7"/>
      <c r="BN720" s="7"/>
      <c r="BO720" s="4"/>
      <c r="BP720" s="8"/>
      <c r="BQ720" s="4"/>
      <c r="BR720" s="8"/>
      <c r="BS720" s="7"/>
      <c r="BT720" s="7"/>
      <c r="BU720" s="2" t="s">
        <v>147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2790</v>
      </c>
      <c r="B721" s="2" t="s">
        <v>87</v>
      </c>
      <c r="C721" s="2" t="s">
        <v>88</v>
      </c>
      <c r="D721" s="2" t="s">
        <v>2308</v>
      </c>
      <c r="E721" s="2" t="s">
        <v>2641</v>
      </c>
      <c r="F721" s="2" t="s">
        <v>785</v>
      </c>
      <c r="G721" s="2" t="s">
        <v>786</v>
      </c>
      <c r="H721" s="2" t="s">
        <v>787</v>
      </c>
      <c r="I721" s="2" t="s">
        <v>2791</v>
      </c>
      <c r="J721" s="2" t="s">
        <v>844</v>
      </c>
      <c r="K721" s="2" t="s">
        <v>666</v>
      </c>
      <c r="L721" s="3">
        <v>52.8</v>
      </c>
      <c r="M721" s="3">
        <v>55.43</v>
      </c>
      <c r="N721" s="3">
        <v>109.99</v>
      </c>
      <c r="O721" s="2" t="s">
        <v>97</v>
      </c>
      <c r="P721" s="2" t="s">
        <v>182</v>
      </c>
      <c r="Q721" s="2" t="s">
        <v>99</v>
      </c>
      <c r="R721" s="2" t="s">
        <v>100</v>
      </c>
      <c r="S721" s="2" t="s">
        <v>789</v>
      </c>
      <c r="T721" s="2" t="s">
        <v>100</v>
      </c>
      <c r="U721" s="2" t="s">
        <v>1482</v>
      </c>
      <c r="V721" s="2" t="s">
        <v>601</v>
      </c>
      <c r="W721" s="2" t="s">
        <v>733</v>
      </c>
      <c r="X721" s="2" t="s">
        <v>791</v>
      </c>
      <c r="Y721" s="2" t="s">
        <v>106</v>
      </c>
      <c r="Z721" s="4">
        <v>39</v>
      </c>
      <c r="AA721" s="4">
        <f>=ROUNDDOWN(3.25,0)</f>
      </c>
      <c r="AB721" s="5">
        <v>12</v>
      </c>
      <c r="AC721" s="2" t="s">
        <v>589</v>
      </c>
      <c r="AD721" s="4">
        <v>50</v>
      </c>
      <c r="AE721" s="4">
        <v>210</v>
      </c>
      <c r="AF721" s="6">
        <v>65</v>
      </c>
      <c r="AG721" s="6">
        <v>48</v>
      </c>
      <c r="AH721" s="7">
        <v>0.9939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211</v>
      </c>
      <c r="BK721" s="8">
        <v>11568.81</v>
      </c>
      <c r="BL721" s="2" t="s">
        <v>2792</v>
      </c>
      <c r="BM721" s="7"/>
      <c r="BN721" s="7"/>
      <c r="BO721" s="4"/>
      <c r="BP721" s="8"/>
      <c r="BQ721" s="4"/>
      <c r="BR721" s="8"/>
      <c r="BS721" s="7"/>
      <c r="BT721" s="7"/>
      <c r="BU721" s="2" t="s">
        <v>147</v>
      </c>
      <c r="BV721" s="2" t="s">
        <v>97</v>
      </c>
      <c r="BW721" s="2" t="s">
        <v>100</v>
      </c>
      <c r="BX721" s="2" t="s">
        <v>100</v>
      </c>
      <c r="BY721" s="2" t="s">
        <v>112</v>
      </c>
      <c r="BZ721" s="2" t="s">
        <v>100</v>
      </c>
    </row>
    <row r="722">
      <c r="A722" s="2" t="s">
        <v>2793</v>
      </c>
      <c r="B722" s="2" t="s">
        <v>87</v>
      </c>
      <c r="C722" s="2" t="s">
        <v>88</v>
      </c>
      <c r="D722" s="2" t="s">
        <v>2308</v>
      </c>
      <c r="E722" s="2" t="s">
        <v>2641</v>
      </c>
      <c r="F722" s="2" t="s">
        <v>785</v>
      </c>
      <c r="G722" s="2" t="s">
        <v>786</v>
      </c>
      <c r="H722" s="2" t="s">
        <v>787</v>
      </c>
      <c r="I722" s="2" t="s">
        <v>2791</v>
      </c>
      <c r="J722" s="2" t="s">
        <v>850</v>
      </c>
      <c r="K722" s="2" t="s">
        <v>666</v>
      </c>
      <c r="L722" s="3">
        <v>57.6</v>
      </c>
      <c r="M722" s="3">
        <v>60.47</v>
      </c>
      <c r="N722" s="3">
        <v>119.99</v>
      </c>
      <c r="O722" s="2" t="s">
        <v>97</v>
      </c>
      <c r="P722" s="2" t="s">
        <v>182</v>
      </c>
      <c r="Q722" s="2" t="s">
        <v>99</v>
      </c>
      <c r="R722" s="2" t="s">
        <v>100</v>
      </c>
      <c r="S722" s="2" t="s">
        <v>789</v>
      </c>
      <c r="T722" s="2" t="s">
        <v>100</v>
      </c>
      <c r="U722" s="2" t="s">
        <v>1482</v>
      </c>
      <c r="V722" s="2" t="s">
        <v>601</v>
      </c>
      <c r="W722" s="2" t="s">
        <v>733</v>
      </c>
      <c r="X722" s="2" t="s">
        <v>791</v>
      </c>
      <c r="Y722" s="2" t="s">
        <v>106</v>
      </c>
      <c r="Z722" s="4">
        <v>308</v>
      </c>
      <c r="AA722" s="4">
        <f>=ROUNDDOWN(22,0)</f>
      </c>
      <c r="AB722" s="5">
        <v>14</v>
      </c>
      <c r="AC722" s="2" t="s">
        <v>792</v>
      </c>
      <c r="AD722" s="4">
        <v>30</v>
      </c>
      <c r="AE722" s="4">
        <v>160</v>
      </c>
      <c r="AF722" s="6">
        <v>65</v>
      </c>
      <c r="AG722" s="6">
        <v>48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252</v>
      </c>
      <c r="BK722" s="8">
        <v>15408.08</v>
      </c>
      <c r="BL722" s="2" t="s">
        <v>2794</v>
      </c>
      <c r="BM722" s="7"/>
      <c r="BN722" s="7"/>
      <c r="BO722" s="4"/>
      <c r="BP722" s="8"/>
      <c r="BQ722" s="4"/>
      <c r="BR722" s="8"/>
      <c r="BS722" s="7"/>
      <c r="BT722" s="7"/>
      <c r="BU722" s="2" t="s">
        <v>147</v>
      </c>
      <c r="BV722" s="2" t="s">
        <v>97</v>
      </c>
      <c r="BW722" s="2" t="s">
        <v>100</v>
      </c>
      <c r="BX722" s="2" t="s">
        <v>100</v>
      </c>
      <c r="BY722" s="2" t="s">
        <v>112</v>
      </c>
      <c r="BZ722" s="2" t="s">
        <v>100</v>
      </c>
    </row>
    <row r="723">
      <c r="A723" s="2" t="s">
        <v>2795</v>
      </c>
      <c r="B723" s="2" t="s">
        <v>87</v>
      </c>
      <c r="C723" s="2" t="s">
        <v>88</v>
      </c>
      <c r="D723" s="2" t="s">
        <v>2308</v>
      </c>
      <c r="E723" s="2" t="s">
        <v>2641</v>
      </c>
      <c r="F723" s="2" t="s">
        <v>2796</v>
      </c>
      <c r="G723" s="2" t="s">
        <v>2797</v>
      </c>
      <c r="H723" s="2" t="s">
        <v>2798</v>
      </c>
      <c r="I723" s="2" t="s">
        <v>2705</v>
      </c>
      <c r="J723" s="2" t="s">
        <v>844</v>
      </c>
      <c r="K723" s="2" t="s">
        <v>267</v>
      </c>
      <c r="L723" s="3">
        <v>49.5</v>
      </c>
      <c r="M723" s="3">
        <v>51.98</v>
      </c>
      <c r="N723" s="3">
        <v>99.99</v>
      </c>
      <c r="O723" s="2" t="s">
        <v>97</v>
      </c>
      <c r="P723" s="2" t="s">
        <v>182</v>
      </c>
      <c r="Q723" s="2" t="s">
        <v>99</v>
      </c>
      <c r="R723" s="2" t="s">
        <v>100</v>
      </c>
      <c r="S723" s="2" t="s">
        <v>2799</v>
      </c>
      <c r="T723" s="2" t="s">
        <v>100</v>
      </c>
      <c r="U723" s="2" t="s">
        <v>490</v>
      </c>
      <c r="V723" s="2" t="s">
        <v>455</v>
      </c>
      <c r="W723" s="2" t="s">
        <v>104</v>
      </c>
      <c r="X723" s="2" t="s">
        <v>105</v>
      </c>
      <c r="Y723" s="2" t="s">
        <v>106</v>
      </c>
      <c r="Z723" s="4">
        <v>601</v>
      </c>
      <c r="AA723" s="4">
        <f>=ROUNDDOWN(66.7777777777778,0)</f>
      </c>
      <c r="AB723" s="5">
        <v>9</v>
      </c>
      <c r="AC723" s="2" t="s">
        <v>100</v>
      </c>
      <c r="AD723" s="4"/>
      <c r="AE723" s="4"/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>
        <v>0</v>
      </c>
      <c r="AP723" s="4"/>
      <c r="AQ723" s="8"/>
      <c r="AR723" s="4">
        <v>1</v>
      </c>
      <c r="AS723" s="8">
        <v>57.75</v>
      </c>
      <c r="AT723" s="7">
        <v>-1</v>
      </c>
      <c r="AU723" s="7">
        <v>-1</v>
      </c>
      <c r="AV723" s="4" t="s">
        <v>100</v>
      </c>
      <c r="AW723" s="8" t="s">
        <v>100</v>
      </c>
      <c r="AX723" s="4">
        <v>1</v>
      </c>
      <c r="AY723" s="8">
        <v>57.75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>
        <v>1</v>
      </c>
      <c r="BF723" s="8">
        <v>57.75</v>
      </c>
      <c r="BG723" s="7" t="s">
        <v>100</v>
      </c>
      <c r="BH723" s="7" t="s">
        <v>100</v>
      </c>
      <c r="BI723" s="7"/>
      <c r="BJ723" s="4">
        <v>170</v>
      </c>
      <c r="BK723" s="8">
        <v>9540.85</v>
      </c>
      <c r="BL723" s="2" t="s">
        <v>2800</v>
      </c>
      <c r="BM723" s="7"/>
      <c r="BN723" s="7"/>
      <c r="BO723" s="4"/>
      <c r="BP723" s="8"/>
      <c r="BQ723" s="4">
        <v>1</v>
      </c>
      <c r="BR723" s="8">
        <v>57.75</v>
      </c>
      <c r="BS723" s="7">
        <v>-1</v>
      </c>
      <c r="BT723" s="7">
        <v>-1</v>
      </c>
      <c r="BU723" s="2" t="s">
        <v>109</v>
      </c>
      <c r="BV723" s="2" t="s">
        <v>97</v>
      </c>
      <c r="BW723" s="2" t="s">
        <v>606</v>
      </c>
      <c r="BX723" s="2" t="s">
        <v>2801</v>
      </c>
      <c r="BY723" s="2" t="s">
        <v>112</v>
      </c>
      <c r="BZ723" s="2" t="s">
        <v>100</v>
      </c>
    </row>
    <row r="724">
      <c r="A724" s="2" t="s">
        <v>2802</v>
      </c>
      <c r="B724" s="2" t="s">
        <v>87</v>
      </c>
      <c r="C724" s="2" t="s">
        <v>88</v>
      </c>
      <c r="D724" s="2" t="s">
        <v>2308</v>
      </c>
      <c r="E724" s="2" t="s">
        <v>2641</v>
      </c>
      <c r="F724" s="2" t="s">
        <v>2796</v>
      </c>
      <c r="G724" s="2" t="s">
        <v>2797</v>
      </c>
      <c r="H724" s="2" t="s">
        <v>2798</v>
      </c>
      <c r="I724" s="2" t="s">
        <v>2705</v>
      </c>
      <c r="J724" s="2" t="s">
        <v>850</v>
      </c>
      <c r="K724" s="2" t="s">
        <v>267</v>
      </c>
      <c r="L724" s="3">
        <v>53.99</v>
      </c>
      <c r="M724" s="3">
        <v>56.69</v>
      </c>
      <c r="N724" s="3">
        <v>109.99</v>
      </c>
      <c r="O724" s="2" t="s">
        <v>97</v>
      </c>
      <c r="P724" s="2" t="s">
        <v>182</v>
      </c>
      <c r="Q724" s="2" t="s">
        <v>99</v>
      </c>
      <c r="R724" s="2" t="s">
        <v>100</v>
      </c>
      <c r="S724" s="2" t="s">
        <v>2799</v>
      </c>
      <c r="T724" s="2" t="s">
        <v>100</v>
      </c>
      <c r="U724" s="2" t="s">
        <v>490</v>
      </c>
      <c r="V724" s="2" t="s">
        <v>455</v>
      </c>
      <c r="W724" s="2" t="s">
        <v>104</v>
      </c>
      <c r="X724" s="2" t="s">
        <v>105</v>
      </c>
      <c r="Y724" s="2" t="s">
        <v>106</v>
      </c>
      <c r="Z724" s="4">
        <v>987</v>
      </c>
      <c r="AA724" s="4">
        <f>=ROUNDDOWN(82.25,0)</f>
      </c>
      <c r="AB724" s="5">
        <v>12</v>
      </c>
      <c r="AC724" s="2" t="s">
        <v>100</v>
      </c>
      <c r="AD724" s="4"/>
      <c r="AE724" s="4"/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268</v>
      </c>
      <c r="BK724" s="8">
        <v>16400.86</v>
      </c>
      <c r="BL724" s="2" t="s">
        <v>2803</v>
      </c>
      <c r="BM724" s="7"/>
      <c r="BN724" s="7"/>
      <c r="BO724" s="4"/>
      <c r="BP724" s="8"/>
      <c r="BQ724" s="4"/>
      <c r="BR724" s="8"/>
      <c r="BS724" s="7"/>
      <c r="BT724" s="7"/>
      <c r="BU724" s="2" t="s">
        <v>109</v>
      </c>
      <c r="BV724" s="2" t="s">
        <v>97</v>
      </c>
      <c r="BW724" s="2" t="s">
        <v>606</v>
      </c>
      <c r="BX724" s="2" t="s">
        <v>100</v>
      </c>
      <c r="BY724" s="2" t="s">
        <v>112</v>
      </c>
      <c r="BZ724" s="2" t="s">
        <v>100</v>
      </c>
    </row>
    <row r="725">
      <c r="A725" s="2" t="s">
        <v>2804</v>
      </c>
      <c r="B725" s="2" t="s">
        <v>87</v>
      </c>
      <c r="C725" s="2" t="s">
        <v>88</v>
      </c>
      <c r="D725" s="2" t="s">
        <v>2308</v>
      </c>
      <c r="E725" s="2" t="s">
        <v>2641</v>
      </c>
      <c r="F725" s="2" t="s">
        <v>2796</v>
      </c>
      <c r="G725" s="2" t="s">
        <v>2797</v>
      </c>
      <c r="H725" s="2" t="s">
        <v>2798</v>
      </c>
      <c r="I725" s="2" t="s">
        <v>2705</v>
      </c>
      <c r="J725" s="2" t="s">
        <v>844</v>
      </c>
      <c r="K725" s="2" t="s">
        <v>1767</v>
      </c>
      <c r="L725" s="3">
        <v>49.5</v>
      </c>
      <c r="M725" s="3">
        <v>51.98</v>
      </c>
      <c r="N725" s="3">
        <v>99.99</v>
      </c>
      <c r="O725" s="2" t="s">
        <v>97</v>
      </c>
      <c r="P725" s="2" t="s">
        <v>198</v>
      </c>
      <c r="Q725" s="2" t="s">
        <v>99</v>
      </c>
      <c r="R725" s="2" t="s">
        <v>100</v>
      </c>
      <c r="S725" s="2" t="s">
        <v>2805</v>
      </c>
      <c r="T725" s="2" t="s">
        <v>100</v>
      </c>
      <c r="U725" s="2" t="s">
        <v>490</v>
      </c>
      <c r="V725" s="2" t="s">
        <v>455</v>
      </c>
      <c r="W725" s="2" t="s">
        <v>104</v>
      </c>
      <c r="X725" s="2" t="s">
        <v>105</v>
      </c>
      <c r="Y725" s="2" t="s">
        <v>106</v>
      </c>
      <c r="Z725" s="4">
        <v>711</v>
      </c>
      <c r="AA725" s="4">
        <f>=ROUNDDOWN(101.571428571429,0)</f>
      </c>
      <c r="AB725" s="5">
        <v>7</v>
      </c>
      <c r="AC725" s="2" t="s">
        <v>100</v>
      </c>
      <c r="AD725" s="4"/>
      <c r="AE725" s="4"/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123</v>
      </c>
      <c r="BK725" s="8">
        <v>6486.7</v>
      </c>
      <c r="BL725" s="2" t="s">
        <v>2806</v>
      </c>
      <c r="BM725" s="7"/>
      <c r="BN725" s="7"/>
      <c r="BO725" s="4"/>
      <c r="BP725" s="8"/>
      <c r="BQ725" s="4"/>
      <c r="BR725" s="8"/>
      <c r="BS725" s="7"/>
      <c r="BT725" s="7"/>
      <c r="BU725" s="2" t="s">
        <v>147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2807</v>
      </c>
      <c r="B726" s="2" t="s">
        <v>87</v>
      </c>
      <c r="C726" s="2" t="s">
        <v>88</v>
      </c>
      <c r="D726" s="2" t="s">
        <v>2308</v>
      </c>
      <c r="E726" s="2" t="s">
        <v>2641</v>
      </c>
      <c r="F726" s="2" t="s">
        <v>2796</v>
      </c>
      <c r="G726" s="2" t="s">
        <v>2797</v>
      </c>
      <c r="H726" s="2" t="s">
        <v>2798</v>
      </c>
      <c r="I726" s="2" t="s">
        <v>2705</v>
      </c>
      <c r="J726" s="2" t="s">
        <v>850</v>
      </c>
      <c r="K726" s="2" t="s">
        <v>1767</v>
      </c>
      <c r="L726" s="3">
        <v>53.99</v>
      </c>
      <c r="M726" s="3">
        <v>56.69</v>
      </c>
      <c r="N726" s="3">
        <v>109.99</v>
      </c>
      <c r="O726" s="2" t="s">
        <v>97</v>
      </c>
      <c r="P726" s="2" t="s">
        <v>198</v>
      </c>
      <c r="Q726" s="2" t="s">
        <v>99</v>
      </c>
      <c r="R726" s="2" t="s">
        <v>100</v>
      </c>
      <c r="S726" s="2" t="s">
        <v>2805</v>
      </c>
      <c r="T726" s="2" t="s">
        <v>100</v>
      </c>
      <c r="U726" s="2" t="s">
        <v>490</v>
      </c>
      <c r="V726" s="2" t="s">
        <v>455</v>
      </c>
      <c r="W726" s="2" t="s">
        <v>104</v>
      </c>
      <c r="X726" s="2" t="s">
        <v>105</v>
      </c>
      <c r="Y726" s="2" t="s">
        <v>106</v>
      </c>
      <c r="Z726" s="4">
        <v>999</v>
      </c>
      <c r="AA726" s="4">
        <f>=ROUNDDOWN(90.8181818181818,0)</f>
      </c>
      <c r="AB726" s="5">
        <v>11</v>
      </c>
      <c r="AC726" s="2" t="s">
        <v>100</v>
      </c>
      <c r="AD726" s="4"/>
      <c r="AE726" s="4"/>
      <c r="AF726" s="6">
        <v>65</v>
      </c>
      <c r="AG726" s="6">
        <v>73</v>
      </c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167</v>
      </c>
      <c r="BK726" s="8">
        <v>10076.31</v>
      </c>
      <c r="BL726" s="2" t="s">
        <v>2808</v>
      </c>
      <c r="BM726" s="7"/>
      <c r="BN726" s="7"/>
      <c r="BO726" s="4"/>
      <c r="BP726" s="8"/>
      <c r="BQ726" s="4"/>
      <c r="BR726" s="8"/>
      <c r="BS726" s="7"/>
      <c r="BT726" s="7"/>
      <c r="BU726" s="2" t="s">
        <v>147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2809</v>
      </c>
      <c r="B727" s="2" t="s">
        <v>87</v>
      </c>
      <c r="C727" s="2" t="s">
        <v>88</v>
      </c>
      <c r="D727" s="2" t="s">
        <v>2308</v>
      </c>
      <c r="E727" s="2" t="s">
        <v>2641</v>
      </c>
      <c r="F727" s="2" t="s">
        <v>801</v>
      </c>
      <c r="G727" s="2" t="s">
        <v>802</v>
      </c>
      <c r="H727" s="2" t="s">
        <v>803</v>
      </c>
      <c r="I727" s="2" t="s">
        <v>2810</v>
      </c>
      <c r="J727" s="2" t="s">
        <v>844</v>
      </c>
      <c r="K727" s="2" t="s">
        <v>267</v>
      </c>
      <c r="L727" s="3">
        <v>63.7</v>
      </c>
      <c r="M727" s="3">
        <v>66.88</v>
      </c>
      <c r="N727" s="3">
        <v>129.99</v>
      </c>
      <c r="O727" s="2" t="s">
        <v>97</v>
      </c>
      <c r="P727" s="2" t="s">
        <v>805</v>
      </c>
      <c r="Q727" s="2" t="s">
        <v>99</v>
      </c>
      <c r="R727" s="2" t="s">
        <v>100</v>
      </c>
      <c r="S727" s="2" t="s">
        <v>806</v>
      </c>
      <c r="T727" s="2" t="s">
        <v>100</v>
      </c>
      <c r="U727" s="2" t="s">
        <v>490</v>
      </c>
      <c r="V727" s="2" t="s">
        <v>103</v>
      </c>
      <c r="W727" s="2" t="s">
        <v>808</v>
      </c>
      <c r="X727" s="2" t="s">
        <v>809</v>
      </c>
      <c r="Y727" s="2" t="s">
        <v>106</v>
      </c>
      <c r="Z727" s="4">
        <v>1232</v>
      </c>
      <c r="AA727" s="4">
        <f>=ROUNDDOWN(8.92753623188406,0)</f>
      </c>
      <c r="AB727" s="5">
        <v>138</v>
      </c>
      <c r="AC727" s="2" t="s">
        <v>130</v>
      </c>
      <c r="AD727" s="4">
        <v>350</v>
      </c>
      <c r="AE727" s="4">
        <v>3720</v>
      </c>
      <c r="AF727" s="6">
        <v>65</v>
      </c>
      <c r="AG727" s="6">
        <v>73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100</v>
      </c>
      <c r="AW727" s="8" t="s">
        <v>100</v>
      </c>
      <c r="AX727" s="4" t="s">
        <v>100</v>
      </c>
      <c r="AY727" s="8" t="s">
        <v>100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 t="s">
        <v>100</v>
      </c>
      <c r="BF727" s="8" t="s">
        <v>100</v>
      </c>
      <c r="BG727" s="7" t="s">
        <v>100</v>
      </c>
      <c r="BH727" s="7" t="s">
        <v>100</v>
      </c>
      <c r="BI727" s="7"/>
      <c r="BJ727" s="4">
        <v>3098</v>
      </c>
      <c r="BK727" s="8">
        <v>201947.71</v>
      </c>
      <c r="BL727" s="2" t="s">
        <v>2811</v>
      </c>
      <c r="BM727" s="7"/>
      <c r="BN727" s="7"/>
      <c r="BO727" s="4"/>
      <c r="BP727" s="8"/>
      <c r="BQ727" s="4"/>
      <c r="BR727" s="8"/>
      <c r="BS727" s="7"/>
      <c r="BT727" s="7"/>
      <c r="BU727" s="2" t="s">
        <v>109</v>
      </c>
      <c r="BV727" s="2" t="s">
        <v>97</v>
      </c>
      <c r="BW727" s="2" t="s">
        <v>580</v>
      </c>
      <c r="BX727" s="2" t="s">
        <v>100</v>
      </c>
      <c r="BY727" s="2" t="s">
        <v>112</v>
      </c>
      <c r="BZ727" s="2" t="s">
        <v>100</v>
      </c>
    </row>
    <row r="728">
      <c r="A728" s="2" t="s">
        <v>2812</v>
      </c>
      <c r="B728" s="2" t="s">
        <v>87</v>
      </c>
      <c r="C728" s="2" t="s">
        <v>88</v>
      </c>
      <c r="D728" s="2" t="s">
        <v>2308</v>
      </c>
      <c r="E728" s="2" t="s">
        <v>2641</v>
      </c>
      <c r="F728" s="2" t="s">
        <v>801</v>
      </c>
      <c r="G728" s="2" t="s">
        <v>802</v>
      </c>
      <c r="H728" s="2" t="s">
        <v>803</v>
      </c>
      <c r="I728" s="2" t="s">
        <v>2810</v>
      </c>
      <c r="J728" s="2" t="s">
        <v>850</v>
      </c>
      <c r="K728" s="2" t="s">
        <v>267</v>
      </c>
      <c r="L728" s="3">
        <v>68.6</v>
      </c>
      <c r="M728" s="3">
        <v>72.02</v>
      </c>
      <c r="N728" s="3">
        <v>139.99</v>
      </c>
      <c r="O728" s="2" t="s">
        <v>97</v>
      </c>
      <c r="P728" s="2" t="s">
        <v>805</v>
      </c>
      <c r="Q728" s="2" t="s">
        <v>99</v>
      </c>
      <c r="R728" s="2" t="s">
        <v>100</v>
      </c>
      <c r="S728" s="2" t="s">
        <v>806</v>
      </c>
      <c r="T728" s="2" t="s">
        <v>100</v>
      </c>
      <c r="U728" s="2" t="s">
        <v>490</v>
      </c>
      <c r="V728" s="2" t="s">
        <v>103</v>
      </c>
      <c r="W728" s="2" t="s">
        <v>808</v>
      </c>
      <c r="X728" s="2" t="s">
        <v>809</v>
      </c>
      <c r="Y728" s="2" t="s">
        <v>106</v>
      </c>
      <c r="Z728" s="4">
        <v>2785</v>
      </c>
      <c r="AA728" s="4">
        <f>=ROUNDDOWN(13.4541062801932,0)</f>
      </c>
      <c r="AB728" s="5">
        <v>207</v>
      </c>
      <c r="AC728" s="2" t="s">
        <v>430</v>
      </c>
      <c r="AD728" s="4">
        <v>100</v>
      </c>
      <c r="AE728" s="4">
        <v>4500</v>
      </c>
      <c r="AF728" s="6">
        <v>65</v>
      </c>
      <c r="AG728" s="6">
        <v>73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4122</v>
      </c>
      <c r="BK728" s="8">
        <v>289333.25</v>
      </c>
      <c r="BL728" s="2" t="s">
        <v>2813</v>
      </c>
      <c r="BM728" s="7"/>
      <c r="BN728" s="7"/>
      <c r="BO728" s="4"/>
      <c r="BP728" s="8"/>
      <c r="BQ728" s="4"/>
      <c r="BR728" s="8"/>
      <c r="BS728" s="7"/>
      <c r="BT728" s="7"/>
      <c r="BU728" s="2" t="s">
        <v>109</v>
      </c>
      <c r="BV728" s="2" t="s">
        <v>97</v>
      </c>
      <c r="BW728" s="2" t="s">
        <v>580</v>
      </c>
      <c r="BX728" s="2" t="s">
        <v>100</v>
      </c>
      <c r="BY728" s="2" t="s">
        <v>112</v>
      </c>
      <c r="BZ728" s="2" t="s">
        <v>100</v>
      </c>
    </row>
    <row r="729">
      <c r="A729" s="2" t="s">
        <v>2814</v>
      </c>
      <c r="B729" s="2" t="s">
        <v>87</v>
      </c>
      <c r="C729" s="2" t="s">
        <v>88</v>
      </c>
      <c r="D729" s="2" t="s">
        <v>2308</v>
      </c>
      <c r="E729" s="2" t="s">
        <v>2641</v>
      </c>
      <c r="F729" s="2" t="s">
        <v>801</v>
      </c>
      <c r="G729" s="2" t="s">
        <v>802</v>
      </c>
      <c r="H729" s="2" t="s">
        <v>803</v>
      </c>
      <c r="I729" s="2" t="s">
        <v>2810</v>
      </c>
      <c r="J729" s="2" t="s">
        <v>844</v>
      </c>
      <c r="K729" s="2" t="s">
        <v>650</v>
      </c>
      <c r="L729" s="3">
        <v>63.7</v>
      </c>
      <c r="M729" s="3">
        <v>66.88</v>
      </c>
      <c r="N729" s="3">
        <v>129.99</v>
      </c>
      <c r="O729" s="2" t="s">
        <v>97</v>
      </c>
      <c r="P729" s="2" t="s">
        <v>143</v>
      </c>
      <c r="Q729" s="2" t="s">
        <v>99</v>
      </c>
      <c r="R729" s="2" t="s">
        <v>100</v>
      </c>
      <c r="S729" s="2" t="s">
        <v>818</v>
      </c>
      <c r="T729" s="2" t="s">
        <v>100</v>
      </c>
      <c r="U729" s="2" t="s">
        <v>490</v>
      </c>
      <c r="V729" s="2" t="s">
        <v>103</v>
      </c>
      <c r="W729" s="2" t="s">
        <v>808</v>
      </c>
      <c r="X729" s="2" t="s">
        <v>809</v>
      </c>
      <c r="Y729" s="2" t="s">
        <v>819</v>
      </c>
      <c r="Z729" s="4">
        <v>329</v>
      </c>
      <c r="AA729" s="4">
        <f>=ROUNDDOWN(6.32692307692308,0)</f>
      </c>
      <c r="AB729" s="5">
        <v>52</v>
      </c>
      <c r="AC729" s="2" t="s">
        <v>130</v>
      </c>
      <c r="AD729" s="4">
        <v>100</v>
      </c>
      <c r="AE729" s="4">
        <v>1660</v>
      </c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920</v>
      </c>
      <c r="BK729" s="8">
        <v>59799.2</v>
      </c>
      <c r="BL729" s="2" t="s">
        <v>2815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97</v>
      </c>
      <c r="BW729" s="2" t="s">
        <v>580</v>
      </c>
      <c r="BX729" s="2" t="s">
        <v>100</v>
      </c>
      <c r="BY729" s="2" t="s">
        <v>112</v>
      </c>
      <c r="BZ729" s="2" t="s">
        <v>100</v>
      </c>
    </row>
    <row r="730">
      <c r="A730" s="2" t="s">
        <v>2816</v>
      </c>
      <c r="B730" s="2" t="s">
        <v>87</v>
      </c>
      <c r="C730" s="2" t="s">
        <v>88</v>
      </c>
      <c r="D730" s="2" t="s">
        <v>2308</v>
      </c>
      <c r="E730" s="2" t="s">
        <v>2641</v>
      </c>
      <c r="F730" s="2" t="s">
        <v>801</v>
      </c>
      <c r="G730" s="2" t="s">
        <v>802</v>
      </c>
      <c r="H730" s="2" t="s">
        <v>803</v>
      </c>
      <c r="I730" s="2" t="s">
        <v>2810</v>
      </c>
      <c r="J730" s="2" t="s">
        <v>850</v>
      </c>
      <c r="K730" s="2" t="s">
        <v>650</v>
      </c>
      <c r="L730" s="3">
        <v>68.6</v>
      </c>
      <c r="M730" s="3">
        <v>72.02</v>
      </c>
      <c r="N730" s="3">
        <v>139.99</v>
      </c>
      <c r="O730" s="2" t="s">
        <v>97</v>
      </c>
      <c r="P730" s="2" t="s">
        <v>143</v>
      </c>
      <c r="Q730" s="2" t="s">
        <v>99</v>
      </c>
      <c r="R730" s="2" t="s">
        <v>100</v>
      </c>
      <c r="S730" s="2" t="s">
        <v>818</v>
      </c>
      <c r="T730" s="2" t="s">
        <v>100</v>
      </c>
      <c r="U730" s="2" t="s">
        <v>490</v>
      </c>
      <c r="V730" s="2" t="s">
        <v>103</v>
      </c>
      <c r="W730" s="2" t="s">
        <v>808</v>
      </c>
      <c r="X730" s="2" t="s">
        <v>809</v>
      </c>
      <c r="Y730" s="2" t="s">
        <v>819</v>
      </c>
      <c r="Z730" s="4">
        <v>450</v>
      </c>
      <c r="AA730" s="4">
        <f>=ROUNDDOWN(7.03125,0)</f>
      </c>
      <c r="AB730" s="5">
        <v>64</v>
      </c>
      <c r="AC730" s="2" t="s">
        <v>130</v>
      </c>
      <c r="AD730" s="4">
        <v>160</v>
      </c>
      <c r="AE730" s="4">
        <v>1980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1247</v>
      </c>
      <c r="BK730" s="8">
        <v>88442.72</v>
      </c>
      <c r="BL730" s="2" t="s">
        <v>2817</v>
      </c>
      <c r="BM730" s="7"/>
      <c r="BN730" s="7"/>
      <c r="BO730" s="4"/>
      <c r="BP730" s="8"/>
      <c r="BQ730" s="4"/>
      <c r="BR730" s="8"/>
      <c r="BS730" s="7"/>
      <c r="BT730" s="7"/>
      <c r="BU730" s="2" t="s">
        <v>109</v>
      </c>
      <c r="BV730" s="2" t="s">
        <v>97</v>
      </c>
      <c r="BW730" s="2" t="s">
        <v>580</v>
      </c>
      <c r="BX730" s="2" t="s">
        <v>100</v>
      </c>
      <c r="BY730" s="2" t="s">
        <v>112</v>
      </c>
      <c r="BZ730" s="2" t="s">
        <v>100</v>
      </c>
    </row>
    <row r="731">
      <c r="A731" s="2" t="s">
        <v>2818</v>
      </c>
      <c r="B731" s="2" t="s">
        <v>87</v>
      </c>
      <c r="C731" s="2" t="s">
        <v>88</v>
      </c>
      <c r="D731" s="2" t="s">
        <v>2308</v>
      </c>
      <c r="E731" s="2" t="s">
        <v>2641</v>
      </c>
      <c r="F731" s="2" t="s">
        <v>801</v>
      </c>
      <c r="G731" s="2" t="s">
        <v>802</v>
      </c>
      <c r="H731" s="2" t="s">
        <v>803</v>
      </c>
      <c r="I731" s="2" t="s">
        <v>2810</v>
      </c>
      <c r="J731" s="2" t="s">
        <v>844</v>
      </c>
      <c r="K731" s="2" t="s">
        <v>247</v>
      </c>
      <c r="L731" s="3">
        <v>63.7</v>
      </c>
      <c r="M731" s="3">
        <v>66.88</v>
      </c>
      <c r="N731" s="3">
        <v>129.99</v>
      </c>
      <c r="O731" s="2" t="s">
        <v>97</v>
      </c>
      <c r="P731" s="2" t="s">
        <v>182</v>
      </c>
      <c r="Q731" s="2" t="s">
        <v>99</v>
      </c>
      <c r="R731" s="2" t="s">
        <v>100</v>
      </c>
      <c r="S731" s="2" t="s">
        <v>2819</v>
      </c>
      <c r="T731" s="2" t="s">
        <v>100</v>
      </c>
      <c r="U731" s="2" t="s">
        <v>490</v>
      </c>
      <c r="V731" s="2" t="s">
        <v>103</v>
      </c>
      <c r="W731" s="2" t="s">
        <v>808</v>
      </c>
      <c r="X731" s="2" t="s">
        <v>809</v>
      </c>
      <c r="Y731" s="2" t="s">
        <v>106</v>
      </c>
      <c r="Z731" s="4">
        <v>208</v>
      </c>
      <c r="AA731" s="4">
        <f>=ROUNDDOWN(6.70967741935484,0)</f>
      </c>
      <c r="AB731" s="5">
        <v>31</v>
      </c>
      <c r="AC731" s="2" t="s">
        <v>430</v>
      </c>
      <c r="AD731" s="4">
        <v>100</v>
      </c>
      <c r="AE731" s="4">
        <v>710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486</v>
      </c>
      <c r="BK731" s="8">
        <v>31012.79</v>
      </c>
      <c r="BL731" s="2" t="s">
        <v>2820</v>
      </c>
      <c r="BM731" s="7"/>
      <c r="BN731" s="7"/>
      <c r="BO731" s="4"/>
      <c r="BP731" s="8"/>
      <c r="BQ731" s="4"/>
      <c r="BR731" s="8"/>
      <c r="BS731" s="7"/>
      <c r="BT731" s="7"/>
      <c r="BU731" s="2" t="s">
        <v>147</v>
      </c>
      <c r="BV731" s="2" t="s">
        <v>97</v>
      </c>
      <c r="BW731" s="2" t="s">
        <v>100</v>
      </c>
      <c r="BX731" s="2" t="s">
        <v>100</v>
      </c>
      <c r="BY731" s="2" t="s">
        <v>112</v>
      </c>
      <c r="BZ731" s="2" t="s">
        <v>100</v>
      </c>
    </row>
    <row r="732">
      <c r="A732" s="2" t="s">
        <v>2821</v>
      </c>
      <c r="B732" s="2" t="s">
        <v>87</v>
      </c>
      <c r="C732" s="2" t="s">
        <v>88</v>
      </c>
      <c r="D732" s="2" t="s">
        <v>2308</v>
      </c>
      <c r="E732" s="2" t="s">
        <v>2641</v>
      </c>
      <c r="F732" s="2" t="s">
        <v>801</v>
      </c>
      <c r="G732" s="2" t="s">
        <v>802</v>
      </c>
      <c r="H732" s="2" t="s">
        <v>803</v>
      </c>
      <c r="I732" s="2" t="s">
        <v>2810</v>
      </c>
      <c r="J732" s="2" t="s">
        <v>850</v>
      </c>
      <c r="K732" s="2" t="s">
        <v>247</v>
      </c>
      <c r="L732" s="3">
        <v>68.6</v>
      </c>
      <c r="M732" s="3">
        <v>72.02</v>
      </c>
      <c r="N732" s="3">
        <v>139.99</v>
      </c>
      <c r="O732" s="2" t="s">
        <v>97</v>
      </c>
      <c r="P732" s="2" t="s">
        <v>182</v>
      </c>
      <c r="Q732" s="2" t="s">
        <v>99</v>
      </c>
      <c r="R732" s="2" t="s">
        <v>100</v>
      </c>
      <c r="S732" s="2" t="s">
        <v>2819</v>
      </c>
      <c r="T732" s="2" t="s">
        <v>100</v>
      </c>
      <c r="U732" s="2" t="s">
        <v>490</v>
      </c>
      <c r="V732" s="2" t="s">
        <v>103</v>
      </c>
      <c r="W732" s="2" t="s">
        <v>808</v>
      </c>
      <c r="X732" s="2" t="s">
        <v>809</v>
      </c>
      <c r="Y732" s="2" t="s">
        <v>106</v>
      </c>
      <c r="Z732" s="4">
        <v>367</v>
      </c>
      <c r="AA732" s="4">
        <f>=ROUNDDOWN(8.95121951219512,0)</f>
      </c>
      <c r="AB732" s="5">
        <v>41</v>
      </c>
      <c r="AC732" s="2" t="s">
        <v>430</v>
      </c>
      <c r="AD732" s="4">
        <v>120</v>
      </c>
      <c r="AE732" s="4">
        <v>930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658</v>
      </c>
      <c r="BK732" s="8">
        <v>45432.15</v>
      </c>
      <c r="BL732" s="2" t="s">
        <v>2822</v>
      </c>
      <c r="BM732" s="7"/>
      <c r="BN732" s="7"/>
      <c r="BO732" s="4"/>
      <c r="BP732" s="8"/>
      <c r="BQ732" s="4"/>
      <c r="BR732" s="8"/>
      <c r="BS732" s="7"/>
      <c r="BT732" s="7"/>
      <c r="BU732" s="2" t="s">
        <v>147</v>
      </c>
      <c r="BV732" s="2" t="s">
        <v>97</v>
      </c>
      <c r="BW732" s="2" t="s">
        <v>100</v>
      </c>
      <c r="BX732" s="2" t="s">
        <v>100</v>
      </c>
      <c r="BY732" s="2" t="s">
        <v>112</v>
      </c>
      <c r="BZ732" s="2" t="s">
        <v>100</v>
      </c>
    </row>
    <row r="733">
      <c r="A733" s="2" t="s">
        <v>2823</v>
      </c>
      <c r="B733" s="2" t="s">
        <v>87</v>
      </c>
      <c r="C733" s="2" t="s">
        <v>88</v>
      </c>
      <c r="D733" s="2" t="s">
        <v>2308</v>
      </c>
      <c r="E733" s="2" t="s">
        <v>2641</v>
      </c>
      <c r="F733" s="2" t="s">
        <v>801</v>
      </c>
      <c r="G733" s="2" t="s">
        <v>802</v>
      </c>
      <c r="H733" s="2" t="s">
        <v>803</v>
      </c>
      <c r="I733" s="2" t="s">
        <v>2810</v>
      </c>
      <c r="J733" s="2" t="s">
        <v>844</v>
      </c>
      <c r="K733" s="2" t="s">
        <v>298</v>
      </c>
      <c r="L733" s="3">
        <v>63.7</v>
      </c>
      <c r="M733" s="3">
        <v>66.88</v>
      </c>
      <c r="N733" s="3">
        <v>129.99</v>
      </c>
      <c r="O733" s="2" t="s">
        <v>97</v>
      </c>
      <c r="P733" s="2" t="s">
        <v>143</v>
      </c>
      <c r="Q733" s="2" t="s">
        <v>99</v>
      </c>
      <c r="R733" s="2" t="s">
        <v>100</v>
      </c>
      <c r="S733" s="2" t="s">
        <v>2824</v>
      </c>
      <c r="T733" s="2" t="s">
        <v>732</v>
      </c>
      <c r="U733" s="2" t="s">
        <v>490</v>
      </c>
      <c r="V733" s="2" t="s">
        <v>103</v>
      </c>
      <c r="W733" s="2" t="s">
        <v>808</v>
      </c>
      <c r="X733" s="2" t="s">
        <v>809</v>
      </c>
      <c r="Y733" s="2" t="s">
        <v>834</v>
      </c>
      <c r="Z733" s="4">
        <v>113</v>
      </c>
      <c r="AA733" s="4">
        <f>=ROUNDDOWN(2.45652173913044,0)</f>
      </c>
      <c r="AB733" s="5">
        <v>46</v>
      </c>
      <c r="AC733" s="2" t="s">
        <v>746</v>
      </c>
      <c r="AD733" s="4">
        <v>160</v>
      </c>
      <c r="AE733" s="4">
        <v>1560</v>
      </c>
      <c r="AF733" s="6">
        <v>65</v>
      </c>
      <c r="AG733" s="6"/>
      <c r="AH733" s="7">
        <v>0.897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804</v>
      </c>
      <c r="BK733" s="8">
        <v>53292.01</v>
      </c>
      <c r="BL733" s="2" t="s">
        <v>2825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97</v>
      </c>
      <c r="BW733" s="2" t="s">
        <v>2826</v>
      </c>
      <c r="BX733" s="2" t="s">
        <v>100</v>
      </c>
      <c r="BY733" s="2" t="s">
        <v>112</v>
      </c>
      <c r="BZ733" s="2" t="s">
        <v>100</v>
      </c>
    </row>
    <row r="734">
      <c r="A734" s="2" t="s">
        <v>2827</v>
      </c>
      <c r="B734" s="2" t="s">
        <v>87</v>
      </c>
      <c r="C734" s="2" t="s">
        <v>88</v>
      </c>
      <c r="D734" s="2" t="s">
        <v>2308</v>
      </c>
      <c r="E734" s="2" t="s">
        <v>2641</v>
      </c>
      <c r="F734" s="2" t="s">
        <v>801</v>
      </c>
      <c r="G734" s="2" t="s">
        <v>802</v>
      </c>
      <c r="H734" s="2" t="s">
        <v>803</v>
      </c>
      <c r="I734" s="2" t="s">
        <v>2810</v>
      </c>
      <c r="J734" s="2" t="s">
        <v>850</v>
      </c>
      <c r="K734" s="2" t="s">
        <v>298</v>
      </c>
      <c r="L734" s="3">
        <v>68.6</v>
      </c>
      <c r="M734" s="3">
        <v>72.02</v>
      </c>
      <c r="N734" s="3">
        <v>139.99</v>
      </c>
      <c r="O734" s="2" t="s">
        <v>97</v>
      </c>
      <c r="P734" s="2" t="s">
        <v>143</v>
      </c>
      <c r="Q734" s="2" t="s">
        <v>99</v>
      </c>
      <c r="R734" s="2" t="s">
        <v>100</v>
      </c>
      <c r="S734" s="2" t="s">
        <v>2824</v>
      </c>
      <c r="T734" s="2" t="s">
        <v>732</v>
      </c>
      <c r="U734" s="2" t="s">
        <v>490</v>
      </c>
      <c r="V734" s="2" t="s">
        <v>103</v>
      </c>
      <c r="W734" s="2" t="s">
        <v>808</v>
      </c>
      <c r="X734" s="2" t="s">
        <v>809</v>
      </c>
      <c r="Y734" s="2" t="s">
        <v>834</v>
      </c>
      <c r="Z734" s="4">
        <v>554</v>
      </c>
      <c r="AA734" s="4">
        <f>=ROUNDDOWN(10.8627450980392,0)</f>
      </c>
      <c r="AB734" s="5">
        <v>51</v>
      </c>
      <c r="AC734" s="2" t="s">
        <v>130</v>
      </c>
      <c r="AD734" s="4">
        <v>250</v>
      </c>
      <c r="AE734" s="4">
        <v>1480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>
        <v>843</v>
      </c>
      <c r="BK734" s="8">
        <v>60077.37</v>
      </c>
      <c r="BL734" s="2" t="s">
        <v>836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97</v>
      </c>
      <c r="BW734" s="2" t="s">
        <v>580</v>
      </c>
      <c r="BX734" s="2" t="s">
        <v>100</v>
      </c>
      <c r="BY734" s="2" t="s">
        <v>112</v>
      </c>
      <c r="BZ734" s="2" t="s">
        <v>100</v>
      </c>
    </row>
    <row r="735">
      <c r="A735" s="2" t="s">
        <v>2828</v>
      </c>
      <c r="B735" s="2" t="s">
        <v>87</v>
      </c>
      <c r="C735" s="2" t="s">
        <v>88</v>
      </c>
      <c r="D735" s="2" t="s">
        <v>2308</v>
      </c>
      <c r="E735" s="2" t="s">
        <v>2641</v>
      </c>
      <c r="F735" s="2" t="s">
        <v>2829</v>
      </c>
      <c r="G735" s="2" t="s">
        <v>2830</v>
      </c>
      <c r="H735" s="2" t="s">
        <v>2831</v>
      </c>
      <c r="I735" s="2" t="s">
        <v>2705</v>
      </c>
      <c r="J735" s="2" t="s">
        <v>844</v>
      </c>
      <c r="K735" s="2" t="s">
        <v>323</v>
      </c>
      <c r="L735" s="3">
        <v>58.8</v>
      </c>
      <c r="M735" s="3">
        <v>61.73</v>
      </c>
      <c r="N735" s="3">
        <v>119.99</v>
      </c>
      <c r="O735" s="2" t="s">
        <v>97</v>
      </c>
      <c r="P735" s="2" t="s">
        <v>198</v>
      </c>
      <c r="Q735" s="2" t="s">
        <v>99</v>
      </c>
      <c r="R735" s="2" t="s">
        <v>100</v>
      </c>
      <c r="S735" s="2" t="s">
        <v>2832</v>
      </c>
      <c r="T735" s="2" t="s">
        <v>100</v>
      </c>
      <c r="U735" s="2" t="s">
        <v>490</v>
      </c>
      <c r="V735" s="2" t="s">
        <v>1364</v>
      </c>
      <c r="W735" s="2" t="s">
        <v>104</v>
      </c>
      <c r="X735" s="2" t="s">
        <v>2833</v>
      </c>
      <c r="Y735" s="2" t="s">
        <v>106</v>
      </c>
      <c r="Z735" s="4">
        <v>16</v>
      </c>
      <c r="AA735" s="4">
        <f>=ROUNDDOWN(2.66666666666667,0)</f>
      </c>
      <c r="AB735" s="5">
        <v>6</v>
      </c>
      <c r="AC735" s="2" t="s">
        <v>100</v>
      </c>
      <c r="AD735" s="4"/>
      <c r="AE735" s="4"/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142</v>
      </c>
      <c r="BK735" s="8">
        <v>7049.86</v>
      </c>
      <c r="BL735" s="2" t="s">
        <v>2834</v>
      </c>
      <c r="BM735" s="7"/>
      <c r="BN735" s="7"/>
      <c r="BO735" s="4"/>
      <c r="BP735" s="8"/>
      <c r="BQ735" s="4"/>
      <c r="BR735" s="8"/>
      <c r="BS735" s="7"/>
      <c r="BT735" s="7"/>
      <c r="BU735" s="2" t="s">
        <v>147</v>
      </c>
      <c r="BV735" s="2" t="s">
        <v>97</v>
      </c>
      <c r="BW735" s="2" t="s">
        <v>100</v>
      </c>
      <c r="BX735" s="2" t="s">
        <v>100</v>
      </c>
      <c r="BY735" s="2" t="s">
        <v>112</v>
      </c>
      <c r="BZ735" s="2" t="s">
        <v>100</v>
      </c>
    </row>
    <row r="736">
      <c r="A736" s="2" t="s">
        <v>2835</v>
      </c>
      <c r="B736" s="2" t="s">
        <v>87</v>
      </c>
      <c r="C736" s="2" t="s">
        <v>88</v>
      </c>
      <c r="D736" s="2" t="s">
        <v>2308</v>
      </c>
      <c r="E736" s="2" t="s">
        <v>2641</v>
      </c>
      <c r="F736" s="2" t="s">
        <v>2829</v>
      </c>
      <c r="G736" s="2" t="s">
        <v>2830</v>
      </c>
      <c r="H736" s="2" t="s">
        <v>2831</v>
      </c>
      <c r="I736" s="2" t="s">
        <v>2705</v>
      </c>
      <c r="J736" s="2" t="s">
        <v>850</v>
      </c>
      <c r="K736" s="2" t="s">
        <v>323</v>
      </c>
      <c r="L736" s="3">
        <v>63.7</v>
      </c>
      <c r="M736" s="3">
        <v>66.88</v>
      </c>
      <c r="N736" s="3">
        <v>129.99</v>
      </c>
      <c r="O736" s="2" t="s">
        <v>97</v>
      </c>
      <c r="P736" s="2" t="s">
        <v>198</v>
      </c>
      <c r="Q736" s="2" t="s">
        <v>99</v>
      </c>
      <c r="R736" s="2" t="s">
        <v>100</v>
      </c>
      <c r="S736" s="2" t="s">
        <v>2832</v>
      </c>
      <c r="T736" s="2" t="s">
        <v>100</v>
      </c>
      <c r="U736" s="2" t="s">
        <v>490</v>
      </c>
      <c r="V736" s="2" t="s">
        <v>1364</v>
      </c>
      <c r="W736" s="2" t="s">
        <v>104</v>
      </c>
      <c r="X736" s="2" t="s">
        <v>2833</v>
      </c>
      <c r="Y736" s="2" t="s">
        <v>106</v>
      </c>
      <c r="Z736" s="4">
        <v>152</v>
      </c>
      <c r="AA736" s="4">
        <f>=ROUNDDOWN(19,0)</f>
      </c>
      <c r="AB736" s="5">
        <v>8</v>
      </c>
      <c r="AC736" s="2" t="s">
        <v>100</v>
      </c>
      <c r="AD736" s="4"/>
      <c r="AE736" s="4"/>
      <c r="AF736" s="6">
        <v>65</v>
      </c>
      <c r="AG736" s="6">
        <v>48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568</v>
      </c>
      <c r="BK736" s="8">
        <v>24213.65</v>
      </c>
      <c r="BL736" s="2" t="s">
        <v>2836</v>
      </c>
      <c r="BM736" s="7"/>
      <c r="BN736" s="7"/>
      <c r="BO736" s="4"/>
      <c r="BP736" s="8"/>
      <c r="BQ736" s="4"/>
      <c r="BR736" s="8"/>
      <c r="BS736" s="7"/>
      <c r="BT736" s="7"/>
      <c r="BU736" s="2" t="s">
        <v>147</v>
      </c>
      <c r="BV736" s="2" t="s">
        <v>97</v>
      </c>
      <c r="BW736" s="2" t="s">
        <v>100</v>
      </c>
      <c r="BX736" s="2" t="s">
        <v>100</v>
      </c>
      <c r="BY736" s="2" t="s">
        <v>112</v>
      </c>
      <c r="BZ736" s="2" t="s">
        <v>100</v>
      </c>
    </row>
    <row r="737">
      <c r="A737" s="2" t="s">
        <v>2837</v>
      </c>
      <c r="B737" s="2" t="s">
        <v>87</v>
      </c>
      <c r="C737" s="2" t="s">
        <v>88</v>
      </c>
      <c r="D737" s="2" t="s">
        <v>2308</v>
      </c>
      <c r="E737" s="2" t="s">
        <v>2641</v>
      </c>
      <c r="F737" s="2" t="s">
        <v>483</v>
      </c>
      <c r="G737" s="2" t="s">
        <v>484</v>
      </c>
      <c r="H737" s="2" t="s">
        <v>485</v>
      </c>
      <c r="I737" s="2" t="s">
        <v>2838</v>
      </c>
      <c r="J737" s="2" t="s">
        <v>844</v>
      </c>
      <c r="K737" s="2" t="s">
        <v>267</v>
      </c>
      <c r="L737" s="3">
        <v>59.99</v>
      </c>
      <c r="M737" s="3">
        <v>62.99</v>
      </c>
      <c r="N737" s="3">
        <v>119.99</v>
      </c>
      <c r="O737" s="2" t="s">
        <v>97</v>
      </c>
      <c r="P737" s="2" t="s">
        <v>182</v>
      </c>
      <c r="Q737" s="2" t="s">
        <v>99</v>
      </c>
      <c r="R737" s="2" t="s">
        <v>100</v>
      </c>
      <c r="S737" s="2" t="s">
        <v>526</v>
      </c>
      <c r="T737" s="2" t="s">
        <v>100</v>
      </c>
      <c r="U737" s="2" t="s">
        <v>490</v>
      </c>
      <c r="V737" s="2" t="s">
        <v>491</v>
      </c>
      <c r="W737" s="2" t="s">
        <v>104</v>
      </c>
      <c r="X737" s="2" t="s">
        <v>492</v>
      </c>
      <c r="Y737" s="2" t="s">
        <v>106</v>
      </c>
      <c r="Z737" s="4">
        <v>529</v>
      </c>
      <c r="AA737" s="4">
        <f>=ROUNDDOWN(44.0833333333333,0)</f>
      </c>
      <c r="AB737" s="5">
        <v>12</v>
      </c>
      <c r="AC737" s="2" t="s">
        <v>100</v>
      </c>
      <c r="AD737" s="4"/>
      <c r="AE737" s="4"/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178</v>
      </c>
      <c r="BK737" s="8">
        <v>11266.2</v>
      </c>
      <c r="BL737" s="2" t="s">
        <v>331</v>
      </c>
      <c r="BM737" s="7"/>
      <c r="BN737" s="7"/>
      <c r="BO737" s="4"/>
      <c r="BP737" s="8"/>
      <c r="BQ737" s="4"/>
      <c r="BR737" s="8"/>
      <c r="BS737" s="7"/>
      <c r="BT737" s="7"/>
      <c r="BU737" s="2" t="s">
        <v>147</v>
      </c>
      <c r="BV737" s="2" t="s">
        <v>97</v>
      </c>
      <c r="BW737" s="2" t="s">
        <v>100</v>
      </c>
      <c r="BX737" s="2" t="s">
        <v>100</v>
      </c>
      <c r="BY737" s="2" t="s">
        <v>112</v>
      </c>
      <c r="BZ737" s="2" t="s">
        <v>100</v>
      </c>
    </row>
    <row r="738">
      <c r="A738" s="2" t="s">
        <v>2839</v>
      </c>
      <c r="B738" s="2" t="s">
        <v>87</v>
      </c>
      <c r="C738" s="2" t="s">
        <v>88</v>
      </c>
      <c r="D738" s="2" t="s">
        <v>2308</v>
      </c>
      <c r="E738" s="2" t="s">
        <v>2641</v>
      </c>
      <c r="F738" s="2" t="s">
        <v>483</v>
      </c>
      <c r="G738" s="2" t="s">
        <v>484</v>
      </c>
      <c r="H738" s="2" t="s">
        <v>485</v>
      </c>
      <c r="I738" s="2" t="s">
        <v>2838</v>
      </c>
      <c r="J738" s="2" t="s">
        <v>850</v>
      </c>
      <c r="K738" s="2" t="s">
        <v>267</v>
      </c>
      <c r="L738" s="3">
        <v>66.29</v>
      </c>
      <c r="M738" s="3">
        <v>69.61</v>
      </c>
      <c r="N738" s="3">
        <v>129.99</v>
      </c>
      <c r="O738" s="2" t="s">
        <v>97</v>
      </c>
      <c r="P738" s="2" t="s">
        <v>182</v>
      </c>
      <c r="Q738" s="2" t="s">
        <v>99</v>
      </c>
      <c r="R738" s="2" t="s">
        <v>100</v>
      </c>
      <c r="S738" s="2" t="s">
        <v>526</v>
      </c>
      <c r="T738" s="2" t="s">
        <v>100</v>
      </c>
      <c r="U738" s="2" t="s">
        <v>490</v>
      </c>
      <c r="V738" s="2" t="s">
        <v>491</v>
      </c>
      <c r="W738" s="2" t="s">
        <v>104</v>
      </c>
      <c r="X738" s="2" t="s">
        <v>492</v>
      </c>
      <c r="Y738" s="2" t="s">
        <v>106</v>
      </c>
      <c r="Z738" s="4">
        <v>636</v>
      </c>
      <c r="AA738" s="4">
        <f>=ROUNDDOWN(45.4285714285714,0)</f>
      </c>
      <c r="AB738" s="5">
        <v>14</v>
      </c>
      <c r="AC738" s="2" t="s">
        <v>100</v>
      </c>
      <c r="AD738" s="4"/>
      <c r="AE738" s="4"/>
      <c r="AF738" s="6">
        <v>65</v>
      </c>
      <c r="AG738" s="6">
        <v>73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213</v>
      </c>
      <c r="BK738" s="8">
        <v>14641.96</v>
      </c>
      <c r="BL738" s="2" t="s">
        <v>1960</v>
      </c>
      <c r="BM738" s="7"/>
      <c r="BN738" s="7"/>
      <c r="BO738" s="4"/>
      <c r="BP738" s="8"/>
      <c r="BQ738" s="4"/>
      <c r="BR738" s="8"/>
      <c r="BS738" s="7"/>
      <c r="BT738" s="7"/>
      <c r="BU738" s="2" t="s">
        <v>147</v>
      </c>
      <c r="BV738" s="2" t="s">
        <v>97</v>
      </c>
      <c r="BW738" s="2" t="s">
        <v>100</v>
      </c>
      <c r="BX738" s="2" t="s">
        <v>100</v>
      </c>
      <c r="BY738" s="2" t="s">
        <v>112</v>
      </c>
      <c r="BZ738" s="2" t="s">
        <v>100</v>
      </c>
    </row>
    <row r="739">
      <c r="A739" s="2" t="s">
        <v>2840</v>
      </c>
      <c r="B739" s="2" t="s">
        <v>87</v>
      </c>
      <c r="C739" s="2" t="s">
        <v>88</v>
      </c>
      <c r="D739" s="2" t="s">
        <v>2308</v>
      </c>
      <c r="E739" s="2" t="s">
        <v>2641</v>
      </c>
      <c r="F739" s="2" t="s">
        <v>483</v>
      </c>
      <c r="G739" s="2" t="s">
        <v>484</v>
      </c>
      <c r="H739" s="2" t="s">
        <v>485</v>
      </c>
      <c r="I739" s="2" t="s">
        <v>2838</v>
      </c>
      <c r="J739" s="2" t="s">
        <v>844</v>
      </c>
      <c r="K739" s="2" t="s">
        <v>488</v>
      </c>
      <c r="L739" s="3">
        <v>59.99</v>
      </c>
      <c r="M739" s="3">
        <v>62.99</v>
      </c>
      <c r="N739" s="3">
        <v>119.99</v>
      </c>
      <c r="O739" s="2" t="s">
        <v>97</v>
      </c>
      <c r="P739" s="2" t="s">
        <v>182</v>
      </c>
      <c r="Q739" s="2" t="s">
        <v>99</v>
      </c>
      <c r="R739" s="2" t="s">
        <v>100</v>
      </c>
      <c r="S739" s="2" t="s">
        <v>489</v>
      </c>
      <c r="T739" s="2" t="s">
        <v>100</v>
      </c>
      <c r="U739" s="2" t="s">
        <v>490</v>
      </c>
      <c r="V739" s="2" t="s">
        <v>491</v>
      </c>
      <c r="W739" s="2" t="s">
        <v>104</v>
      </c>
      <c r="X739" s="2" t="s">
        <v>492</v>
      </c>
      <c r="Y739" s="2" t="s">
        <v>2841</v>
      </c>
      <c r="Z739" s="4">
        <v>373</v>
      </c>
      <c r="AA739" s="4">
        <f>=ROUNDDOWN(21.9411764705882,0)</f>
      </c>
      <c r="AB739" s="5">
        <v>17</v>
      </c>
      <c r="AC739" s="2" t="s">
        <v>792</v>
      </c>
      <c r="AD739" s="4">
        <v>50</v>
      </c>
      <c r="AE739" s="4">
        <v>350</v>
      </c>
      <c r="AF739" s="6">
        <v>65</v>
      </c>
      <c r="AG739" s="6">
        <v>73</v>
      </c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386</v>
      </c>
      <c r="BK739" s="8">
        <v>25664.75</v>
      </c>
      <c r="BL739" s="2" t="s">
        <v>2842</v>
      </c>
      <c r="BM739" s="7"/>
      <c r="BN739" s="7"/>
      <c r="BO739" s="4"/>
      <c r="BP739" s="8"/>
      <c r="BQ739" s="4"/>
      <c r="BR739" s="8"/>
      <c r="BS739" s="7"/>
      <c r="BT739" s="7"/>
      <c r="BU739" s="2" t="s">
        <v>147</v>
      </c>
      <c r="BV739" s="2" t="s">
        <v>97</v>
      </c>
      <c r="BW739" s="2" t="s">
        <v>100</v>
      </c>
      <c r="BX739" s="2" t="s">
        <v>100</v>
      </c>
      <c r="BY739" s="2" t="s">
        <v>112</v>
      </c>
      <c r="BZ739" s="2" t="s">
        <v>100</v>
      </c>
    </row>
    <row r="740">
      <c r="A740" s="2" t="s">
        <v>2843</v>
      </c>
      <c r="B740" s="2" t="s">
        <v>87</v>
      </c>
      <c r="C740" s="2" t="s">
        <v>88</v>
      </c>
      <c r="D740" s="2" t="s">
        <v>2308</v>
      </c>
      <c r="E740" s="2" t="s">
        <v>2641</v>
      </c>
      <c r="F740" s="2" t="s">
        <v>483</v>
      </c>
      <c r="G740" s="2" t="s">
        <v>484</v>
      </c>
      <c r="H740" s="2" t="s">
        <v>485</v>
      </c>
      <c r="I740" s="2" t="s">
        <v>2838</v>
      </c>
      <c r="J740" s="2" t="s">
        <v>850</v>
      </c>
      <c r="K740" s="2" t="s">
        <v>488</v>
      </c>
      <c r="L740" s="3">
        <v>66.29</v>
      </c>
      <c r="M740" s="3">
        <v>69.61</v>
      </c>
      <c r="N740" s="3">
        <v>129.99</v>
      </c>
      <c r="O740" s="2" t="s">
        <v>97</v>
      </c>
      <c r="P740" s="2" t="s">
        <v>182</v>
      </c>
      <c r="Q740" s="2" t="s">
        <v>99</v>
      </c>
      <c r="R740" s="2" t="s">
        <v>100</v>
      </c>
      <c r="S740" s="2" t="s">
        <v>489</v>
      </c>
      <c r="T740" s="2" t="s">
        <v>100</v>
      </c>
      <c r="U740" s="2" t="s">
        <v>490</v>
      </c>
      <c r="V740" s="2" t="s">
        <v>491</v>
      </c>
      <c r="W740" s="2" t="s">
        <v>104</v>
      </c>
      <c r="X740" s="2" t="s">
        <v>492</v>
      </c>
      <c r="Y740" s="2" t="s">
        <v>2841</v>
      </c>
      <c r="Z740" s="4">
        <v>589</v>
      </c>
      <c r="AA740" s="4">
        <f>=ROUNDDOWN(31,0)</f>
      </c>
      <c r="AB740" s="5">
        <v>19</v>
      </c>
      <c r="AC740" s="2" t="s">
        <v>100</v>
      </c>
      <c r="AD740" s="4"/>
      <c r="AE740" s="4"/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353</v>
      </c>
      <c r="BK740" s="8">
        <v>25048.43</v>
      </c>
      <c r="BL740" s="2" t="s">
        <v>2844</v>
      </c>
      <c r="BM740" s="7"/>
      <c r="BN740" s="7"/>
      <c r="BO740" s="4"/>
      <c r="BP740" s="8"/>
      <c r="BQ740" s="4"/>
      <c r="BR740" s="8"/>
      <c r="BS740" s="7"/>
      <c r="BT740" s="7"/>
      <c r="BU740" s="2" t="s">
        <v>147</v>
      </c>
      <c r="BV740" s="2" t="s">
        <v>97</v>
      </c>
      <c r="BW740" s="2" t="s">
        <v>100</v>
      </c>
      <c r="BX740" s="2" t="s">
        <v>100</v>
      </c>
      <c r="BY740" s="2" t="s">
        <v>112</v>
      </c>
      <c r="BZ740" s="2" t="s">
        <v>100</v>
      </c>
    </row>
    <row r="741">
      <c r="A741" s="2" t="s">
        <v>2845</v>
      </c>
      <c r="B741" s="2" t="s">
        <v>87</v>
      </c>
      <c r="C741" s="2" t="s">
        <v>88</v>
      </c>
      <c r="D741" s="2" t="s">
        <v>2308</v>
      </c>
      <c r="E741" s="2" t="s">
        <v>2641</v>
      </c>
      <c r="F741" s="2" t="s">
        <v>483</v>
      </c>
      <c r="G741" s="2" t="s">
        <v>484</v>
      </c>
      <c r="H741" s="2" t="s">
        <v>485</v>
      </c>
      <c r="I741" s="2" t="s">
        <v>2838</v>
      </c>
      <c r="J741" s="2" t="s">
        <v>844</v>
      </c>
      <c r="K741" s="2" t="s">
        <v>536</v>
      </c>
      <c r="L741" s="3">
        <v>59.99</v>
      </c>
      <c r="M741" s="3">
        <v>62.99</v>
      </c>
      <c r="N741" s="3">
        <v>119.99</v>
      </c>
      <c r="O741" s="2" t="s">
        <v>97</v>
      </c>
      <c r="P741" s="2" t="s">
        <v>182</v>
      </c>
      <c r="Q741" s="2" t="s">
        <v>99</v>
      </c>
      <c r="R741" s="2" t="s">
        <v>100</v>
      </c>
      <c r="S741" s="2" t="s">
        <v>537</v>
      </c>
      <c r="T741" s="2" t="s">
        <v>100</v>
      </c>
      <c r="U741" s="2" t="s">
        <v>490</v>
      </c>
      <c r="V741" s="2" t="s">
        <v>491</v>
      </c>
      <c r="W741" s="2" t="s">
        <v>104</v>
      </c>
      <c r="X741" s="2" t="s">
        <v>492</v>
      </c>
      <c r="Y741" s="2" t="s">
        <v>873</v>
      </c>
      <c r="Z741" s="4">
        <v>468</v>
      </c>
      <c r="AA741" s="4">
        <f>=ROUNDDOWN(29.25,0)</f>
      </c>
      <c r="AB741" s="5">
        <v>16</v>
      </c>
      <c r="AC741" s="2" t="s">
        <v>2846</v>
      </c>
      <c r="AD741" s="4">
        <v>30</v>
      </c>
      <c r="AE741" s="4">
        <v>30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259</v>
      </c>
      <c r="BK741" s="8">
        <v>16349.86</v>
      </c>
      <c r="BL741" s="2" t="s">
        <v>2847</v>
      </c>
      <c r="BM741" s="7"/>
      <c r="BN741" s="7"/>
      <c r="BO741" s="4"/>
      <c r="BP741" s="8"/>
      <c r="BQ741" s="4"/>
      <c r="BR741" s="8"/>
      <c r="BS741" s="7"/>
      <c r="BT741" s="7"/>
      <c r="BU741" s="2" t="s">
        <v>147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2848</v>
      </c>
      <c r="B742" s="2" t="s">
        <v>87</v>
      </c>
      <c r="C742" s="2" t="s">
        <v>88</v>
      </c>
      <c r="D742" s="2" t="s">
        <v>2308</v>
      </c>
      <c r="E742" s="2" t="s">
        <v>2641</v>
      </c>
      <c r="F742" s="2" t="s">
        <v>483</v>
      </c>
      <c r="G742" s="2" t="s">
        <v>484</v>
      </c>
      <c r="H742" s="2" t="s">
        <v>485</v>
      </c>
      <c r="I742" s="2" t="s">
        <v>2838</v>
      </c>
      <c r="J742" s="2" t="s">
        <v>850</v>
      </c>
      <c r="K742" s="2" t="s">
        <v>536</v>
      </c>
      <c r="L742" s="3">
        <v>66.29</v>
      </c>
      <c r="M742" s="3">
        <v>69.61</v>
      </c>
      <c r="N742" s="3">
        <v>129.99</v>
      </c>
      <c r="O742" s="2" t="s">
        <v>97</v>
      </c>
      <c r="P742" s="2" t="s">
        <v>182</v>
      </c>
      <c r="Q742" s="2" t="s">
        <v>99</v>
      </c>
      <c r="R742" s="2" t="s">
        <v>100</v>
      </c>
      <c r="S742" s="2" t="s">
        <v>537</v>
      </c>
      <c r="T742" s="2" t="s">
        <v>100</v>
      </c>
      <c r="U742" s="2" t="s">
        <v>490</v>
      </c>
      <c r="V742" s="2" t="s">
        <v>491</v>
      </c>
      <c r="W742" s="2" t="s">
        <v>104</v>
      </c>
      <c r="X742" s="2" t="s">
        <v>492</v>
      </c>
      <c r="Y742" s="2" t="s">
        <v>106</v>
      </c>
      <c r="Z742" s="4">
        <v>552</v>
      </c>
      <c r="AA742" s="4">
        <f>=ROUNDDOWN(32.4705882352941,0)</f>
      </c>
      <c r="AB742" s="5">
        <v>17</v>
      </c>
      <c r="AC742" s="2" t="s">
        <v>792</v>
      </c>
      <c r="AD742" s="4">
        <v>50</v>
      </c>
      <c r="AE742" s="4">
        <v>50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269</v>
      </c>
      <c r="BK742" s="8">
        <v>18540.02</v>
      </c>
      <c r="BL742" s="2" t="s">
        <v>2087</v>
      </c>
      <c r="BM742" s="7"/>
      <c r="BN742" s="7"/>
      <c r="BO742" s="4"/>
      <c r="BP742" s="8"/>
      <c r="BQ742" s="4"/>
      <c r="BR742" s="8"/>
      <c r="BS742" s="7"/>
      <c r="BT742" s="7"/>
      <c r="BU742" s="2" t="s">
        <v>147</v>
      </c>
      <c r="BV742" s="2" t="s">
        <v>97</v>
      </c>
      <c r="BW742" s="2" t="s">
        <v>100</v>
      </c>
      <c r="BX742" s="2" t="s">
        <v>100</v>
      </c>
      <c r="BY742" s="2" t="s">
        <v>112</v>
      </c>
      <c r="BZ742" s="2" t="s">
        <v>100</v>
      </c>
    </row>
    <row r="743">
      <c r="A743" s="2" t="s">
        <v>2849</v>
      </c>
      <c r="B743" s="2" t="s">
        <v>87</v>
      </c>
      <c r="C743" s="2" t="s">
        <v>88</v>
      </c>
      <c r="D743" s="2" t="s">
        <v>2308</v>
      </c>
      <c r="E743" s="2" t="s">
        <v>2641</v>
      </c>
      <c r="F743" s="2" t="s">
        <v>483</v>
      </c>
      <c r="G743" s="2" t="s">
        <v>484</v>
      </c>
      <c r="H743" s="2" t="s">
        <v>485</v>
      </c>
      <c r="I743" s="2" t="s">
        <v>2838</v>
      </c>
      <c r="J743" s="2" t="s">
        <v>844</v>
      </c>
      <c r="K743" s="2" t="s">
        <v>510</v>
      </c>
      <c r="L743" s="3">
        <v>59.99</v>
      </c>
      <c r="M743" s="3">
        <v>62.99</v>
      </c>
      <c r="N743" s="3">
        <v>119.99</v>
      </c>
      <c r="O743" s="2" t="s">
        <v>97</v>
      </c>
      <c r="P743" s="2" t="s">
        <v>182</v>
      </c>
      <c r="Q743" s="2" t="s">
        <v>99</v>
      </c>
      <c r="R743" s="2" t="s">
        <v>100</v>
      </c>
      <c r="S743" s="2" t="s">
        <v>2850</v>
      </c>
      <c r="T743" s="2" t="s">
        <v>100</v>
      </c>
      <c r="U743" s="2" t="s">
        <v>490</v>
      </c>
      <c r="V743" s="2" t="s">
        <v>491</v>
      </c>
      <c r="W743" s="2" t="s">
        <v>104</v>
      </c>
      <c r="X743" s="2" t="s">
        <v>492</v>
      </c>
      <c r="Y743" s="2" t="s">
        <v>106</v>
      </c>
      <c r="Z743" s="4">
        <v>596</v>
      </c>
      <c r="AA743" s="4">
        <f>=ROUNDDOWN(49.6666666666667,0)</f>
      </c>
      <c r="AB743" s="5">
        <v>12</v>
      </c>
      <c r="AC743" s="2" t="s">
        <v>100</v>
      </c>
      <c r="AD743" s="4"/>
      <c r="AE743" s="4"/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177</v>
      </c>
      <c r="BK743" s="8">
        <v>11641.25</v>
      </c>
      <c r="BL743" s="2" t="s">
        <v>2851</v>
      </c>
      <c r="BM743" s="7"/>
      <c r="BN743" s="7"/>
      <c r="BO743" s="4"/>
      <c r="BP743" s="8"/>
      <c r="BQ743" s="4"/>
      <c r="BR743" s="8"/>
      <c r="BS743" s="7"/>
      <c r="BT743" s="7"/>
      <c r="BU743" s="2" t="s">
        <v>147</v>
      </c>
      <c r="BV743" s="2" t="s">
        <v>97</v>
      </c>
      <c r="BW743" s="2" t="s">
        <v>100</v>
      </c>
      <c r="BX743" s="2" t="s">
        <v>100</v>
      </c>
      <c r="BY743" s="2" t="s">
        <v>112</v>
      </c>
      <c r="BZ743" s="2" t="s">
        <v>100</v>
      </c>
    </row>
    <row r="744">
      <c r="A744" s="2" t="s">
        <v>2852</v>
      </c>
      <c r="B744" s="2" t="s">
        <v>87</v>
      </c>
      <c r="C744" s="2" t="s">
        <v>88</v>
      </c>
      <c r="D744" s="2" t="s">
        <v>2308</v>
      </c>
      <c r="E744" s="2" t="s">
        <v>2641</v>
      </c>
      <c r="F744" s="2" t="s">
        <v>483</v>
      </c>
      <c r="G744" s="2" t="s">
        <v>484</v>
      </c>
      <c r="H744" s="2" t="s">
        <v>485</v>
      </c>
      <c r="I744" s="2" t="s">
        <v>2838</v>
      </c>
      <c r="J744" s="2" t="s">
        <v>850</v>
      </c>
      <c r="K744" s="2" t="s">
        <v>510</v>
      </c>
      <c r="L744" s="3">
        <v>66.29</v>
      </c>
      <c r="M744" s="3">
        <v>69.61</v>
      </c>
      <c r="N744" s="3">
        <v>129.99</v>
      </c>
      <c r="O744" s="2" t="s">
        <v>97</v>
      </c>
      <c r="P744" s="2" t="s">
        <v>182</v>
      </c>
      <c r="Q744" s="2" t="s">
        <v>99</v>
      </c>
      <c r="R744" s="2" t="s">
        <v>100</v>
      </c>
      <c r="S744" s="2" t="s">
        <v>2850</v>
      </c>
      <c r="T744" s="2" t="s">
        <v>100</v>
      </c>
      <c r="U744" s="2" t="s">
        <v>490</v>
      </c>
      <c r="V744" s="2" t="s">
        <v>491</v>
      </c>
      <c r="W744" s="2" t="s">
        <v>104</v>
      </c>
      <c r="X744" s="2" t="s">
        <v>492</v>
      </c>
      <c r="Y744" s="2" t="s">
        <v>106</v>
      </c>
      <c r="Z744" s="4">
        <v>568</v>
      </c>
      <c r="AA744" s="4">
        <f>=ROUNDDOWN(37.8666666666667,0)</f>
      </c>
      <c r="AB744" s="5">
        <v>15</v>
      </c>
      <c r="AC744" s="2" t="s">
        <v>100</v>
      </c>
      <c r="AD744" s="4"/>
      <c r="AE744" s="4"/>
      <c r="AF744" s="6">
        <v>65</v>
      </c>
      <c r="AG744" s="6">
        <v>73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223</v>
      </c>
      <c r="BK744" s="8">
        <v>15899.1</v>
      </c>
      <c r="BL744" s="2" t="s">
        <v>1868</v>
      </c>
      <c r="BM744" s="7"/>
      <c r="BN744" s="7"/>
      <c r="BO744" s="4"/>
      <c r="BP744" s="8"/>
      <c r="BQ744" s="4"/>
      <c r="BR744" s="8"/>
      <c r="BS744" s="7"/>
      <c r="BT744" s="7"/>
      <c r="BU744" s="2" t="s">
        <v>147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2853</v>
      </c>
      <c r="B745" s="2" t="s">
        <v>87</v>
      </c>
      <c r="C745" s="2" t="s">
        <v>88</v>
      </c>
      <c r="D745" s="2" t="s">
        <v>2308</v>
      </c>
      <c r="E745" s="2" t="s">
        <v>2641</v>
      </c>
      <c r="F745" s="2" t="s">
        <v>1705</v>
      </c>
      <c r="G745" s="2" t="s">
        <v>1706</v>
      </c>
      <c r="H745" s="2" t="s">
        <v>1707</v>
      </c>
      <c r="I745" s="2" t="s">
        <v>2854</v>
      </c>
      <c r="J745" s="2" t="s">
        <v>844</v>
      </c>
      <c r="K745" s="2" t="s">
        <v>713</v>
      </c>
      <c r="L745" s="3">
        <v>59.8</v>
      </c>
      <c r="M745" s="3">
        <v>62.79</v>
      </c>
      <c r="N745" s="3">
        <v>129.99</v>
      </c>
      <c r="O745" s="2" t="s">
        <v>97</v>
      </c>
      <c r="P745" s="2" t="s">
        <v>198</v>
      </c>
      <c r="Q745" s="2" t="s">
        <v>99</v>
      </c>
      <c r="R745" s="2" t="s">
        <v>100</v>
      </c>
      <c r="S745" s="2" t="s">
        <v>1709</v>
      </c>
      <c r="T745" s="2" t="s">
        <v>100</v>
      </c>
      <c r="U745" s="2" t="s">
        <v>490</v>
      </c>
      <c r="V745" s="2" t="s">
        <v>455</v>
      </c>
      <c r="W745" s="2" t="s">
        <v>1530</v>
      </c>
      <c r="X745" s="2" t="s">
        <v>201</v>
      </c>
      <c r="Y745" s="2" t="s">
        <v>1322</v>
      </c>
      <c r="Z745" s="4">
        <v>28</v>
      </c>
      <c r="AA745" s="4">
        <f>=ROUNDDOWN(0.958904109589041,0)</f>
      </c>
      <c r="AB745" s="5">
        <v>29.2</v>
      </c>
      <c r="AC745" s="2" t="s">
        <v>100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245</v>
      </c>
      <c r="BK745" s="8">
        <v>9269.91</v>
      </c>
      <c r="BL745" s="2" t="s">
        <v>2855</v>
      </c>
      <c r="BM745" s="7"/>
      <c r="BN745" s="7"/>
      <c r="BO745" s="4"/>
      <c r="BP745" s="8"/>
      <c r="BQ745" s="4"/>
      <c r="BR745" s="8"/>
      <c r="BS745" s="7"/>
      <c r="BT745" s="7"/>
      <c r="BU745" s="2" t="s">
        <v>147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2856</v>
      </c>
      <c r="B746" s="2" t="s">
        <v>87</v>
      </c>
      <c r="C746" s="2" t="s">
        <v>88</v>
      </c>
      <c r="D746" s="2" t="s">
        <v>2308</v>
      </c>
      <c r="E746" s="2" t="s">
        <v>2641</v>
      </c>
      <c r="F746" s="2" t="s">
        <v>1705</v>
      </c>
      <c r="G746" s="2" t="s">
        <v>1706</v>
      </c>
      <c r="H746" s="2" t="s">
        <v>1707</v>
      </c>
      <c r="I746" s="2" t="s">
        <v>2854</v>
      </c>
      <c r="J746" s="2" t="s">
        <v>850</v>
      </c>
      <c r="K746" s="2" t="s">
        <v>713</v>
      </c>
      <c r="L746" s="3">
        <v>64.4</v>
      </c>
      <c r="M746" s="3">
        <v>67.62</v>
      </c>
      <c r="N746" s="3">
        <v>139.99</v>
      </c>
      <c r="O746" s="2" t="s">
        <v>97</v>
      </c>
      <c r="P746" s="2" t="s">
        <v>198</v>
      </c>
      <c r="Q746" s="2" t="s">
        <v>99</v>
      </c>
      <c r="R746" s="2" t="s">
        <v>100</v>
      </c>
      <c r="S746" s="2" t="s">
        <v>1709</v>
      </c>
      <c r="T746" s="2" t="s">
        <v>100</v>
      </c>
      <c r="U746" s="2" t="s">
        <v>490</v>
      </c>
      <c r="V746" s="2" t="s">
        <v>455</v>
      </c>
      <c r="W746" s="2" t="s">
        <v>1530</v>
      </c>
      <c r="X746" s="2" t="s">
        <v>201</v>
      </c>
      <c r="Y746" s="2" t="s">
        <v>1322</v>
      </c>
      <c r="Z746" s="4"/>
      <c r="AA746" s="4">
        <f>=ROUNDDOWN({0},0)</f>
      </c>
      <c r="AB746" s="5">
        <v>40.1</v>
      </c>
      <c r="AC746" s="2" t="s">
        <v>100</v>
      </c>
      <c r="AD746" s="4"/>
      <c r="AE746" s="4"/>
      <c r="AF746" s="6">
        <v>64</v>
      </c>
      <c r="AG746" s="6"/>
      <c r="AH746" s="7">
        <v>0.9758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385</v>
      </c>
      <c r="BK746" s="8">
        <v>17926.15</v>
      </c>
      <c r="BL746" s="2" t="s">
        <v>2857</v>
      </c>
      <c r="BM746" s="7"/>
      <c r="BN746" s="7"/>
      <c r="BO746" s="4"/>
      <c r="BP746" s="8"/>
      <c r="BQ746" s="4"/>
      <c r="BR746" s="8"/>
      <c r="BS746" s="7"/>
      <c r="BT746" s="7"/>
      <c r="BU746" s="2" t="s">
        <v>147</v>
      </c>
      <c r="BV746" s="2" t="s">
        <v>97</v>
      </c>
      <c r="BW746" s="2" t="s">
        <v>100</v>
      </c>
      <c r="BX746" s="2" t="s">
        <v>100</v>
      </c>
      <c r="BY746" s="2" t="s">
        <v>112</v>
      </c>
      <c r="BZ746" s="2" t="s">
        <v>100</v>
      </c>
    </row>
    <row r="747">
      <c r="A747" s="2" t="s">
        <v>2858</v>
      </c>
      <c r="B747" s="2" t="s">
        <v>87</v>
      </c>
      <c r="C747" s="2" t="s">
        <v>88</v>
      </c>
      <c r="D747" s="2" t="s">
        <v>2308</v>
      </c>
      <c r="E747" s="2" t="s">
        <v>2641</v>
      </c>
      <c r="F747" s="2" t="s">
        <v>1716</v>
      </c>
      <c r="G747" s="2" t="s">
        <v>1717</v>
      </c>
      <c r="H747" s="2" t="s">
        <v>1718</v>
      </c>
      <c r="I747" s="2" t="s">
        <v>2859</v>
      </c>
      <c r="J747" s="2" t="s">
        <v>844</v>
      </c>
      <c r="K747" s="2" t="s">
        <v>96</v>
      </c>
      <c r="L747" s="3">
        <v>59.8</v>
      </c>
      <c r="M747" s="3">
        <v>62.79</v>
      </c>
      <c r="N747" s="3">
        <v>129.99</v>
      </c>
      <c r="O747" s="2" t="s">
        <v>97</v>
      </c>
      <c r="P747" s="2" t="s">
        <v>198</v>
      </c>
      <c r="Q747" s="2" t="s">
        <v>99</v>
      </c>
      <c r="R747" s="2" t="s">
        <v>100</v>
      </c>
      <c r="S747" s="2" t="s">
        <v>1720</v>
      </c>
      <c r="T747" s="2" t="s">
        <v>100</v>
      </c>
      <c r="U747" s="2" t="s">
        <v>490</v>
      </c>
      <c r="V747" s="2" t="s">
        <v>491</v>
      </c>
      <c r="W747" s="2" t="s">
        <v>104</v>
      </c>
      <c r="X747" s="2" t="s">
        <v>791</v>
      </c>
      <c r="Y747" s="2" t="s">
        <v>2860</v>
      </c>
      <c r="Z747" s="4">
        <v>157</v>
      </c>
      <c r="AA747" s="4">
        <f>=ROUNDDOWN(22.4285714285714,0)</f>
      </c>
      <c r="AB747" s="5">
        <v>7</v>
      </c>
      <c r="AC747" s="2" t="s">
        <v>874</v>
      </c>
      <c r="AD747" s="4">
        <v>30</v>
      </c>
      <c r="AE747" s="4">
        <v>30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134</v>
      </c>
      <c r="BK747" s="8">
        <v>8569.52</v>
      </c>
      <c r="BL747" s="2" t="s">
        <v>2861</v>
      </c>
      <c r="BM747" s="7"/>
      <c r="BN747" s="7"/>
      <c r="BO747" s="4"/>
      <c r="BP747" s="8"/>
      <c r="BQ747" s="4"/>
      <c r="BR747" s="8"/>
      <c r="BS747" s="7"/>
      <c r="BT747" s="7"/>
      <c r="BU747" s="2" t="s">
        <v>147</v>
      </c>
      <c r="BV747" s="2" t="s">
        <v>97</v>
      </c>
      <c r="BW747" s="2" t="s">
        <v>100</v>
      </c>
      <c r="BX747" s="2" t="s">
        <v>100</v>
      </c>
      <c r="BY747" s="2" t="s">
        <v>112</v>
      </c>
      <c r="BZ747" s="2" t="s">
        <v>100</v>
      </c>
    </row>
    <row r="748">
      <c r="A748" s="2" t="s">
        <v>2862</v>
      </c>
      <c r="B748" s="2" t="s">
        <v>87</v>
      </c>
      <c r="C748" s="2" t="s">
        <v>88</v>
      </c>
      <c r="D748" s="2" t="s">
        <v>2308</v>
      </c>
      <c r="E748" s="2" t="s">
        <v>2641</v>
      </c>
      <c r="F748" s="2" t="s">
        <v>1716</v>
      </c>
      <c r="G748" s="2" t="s">
        <v>1717</v>
      </c>
      <c r="H748" s="2" t="s">
        <v>1718</v>
      </c>
      <c r="I748" s="2" t="s">
        <v>2859</v>
      </c>
      <c r="J748" s="2" t="s">
        <v>850</v>
      </c>
      <c r="K748" s="2" t="s">
        <v>96</v>
      </c>
      <c r="L748" s="3">
        <v>64.4</v>
      </c>
      <c r="M748" s="3">
        <v>67.62</v>
      </c>
      <c r="N748" s="3">
        <v>139.99</v>
      </c>
      <c r="O748" s="2" t="s">
        <v>97</v>
      </c>
      <c r="P748" s="2" t="s">
        <v>198</v>
      </c>
      <c r="Q748" s="2" t="s">
        <v>99</v>
      </c>
      <c r="R748" s="2" t="s">
        <v>100</v>
      </c>
      <c r="S748" s="2" t="s">
        <v>1720</v>
      </c>
      <c r="T748" s="2" t="s">
        <v>100</v>
      </c>
      <c r="U748" s="2" t="s">
        <v>490</v>
      </c>
      <c r="V748" s="2" t="s">
        <v>491</v>
      </c>
      <c r="W748" s="2" t="s">
        <v>104</v>
      </c>
      <c r="X748" s="2" t="s">
        <v>791</v>
      </c>
      <c r="Y748" s="2" t="s">
        <v>2860</v>
      </c>
      <c r="Z748" s="4">
        <v>145</v>
      </c>
      <c r="AA748" s="4">
        <f>=ROUNDDOWN(16.1111111111111,0)</f>
      </c>
      <c r="AB748" s="5">
        <v>9</v>
      </c>
      <c r="AC748" s="2" t="s">
        <v>130</v>
      </c>
      <c r="AD748" s="4">
        <v>30</v>
      </c>
      <c r="AE748" s="4">
        <v>109</v>
      </c>
      <c r="AF748" s="6">
        <v>65</v>
      </c>
      <c r="AG748" s="6">
        <v>73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155</v>
      </c>
      <c r="BK748" s="8">
        <v>10679.69</v>
      </c>
      <c r="BL748" s="2" t="s">
        <v>836</v>
      </c>
      <c r="BM748" s="7"/>
      <c r="BN748" s="7"/>
      <c r="BO748" s="4"/>
      <c r="BP748" s="8"/>
      <c r="BQ748" s="4"/>
      <c r="BR748" s="8"/>
      <c r="BS748" s="7"/>
      <c r="BT748" s="7"/>
      <c r="BU748" s="2" t="s">
        <v>147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100</v>
      </c>
    </row>
    <row r="749">
      <c r="A749" s="2" t="s">
        <v>2863</v>
      </c>
      <c r="B749" s="2" t="s">
        <v>87</v>
      </c>
      <c r="C749" s="2" t="s">
        <v>88</v>
      </c>
      <c r="D749" s="2" t="s">
        <v>2308</v>
      </c>
      <c r="E749" s="2" t="s">
        <v>2641</v>
      </c>
      <c r="F749" s="2" t="s">
        <v>901</v>
      </c>
      <c r="G749" s="2" t="s">
        <v>902</v>
      </c>
      <c r="H749" s="2" t="s">
        <v>903</v>
      </c>
      <c r="I749" s="2" t="s">
        <v>2705</v>
      </c>
      <c r="J749" s="2" t="s">
        <v>844</v>
      </c>
      <c r="K749" s="2" t="s">
        <v>267</v>
      </c>
      <c r="L749" s="3">
        <v>52.92</v>
      </c>
      <c r="M749" s="3">
        <v>55.57</v>
      </c>
      <c r="N749" s="3">
        <v>109.99</v>
      </c>
      <c r="O749" s="2" t="s">
        <v>97</v>
      </c>
      <c r="P749" s="2" t="s">
        <v>182</v>
      </c>
      <c r="Q749" s="2" t="s">
        <v>99</v>
      </c>
      <c r="R749" s="2" t="s">
        <v>100</v>
      </c>
      <c r="S749" s="2" t="s">
        <v>2864</v>
      </c>
      <c r="T749" s="2" t="s">
        <v>184</v>
      </c>
      <c r="U749" s="2" t="s">
        <v>490</v>
      </c>
      <c r="V749" s="2" t="s">
        <v>561</v>
      </c>
      <c r="W749" s="2" t="s">
        <v>906</v>
      </c>
      <c r="X749" s="2" t="s">
        <v>284</v>
      </c>
      <c r="Y749" s="2" t="s">
        <v>922</v>
      </c>
      <c r="Z749" s="4">
        <v>126</v>
      </c>
      <c r="AA749" s="4">
        <f>=ROUNDDOWN(9,0)</f>
      </c>
      <c r="AB749" s="5">
        <v>14</v>
      </c>
      <c r="AC749" s="2" t="s">
        <v>919</v>
      </c>
      <c r="AD749" s="4">
        <v>65</v>
      </c>
      <c r="AE749" s="4">
        <v>315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243</v>
      </c>
      <c r="BK749" s="8">
        <v>14536.34</v>
      </c>
      <c r="BL749" s="2" t="s">
        <v>2865</v>
      </c>
      <c r="BM749" s="7"/>
      <c r="BN749" s="7"/>
      <c r="BO749" s="4"/>
      <c r="BP749" s="8"/>
      <c r="BQ749" s="4"/>
      <c r="BR749" s="8"/>
      <c r="BS749" s="7"/>
      <c r="BT749" s="7"/>
      <c r="BU749" s="2" t="s">
        <v>147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2866</v>
      </c>
      <c r="B750" s="2" t="s">
        <v>87</v>
      </c>
      <c r="C750" s="2" t="s">
        <v>88</v>
      </c>
      <c r="D750" s="2" t="s">
        <v>2308</v>
      </c>
      <c r="E750" s="2" t="s">
        <v>2641</v>
      </c>
      <c r="F750" s="2" t="s">
        <v>901</v>
      </c>
      <c r="G750" s="2" t="s">
        <v>902</v>
      </c>
      <c r="H750" s="2" t="s">
        <v>903</v>
      </c>
      <c r="I750" s="2" t="s">
        <v>2705</v>
      </c>
      <c r="J750" s="2" t="s">
        <v>850</v>
      </c>
      <c r="K750" s="2" t="s">
        <v>267</v>
      </c>
      <c r="L750" s="3">
        <v>57.33</v>
      </c>
      <c r="M750" s="3">
        <v>60.2</v>
      </c>
      <c r="N750" s="3">
        <v>119.99</v>
      </c>
      <c r="O750" s="2" t="s">
        <v>97</v>
      </c>
      <c r="P750" s="2" t="s">
        <v>182</v>
      </c>
      <c r="Q750" s="2" t="s">
        <v>99</v>
      </c>
      <c r="R750" s="2" t="s">
        <v>100</v>
      </c>
      <c r="S750" s="2" t="s">
        <v>2864</v>
      </c>
      <c r="T750" s="2" t="s">
        <v>184</v>
      </c>
      <c r="U750" s="2" t="s">
        <v>490</v>
      </c>
      <c r="V750" s="2" t="s">
        <v>561</v>
      </c>
      <c r="W750" s="2" t="s">
        <v>906</v>
      </c>
      <c r="X750" s="2" t="s">
        <v>284</v>
      </c>
      <c r="Y750" s="2" t="s">
        <v>922</v>
      </c>
      <c r="Z750" s="4">
        <v>180</v>
      </c>
      <c r="AA750" s="4">
        <f>=ROUNDDOWN(12,0)</f>
      </c>
      <c r="AB750" s="5">
        <v>15</v>
      </c>
      <c r="AC750" s="2" t="s">
        <v>356</v>
      </c>
      <c r="AD750" s="4">
        <v>350</v>
      </c>
      <c r="AE750" s="4">
        <v>350</v>
      </c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280</v>
      </c>
      <c r="BK750" s="8">
        <v>18336.57</v>
      </c>
      <c r="BL750" s="2" t="s">
        <v>2867</v>
      </c>
      <c r="BM750" s="7"/>
      <c r="BN750" s="7"/>
      <c r="BO750" s="4"/>
      <c r="BP750" s="8"/>
      <c r="BQ750" s="4"/>
      <c r="BR750" s="8"/>
      <c r="BS750" s="7"/>
      <c r="BT750" s="7"/>
      <c r="BU750" s="2" t="s">
        <v>147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2868</v>
      </c>
      <c r="B751" s="2" t="s">
        <v>87</v>
      </c>
      <c r="C751" s="2" t="s">
        <v>88</v>
      </c>
      <c r="D751" s="2" t="s">
        <v>2308</v>
      </c>
      <c r="E751" s="2" t="s">
        <v>2641</v>
      </c>
      <c r="F751" s="2" t="s">
        <v>901</v>
      </c>
      <c r="G751" s="2" t="s">
        <v>902</v>
      </c>
      <c r="H751" s="2" t="s">
        <v>903</v>
      </c>
      <c r="I751" s="2" t="s">
        <v>2705</v>
      </c>
      <c r="J751" s="2" t="s">
        <v>844</v>
      </c>
      <c r="K751" s="2" t="s">
        <v>158</v>
      </c>
      <c r="L751" s="3">
        <v>52.92</v>
      </c>
      <c r="M751" s="3">
        <v>55.57</v>
      </c>
      <c r="N751" s="3">
        <v>109.99</v>
      </c>
      <c r="O751" s="2" t="s">
        <v>97</v>
      </c>
      <c r="P751" s="2" t="s">
        <v>143</v>
      </c>
      <c r="Q751" s="2" t="s">
        <v>99</v>
      </c>
      <c r="R751" s="2" t="s">
        <v>100</v>
      </c>
      <c r="S751" s="2" t="s">
        <v>2869</v>
      </c>
      <c r="T751" s="2" t="s">
        <v>184</v>
      </c>
      <c r="U751" s="2" t="s">
        <v>490</v>
      </c>
      <c r="V751" s="2" t="s">
        <v>561</v>
      </c>
      <c r="W751" s="2" t="s">
        <v>906</v>
      </c>
      <c r="X751" s="2" t="s">
        <v>907</v>
      </c>
      <c r="Y751" s="2" t="s">
        <v>106</v>
      </c>
      <c r="Z751" s="4">
        <v>510</v>
      </c>
      <c r="AA751" s="4">
        <f>=ROUNDDOWN(7.72727272727273,0)</f>
      </c>
      <c r="AB751" s="5">
        <v>66</v>
      </c>
      <c r="AC751" s="2" t="s">
        <v>356</v>
      </c>
      <c r="AD751" s="4">
        <v>450</v>
      </c>
      <c r="AE751" s="4">
        <v>1430</v>
      </c>
      <c r="AF751" s="6">
        <v>65</v>
      </c>
      <c r="AG751" s="6">
        <v>48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1440</v>
      </c>
      <c r="BK751" s="8">
        <v>88197.15</v>
      </c>
      <c r="BL751" s="2" t="s">
        <v>2870</v>
      </c>
      <c r="BM751" s="7"/>
      <c r="BN751" s="7"/>
      <c r="BO751" s="4"/>
      <c r="BP751" s="8"/>
      <c r="BQ751" s="4"/>
      <c r="BR751" s="8"/>
      <c r="BS751" s="7"/>
      <c r="BT751" s="7"/>
      <c r="BU751" s="2" t="s">
        <v>109</v>
      </c>
      <c r="BV751" s="2" t="s">
        <v>97</v>
      </c>
      <c r="BW751" s="2" t="s">
        <v>580</v>
      </c>
      <c r="BX751" s="2" t="s">
        <v>100</v>
      </c>
      <c r="BY751" s="2" t="s">
        <v>112</v>
      </c>
      <c r="BZ751" s="2" t="s">
        <v>100</v>
      </c>
    </row>
    <row r="752">
      <c r="A752" s="2" t="s">
        <v>2871</v>
      </c>
      <c r="B752" s="2" t="s">
        <v>87</v>
      </c>
      <c r="C752" s="2" t="s">
        <v>88</v>
      </c>
      <c r="D752" s="2" t="s">
        <v>2308</v>
      </c>
      <c r="E752" s="2" t="s">
        <v>2641</v>
      </c>
      <c r="F752" s="2" t="s">
        <v>901</v>
      </c>
      <c r="G752" s="2" t="s">
        <v>902</v>
      </c>
      <c r="H752" s="2" t="s">
        <v>903</v>
      </c>
      <c r="I752" s="2" t="s">
        <v>2705</v>
      </c>
      <c r="J752" s="2" t="s">
        <v>850</v>
      </c>
      <c r="K752" s="2" t="s">
        <v>158</v>
      </c>
      <c r="L752" s="3">
        <v>57.33</v>
      </c>
      <c r="M752" s="3">
        <v>60.2</v>
      </c>
      <c r="N752" s="3">
        <v>119.99</v>
      </c>
      <c r="O752" s="2" t="s">
        <v>97</v>
      </c>
      <c r="P752" s="2" t="s">
        <v>143</v>
      </c>
      <c r="Q752" s="2" t="s">
        <v>99</v>
      </c>
      <c r="R752" s="2" t="s">
        <v>100</v>
      </c>
      <c r="S752" s="2" t="s">
        <v>2869</v>
      </c>
      <c r="T752" s="2" t="s">
        <v>184</v>
      </c>
      <c r="U752" s="2" t="s">
        <v>490</v>
      </c>
      <c r="V752" s="2" t="s">
        <v>561</v>
      </c>
      <c r="W752" s="2" t="s">
        <v>906</v>
      </c>
      <c r="X752" s="2" t="s">
        <v>907</v>
      </c>
      <c r="Y752" s="2" t="s">
        <v>106</v>
      </c>
      <c r="Z752" s="4">
        <v>1329</v>
      </c>
      <c r="AA752" s="4">
        <f>=ROUNDDOWN(18.2054794520548,0)</f>
      </c>
      <c r="AB752" s="5">
        <v>73</v>
      </c>
      <c r="AC752" s="2" t="s">
        <v>909</v>
      </c>
      <c r="AD752" s="4">
        <v>150</v>
      </c>
      <c r="AE752" s="4">
        <v>630</v>
      </c>
      <c r="AF752" s="6">
        <v>65</v>
      </c>
      <c r="AG752" s="6">
        <v>48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1640</v>
      </c>
      <c r="BK752" s="8">
        <v>104391.25</v>
      </c>
      <c r="BL752" s="2" t="s">
        <v>2872</v>
      </c>
      <c r="BM752" s="7"/>
      <c r="BN752" s="7"/>
      <c r="BO752" s="4"/>
      <c r="BP752" s="8"/>
      <c r="BQ752" s="4"/>
      <c r="BR752" s="8"/>
      <c r="BS752" s="7"/>
      <c r="BT752" s="7"/>
      <c r="BU752" s="2" t="s">
        <v>109</v>
      </c>
      <c r="BV752" s="2" t="s">
        <v>97</v>
      </c>
      <c r="BW752" s="2" t="s">
        <v>580</v>
      </c>
      <c r="BX752" s="2" t="s">
        <v>100</v>
      </c>
      <c r="BY752" s="2" t="s">
        <v>112</v>
      </c>
      <c r="BZ752" s="2" t="s">
        <v>100</v>
      </c>
    </row>
    <row r="753">
      <c r="A753" s="2" t="s">
        <v>2873</v>
      </c>
      <c r="B753" s="2" t="s">
        <v>87</v>
      </c>
      <c r="C753" s="2" t="s">
        <v>88</v>
      </c>
      <c r="D753" s="2" t="s">
        <v>2308</v>
      </c>
      <c r="E753" s="2" t="s">
        <v>2641</v>
      </c>
      <c r="F753" s="2" t="s">
        <v>901</v>
      </c>
      <c r="G753" s="2" t="s">
        <v>902</v>
      </c>
      <c r="H753" s="2" t="s">
        <v>903</v>
      </c>
      <c r="I753" s="2" t="s">
        <v>2705</v>
      </c>
      <c r="J753" s="2" t="s">
        <v>844</v>
      </c>
      <c r="K753" s="2" t="s">
        <v>298</v>
      </c>
      <c r="L753" s="3">
        <v>52.92</v>
      </c>
      <c r="M753" s="3">
        <v>55.57</v>
      </c>
      <c r="N753" s="3">
        <v>109.99</v>
      </c>
      <c r="O753" s="2" t="s">
        <v>97</v>
      </c>
      <c r="P753" s="2" t="s">
        <v>182</v>
      </c>
      <c r="Q753" s="2" t="s">
        <v>99</v>
      </c>
      <c r="R753" s="2" t="s">
        <v>100</v>
      </c>
      <c r="S753" s="2" t="s">
        <v>2874</v>
      </c>
      <c r="T753" s="2" t="s">
        <v>184</v>
      </c>
      <c r="U753" s="2" t="s">
        <v>490</v>
      </c>
      <c r="V753" s="2" t="s">
        <v>561</v>
      </c>
      <c r="W753" s="2" t="s">
        <v>906</v>
      </c>
      <c r="X753" s="2" t="s">
        <v>284</v>
      </c>
      <c r="Y753" s="2" t="s">
        <v>922</v>
      </c>
      <c r="Z753" s="4">
        <v>259</v>
      </c>
      <c r="AA753" s="4">
        <f>=ROUNDDOWN(32.375,0)</f>
      </c>
      <c r="AB753" s="5">
        <v>8</v>
      </c>
      <c r="AC753" s="2" t="s">
        <v>100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114</v>
      </c>
      <c r="BK753" s="8">
        <v>6920.69</v>
      </c>
      <c r="BL753" s="2" t="s">
        <v>2865</v>
      </c>
      <c r="BM753" s="7"/>
      <c r="BN753" s="7"/>
      <c r="BO753" s="4"/>
      <c r="BP753" s="8"/>
      <c r="BQ753" s="4"/>
      <c r="BR753" s="8"/>
      <c r="BS753" s="7"/>
      <c r="BT753" s="7"/>
      <c r="BU753" s="2" t="s">
        <v>147</v>
      </c>
      <c r="BV753" s="2" t="s">
        <v>97</v>
      </c>
      <c r="BW753" s="2" t="s">
        <v>100</v>
      </c>
      <c r="BX753" s="2" t="s">
        <v>100</v>
      </c>
      <c r="BY753" s="2" t="s">
        <v>112</v>
      </c>
      <c r="BZ753" s="2" t="s">
        <v>100</v>
      </c>
    </row>
    <row r="754">
      <c r="A754" s="2" t="s">
        <v>2875</v>
      </c>
      <c r="B754" s="2" t="s">
        <v>87</v>
      </c>
      <c r="C754" s="2" t="s">
        <v>88</v>
      </c>
      <c r="D754" s="2" t="s">
        <v>2308</v>
      </c>
      <c r="E754" s="2" t="s">
        <v>2641</v>
      </c>
      <c r="F754" s="2" t="s">
        <v>901</v>
      </c>
      <c r="G754" s="2" t="s">
        <v>902</v>
      </c>
      <c r="H754" s="2" t="s">
        <v>903</v>
      </c>
      <c r="I754" s="2" t="s">
        <v>2705</v>
      </c>
      <c r="J754" s="2" t="s">
        <v>850</v>
      </c>
      <c r="K754" s="2" t="s">
        <v>298</v>
      </c>
      <c r="L754" s="3">
        <v>57.33</v>
      </c>
      <c r="M754" s="3">
        <v>60.2</v>
      </c>
      <c r="N754" s="3">
        <v>119.99</v>
      </c>
      <c r="O754" s="2" t="s">
        <v>97</v>
      </c>
      <c r="P754" s="2" t="s">
        <v>182</v>
      </c>
      <c r="Q754" s="2" t="s">
        <v>99</v>
      </c>
      <c r="R754" s="2" t="s">
        <v>100</v>
      </c>
      <c r="S754" s="2" t="s">
        <v>2874</v>
      </c>
      <c r="T754" s="2" t="s">
        <v>184</v>
      </c>
      <c r="U754" s="2" t="s">
        <v>490</v>
      </c>
      <c r="V754" s="2" t="s">
        <v>561</v>
      </c>
      <c r="W754" s="2" t="s">
        <v>906</v>
      </c>
      <c r="X754" s="2" t="s">
        <v>284</v>
      </c>
      <c r="Y754" s="2" t="s">
        <v>922</v>
      </c>
      <c r="Z754" s="4">
        <v>310</v>
      </c>
      <c r="AA754" s="4">
        <f>=ROUNDDOWN(51.6666666666667,0)</f>
      </c>
      <c r="AB754" s="5">
        <v>6</v>
      </c>
      <c r="AC754" s="2" t="s">
        <v>100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90</v>
      </c>
      <c r="BK754" s="8">
        <v>5934.65</v>
      </c>
      <c r="BL754" s="2" t="s">
        <v>2865</v>
      </c>
      <c r="BM754" s="7"/>
      <c r="BN754" s="7"/>
      <c r="BO754" s="4"/>
      <c r="BP754" s="8"/>
      <c r="BQ754" s="4"/>
      <c r="BR754" s="8"/>
      <c r="BS754" s="7"/>
      <c r="BT754" s="7"/>
      <c r="BU754" s="2" t="s">
        <v>147</v>
      </c>
      <c r="BV754" s="2" t="s">
        <v>97</v>
      </c>
      <c r="BW754" s="2" t="s">
        <v>100</v>
      </c>
      <c r="BX754" s="2" t="s">
        <v>100</v>
      </c>
      <c r="BY754" s="2" t="s">
        <v>112</v>
      </c>
      <c r="BZ754" s="2" t="s">
        <v>100</v>
      </c>
    </row>
    <row r="755">
      <c r="A755" s="2" t="s">
        <v>2876</v>
      </c>
      <c r="B755" s="2" t="s">
        <v>87</v>
      </c>
      <c r="C755" s="2" t="s">
        <v>88</v>
      </c>
      <c r="D755" s="2" t="s">
        <v>2308</v>
      </c>
      <c r="E755" s="2" t="s">
        <v>2641</v>
      </c>
      <c r="F755" s="2" t="s">
        <v>555</v>
      </c>
      <c r="G755" s="2" t="s">
        <v>556</v>
      </c>
      <c r="H755" s="2" t="s">
        <v>557</v>
      </c>
      <c r="I755" s="2" t="s">
        <v>2877</v>
      </c>
      <c r="J755" s="2" t="s">
        <v>844</v>
      </c>
      <c r="K755" s="2" t="s">
        <v>559</v>
      </c>
      <c r="L755" s="3">
        <v>51.83</v>
      </c>
      <c r="M755" s="3">
        <v>54.42</v>
      </c>
      <c r="N755" s="3">
        <v>109.99</v>
      </c>
      <c r="O755" s="2" t="s">
        <v>97</v>
      </c>
      <c r="P755" s="2" t="s">
        <v>182</v>
      </c>
      <c r="Q755" s="2" t="s">
        <v>99</v>
      </c>
      <c r="R755" s="2" t="s">
        <v>100</v>
      </c>
      <c r="S755" s="2" t="s">
        <v>560</v>
      </c>
      <c r="T755" s="2" t="s">
        <v>100</v>
      </c>
      <c r="U755" s="2" t="s">
        <v>490</v>
      </c>
      <c r="V755" s="2" t="s">
        <v>561</v>
      </c>
      <c r="W755" s="2" t="s">
        <v>104</v>
      </c>
      <c r="X755" s="2" t="s">
        <v>562</v>
      </c>
      <c r="Y755" s="2" t="s">
        <v>2878</v>
      </c>
      <c r="Z755" s="4">
        <v>1500</v>
      </c>
      <c r="AA755" s="4">
        <f>=ROUNDDOWN(55.5555555555556,0)</f>
      </c>
      <c r="AB755" s="5">
        <v>27</v>
      </c>
      <c r="AC755" s="2" t="s">
        <v>100</v>
      </c>
      <c r="AD755" s="4"/>
      <c r="AE755" s="4"/>
      <c r="AF755" s="6">
        <v>66</v>
      </c>
      <c r="AG755" s="6">
        <v>49</v>
      </c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373</v>
      </c>
      <c r="BK755" s="8">
        <v>22802.63</v>
      </c>
      <c r="BL755" s="2" t="s">
        <v>2879</v>
      </c>
      <c r="BM755" s="7"/>
      <c r="BN755" s="7"/>
      <c r="BO755" s="4"/>
      <c r="BP755" s="8"/>
      <c r="BQ755" s="4"/>
      <c r="BR755" s="8"/>
      <c r="BS755" s="7"/>
      <c r="BT755" s="7"/>
      <c r="BU755" s="2" t="s">
        <v>109</v>
      </c>
      <c r="BV755" s="2" t="s">
        <v>97</v>
      </c>
      <c r="BW755" s="2" t="s">
        <v>580</v>
      </c>
      <c r="BX755" s="2" t="s">
        <v>100</v>
      </c>
      <c r="BY755" s="2" t="s">
        <v>112</v>
      </c>
      <c r="BZ755" s="2" t="s">
        <v>100</v>
      </c>
    </row>
    <row r="756">
      <c r="A756" s="2" t="s">
        <v>2880</v>
      </c>
      <c r="B756" s="2" t="s">
        <v>87</v>
      </c>
      <c r="C756" s="2" t="s">
        <v>88</v>
      </c>
      <c r="D756" s="2" t="s">
        <v>2308</v>
      </c>
      <c r="E756" s="2" t="s">
        <v>2641</v>
      </c>
      <c r="F756" s="2" t="s">
        <v>555</v>
      </c>
      <c r="G756" s="2" t="s">
        <v>556</v>
      </c>
      <c r="H756" s="2" t="s">
        <v>557</v>
      </c>
      <c r="I756" s="2" t="s">
        <v>2877</v>
      </c>
      <c r="J756" s="2" t="s">
        <v>850</v>
      </c>
      <c r="K756" s="2" t="s">
        <v>559</v>
      </c>
      <c r="L756" s="3">
        <v>57.32</v>
      </c>
      <c r="M756" s="3">
        <v>60.19</v>
      </c>
      <c r="N756" s="3">
        <v>119.99</v>
      </c>
      <c r="O756" s="2" t="s">
        <v>97</v>
      </c>
      <c r="P756" s="2" t="s">
        <v>182</v>
      </c>
      <c r="Q756" s="2" t="s">
        <v>99</v>
      </c>
      <c r="R756" s="2" t="s">
        <v>100</v>
      </c>
      <c r="S756" s="2" t="s">
        <v>560</v>
      </c>
      <c r="T756" s="2" t="s">
        <v>100</v>
      </c>
      <c r="U756" s="2" t="s">
        <v>490</v>
      </c>
      <c r="V756" s="2" t="s">
        <v>561</v>
      </c>
      <c r="W756" s="2" t="s">
        <v>104</v>
      </c>
      <c r="X756" s="2" t="s">
        <v>562</v>
      </c>
      <c r="Y756" s="2" t="s">
        <v>2878</v>
      </c>
      <c r="Z756" s="4">
        <v>1226</v>
      </c>
      <c r="AA756" s="4">
        <f>=ROUNDDOWN(26.6521739130435,0)</f>
      </c>
      <c r="AB756" s="5">
        <v>46</v>
      </c>
      <c r="AC756" s="2" t="s">
        <v>2881</v>
      </c>
      <c r="AD756" s="4">
        <v>130</v>
      </c>
      <c r="AE756" s="4">
        <v>570</v>
      </c>
      <c r="AF756" s="6">
        <v>66</v>
      </c>
      <c r="AG756" s="6">
        <v>49</v>
      </c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704</v>
      </c>
      <c r="BK756" s="8">
        <v>46647.8</v>
      </c>
      <c r="BL756" s="2" t="s">
        <v>2882</v>
      </c>
      <c r="BM756" s="7"/>
      <c r="BN756" s="7"/>
      <c r="BO756" s="4"/>
      <c r="BP756" s="8"/>
      <c r="BQ756" s="4"/>
      <c r="BR756" s="8"/>
      <c r="BS756" s="7"/>
      <c r="BT756" s="7"/>
      <c r="BU756" s="2" t="s">
        <v>109</v>
      </c>
      <c r="BV756" s="2" t="s">
        <v>97</v>
      </c>
      <c r="BW756" s="2" t="s">
        <v>580</v>
      </c>
      <c r="BX756" s="2" t="s">
        <v>100</v>
      </c>
      <c r="BY756" s="2" t="s">
        <v>112</v>
      </c>
      <c r="BZ756" s="2" t="s">
        <v>100</v>
      </c>
    </row>
    <row r="757">
      <c r="A757" s="2" t="s">
        <v>2883</v>
      </c>
      <c r="B757" s="2" t="s">
        <v>87</v>
      </c>
      <c r="C757" s="2" t="s">
        <v>88</v>
      </c>
      <c r="D757" s="2" t="s">
        <v>2308</v>
      </c>
      <c r="E757" s="2" t="s">
        <v>2641</v>
      </c>
      <c r="F757" s="2" t="s">
        <v>555</v>
      </c>
      <c r="G757" s="2" t="s">
        <v>556</v>
      </c>
      <c r="H757" s="2" t="s">
        <v>557</v>
      </c>
      <c r="I757" s="2" t="s">
        <v>2877</v>
      </c>
      <c r="J757" s="2" t="s">
        <v>844</v>
      </c>
      <c r="K757" s="2" t="s">
        <v>197</v>
      </c>
      <c r="L757" s="3">
        <v>51.83</v>
      </c>
      <c r="M757" s="3">
        <v>54.42</v>
      </c>
      <c r="N757" s="3">
        <v>109.99</v>
      </c>
      <c r="O757" s="2" t="s">
        <v>97</v>
      </c>
      <c r="P757" s="2" t="s">
        <v>143</v>
      </c>
      <c r="Q757" s="2" t="s">
        <v>99</v>
      </c>
      <c r="R757" s="2" t="s">
        <v>100</v>
      </c>
      <c r="S757" s="2" t="s">
        <v>576</v>
      </c>
      <c r="T757" s="2" t="s">
        <v>100</v>
      </c>
      <c r="U757" s="2" t="s">
        <v>490</v>
      </c>
      <c r="V757" s="2" t="s">
        <v>561</v>
      </c>
      <c r="W757" s="2" t="s">
        <v>104</v>
      </c>
      <c r="X757" s="2" t="s">
        <v>577</v>
      </c>
      <c r="Y757" s="2" t="s">
        <v>582</v>
      </c>
      <c r="Z757" s="4">
        <v>1469</v>
      </c>
      <c r="AA757" s="4">
        <f>=ROUNDDOWN(25.7719298245614,0)</f>
      </c>
      <c r="AB757" s="5">
        <v>57</v>
      </c>
      <c r="AC757" s="2" t="s">
        <v>1248</v>
      </c>
      <c r="AD757" s="4">
        <v>600</v>
      </c>
      <c r="AE757" s="4">
        <v>600</v>
      </c>
      <c r="AF757" s="6">
        <v>66</v>
      </c>
      <c r="AG757" s="6">
        <v>49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1070</v>
      </c>
      <c r="BK757" s="8">
        <v>66206.29</v>
      </c>
      <c r="BL757" s="2" t="s">
        <v>2884</v>
      </c>
      <c r="BM757" s="7"/>
      <c r="BN757" s="7"/>
      <c r="BO757" s="4"/>
      <c r="BP757" s="8"/>
      <c r="BQ757" s="4"/>
      <c r="BR757" s="8"/>
      <c r="BS757" s="7"/>
      <c r="BT757" s="7"/>
      <c r="BU757" s="2" t="s">
        <v>109</v>
      </c>
      <c r="BV757" s="2" t="s">
        <v>97</v>
      </c>
      <c r="BW757" s="2" t="s">
        <v>580</v>
      </c>
      <c r="BX757" s="2" t="s">
        <v>100</v>
      </c>
      <c r="BY757" s="2" t="s">
        <v>112</v>
      </c>
      <c r="BZ757" s="2" t="s">
        <v>100</v>
      </c>
    </row>
    <row r="758">
      <c r="A758" s="2" t="s">
        <v>2885</v>
      </c>
      <c r="B758" s="2" t="s">
        <v>87</v>
      </c>
      <c r="C758" s="2" t="s">
        <v>88</v>
      </c>
      <c r="D758" s="2" t="s">
        <v>2308</v>
      </c>
      <c r="E758" s="2" t="s">
        <v>2641</v>
      </c>
      <c r="F758" s="2" t="s">
        <v>555</v>
      </c>
      <c r="G758" s="2" t="s">
        <v>556</v>
      </c>
      <c r="H758" s="2" t="s">
        <v>557</v>
      </c>
      <c r="I758" s="2" t="s">
        <v>2877</v>
      </c>
      <c r="J758" s="2" t="s">
        <v>850</v>
      </c>
      <c r="K758" s="2" t="s">
        <v>197</v>
      </c>
      <c r="L758" s="3">
        <v>57.32</v>
      </c>
      <c r="M758" s="3">
        <v>60.19</v>
      </c>
      <c r="N758" s="3">
        <v>119.99</v>
      </c>
      <c r="O758" s="2" t="s">
        <v>97</v>
      </c>
      <c r="P758" s="2" t="s">
        <v>143</v>
      </c>
      <c r="Q758" s="2" t="s">
        <v>99</v>
      </c>
      <c r="R758" s="2" t="s">
        <v>100</v>
      </c>
      <c r="S758" s="2" t="s">
        <v>576</v>
      </c>
      <c r="T758" s="2" t="s">
        <v>100</v>
      </c>
      <c r="U758" s="2" t="s">
        <v>490</v>
      </c>
      <c r="V758" s="2" t="s">
        <v>561</v>
      </c>
      <c r="W758" s="2" t="s">
        <v>104</v>
      </c>
      <c r="X758" s="2" t="s">
        <v>577</v>
      </c>
      <c r="Y758" s="2" t="s">
        <v>582</v>
      </c>
      <c r="Z758" s="4">
        <v>1629</v>
      </c>
      <c r="AA758" s="4">
        <f>=ROUNDDOWN(18.9418604651163,0)</f>
      </c>
      <c r="AB758" s="5">
        <v>86</v>
      </c>
      <c r="AC758" s="2" t="s">
        <v>1193</v>
      </c>
      <c r="AD758" s="4">
        <v>600</v>
      </c>
      <c r="AE758" s="4">
        <v>1150</v>
      </c>
      <c r="AF758" s="6">
        <v>66</v>
      </c>
      <c r="AG758" s="6">
        <v>49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1396</v>
      </c>
      <c r="BK758" s="8">
        <v>94029.16</v>
      </c>
      <c r="BL758" s="2" t="s">
        <v>2886</v>
      </c>
      <c r="BM758" s="7"/>
      <c r="BN758" s="7"/>
      <c r="BO758" s="4"/>
      <c r="BP758" s="8"/>
      <c r="BQ758" s="4"/>
      <c r="BR758" s="8"/>
      <c r="BS758" s="7"/>
      <c r="BT758" s="7"/>
      <c r="BU758" s="2" t="s">
        <v>109</v>
      </c>
      <c r="BV758" s="2" t="s">
        <v>97</v>
      </c>
      <c r="BW758" s="2" t="s">
        <v>580</v>
      </c>
      <c r="BX758" s="2" t="s">
        <v>100</v>
      </c>
      <c r="BY758" s="2" t="s">
        <v>112</v>
      </c>
      <c r="BZ758" s="2" t="s">
        <v>100</v>
      </c>
    </row>
    <row r="759">
      <c r="A759" s="2" t="s">
        <v>2887</v>
      </c>
      <c r="B759" s="2" t="s">
        <v>87</v>
      </c>
      <c r="C759" s="2" t="s">
        <v>88</v>
      </c>
      <c r="D759" s="2" t="s">
        <v>2308</v>
      </c>
      <c r="E759" s="2" t="s">
        <v>2641</v>
      </c>
      <c r="F759" s="2" t="s">
        <v>1906</v>
      </c>
      <c r="G759" s="2" t="s">
        <v>1907</v>
      </c>
      <c r="H759" s="2" t="s">
        <v>1561</v>
      </c>
      <c r="I759" s="2" t="s">
        <v>2888</v>
      </c>
      <c r="J759" s="2" t="s">
        <v>844</v>
      </c>
      <c r="K759" s="2" t="s">
        <v>333</v>
      </c>
      <c r="L759" s="3">
        <v>51.83</v>
      </c>
      <c r="M759" s="3">
        <v>54.42</v>
      </c>
      <c r="N759" s="3">
        <v>109.99</v>
      </c>
      <c r="O759" s="2" t="s">
        <v>97</v>
      </c>
      <c r="P759" s="2" t="s">
        <v>182</v>
      </c>
      <c r="Q759" s="2" t="s">
        <v>99</v>
      </c>
      <c r="R759" s="2" t="s">
        <v>100</v>
      </c>
      <c r="S759" s="2" t="s">
        <v>100</v>
      </c>
      <c r="T759" s="2" t="s">
        <v>100</v>
      </c>
      <c r="U759" s="2" t="s">
        <v>490</v>
      </c>
      <c r="V759" s="2" t="s">
        <v>1287</v>
      </c>
      <c r="W759" s="2" t="s">
        <v>312</v>
      </c>
      <c r="X759" s="2" t="s">
        <v>185</v>
      </c>
      <c r="Y759" s="2" t="s">
        <v>1909</v>
      </c>
      <c r="Z759" s="4">
        <v>314</v>
      </c>
      <c r="AA759" s="4">
        <f>=ROUNDDOWN(52.3333333333333,0)</f>
      </c>
      <c r="AB759" s="5">
        <v>6</v>
      </c>
      <c r="AC759" s="2" t="s">
        <v>100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182</v>
      </c>
      <c r="BK759" s="8">
        <v>10816.15</v>
      </c>
      <c r="BL759" s="2" t="s">
        <v>2889</v>
      </c>
      <c r="BM759" s="7"/>
      <c r="BN759" s="7"/>
      <c r="BO759" s="4"/>
      <c r="BP759" s="8"/>
      <c r="BQ759" s="4"/>
      <c r="BR759" s="8"/>
      <c r="BS759" s="7"/>
      <c r="BT759" s="7"/>
      <c r="BU759" s="2" t="s">
        <v>147</v>
      </c>
      <c r="BV759" s="2" t="s">
        <v>97</v>
      </c>
      <c r="BW759" s="2" t="s">
        <v>100</v>
      </c>
      <c r="BX759" s="2" t="s">
        <v>100</v>
      </c>
      <c r="BY759" s="2" t="s">
        <v>112</v>
      </c>
      <c r="BZ759" s="2" t="s">
        <v>100</v>
      </c>
    </row>
    <row r="760">
      <c r="A760" s="2" t="s">
        <v>2890</v>
      </c>
      <c r="B760" s="2" t="s">
        <v>87</v>
      </c>
      <c r="C760" s="2" t="s">
        <v>88</v>
      </c>
      <c r="D760" s="2" t="s">
        <v>2308</v>
      </c>
      <c r="E760" s="2" t="s">
        <v>2641</v>
      </c>
      <c r="F760" s="2" t="s">
        <v>1906</v>
      </c>
      <c r="G760" s="2" t="s">
        <v>1907</v>
      </c>
      <c r="H760" s="2" t="s">
        <v>1561</v>
      </c>
      <c r="I760" s="2" t="s">
        <v>2888</v>
      </c>
      <c r="J760" s="2" t="s">
        <v>850</v>
      </c>
      <c r="K760" s="2" t="s">
        <v>333</v>
      </c>
      <c r="L760" s="3">
        <v>57.32</v>
      </c>
      <c r="M760" s="3">
        <v>60.19</v>
      </c>
      <c r="N760" s="3">
        <v>119.99</v>
      </c>
      <c r="O760" s="2" t="s">
        <v>97</v>
      </c>
      <c r="P760" s="2" t="s">
        <v>182</v>
      </c>
      <c r="Q760" s="2" t="s">
        <v>99</v>
      </c>
      <c r="R760" s="2" t="s">
        <v>100</v>
      </c>
      <c r="S760" s="2" t="s">
        <v>100</v>
      </c>
      <c r="T760" s="2" t="s">
        <v>100</v>
      </c>
      <c r="U760" s="2" t="s">
        <v>490</v>
      </c>
      <c r="V760" s="2" t="s">
        <v>1287</v>
      </c>
      <c r="W760" s="2" t="s">
        <v>312</v>
      </c>
      <c r="X760" s="2" t="s">
        <v>185</v>
      </c>
      <c r="Y760" s="2" t="s">
        <v>1909</v>
      </c>
      <c r="Z760" s="4">
        <v>219</v>
      </c>
      <c r="AA760" s="4">
        <f>=ROUNDDOWN(73,0)</f>
      </c>
      <c r="AB760" s="5">
        <v>3</v>
      </c>
      <c r="AC760" s="2" t="s">
        <v>100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80</v>
      </c>
      <c r="BK760" s="8">
        <v>5141.25</v>
      </c>
      <c r="BL760" s="2" t="s">
        <v>1140</v>
      </c>
      <c r="BM760" s="7"/>
      <c r="BN760" s="7"/>
      <c r="BO760" s="4"/>
      <c r="BP760" s="8"/>
      <c r="BQ760" s="4"/>
      <c r="BR760" s="8"/>
      <c r="BS760" s="7"/>
      <c r="BT760" s="7"/>
      <c r="BU760" s="2" t="s">
        <v>147</v>
      </c>
      <c r="BV760" s="2" t="s">
        <v>97</v>
      </c>
      <c r="BW760" s="2" t="s">
        <v>100</v>
      </c>
      <c r="BX760" s="2" t="s">
        <v>100</v>
      </c>
      <c r="BY760" s="2" t="s">
        <v>112</v>
      </c>
      <c r="BZ760" s="2" t="s">
        <v>100</v>
      </c>
    </row>
    <row r="761">
      <c r="A761" s="2" t="s">
        <v>2891</v>
      </c>
      <c r="B761" s="2" t="s">
        <v>87</v>
      </c>
      <c r="C761" s="2" t="s">
        <v>88</v>
      </c>
      <c r="D761" s="2" t="s">
        <v>2308</v>
      </c>
      <c r="E761" s="2" t="s">
        <v>2641</v>
      </c>
      <c r="F761" s="2" t="s">
        <v>1906</v>
      </c>
      <c r="G761" s="2" t="s">
        <v>1907</v>
      </c>
      <c r="H761" s="2" t="s">
        <v>1561</v>
      </c>
      <c r="I761" s="2" t="s">
        <v>2888</v>
      </c>
      <c r="J761" s="2" t="s">
        <v>844</v>
      </c>
      <c r="K761" s="2" t="s">
        <v>1637</v>
      </c>
      <c r="L761" s="3">
        <v>51.83</v>
      </c>
      <c r="M761" s="3">
        <v>54.42</v>
      </c>
      <c r="N761" s="3">
        <v>109.99</v>
      </c>
      <c r="O761" s="2" t="s">
        <v>97</v>
      </c>
      <c r="P761" s="2" t="s">
        <v>182</v>
      </c>
      <c r="Q761" s="2" t="s">
        <v>99</v>
      </c>
      <c r="R761" s="2" t="s">
        <v>100</v>
      </c>
      <c r="S761" s="2" t="s">
        <v>2892</v>
      </c>
      <c r="T761" s="2" t="s">
        <v>100</v>
      </c>
      <c r="U761" s="2" t="s">
        <v>490</v>
      </c>
      <c r="V761" s="2" t="s">
        <v>1287</v>
      </c>
      <c r="W761" s="2" t="s">
        <v>312</v>
      </c>
      <c r="X761" s="2" t="s">
        <v>185</v>
      </c>
      <c r="Y761" s="2" t="s">
        <v>1917</v>
      </c>
      <c r="Z761" s="4">
        <v>180</v>
      </c>
      <c r="AA761" s="4">
        <f>=ROUNDDOWN(15,0)</f>
      </c>
      <c r="AB761" s="5">
        <v>12</v>
      </c>
      <c r="AC761" s="2" t="s">
        <v>847</v>
      </c>
      <c r="AD761" s="4">
        <v>230</v>
      </c>
      <c r="AE761" s="4">
        <v>330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236</v>
      </c>
      <c r="BK761" s="8">
        <v>13728.3</v>
      </c>
      <c r="BL761" s="2" t="s">
        <v>2893</v>
      </c>
      <c r="BM761" s="7"/>
      <c r="BN761" s="7"/>
      <c r="BO761" s="4"/>
      <c r="BP761" s="8"/>
      <c r="BQ761" s="4"/>
      <c r="BR761" s="8"/>
      <c r="BS761" s="7"/>
      <c r="BT761" s="7"/>
      <c r="BU761" s="2" t="s">
        <v>147</v>
      </c>
      <c r="BV761" s="2" t="s">
        <v>97</v>
      </c>
      <c r="BW761" s="2" t="s">
        <v>100</v>
      </c>
      <c r="BX761" s="2" t="s">
        <v>100</v>
      </c>
      <c r="BY761" s="2" t="s">
        <v>112</v>
      </c>
      <c r="BZ761" s="2" t="s">
        <v>100</v>
      </c>
    </row>
    <row r="762">
      <c r="A762" s="2" t="s">
        <v>2894</v>
      </c>
      <c r="B762" s="2" t="s">
        <v>87</v>
      </c>
      <c r="C762" s="2" t="s">
        <v>88</v>
      </c>
      <c r="D762" s="2" t="s">
        <v>2308</v>
      </c>
      <c r="E762" s="2" t="s">
        <v>2641</v>
      </c>
      <c r="F762" s="2" t="s">
        <v>1906</v>
      </c>
      <c r="G762" s="2" t="s">
        <v>1907</v>
      </c>
      <c r="H762" s="2" t="s">
        <v>1561</v>
      </c>
      <c r="I762" s="2" t="s">
        <v>2888</v>
      </c>
      <c r="J762" s="2" t="s">
        <v>850</v>
      </c>
      <c r="K762" s="2" t="s">
        <v>1637</v>
      </c>
      <c r="L762" s="3">
        <v>57.32</v>
      </c>
      <c r="M762" s="3">
        <v>60.19</v>
      </c>
      <c r="N762" s="3">
        <v>119.99</v>
      </c>
      <c r="O762" s="2" t="s">
        <v>97</v>
      </c>
      <c r="P762" s="2" t="s">
        <v>182</v>
      </c>
      <c r="Q762" s="2" t="s">
        <v>99</v>
      </c>
      <c r="R762" s="2" t="s">
        <v>100</v>
      </c>
      <c r="S762" s="2" t="s">
        <v>2892</v>
      </c>
      <c r="T762" s="2" t="s">
        <v>100</v>
      </c>
      <c r="U762" s="2" t="s">
        <v>490</v>
      </c>
      <c r="V762" s="2" t="s">
        <v>1287</v>
      </c>
      <c r="W762" s="2" t="s">
        <v>312</v>
      </c>
      <c r="X762" s="2" t="s">
        <v>185</v>
      </c>
      <c r="Y762" s="2" t="s">
        <v>1917</v>
      </c>
      <c r="Z762" s="4">
        <v>166</v>
      </c>
      <c r="AA762" s="4">
        <f>=ROUNDDOWN(16.6,0)</f>
      </c>
      <c r="AB762" s="5">
        <v>10</v>
      </c>
      <c r="AC762" s="2" t="s">
        <v>126</v>
      </c>
      <c r="AD762" s="4">
        <v>90</v>
      </c>
      <c r="AE762" s="4">
        <v>270</v>
      </c>
      <c r="AF762" s="6">
        <v>65</v>
      </c>
      <c r="AG762" s="6"/>
      <c r="AH762" s="7">
        <v>0.9879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209</v>
      </c>
      <c r="BK762" s="8">
        <v>13218.15</v>
      </c>
      <c r="BL762" s="2" t="s">
        <v>920</v>
      </c>
      <c r="BM762" s="7"/>
      <c r="BN762" s="7"/>
      <c r="BO762" s="4"/>
      <c r="BP762" s="8"/>
      <c r="BQ762" s="4"/>
      <c r="BR762" s="8"/>
      <c r="BS762" s="7"/>
      <c r="BT762" s="7"/>
      <c r="BU762" s="2" t="s">
        <v>147</v>
      </c>
      <c r="BV762" s="2" t="s">
        <v>97</v>
      </c>
      <c r="BW762" s="2" t="s">
        <v>100</v>
      </c>
      <c r="BX762" s="2" t="s">
        <v>100</v>
      </c>
      <c r="BY762" s="2" t="s">
        <v>112</v>
      </c>
      <c r="BZ762" s="2" t="s">
        <v>100</v>
      </c>
    </row>
    <row r="763">
      <c r="A763" s="2" t="s">
        <v>2895</v>
      </c>
      <c r="B763" s="2" t="s">
        <v>87</v>
      </c>
      <c r="C763" s="2" t="s">
        <v>88</v>
      </c>
      <c r="D763" s="2" t="s">
        <v>2308</v>
      </c>
      <c r="E763" s="2" t="s">
        <v>2641</v>
      </c>
      <c r="F763" s="2" t="s">
        <v>1906</v>
      </c>
      <c r="G763" s="2" t="s">
        <v>1907</v>
      </c>
      <c r="H763" s="2" t="s">
        <v>1561</v>
      </c>
      <c r="I763" s="2" t="s">
        <v>2888</v>
      </c>
      <c r="J763" s="2" t="s">
        <v>844</v>
      </c>
      <c r="K763" s="2" t="s">
        <v>96</v>
      </c>
      <c r="L763" s="3">
        <v>51.83</v>
      </c>
      <c r="M763" s="3">
        <v>54.42</v>
      </c>
      <c r="N763" s="3">
        <v>109.99</v>
      </c>
      <c r="O763" s="2" t="s">
        <v>97</v>
      </c>
      <c r="P763" s="2" t="s">
        <v>182</v>
      </c>
      <c r="Q763" s="2" t="s">
        <v>99</v>
      </c>
      <c r="R763" s="2" t="s">
        <v>100</v>
      </c>
      <c r="S763" s="2" t="s">
        <v>100</v>
      </c>
      <c r="T763" s="2" t="s">
        <v>100</v>
      </c>
      <c r="U763" s="2" t="s">
        <v>490</v>
      </c>
      <c r="V763" s="2" t="s">
        <v>1287</v>
      </c>
      <c r="W763" s="2" t="s">
        <v>312</v>
      </c>
      <c r="X763" s="2" t="s">
        <v>185</v>
      </c>
      <c r="Y763" s="2" t="s">
        <v>1909</v>
      </c>
      <c r="Z763" s="4">
        <v>198</v>
      </c>
      <c r="AA763" s="4">
        <f>=ROUNDDOWN(22,0)</f>
      </c>
      <c r="AB763" s="5">
        <v>9</v>
      </c>
      <c r="AC763" s="2" t="s">
        <v>847</v>
      </c>
      <c r="AD763" s="4">
        <v>300</v>
      </c>
      <c r="AE763" s="4">
        <v>300</v>
      </c>
      <c r="AF763" s="6">
        <v>65</v>
      </c>
      <c r="AG763" s="6"/>
      <c r="AH763" s="7">
        <v>0.7758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142</v>
      </c>
      <c r="BK763" s="8">
        <v>8481.43</v>
      </c>
      <c r="BL763" s="2" t="s">
        <v>2896</v>
      </c>
      <c r="BM763" s="7"/>
      <c r="BN763" s="7"/>
      <c r="BO763" s="4"/>
      <c r="BP763" s="8"/>
      <c r="BQ763" s="4"/>
      <c r="BR763" s="8"/>
      <c r="BS763" s="7"/>
      <c r="BT763" s="7"/>
      <c r="BU763" s="2" t="s">
        <v>147</v>
      </c>
      <c r="BV763" s="2" t="s">
        <v>97</v>
      </c>
      <c r="BW763" s="2" t="s">
        <v>100</v>
      </c>
      <c r="BX763" s="2" t="s">
        <v>100</v>
      </c>
      <c r="BY763" s="2" t="s">
        <v>112</v>
      </c>
      <c r="BZ763" s="2" t="s">
        <v>100</v>
      </c>
    </row>
    <row r="764">
      <c r="A764" s="2" t="s">
        <v>2897</v>
      </c>
      <c r="B764" s="2" t="s">
        <v>87</v>
      </c>
      <c r="C764" s="2" t="s">
        <v>88</v>
      </c>
      <c r="D764" s="2" t="s">
        <v>2308</v>
      </c>
      <c r="E764" s="2" t="s">
        <v>2641</v>
      </c>
      <c r="F764" s="2" t="s">
        <v>1906</v>
      </c>
      <c r="G764" s="2" t="s">
        <v>1907</v>
      </c>
      <c r="H764" s="2" t="s">
        <v>1561</v>
      </c>
      <c r="I764" s="2" t="s">
        <v>2888</v>
      </c>
      <c r="J764" s="2" t="s">
        <v>850</v>
      </c>
      <c r="K764" s="2" t="s">
        <v>96</v>
      </c>
      <c r="L764" s="3">
        <v>57.32</v>
      </c>
      <c r="M764" s="3">
        <v>60.19</v>
      </c>
      <c r="N764" s="3">
        <v>119.99</v>
      </c>
      <c r="O764" s="2" t="s">
        <v>97</v>
      </c>
      <c r="P764" s="2" t="s">
        <v>182</v>
      </c>
      <c r="Q764" s="2" t="s">
        <v>99</v>
      </c>
      <c r="R764" s="2" t="s">
        <v>100</v>
      </c>
      <c r="S764" s="2" t="s">
        <v>100</v>
      </c>
      <c r="T764" s="2" t="s">
        <v>100</v>
      </c>
      <c r="U764" s="2" t="s">
        <v>490</v>
      </c>
      <c r="V764" s="2" t="s">
        <v>1287</v>
      </c>
      <c r="W764" s="2" t="s">
        <v>312</v>
      </c>
      <c r="X764" s="2" t="s">
        <v>185</v>
      </c>
      <c r="Y764" s="2" t="s">
        <v>1909</v>
      </c>
      <c r="Z764" s="4">
        <v>261</v>
      </c>
      <c r="AA764" s="4">
        <f>=ROUNDDOWN(32.625,0)</f>
      </c>
      <c r="AB764" s="5">
        <v>8</v>
      </c>
      <c r="AC764" s="2" t="s">
        <v>847</v>
      </c>
      <c r="AD764" s="4">
        <v>160</v>
      </c>
      <c r="AE764" s="4">
        <v>160</v>
      </c>
      <c r="AF764" s="6">
        <v>65</v>
      </c>
      <c r="AG764" s="6"/>
      <c r="AH764" s="7">
        <v>0.8364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146</v>
      </c>
      <c r="BK764" s="8">
        <v>9728.86</v>
      </c>
      <c r="BL764" s="2" t="s">
        <v>2898</v>
      </c>
      <c r="BM764" s="7"/>
      <c r="BN764" s="7"/>
      <c r="BO764" s="4"/>
      <c r="BP764" s="8"/>
      <c r="BQ764" s="4"/>
      <c r="BR764" s="8"/>
      <c r="BS764" s="7"/>
      <c r="BT764" s="7"/>
      <c r="BU764" s="2" t="s">
        <v>147</v>
      </c>
      <c r="BV764" s="2" t="s">
        <v>97</v>
      </c>
      <c r="BW764" s="2" t="s">
        <v>100</v>
      </c>
      <c r="BX764" s="2" t="s">
        <v>100</v>
      </c>
      <c r="BY764" s="2" t="s">
        <v>112</v>
      </c>
      <c r="BZ764" s="2" t="s">
        <v>100</v>
      </c>
    </row>
    <row r="765">
      <c r="A765" s="2" t="s">
        <v>2899</v>
      </c>
      <c r="B765" s="2" t="s">
        <v>87</v>
      </c>
      <c r="C765" s="2" t="s">
        <v>88</v>
      </c>
      <c r="D765" s="2" t="s">
        <v>2308</v>
      </c>
      <c r="E765" s="2" t="s">
        <v>2641</v>
      </c>
      <c r="F765" s="2" t="s">
        <v>2900</v>
      </c>
      <c r="G765" s="2" t="s">
        <v>2901</v>
      </c>
      <c r="H765" s="2" t="s">
        <v>2902</v>
      </c>
      <c r="I765" s="2" t="s">
        <v>2705</v>
      </c>
      <c r="J765" s="2" t="s">
        <v>844</v>
      </c>
      <c r="K765" s="2" t="s">
        <v>1581</v>
      </c>
      <c r="L765" s="3">
        <v>54.99</v>
      </c>
      <c r="M765" s="3">
        <v>57.74</v>
      </c>
      <c r="N765" s="3">
        <v>109.99</v>
      </c>
      <c r="O765" s="2" t="s">
        <v>97</v>
      </c>
      <c r="P765" s="2" t="s">
        <v>198</v>
      </c>
      <c r="Q765" s="2" t="s">
        <v>99</v>
      </c>
      <c r="R765" s="2" t="s">
        <v>100</v>
      </c>
      <c r="S765" s="2" t="s">
        <v>2903</v>
      </c>
      <c r="T765" s="2" t="s">
        <v>100</v>
      </c>
      <c r="U765" s="2" t="s">
        <v>490</v>
      </c>
      <c r="V765" s="2" t="s">
        <v>1741</v>
      </c>
      <c r="W765" s="2" t="s">
        <v>1530</v>
      </c>
      <c r="X765" s="2" t="s">
        <v>1742</v>
      </c>
      <c r="Y765" s="2" t="s">
        <v>106</v>
      </c>
      <c r="Z765" s="4">
        <v>20</v>
      </c>
      <c r="AA765" s="4">
        <f>=ROUNDDOWN(2.5,0)</f>
      </c>
      <c r="AB765" s="5">
        <v>8</v>
      </c>
      <c r="AC765" s="2" t="s">
        <v>100</v>
      </c>
      <c r="AD765" s="4"/>
      <c r="AE765" s="4"/>
      <c r="AF765" s="6">
        <v>64</v>
      </c>
      <c r="AG765" s="6">
        <v>47</v>
      </c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174</v>
      </c>
      <c r="BK765" s="8">
        <v>8935.3</v>
      </c>
      <c r="BL765" s="2" t="s">
        <v>2904</v>
      </c>
      <c r="BM765" s="7"/>
      <c r="BN765" s="7"/>
      <c r="BO765" s="4"/>
      <c r="BP765" s="8"/>
      <c r="BQ765" s="4"/>
      <c r="BR765" s="8"/>
      <c r="BS765" s="7"/>
      <c r="BT765" s="7"/>
      <c r="BU765" s="2" t="s">
        <v>147</v>
      </c>
      <c r="BV765" s="2" t="s">
        <v>97</v>
      </c>
      <c r="BW765" s="2" t="s">
        <v>100</v>
      </c>
      <c r="BX765" s="2" t="s">
        <v>100</v>
      </c>
      <c r="BY765" s="2" t="s">
        <v>112</v>
      </c>
      <c r="BZ765" s="2" t="s">
        <v>100</v>
      </c>
    </row>
    <row r="766">
      <c r="A766" s="2" t="s">
        <v>2905</v>
      </c>
      <c r="B766" s="2" t="s">
        <v>87</v>
      </c>
      <c r="C766" s="2" t="s">
        <v>88</v>
      </c>
      <c r="D766" s="2" t="s">
        <v>2308</v>
      </c>
      <c r="E766" s="2" t="s">
        <v>2641</v>
      </c>
      <c r="F766" s="2" t="s">
        <v>2900</v>
      </c>
      <c r="G766" s="2" t="s">
        <v>2901</v>
      </c>
      <c r="H766" s="2" t="s">
        <v>2902</v>
      </c>
      <c r="I766" s="2" t="s">
        <v>2705</v>
      </c>
      <c r="J766" s="2" t="s">
        <v>850</v>
      </c>
      <c r="K766" s="2" t="s">
        <v>1581</v>
      </c>
      <c r="L766" s="3">
        <v>59.99</v>
      </c>
      <c r="M766" s="3">
        <v>62.99</v>
      </c>
      <c r="N766" s="3">
        <v>119.99</v>
      </c>
      <c r="O766" s="2" t="s">
        <v>97</v>
      </c>
      <c r="P766" s="2" t="s">
        <v>198</v>
      </c>
      <c r="Q766" s="2" t="s">
        <v>99</v>
      </c>
      <c r="R766" s="2" t="s">
        <v>100</v>
      </c>
      <c r="S766" s="2" t="s">
        <v>2903</v>
      </c>
      <c r="T766" s="2" t="s">
        <v>100</v>
      </c>
      <c r="U766" s="2" t="s">
        <v>490</v>
      </c>
      <c r="V766" s="2" t="s">
        <v>1741</v>
      </c>
      <c r="W766" s="2" t="s">
        <v>1530</v>
      </c>
      <c r="X766" s="2" t="s">
        <v>1742</v>
      </c>
      <c r="Y766" s="2" t="s">
        <v>106</v>
      </c>
      <c r="Z766" s="4">
        <v>40</v>
      </c>
      <c r="AA766" s="4">
        <f>=ROUNDDOWN(3.33333333333333,0)</f>
      </c>
      <c r="AB766" s="5">
        <v>12</v>
      </c>
      <c r="AC766" s="2" t="s">
        <v>100</v>
      </c>
      <c r="AD766" s="4"/>
      <c r="AE766" s="4"/>
      <c r="AF766" s="6">
        <v>64</v>
      </c>
      <c r="AG766" s="6">
        <v>47</v>
      </c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388</v>
      </c>
      <c r="BK766" s="8">
        <v>21700.78</v>
      </c>
      <c r="BL766" s="2" t="s">
        <v>2906</v>
      </c>
      <c r="BM766" s="7"/>
      <c r="BN766" s="7"/>
      <c r="BO766" s="4"/>
      <c r="BP766" s="8"/>
      <c r="BQ766" s="4"/>
      <c r="BR766" s="8"/>
      <c r="BS766" s="7"/>
      <c r="BT766" s="7"/>
      <c r="BU766" s="2" t="s">
        <v>147</v>
      </c>
      <c r="BV766" s="2" t="s">
        <v>97</v>
      </c>
      <c r="BW766" s="2" t="s">
        <v>100</v>
      </c>
      <c r="BX766" s="2" t="s">
        <v>100</v>
      </c>
      <c r="BY766" s="2" t="s">
        <v>112</v>
      </c>
      <c r="BZ766" s="2" t="s">
        <v>100</v>
      </c>
    </row>
    <row r="767">
      <c r="A767" s="2" t="s">
        <v>2907</v>
      </c>
      <c r="B767" s="2" t="s">
        <v>87</v>
      </c>
      <c r="C767" s="2" t="s">
        <v>88</v>
      </c>
      <c r="D767" s="2" t="s">
        <v>2308</v>
      </c>
      <c r="E767" s="2" t="s">
        <v>2641</v>
      </c>
      <c r="F767" s="2" t="s">
        <v>2908</v>
      </c>
      <c r="G767" s="2" t="s">
        <v>2909</v>
      </c>
      <c r="H767" s="2" t="s">
        <v>2910</v>
      </c>
      <c r="I767" s="2" t="s">
        <v>2705</v>
      </c>
      <c r="J767" s="2" t="s">
        <v>844</v>
      </c>
      <c r="K767" s="2" t="s">
        <v>635</v>
      </c>
      <c r="L767" s="3">
        <v>54.99</v>
      </c>
      <c r="M767" s="3">
        <v>57.74</v>
      </c>
      <c r="N767" s="3">
        <v>109.99</v>
      </c>
      <c r="O767" s="2" t="s">
        <v>97</v>
      </c>
      <c r="P767" s="2" t="s">
        <v>1265</v>
      </c>
      <c r="Q767" s="2" t="s">
        <v>99</v>
      </c>
      <c r="R767" s="2" t="s">
        <v>100</v>
      </c>
      <c r="S767" s="2" t="s">
        <v>2911</v>
      </c>
      <c r="T767" s="2" t="s">
        <v>100</v>
      </c>
      <c r="U767" s="2" t="s">
        <v>490</v>
      </c>
      <c r="V767" s="2" t="s">
        <v>455</v>
      </c>
      <c r="W767" s="2" t="s">
        <v>1530</v>
      </c>
      <c r="X767" s="2" t="s">
        <v>907</v>
      </c>
      <c r="Y767" s="2" t="s">
        <v>106</v>
      </c>
      <c r="Z767" s="4">
        <v>274</v>
      </c>
      <c r="AA767" s="4">
        <f>=ROUNDDOWN(34.25,0)</f>
      </c>
      <c r="AB767" s="5">
        <v>8</v>
      </c>
      <c r="AC767" s="2" t="s">
        <v>746</v>
      </c>
      <c r="AD767" s="4">
        <v>150</v>
      </c>
      <c r="AE767" s="4">
        <v>150</v>
      </c>
      <c r="AF767" s="6">
        <v>65</v>
      </c>
      <c r="AG767" s="6">
        <v>73</v>
      </c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143</v>
      </c>
      <c r="BK767" s="8">
        <v>7923</v>
      </c>
      <c r="BL767" s="2" t="s">
        <v>2912</v>
      </c>
      <c r="BM767" s="7"/>
      <c r="BN767" s="7"/>
      <c r="BO767" s="4"/>
      <c r="BP767" s="8"/>
      <c r="BQ767" s="4"/>
      <c r="BR767" s="8"/>
      <c r="BS767" s="7"/>
      <c r="BT767" s="7"/>
      <c r="BU767" s="2" t="s">
        <v>147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2913</v>
      </c>
      <c r="B768" s="2" t="s">
        <v>87</v>
      </c>
      <c r="C768" s="2" t="s">
        <v>88</v>
      </c>
      <c r="D768" s="2" t="s">
        <v>2308</v>
      </c>
      <c r="E768" s="2" t="s">
        <v>2641</v>
      </c>
      <c r="F768" s="2" t="s">
        <v>2908</v>
      </c>
      <c r="G768" s="2" t="s">
        <v>2909</v>
      </c>
      <c r="H768" s="2" t="s">
        <v>2910</v>
      </c>
      <c r="I768" s="2" t="s">
        <v>2705</v>
      </c>
      <c r="J768" s="2" t="s">
        <v>114</v>
      </c>
      <c r="K768" s="2" t="s">
        <v>635</v>
      </c>
      <c r="L768" s="3">
        <v>59.99</v>
      </c>
      <c r="M768" s="3">
        <v>62.99</v>
      </c>
      <c r="N768" s="3">
        <v>119.99</v>
      </c>
      <c r="O768" s="2" t="s">
        <v>97</v>
      </c>
      <c r="P768" s="2" t="s">
        <v>1265</v>
      </c>
      <c r="Q768" s="2" t="s">
        <v>99</v>
      </c>
      <c r="R768" s="2" t="s">
        <v>100</v>
      </c>
      <c r="S768" s="2" t="s">
        <v>2911</v>
      </c>
      <c r="T768" s="2" t="s">
        <v>100</v>
      </c>
      <c r="U768" s="2" t="s">
        <v>490</v>
      </c>
      <c r="V768" s="2" t="s">
        <v>455</v>
      </c>
      <c r="W768" s="2" t="s">
        <v>1530</v>
      </c>
      <c r="X768" s="2" t="s">
        <v>907</v>
      </c>
      <c r="Y768" s="2" t="s">
        <v>106</v>
      </c>
      <c r="Z768" s="4">
        <v>344</v>
      </c>
      <c r="AA768" s="4">
        <f>=ROUNDDOWN(26.4615384615385,0)</f>
      </c>
      <c r="AB768" s="5">
        <v>13</v>
      </c>
      <c r="AC768" s="2" t="s">
        <v>746</v>
      </c>
      <c r="AD768" s="4">
        <v>152</v>
      </c>
      <c r="AE768" s="4">
        <v>152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183</v>
      </c>
      <c r="BK768" s="8">
        <v>11142.76</v>
      </c>
      <c r="BL768" s="2" t="s">
        <v>2914</v>
      </c>
      <c r="BM768" s="7"/>
      <c r="BN768" s="7"/>
      <c r="BO768" s="4"/>
      <c r="BP768" s="8"/>
      <c r="BQ768" s="4"/>
      <c r="BR768" s="8"/>
      <c r="BS768" s="7"/>
      <c r="BT768" s="7"/>
      <c r="BU768" s="2" t="s">
        <v>147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2915</v>
      </c>
      <c r="B769" s="2" t="s">
        <v>87</v>
      </c>
      <c r="C769" s="2" t="s">
        <v>88</v>
      </c>
      <c r="D769" s="2" t="s">
        <v>2308</v>
      </c>
      <c r="E769" s="2" t="s">
        <v>2641</v>
      </c>
      <c r="F769" s="2" t="s">
        <v>867</v>
      </c>
      <c r="G769" s="2" t="s">
        <v>868</v>
      </c>
      <c r="H769" s="2" t="s">
        <v>869</v>
      </c>
      <c r="I769" s="2" t="s">
        <v>2838</v>
      </c>
      <c r="J769" s="2" t="s">
        <v>844</v>
      </c>
      <c r="K769" s="2" t="s">
        <v>142</v>
      </c>
      <c r="L769" s="3">
        <v>63.7</v>
      </c>
      <c r="M769" s="3">
        <v>66.88</v>
      </c>
      <c r="N769" s="3">
        <v>129.99</v>
      </c>
      <c r="O769" s="2" t="s">
        <v>97</v>
      </c>
      <c r="P769" s="2" t="s">
        <v>182</v>
      </c>
      <c r="Q769" s="2" t="s">
        <v>99</v>
      </c>
      <c r="R769" s="2" t="s">
        <v>100</v>
      </c>
      <c r="S769" s="2" t="s">
        <v>2916</v>
      </c>
      <c r="T769" s="2" t="s">
        <v>732</v>
      </c>
      <c r="U769" s="2" t="s">
        <v>490</v>
      </c>
      <c r="V769" s="2" t="s">
        <v>404</v>
      </c>
      <c r="W769" s="2" t="s">
        <v>104</v>
      </c>
      <c r="X769" s="2" t="s">
        <v>380</v>
      </c>
      <c r="Y769" s="2" t="s">
        <v>2917</v>
      </c>
      <c r="Z769" s="4">
        <v>139</v>
      </c>
      <c r="AA769" s="4">
        <f>=ROUNDDOWN(27.8,0)</f>
      </c>
      <c r="AB769" s="5">
        <v>5</v>
      </c>
      <c r="AC769" s="2" t="s">
        <v>533</v>
      </c>
      <c r="AD769" s="4">
        <v>40</v>
      </c>
      <c r="AE769" s="4">
        <v>70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55</v>
      </c>
      <c r="BK769" s="8">
        <v>3619.27</v>
      </c>
      <c r="BL769" s="2" t="s">
        <v>920</v>
      </c>
      <c r="BM769" s="7"/>
      <c r="BN769" s="7"/>
      <c r="BO769" s="4"/>
      <c r="BP769" s="8"/>
      <c r="BQ769" s="4"/>
      <c r="BR769" s="8"/>
      <c r="BS769" s="7"/>
      <c r="BT769" s="7"/>
      <c r="BU769" s="2" t="s">
        <v>147</v>
      </c>
      <c r="BV769" s="2" t="s">
        <v>97</v>
      </c>
      <c r="BW769" s="2" t="s">
        <v>100</v>
      </c>
      <c r="BX769" s="2" t="s">
        <v>100</v>
      </c>
      <c r="BY769" s="2" t="s">
        <v>112</v>
      </c>
      <c r="BZ769" s="2" t="s">
        <v>100</v>
      </c>
    </row>
    <row r="770">
      <c r="A770" s="2" t="s">
        <v>2918</v>
      </c>
      <c r="B770" s="2" t="s">
        <v>87</v>
      </c>
      <c r="C770" s="2" t="s">
        <v>88</v>
      </c>
      <c r="D770" s="2" t="s">
        <v>2308</v>
      </c>
      <c r="E770" s="2" t="s">
        <v>2641</v>
      </c>
      <c r="F770" s="2" t="s">
        <v>867</v>
      </c>
      <c r="G770" s="2" t="s">
        <v>868</v>
      </c>
      <c r="H770" s="2" t="s">
        <v>869</v>
      </c>
      <c r="I770" s="2" t="s">
        <v>2838</v>
      </c>
      <c r="J770" s="2" t="s">
        <v>850</v>
      </c>
      <c r="K770" s="2" t="s">
        <v>142</v>
      </c>
      <c r="L770" s="3">
        <v>68.6</v>
      </c>
      <c r="M770" s="3">
        <v>72.02</v>
      </c>
      <c r="N770" s="3">
        <v>139.99</v>
      </c>
      <c r="O770" s="2" t="s">
        <v>97</v>
      </c>
      <c r="P770" s="2" t="s">
        <v>182</v>
      </c>
      <c r="Q770" s="2" t="s">
        <v>99</v>
      </c>
      <c r="R770" s="2" t="s">
        <v>100</v>
      </c>
      <c r="S770" s="2" t="s">
        <v>2916</v>
      </c>
      <c r="T770" s="2" t="s">
        <v>732</v>
      </c>
      <c r="U770" s="2" t="s">
        <v>490</v>
      </c>
      <c r="V770" s="2" t="s">
        <v>404</v>
      </c>
      <c r="W770" s="2" t="s">
        <v>104</v>
      </c>
      <c r="X770" s="2" t="s">
        <v>380</v>
      </c>
      <c r="Y770" s="2" t="s">
        <v>2917</v>
      </c>
      <c r="Z770" s="4">
        <v>160</v>
      </c>
      <c r="AA770" s="4">
        <f>=ROUNDDOWN(22.8571428571429,0)</f>
      </c>
      <c r="AB770" s="5">
        <v>7</v>
      </c>
      <c r="AC770" s="2" t="s">
        <v>512</v>
      </c>
      <c r="AD770" s="4">
        <v>50</v>
      </c>
      <c r="AE770" s="4">
        <v>120</v>
      </c>
      <c r="AF770" s="6">
        <v>65</v>
      </c>
      <c r="AG770" s="6"/>
      <c r="AH770" s="7">
        <v>0.9394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93</v>
      </c>
      <c r="BK770" s="8">
        <v>6580.01</v>
      </c>
      <c r="BL770" s="2" t="s">
        <v>2919</v>
      </c>
      <c r="BM770" s="7"/>
      <c r="BN770" s="7"/>
      <c r="BO770" s="4"/>
      <c r="BP770" s="8"/>
      <c r="BQ770" s="4"/>
      <c r="BR770" s="8"/>
      <c r="BS770" s="7"/>
      <c r="BT770" s="7"/>
      <c r="BU770" s="2" t="s">
        <v>147</v>
      </c>
      <c r="BV770" s="2" t="s">
        <v>97</v>
      </c>
      <c r="BW770" s="2" t="s">
        <v>100</v>
      </c>
      <c r="BX770" s="2" t="s">
        <v>100</v>
      </c>
      <c r="BY770" s="2" t="s">
        <v>112</v>
      </c>
      <c r="BZ770" s="2" t="s">
        <v>100</v>
      </c>
    </row>
    <row r="771">
      <c r="A771" s="2" t="s">
        <v>2920</v>
      </c>
      <c r="B771" s="2" t="s">
        <v>87</v>
      </c>
      <c r="C771" s="2" t="s">
        <v>88</v>
      </c>
      <c r="D771" s="2" t="s">
        <v>2308</v>
      </c>
      <c r="E771" s="2" t="s">
        <v>2641</v>
      </c>
      <c r="F771" s="2" t="s">
        <v>867</v>
      </c>
      <c r="G771" s="2" t="s">
        <v>868</v>
      </c>
      <c r="H771" s="2" t="s">
        <v>869</v>
      </c>
      <c r="I771" s="2" t="s">
        <v>2838</v>
      </c>
      <c r="J771" s="2" t="s">
        <v>844</v>
      </c>
      <c r="K771" s="2" t="s">
        <v>871</v>
      </c>
      <c r="L771" s="3">
        <v>63.7</v>
      </c>
      <c r="M771" s="3">
        <v>66.88</v>
      </c>
      <c r="N771" s="3">
        <v>129.99</v>
      </c>
      <c r="O771" s="2" t="s">
        <v>97</v>
      </c>
      <c r="P771" s="2" t="s">
        <v>182</v>
      </c>
      <c r="Q771" s="2" t="s">
        <v>99</v>
      </c>
      <c r="R771" s="2" t="s">
        <v>100</v>
      </c>
      <c r="S771" s="2" t="s">
        <v>2921</v>
      </c>
      <c r="T771" s="2" t="s">
        <v>100</v>
      </c>
      <c r="U771" s="2" t="s">
        <v>490</v>
      </c>
      <c r="V771" s="2" t="s">
        <v>404</v>
      </c>
      <c r="W771" s="2" t="s">
        <v>104</v>
      </c>
      <c r="X771" s="2" t="s">
        <v>380</v>
      </c>
      <c r="Y771" s="2" t="s">
        <v>2922</v>
      </c>
      <c r="Z771" s="4">
        <v>206</v>
      </c>
      <c r="AA771" s="4">
        <f>=ROUNDDOWN(18.7272727272727,0)</f>
      </c>
      <c r="AB771" s="5">
        <v>11</v>
      </c>
      <c r="AC771" s="2" t="s">
        <v>746</v>
      </c>
      <c r="AD771" s="4">
        <v>80</v>
      </c>
      <c r="AE771" s="4">
        <v>190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161</v>
      </c>
      <c r="BK771" s="8">
        <v>10685.38</v>
      </c>
      <c r="BL771" s="2" t="s">
        <v>2923</v>
      </c>
      <c r="BM771" s="7"/>
      <c r="BN771" s="7"/>
      <c r="BO771" s="4"/>
      <c r="BP771" s="8"/>
      <c r="BQ771" s="4"/>
      <c r="BR771" s="8"/>
      <c r="BS771" s="7"/>
      <c r="BT771" s="7"/>
      <c r="BU771" s="2" t="s">
        <v>147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2924</v>
      </c>
      <c r="B772" s="2" t="s">
        <v>87</v>
      </c>
      <c r="C772" s="2" t="s">
        <v>88</v>
      </c>
      <c r="D772" s="2" t="s">
        <v>2308</v>
      </c>
      <c r="E772" s="2" t="s">
        <v>2641</v>
      </c>
      <c r="F772" s="2" t="s">
        <v>867</v>
      </c>
      <c r="G772" s="2" t="s">
        <v>868</v>
      </c>
      <c r="H772" s="2" t="s">
        <v>869</v>
      </c>
      <c r="I772" s="2" t="s">
        <v>2838</v>
      </c>
      <c r="J772" s="2" t="s">
        <v>850</v>
      </c>
      <c r="K772" s="2" t="s">
        <v>871</v>
      </c>
      <c r="L772" s="3">
        <v>68.6</v>
      </c>
      <c r="M772" s="3">
        <v>72.02</v>
      </c>
      <c r="N772" s="3">
        <v>139.99</v>
      </c>
      <c r="O772" s="2" t="s">
        <v>97</v>
      </c>
      <c r="P772" s="2" t="s">
        <v>182</v>
      </c>
      <c r="Q772" s="2" t="s">
        <v>99</v>
      </c>
      <c r="R772" s="2" t="s">
        <v>100</v>
      </c>
      <c r="S772" s="2" t="s">
        <v>2921</v>
      </c>
      <c r="T772" s="2" t="s">
        <v>100</v>
      </c>
      <c r="U772" s="2" t="s">
        <v>490</v>
      </c>
      <c r="V772" s="2" t="s">
        <v>404</v>
      </c>
      <c r="W772" s="2" t="s">
        <v>104</v>
      </c>
      <c r="X772" s="2" t="s">
        <v>105</v>
      </c>
      <c r="Y772" s="2" t="s">
        <v>2922</v>
      </c>
      <c r="Z772" s="4">
        <v>326</v>
      </c>
      <c r="AA772" s="4">
        <f>=ROUNDDOWN(20.375,0)</f>
      </c>
      <c r="AB772" s="5">
        <v>16</v>
      </c>
      <c r="AC772" s="2" t="s">
        <v>874</v>
      </c>
      <c r="AD772" s="4">
        <v>30</v>
      </c>
      <c r="AE772" s="4">
        <v>340</v>
      </c>
      <c r="AF772" s="6">
        <v>65</v>
      </c>
      <c r="AG772" s="6">
        <v>73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299</v>
      </c>
      <c r="BK772" s="8">
        <v>21300.21</v>
      </c>
      <c r="BL772" s="2" t="s">
        <v>2925</v>
      </c>
      <c r="BM772" s="7"/>
      <c r="BN772" s="7"/>
      <c r="BO772" s="4"/>
      <c r="BP772" s="8"/>
      <c r="BQ772" s="4"/>
      <c r="BR772" s="8"/>
      <c r="BS772" s="7"/>
      <c r="BT772" s="7"/>
      <c r="BU772" s="2" t="s">
        <v>147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2926</v>
      </c>
      <c r="B773" s="2" t="s">
        <v>87</v>
      </c>
      <c r="C773" s="2" t="s">
        <v>88</v>
      </c>
      <c r="D773" s="2" t="s">
        <v>2308</v>
      </c>
      <c r="E773" s="2" t="s">
        <v>2927</v>
      </c>
      <c r="F773" s="2" t="s">
        <v>2006</v>
      </c>
      <c r="G773" s="2" t="s">
        <v>2007</v>
      </c>
      <c r="H773" s="2" t="s">
        <v>2008</v>
      </c>
      <c r="I773" s="2" t="s">
        <v>2928</v>
      </c>
      <c r="J773" s="2" t="s">
        <v>95</v>
      </c>
      <c r="K773" s="2" t="s">
        <v>2031</v>
      </c>
      <c r="L773" s="3">
        <v>63.7</v>
      </c>
      <c r="M773" s="3">
        <v>66.88</v>
      </c>
      <c r="N773" s="3">
        <v>139.99</v>
      </c>
      <c r="O773" s="2" t="s">
        <v>97</v>
      </c>
      <c r="P773" s="2" t="s">
        <v>182</v>
      </c>
      <c r="Q773" s="2" t="s">
        <v>99</v>
      </c>
      <c r="R773" s="2" t="s">
        <v>100</v>
      </c>
      <c r="S773" s="2" t="s">
        <v>2929</v>
      </c>
      <c r="T773" s="2" t="s">
        <v>1168</v>
      </c>
      <c r="U773" s="2" t="s">
        <v>790</v>
      </c>
      <c r="V773" s="2" t="s">
        <v>1364</v>
      </c>
      <c r="W773" s="2" t="s">
        <v>405</v>
      </c>
      <c r="X773" s="2" t="s">
        <v>456</v>
      </c>
      <c r="Y773" s="2" t="s">
        <v>2930</v>
      </c>
      <c r="Z773" s="4">
        <v>390</v>
      </c>
      <c r="AA773" s="4">
        <f>=ROUNDDOWN(35.4545454545455,0)</f>
      </c>
      <c r="AB773" s="5">
        <v>11</v>
      </c>
      <c r="AC773" s="2" t="s">
        <v>1193</v>
      </c>
      <c r="AD773" s="4">
        <v>70</v>
      </c>
      <c r="AE773" s="4">
        <v>150</v>
      </c>
      <c r="AF773" s="6">
        <v>65</v>
      </c>
      <c r="AG773" s="6">
        <v>48</v>
      </c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>
        <v>0</v>
      </c>
      <c r="AP773" s="4">
        <v>2</v>
      </c>
      <c r="AQ773" s="8">
        <v>133.76</v>
      </c>
      <c r="AR773" s="4">
        <v>3</v>
      </c>
      <c r="AS773" s="8">
        <v>200.64</v>
      </c>
      <c r="AT773" s="7">
        <v>-0.3333</v>
      </c>
      <c r="AU773" s="7">
        <v>-0.3333</v>
      </c>
      <c r="AV773" s="4">
        <v>10</v>
      </c>
      <c r="AW773" s="8">
        <v>763.68</v>
      </c>
      <c r="AX773" s="4">
        <v>11</v>
      </c>
      <c r="AY773" s="8">
        <v>830.56</v>
      </c>
      <c r="AZ773" s="7">
        <v>-0.0909</v>
      </c>
      <c r="BA773" s="7">
        <v>-0.0805</v>
      </c>
      <c r="BB773" s="7">
        <v>0.1752</v>
      </c>
      <c r="BC773" s="4">
        <v>10</v>
      </c>
      <c r="BD773" s="8">
        <v>763.68</v>
      </c>
      <c r="BE773" s="4">
        <v>11</v>
      </c>
      <c r="BF773" s="8">
        <v>830.56</v>
      </c>
      <c r="BG773" s="7">
        <v>-0.0909</v>
      </c>
      <c r="BH773" s="7">
        <v>-0.0805</v>
      </c>
      <c r="BI773" s="7">
        <v>1</v>
      </c>
      <c r="BJ773" s="4">
        <v>178</v>
      </c>
      <c r="BK773" s="8">
        <v>12170.83</v>
      </c>
      <c r="BL773" s="2" t="s">
        <v>2931</v>
      </c>
      <c r="BM773" s="7">
        <v>0.0112</v>
      </c>
      <c r="BN773" s="7">
        <v>0.011</v>
      </c>
      <c r="BO773" s="4">
        <v>2</v>
      </c>
      <c r="BP773" s="8">
        <v>133.76</v>
      </c>
      <c r="BQ773" s="4">
        <v>3</v>
      </c>
      <c r="BR773" s="8">
        <v>200.64</v>
      </c>
      <c r="BS773" s="7">
        <v>-0.3333</v>
      </c>
      <c r="BT773" s="7">
        <v>-0.3333</v>
      </c>
      <c r="BU773" s="2" t="s">
        <v>109</v>
      </c>
      <c r="BV773" s="2" t="s">
        <v>97</v>
      </c>
      <c r="BW773" s="2" t="s">
        <v>2932</v>
      </c>
      <c r="BX773" s="2" t="s">
        <v>2466</v>
      </c>
      <c r="BY773" s="2" t="s">
        <v>112</v>
      </c>
      <c r="BZ773" s="2" t="s">
        <v>100</v>
      </c>
    </row>
    <row r="774">
      <c r="A774" s="2" t="s">
        <v>2933</v>
      </c>
      <c r="B774" s="2" t="s">
        <v>87</v>
      </c>
      <c r="C774" s="2" t="s">
        <v>88</v>
      </c>
      <c r="D774" s="2" t="s">
        <v>2308</v>
      </c>
      <c r="E774" s="2" t="s">
        <v>2927</v>
      </c>
      <c r="F774" s="2" t="s">
        <v>2006</v>
      </c>
      <c r="G774" s="2" t="s">
        <v>2007</v>
      </c>
      <c r="H774" s="2" t="s">
        <v>2008</v>
      </c>
      <c r="I774" s="2" t="s">
        <v>2928</v>
      </c>
      <c r="J774" s="2" t="s">
        <v>114</v>
      </c>
      <c r="K774" s="2" t="s">
        <v>2031</v>
      </c>
      <c r="L774" s="3">
        <v>75</v>
      </c>
      <c r="M774" s="3">
        <v>78.74</v>
      </c>
      <c r="N774" s="3">
        <v>159.99</v>
      </c>
      <c r="O774" s="2" t="s">
        <v>97</v>
      </c>
      <c r="P774" s="2" t="s">
        <v>182</v>
      </c>
      <c r="Q774" s="2" t="s">
        <v>99</v>
      </c>
      <c r="R774" s="2" t="s">
        <v>100</v>
      </c>
      <c r="S774" s="2" t="s">
        <v>2929</v>
      </c>
      <c r="T774" s="2" t="s">
        <v>1168</v>
      </c>
      <c r="U774" s="2" t="s">
        <v>790</v>
      </c>
      <c r="V774" s="2" t="s">
        <v>1364</v>
      </c>
      <c r="W774" s="2" t="s">
        <v>405</v>
      </c>
      <c r="X774" s="2" t="s">
        <v>456</v>
      </c>
      <c r="Y774" s="2" t="s">
        <v>2930</v>
      </c>
      <c r="Z774" s="4">
        <v>694</v>
      </c>
      <c r="AA774" s="4">
        <f>=ROUNDDOWN(33.047619047619,0)</f>
      </c>
      <c r="AB774" s="5">
        <v>21</v>
      </c>
      <c r="AC774" s="2" t="s">
        <v>1193</v>
      </c>
      <c r="AD774" s="4">
        <v>120</v>
      </c>
      <c r="AE774" s="4">
        <v>420</v>
      </c>
      <c r="AF774" s="6">
        <v>65</v>
      </c>
      <c r="AG774" s="6">
        <v>48</v>
      </c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>
        <v>0</v>
      </c>
      <c r="AP774" s="4">
        <v>8</v>
      </c>
      <c r="AQ774" s="8">
        <v>629.92</v>
      </c>
      <c r="AR774" s="4">
        <v>8</v>
      </c>
      <c r="AS774" s="8">
        <v>629.92</v>
      </c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>
        <v>0.8248</v>
      </c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 t="s">
        <v>100</v>
      </c>
      <c r="BJ774" s="4">
        <v>423</v>
      </c>
      <c r="BK774" s="8">
        <v>33908.94</v>
      </c>
      <c r="BL774" s="2" t="s">
        <v>2934</v>
      </c>
      <c r="BM774" s="7">
        <v>0.0189</v>
      </c>
      <c r="BN774" s="7">
        <v>0.0186</v>
      </c>
      <c r="BO774" s="4">
        <v>8</v>
      </c>
      <c r="BP774" s="8">
        <v>629.92</v>
      </c>
      <c r="BQ774" s="4">
        <v>8</v>
      </c>
      <c r="BR774" s="8">
        <v>629.92</v>
      </c>
      <c r="BS774" s="7"/>
      <c r="BT774" s="7"/>
      <c r="BU774" s="2" t="s">
        <v>109</v>
      </c>
      <c r="BV774" s="2" t="s">
        <v>97</v>
      </c>
      <c r="BW774" s="2" t="s">
        <v>2935</v>
      </c>
      <c r="BX774" s="2" t="s">
        <v>2456</v>
      </c>
      <c r="BY774" s="2" t="s">
        <v>112</v>
      </c>
      <c r="BZ774" s="2" t="s">
        <v>100</v>
      </c>
    </row>
    <row r="775">
      <c r="A775" s="2" t="s">
        <v>2936</v>
      </c>
      <c r="B775" s="2" t="s">
        <v>87</v>
      </c>
      <c r="C775" s="2" t="s">
        <v>88</v>
      </c>
      <c r="D775" s="2" t="s">
        <v>2308</v>
      </c>
      <c r="E775" s="2" t="s">
        <v>2927</v>
      </c>
      <c r="F775" s="2" t="s">
        <v>2006</v>
      </c>
      <c r="G775" s="2" t="s">
        <v>2007</v>
      </c>
      <c r="H775" s="2" t="s">
        <v>2008</v>
      </c>
      <c r="I775" s="2" t="s">
        <v>2928</v>
      </c>
      <c r="J775" s="2" t="s">
        <v>95</v>
      </c>
      <c r="K775" s="2" t="s">
        <v>142</v>
      </c>
      <c r="L775" s="3">
        <v>63.7</v>
      </c>
      <c r="M775" s="3">
        <v>66.88</v>
      </c>
      <c r="N775" s="3">
        <v>139.99</v>
      </c>
      <c r="O775" s="2" t="s">
        <v>97</v>
      </c>
      <c r="P775" s="2" t="s">
        <v>182</v>
      </c>
      <c r="Q775" s="2" t="s">
        <v>99</v>
      </c>
      <c r="R775" s="2" t="s">
        <v>100</v>
      </c>
      <c r="S775" s="2" t="s">
        <v>2937</v>
      </c>
      <c r="T775" s="2" t="s">
        <v>1168</v>
      </c>
      <c r="U775" s="2" t="s">
        <v>790</v>
      </c>
      <c r="V775" s="2" t="s">
        <v>1364</v>
      </c>
      <c r="W775" s="2" t="s">
        <v>405</v>
      </c>
      <c r="X775" s="2" t="s">
        <v>406</v>
      </c>
      <c r="Y775" s="2" t="s">
        <v>2938</v>
      </c>
      <c r="Z775" s="4">
        <v>318</v>
      </c>
      <c r="AA775" s="4">
        <f>=ROUNDDOWN(35.3333333333333,0)</f>
      </c>
      <c r="AB775" s="5">
        <v>9</v>
      </c>
      <c r="AC775" s="2" t="s">
        <v>107</v>
      </c>
      <c r="AD775" s="4">
        <v>120</v>
      </c>
      <c r="AE775" s="4">
        <v>190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 t="s">
        <v>100</v>
      </c>
      <c r="AY775" s="8" t="s">
        <v>100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 t="s">
        <v>100</v>
      </c>
      <c r="BJ775" s="4">
        <v>148</v>
      </c>
      <c r="BK775" s="8">
        <v>10438.47</v>
      </c>
      <c r="BL775" s="2" t="s">
        <v>444</v>
      </c>
      <c r="BM775" s="7"/>
      <c r="BN775" s="7"/>
      <c r="BO775" s="4"/>
      <c r="BP775" s="8"/>
      <c r="BQ775" s="4"/>
      <c r="BR775" s="8"/>
      <c r="BS775" s="7"/>
      <c r="BT775" s="7"/>
      <c r="BU775" s="2" t="s">
        <v>147</v>
      </c>
      <c r="BV775" s="2" t="s">
        <v>97</v>
      </c>
      <c r="BW775" s="2" t="s">
        <v>100</v>
      </c>
      <c r="BX775" s="2" t="s">
        <v>100</v>
      </c>
      <c r="BY775" s="2" t="s">
        <v>112</v>
      </c>
      <c r="BZ775" s="2" t="s">
        <v>100</v>
      </c>
    </row>
    <row r="776">
      <c r="A776" s="2" t="s">
        <v>2939</v>
      </c>
      <c r="B776" s="2" t="s">
        <v>87</v>
      </c>
      <c r="C776" s="2" t="s">
        <v>88</v>
      </c>
      <c r="D776" s="2" t="s">
        <v>2308</v>
      </c>
      <c r="E776" s="2" t="s">
        <v>2927</v>
      </c>
      <c r="F776" s="2" t="s">
        <v>2006</v>
      </c>
      <c r="G776" s="2" t="s">
        <v>2007</v>
      </c>
      <c r="H776" s="2" t="s">
        <v>2008</v>
      </c>
      <c r="I776" s="2" t="s">
        <v>2928</v>
      </c>
      <c r="J776" s="2" t="s">
        <v>114</v>
      </c>
      <c r="K776" s="2" t="s">
        <v>142</v>
      </c>
      <c r="L776" s="3">
        <v>75</v>
      </c>
      <c r="M776" s="3">
        <v>78.74</v>
      </c>
      <c r="N776" s="3">
        <v>159.99</v>
      </c>
      <c r="O776" s="2" t="s">
        <v>97</v>
      </c>
      <c r="P776" s="2" t="s">
        <v>182</v>
      </c>
      <c r="Q776" s="2" t="s">
        <v>99</v>
      </c>
      <c r="R776" s="2" t="s">
        <v>100</v>
      </c>
      <c r="S776" s="2" t="s">
        <v>2937</v>
      </c>
      <c r="T776" s="2" t="s">
        <v>1168</v>
      </c>
      <c r="U776" s="2" t="s">
        <v>790</v>
      </c>
      <c r="V776" s="2" t="s">
        <v>1364</v>
      </c>
      <c r="W776" s="2" t="s">
        <v>405</v>
      </c>
      <c r="X776" s="2" t="s">
        <v>406</v>
      </c>
      <c r="Y776" s="2" t="s">
        <v>2938</v>
      </c>
      <c r="Z776" s="4">
        <v>272</v>
      </c>
      <c r="AA776" s="4">
        <f>=ROUNDDOWN(13.6,0)</f>
      </c>
      <c r="AB776" s="5">
        <v>20</v>
      </c>
      <c r="AC776" s="2" t="s">
        <v>107</v>
      </c>
      <c r="AD776" s="4">
        <v>200</v>
      </c>
      <c r="AE776" s="4">
        <v>680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 t="s">
        <v>100</v>
      </c>
      <c r="BJ776" s="4">
        <v>310</v>
      </c>
      <c r="BK776" s="8">
        <v>25471.15</v>
      </c>
      <c r="BL776" s="2" t="s">
        <v>2940</v>
      </c>
      <c r="BM776" s="7"/>
      <c r="BN776" s="7"/>
      <c r="BO776" s="4"/>
      <c r="BP776" s="8"/>
      <c r="BQ776" s="4"/>
      <c r="BR776" s="8"/>
      <c r="BS776" s="7"/>
      <c r="BT776" s="7"/>
      <c r="BU776" s="2" t="s">
        <v>147</v>
      </c>
      <c r="BV776" s="2" t="s">
        <v>97</v>
      </c>
      <c r="BW776" s="2" t="s">
        <v>100</v>
      </c>
      <c r="BX776" s="2" t="s">
        <v>100</v>
      </c>
      <c r="BY776" s="2" t="s">
        <v>112</v>
      </c>
      <c r="BZ776" s="2" t="s">
        <v>100</v>
      </c>
    </row>
    <row r="777">
      <c r="A777" s="2" t="s">
        <v>2941</v>
      </c>
      <c r="B777" s="2" t="s">
        <v>87</v>
      </c>
      <c r="C777" s="2" t="s">
        <v>88</v>
      </c>
      <c r="D777" s="2" t="s">
        <v>2308</v>
      </c>
      <c r="E777" s="2" t="s">
        <v>2927</v>
      </c>
      <c r="F777" s="2" t="s">
        <v>2006</v>
      </c>
      <c r="G777" s="2" t="s">
        <v>2007</v>
      </c>
      <c r="H777" s="2" t="s">
        <v>2008</v>
      </c>
      <c r="I777" s="2" t="s">
        <v>2928</v>
      </c>
      <c r="J777" s="2" t="s">
        <v>95</v>
      </c>
      <c r="K777" s="2" t="s">
        <v>2942</v>
      </c>
      <c r="L777" s="3">
        <v>63.7</v>
      </c>
      <c r="M777" s="3">
        <v>66.88</v>
      </c>
      <c r="N777" s="3">
        <v>139.99</v>
      </c>
      <c r="O777" s="2" t="s">
        <v>97</v>
      </c>
      <c r="P777" s="2" t="s">
        <v>182</v>
      </c>
      <c r="Q777" s="2" t="s">
        <v>99</v>
      </c>
      <c r="R777" s="2" t="s">
        <v>100</v>
      </c>
      <c r="S777" s="2" t="s">
        <v>2943</v>
      </c>
      <c r="T777" s="2" t="s">
        <v>1168</v>
      </c>
      <c r="U777" s="2" t="s">
        <v>790</v>
      </c>
      <c r="V777" s="2" t="s">
        <v>1364</v>
      </c>
      <c r="W777" s="2" t="s">
        <v>405</v>
      </c>
      <c r="X777" s="2" t="s">
        <v>406</v>
      </c>
      <c r="Y777" s="2" t="s">
        <v>209</v>
      </c>
      <c r="Z777" s="4">
        <v>406</v>
      </c>
      <c r="AA777" s="4">
        <f>=ROUNDDOWN(50.75,0)</f>
      </c>
      <c r="AB777" s="5">
        <v>8</v>
      </c>
      <c r="AC777" s="2" t="s">
        <v>145</v>
      </c>
      <c r="AD777" s="4">
        <v>65</v>
      </c>
      <c r="AE777" s="4">
        <v>80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 t="s">
        <v>100</v>
      </c>
      <c r="BJ777" s="4">
        <v>165</v>
      </c>
      <c r="BK777" s="8">
        <v>11646.51</v>
      </c>
      <c r="BL777" s="2" t="s">
        <v>2865</v>
      </c>
      <c r="BM777" s="7"/>
      <c r="BN777" s="7"/>
      <c r="BO777" s="4"/>
      <c r="BP777" s="8"/>
      <c r="BQ777" s="4"/>
      <c r="BR777" s="8"/>
      <c r="BS777" s="7"/>
      <c r="BT777" s="7"/>
      <c r="BU777" s="2" t="s">
        <v>147</v>
      </c>
      <c r="BV777" s="2" t="s">
        <v>97</v>
      </c>
      <c r="BW777" s="2" t="s">
        <v>100</v>
      </c>
      <c r="BX777" s="2" t="s">
        <v>100</v>
      </c>
      <c r="BY777" s="2" t="s">
        <v>112</v>
      </c>
      <c r="BZ777" s="2" t="s">
        <v>100</v>
      </c>
    </row>
    <row r="778">
      <c r="A778" s="2" t="s">
        <v>2944</v>
      </c>
      <c r="B778" s="2" t="s">
        <v>87</v>
      </c>
      <c r="C778" s="2" t="s">
        <v>88</v>
      </c>
      <c r="D778" s="2" t="s">
        <v>2308</v>
      </c>
      <c r="E778" s="2" t="s">
        <v>2927</v>
      </c>
      <c r="F778" s="2" t="s">
        <v>2006</v>
      </c>
      <c r="G778" s="2" t="s">
        <v>2007</v>
      </c>
      <c r="H778" s="2" t="s">
        <v>2008</v>
      </c>
      <c r="I778" s="2" t="s">
        <v>2928</v>
      </c>
      <c r="J778" s="2" t="s">
        <v>114</v>
      </c>
      <c r="K778" s="2" t="s">
        <v>2942</v>
      </c>
      <c r="L778" s="3">
        <v>75</v>
      </c>
      <c r="M778" s="3">
        <v>78.74</v>
      </c>
      <c r="N778" s="3">
        <v>159.99</v>
      </c>
      <c r="O778" s="2" t="s">
        <v>97</v>
      </c>
      <c r="P778" s="2" t="s">
        <v>182</v>
      </c>
      <c r="Q778" s="2" t="s">
        <v>99</v>
      </c>
      <c r="R778" s="2" t="s">
        <v>100</v>
      </c>
      <c r="S778" s="2" t="s">
        <v>2943</v>
      </c>
      <c r="T778" s="2" t="s">
        <v>1168</v>
      </c>
      <c r="U778" s="2" t="s">
        <v>790</v>
      </c>
      <c r="V778" s="2" t="s">
        <v>1364</v>
      </c>
      <c r="W778" s="2" t="s">
        <v>405</v>
      </c>
      <c r="X778" s="2" t="s">
        <v>406</v>
      </c>
      <c r="Y778" s="2" t="s">
        <v>2945</v>
      </c>
      <c r="Z778" s="4">
        <v>317</v>
      </c>
      <c r="AA778" s="4">
        <f>=ROUNDDOWN(21.1333333333333,0)</f>
      </c>
      <c r="AB778" s="5">
        <v>15</v>
      </c>
      <c r="AC778" s="2" t="s">
        <v>145</v>
      </c>
      <c r="AD778" s="4">
        <v>155</v>
      </c>
      <c r="AE778" s="4">
        <v>180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 t="s">
        <v>100</v>
      </c>
      <c r="BJ778" s="4">
        <v>233</v>
      </c>
      <c r="BK778" s="8">
        <v>19480.56</v>
      </c>
      <c r="BL778" s="2" t="s">
        <v>2946</v>
      </c>
      <c r="BM778" s="7"/>
      <c r="BN778" s="7"/>
      <c r="BO778" s="4"/>
      <c r="BP778" s="8"/>
      <c r="BQ778" s="4"/>
      <c r="BR778" s="8"/>
      <c r="BS778" s="7"/>
      <c r="BT778" s="7"/>
      <c r="BU778" s="2" t="s">
        <v>147</v>
      </c>
      <c r="BV778" s="2" t="s">
        <v>97</v>
      </c>
      <c r="BW778" s="2" t="s">
        <v>100</v>
      </c>
      <c r="BX778" s="2" t="s">
        <v>100</v>
      </c>
      <c r="BY778" s="2" t="s">
        <v>112</v>
      </c>
      <c r="BZ778" s="2" t="s">
        <v>100</v>
      </c>
    </row>
    <row r="779">
      <c r="A779" s="2" t="s">
        <v>2947</v>
      </c>
      <c r="B779" s="2" t="s">
        <v>87</v>
      </c>
      <c r="C779" s="2" t="s">
        <v>88</v>
      </c>
      <c r="D779" s="2" t="s">
        <v>2308</v>
      </c>
      <c r="E779" s="2" t="s">
        <v>2927</v>
      </c>
      <c r="F779" s="2" t="s">
        <v>2006</v>
      </c>
      <c r="G779" s="2" t="s">
        <v>2007</v>
      </c>
      <c r="H779" s="2" t="s">
        <v>2008</v>
      </c>
      <c r="I779" s="2" t="s">
        <v>2928</v>
      </c>
      <c r="J779" s="2" t="s">
        <v>95</v>
      </c>
      <c r="K779" s="2" t="s">
        <v>197</v>
      </c>
      <c r="L779" s="3">
        <v>63.7</v>
      </c>
      <c r="M779" s="3">
        <v>66.88</v>
      </c>
      <c r="N779" s="3">
        <v>139.99</v>
      </c>
      <c r="O779" s="2" t="s">
        <v>97</v>
      </c>
      <c r="P779" s="2" t="s">
        <v>182</v>
      </c>
      <c r="Q779" s="2" t="s">
        <v>99</v>
      </c>
      <c r="R779" s="2" t="s">
        <v>100</v>
      </c>
      <c r="S779" s="2" t="s">
        <v>2948</v>
      </c>
      <c r="T779" s="2" t="s">
        <v>1168</v>
      </c>
      <c r="U779" s="2" t="s">
        <v>790</v>
      </c>
      <c r="V779" s="2" t="s">
        <v>1364</v>
      </c>
      <c r="W779" s="2" t="s">
        <v>405</v>
      </c>
      <c r="X779" s="2" t="s">
        <v>406</v>
      </c>
      <c r="Y779" s="2" t="s">
        <v>209</v>
      </c>
      <c r="Z779" s="4">
        <v>288</v>
      </c>
      <c r="AA779" s="4">
        <f>=ROUNDDOWN(19.2,0)</f>
      </c>
      <c r="AB779" s="5">
        <v>15</v>
      </c>
      <c r="AC779" s="2" t="s">
        <v>919</v>
      </c>
      <c r="AD779" s="4">
        <v>100</v>
      </c>
      <c r="AE779" s="4">
        <v>480</v>
      </c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 t="s">
        <v>100</v>
      </c>
      <c r="BJ779" s="4">
        <v>286</v>
      </c>
      <c r="BK779" s="8">
        <v>20120.6</v>
      </c>
      <c r="BL779" s="2" t="s">
        <v>2949</v>
      </c>
      <c r="BM779" s="7"/>
      <c r="BN779" s="7"/>
      <c r="BO779" s="4"/>
      <c r="BP779" s="8"/>
      <c r="BQ779" s="4"/>
      <c r="BR779" s="8"/>
      <c r="BS779" s="7"/>
      <c r="BT779" s="7"/>
      <c r="BU779" s="2" t="s">
        <v>147</v>
      </c>
      <c r="BV779" s="2" t="s">
        <v>97</v>
      </c>
      <c r="BW779" s="2" t="s">
        <v>100</v>
      </c>
      <c r="BX779" s="2" t="s">
        <v>100</v>
      </c>
      <c r="BY779" s="2" t="s">
        <v>112</v>
      </c>
      <c r="BZ779" s="2" t="s">
        <v>100</v>
      </c>
    </row>
    <row r="780">
      <c r="A780" s="2" t="s">
        <v>2950</v>
      </c>
      <c r="B780" s="2" t="s">
        <v>87</v>
      </c>
      <c r="C780" s="2" t="s">
        <v>88</v>
      </c>
      <c r="D780" s="2" t="s">
        <v>2308</v>
      </c>
      <c r="E780" s="2" t="s">
        <v>2927</v>
      </c>
      <c r="F780" s="2" t="s">
        <v>2006</v>
      </c>
      <c r="G780" s="2" t="s">
        <v>2007</v>
      </c>
      <c r="H780" s="2" t="s">
        <v>2008</v>
      </c>
      <c r="I780" s="2" t="s">
        <v>2928</v>
      </c>
      <c r="J780" s="2" t="s">
        <v>114</v>
      </c>
      <c r="K780" s="2" t="s">
        <v>197</v>
      </c>
      <c r="L780" s="3">
        <v>75</v>
      </c>
      <c r="M780" s="3">
        <v>78.74</v>
      </c>
      <c r="N780" s="3">
        <v>159.99</v>
      </c>
      <c r="O780" s="2" t="s">
        <v>97</v>
      </c>
      <c r="P780" s="2" t="s">
        <v>182</v>
      </c>
      <c r="Q780" s="2" t="s">
        <v>99</v>
      </c>
      <c r="R780" s="2" t="s">
        <v>100</v>
      </c>
      <c r="S780" s="2" t="s">
        <v>2948</v>
      </c>
      <c r="T780" s="2" t="s">
        <v>1168</v>
      </c>
      <c r="U780" s="2" t="s">
        <v>790</v>
      </c>
      <c r="V780" s="2" t="s">
        <v>1364</v>
      </c>
      <c r="W780" s="2" t="s">
        <v>405</v>
      </c>
      <c r="X780" s="2" t="s">
        <v>406</v>
      </c>
      <c r="Y780" s="2" t="s">
        <v>2945</v>
      </c>
      <c r="Z780" s="4">
        <v>450</v>
      </c>
      <c r="AA780" s="4">
        <f>=ROUNDDOWN(18.75,0)</f>
      </c>
      <c r="AB780" s="5">
        <v>24</v>
      </c>
      <c r="AC780" s="2" t="s">
        <v>919</v>
      </c>
      <c r="AD780" s="4">
        <v>270</v>
      </c>
      <c r="AE780" s="4">
        <v>760</v>
      </c>
      <c r="AF780" s="6">
        <v>65</v>
      </c>
      <c r="AG780" s="6">
        <v>48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 t="s">
        <v>100</v>
      </c>
      <c r="BJ780" s="4">
        <v>415</v>
      </c>
      <c r="BK780" s="8">
        <v>33856.87</v>
      </c>
      <c r="BL780" s="2" t="s">
        <v>2951</v>
      </c>
      <c r="BM780" s="7"/>
      <c r="BN780" s="7"/>
      <c r="BO780" s="4"/>
      <c r="BP780" s="8"/>
      <c r="BQ780" s="4"/>
      <c r="BR780" s="8"/>
      <c r="BS780" s="7"/>
      <c r="BT780" s="7"/>
      <c r="BU780" s="2" t="s">
        <v>147</v>
      </c>
      <c r="BV780" s="2" t="s">
        <v>97</v>
      </c>
      <c r="BW780" s="2" t="s">
        <v>100</v>
      </c>
      <c r="BX780" s="2" t="s">
        <v>100</v>
      </c>
      <c r="BY780" s="2" t="s">
        <v>112</v>
      </c>
      <c r="BZ780" s="2" t="s">
        <v>100</v>
      </c>
    </row>
    <row r="781">
      <c r="A781" s="2" t="s">
        <v>2952</v>
      </c>
      <c r="B781" s="2" t="s">
        <v>87</v>
      </c>
      <c r="C781" s="2" t="s">
        <v>88</v>
      </c>
      <c r="D781" s="2" t="s">
        <v>2308</v>
      </c>
      <c r="E781" s="2" t="s">
        <v>2927</v>
      </c>
      <c r="F781" s="2" t="s">
        <v>2006</v>
      </c>
      <c r="G781" s="2" t="s">
        <v>2007</v>
      </c>
      <c r="H781" s="2" t="s">
        <v>2008</v>
      </c>
      <c r="I781" s="2" t="s">
        <v>2928</v>
      </c>
      <c r="J781" s="2" t="s">
        <v>95</v>
      </c>
      <c r="K781" s="2" t="s">
        <v>1592</v>
      </c>
      <c r="L781" s="3">
        <v>63.7</v>
      </c>
      <c r="M781" s="3">
        <v>66.89</v>
      </c>
      <c r="N781" s="3">
        <v>139.99</v>
      </c>
      <c r="O781" s="2" t="s">
        <v>97</v>
      </c>
      <c r="P781" s="2" t="s">
        <v>182</v>
      </c>
      <c r="Q781" s="2" t="s">
        <v>99</v>
      </c>
      <c r="R781" s="2" t="s">
        <v>100</v>
      </c>
      <c r="S781" s="2" t="s">
        <v>2048</v>
      </c>
      <c r="T781" s="2" t="s">
        <v>1168</v>
      </c>
      <c r="U781" s="2" t="s">
        <v>790</v>
      </c>
      <c r="V781" s="2" t="s">
        <v>1364</v>
      </c>
      <c r="W781" s="2" t="s">
        <v>405</v>
      </c>
      <c r="X781" s="2" t="s">
        <v>100</v>
      </c>
      <c r="Y781" s="2" t="s">
        <v>1276</v>
      </c>
      <c r="Z781" s="4">
        <v>87</v>
      </c>
      <c r="AA781" s="4">
        <f>=ROUNDDOWN(14.5,0)</f>
      </c>
      <c r="AB781" s="5">
        <v>6</v>
      </c>
      <c r="AC781" s="2" t="s">
        <v>107</v>
      </c>
      <c r="AD781" s="4">
        <v>40</v>
      </c>
      <c r="AE781" s="4">
        <v>190</v>
      </c>
      <c r="AF781" s="6">
        <v>65</v>
      </c>
      <c r="AG781" s="6"/>
      <c r="AH781" s="7">
        <v>0.5576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 t="s">
        <v>100</v>
      </c>
      <c r="BJ781" s="4">
        <v>54</v>
      </c>
      <c r="BK781" s="8">
        <v>3719.65</v>
      </c>
      <c r="BL781" s="2" t="s">
        <v>2953</v>
      </c>
      <c r="BM781" s="7"/>
      <c r="BN781" s="7"/>
      <c r="BO781" s="4"/>
      <c r="BP781" s="8"/>
      <c r="BQ781" s="4"/>
      <c r="BR781" s="8"/>
      <c r="BS781" s="7"/>
      <c r="BT781" s="7"/>
      <c r="BU781" s="2" t="s">
        <v>147</v>
      </c>
      <c r="BV781" s="2" t="s">
        <v>97</v>
      </c>
      <c r="BW781" s="2" t="s">
        <v>100</v>
      </c>
      <c r="BX781" s="2" t="s">
        <v>100</v>
      </c>
      <c r="BY781" s="2" t="s">
        <v>112</v>
      </c>
      <c r="BZ781" s="2" t="s">
        <v>100</v>
      </c>
    </row>
    <row r="782">
      <c r="A782" s="2" t="s">
        <v>2954</v>
      </c>
      <c r="B782" s="2" t="s">
        <v>87</v>
      </c>
      <c r="C782" s="2" t="s">
        <v>88</v>
      </c>
      <c r="D782" s="2" t="s">
        <v>2308</v>
      </c>
      <c r="E782" s="2" t="s">
        <v>2927</v>
      </c>
      <c r="F782" s="2" t="s">
        <v>2006</v>
      </c>
      <c r="G782" s="2" t="s">
        <v>2007</v>
      </c>
      <c r="H782" s="2" t="s">
        <v>2008</v>
      </c>
      <c r="I782" s="2" t="s">
        <v>2928</v>
      </c>
      <c r="J782" s="2" t="s">
        <v>114</v>
      </c>
      <c r="K782" s="2" t="s">
        <v>1592</v>
      </c>
      <c r="L782" s="3">
        <v>75</v>
      </c>
      <c r="M782" s="3">
        <v>78.75</v>
      </c>
      <c r="N782" s="3">
        <v>159.99</v>
      </c>
      <c r="O782" s="2" t="s">
        <v>97</v>
      </c>
      <c r="P782" s="2" t="s">
        <v>182</v>
      </c>
      <c r="Q782" s="2" t="s">
        <v>99</v>
      </c>
      <c r="R782" s="2" t="s">
        <v>100</v>
      </c>
      <c r="S782" s="2" t="s">
        <v>2048</v>
      </c>
      <c r="T782" s="2" t="s">
        <v>1168</v>
      </c>
      <c r="U782" s="2" t="s">
        <v>790</v>
      </c>
      <c r="V782" s="2" t="s">
        <v>1364</v>
      </c>
      <c r="W782" s="2" t="s">
        <v>405</v>
      </c>
      <c r="X782" s="2" t="s">
        <v>100</v>
      </c>
      <c r="Y782" s="2" t="s">
        <v>1276</v>
      </c>
      <c r="Z782" s="4">
        <v>152</v>
      </c>
      <c r="AA782" s="4">
        <f>=ROUNDDOWN(15.2,0)</f>
      </c>
      <c r="AB782" s="5">
        <v>10</v>
      </c>
      <c r="AC782" s="2" t="s">
        <v>107</v>
      </c>
      <c r="AD782" s="4">
        <v>30</v>
      </c>
      <c r="AE782" s="4">
        <v>330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 t="s">
        <v>100</v>
      </c>
      <c r="BJ782" s="4">
        <v>153</v>
      </c>
      <c r="BK782" s="8">
        <v>12503.74</v>
      </c>
      <c r="BL782" s="2" t="s">
        <v>2050</v>
      </c>
      <c r="BM782" s="7"/>
      <c r="BN782" s="7"/>
      <c r="BO782" s="4"/>
      <c r="BP782" s="8"/>
      <c r="BQ782" s="4"/>
      <c r="BR782" s="8"/>
      <c r="BS782" s="7"/>
      <c r="BT782" s="7"/>
      <c r="BU782" s="2" t="s">
        <v>147</v>
      </c>
      <c r="BV782" s="2" t="s">
        <v>97</v>
      </c>
      <c r="BW782" s="2" t="s">
        <v>100</v>
      </c>
      <c r="BX782" s="2" t="s">
        <v>100</v>
      </c>
      <c r="BY782" s="2" t="s">
        <v>112</v>
      </c>
      <c r="BZ782" s="2" t="s">
        <v>100</v>
      </c>
    </row>
    <row r="783">
      <c r="A783" s="2" t="s">
        <v>2955</v>
      </c>
      <c r="B783" s="2" t="s">
        <v>87</v>
      </c>
      <c r="C783" s="2" t="s">
        <v>88</v>
      </c>
      <c r="D783" s="2" t="s">
        <v>2308</v>
      </c>
      <c r="E783" s="2" t="s">
        <v>2927</v>
      </c>
      <c r="F783" s="2" t="s">
        <v>2956</v>
      </c>
      <c r="G783" s="2" t="s">
        <v>2957</v>
      </c>
      <c r="H783" s="2" t="s">
        <v>2958</v>
      </c>
      <c r="I783" s="2" t="s">
        <v>2959</v>
      </c>
      <c r="J783" s="2" t="s">
        <v>95</v>
      </c>
      <c r="K783" s="2" t="s">
        <v>158</v>
      </c>
      <c r="L783" s="3">
        <v>54.99</v>
      </c>
      <c r="M783" s="3">
        <v>57.74</v>
      </c>
      <c r="N783" s="3">
        <v>109.99</v>
      </c>
      <c r="O783" s="2" t="s">
        <v>97</v>
      </c>
      <c r="P783" s="2" t="s">
        <v>198</v>
      </c>
      <c r="Q783" s="2" t="s">
        <v>99</v>
      </c>
      <c r="R783" s="2" t="s">
        <v>100</v>
      </c>
      <c r="S783" s="2" t="s">
        <v>2960</v>
      </c>
      <c r="T783" s="2" t="s">
        <v>100</v>
      </c>
      <c r="U783" s="2" t="s">
        <v>790</v>
      </c>
      <c r="V783" s="2" t="s">
        <v>637</v>
      </c>
      <c r="W783" s="2" t="s">
        <v>405</v>
      </c>
      <c r="X783" s="2" t="s">
        <v>2961</v>
      </c>
      <c r="Y783" s="2" t="s">
        <v>106</v>
      </c>
      <c r="Z783" s="4">
        <v>339</v>
      </c>
      <c r="AA783" s="4">
        <f>=ROUNDDOWN(24.2142857142857,0)</f>
      </c>
      <c r="AB783" s="5">
        <v>14</v>
      </c>
      <c r="AC783" s="2" t="s">
        <v>100</v>
      </c>
      <c r="AD783" s="4"/>
      <c r="AE783" s="4"/>
      <c r="AF783" s="6">
        <v>64</v>
      </c>
      <c r="AG783" s="6">
        <v>47</v>
      </c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>
        <v>0</v>
      </c>
      <c r="AP783" s="4">
        <v>7</v>
      </c>
      <c r="AQ783" s="8">
        <v>404.18</v>
      </c>
      <c r="AR783" s="4">
        <v>4</v>
      </c>
      <c r="AS783" s="8">
        <v>230.96</v>
      </c>
      <c r="AT783" s="7">
        <v>0.75</v>
      </c>
      <c r="AU783" s="7">
        <v>0.75</v>
      </c>
      <c r="AV783" s="4">
        <v>9</v>
      </c>
      <c r="AW783" s="8">
        <v>540.66</v>
      </c>
      <c r="AX783" s="4">
        <v>11</v>
      </c>
      <c r="AY783" s="8">
        <v>708.64</v>
      </c>
      <c r="AZ783" s="7">
        <v>-0.1818</v>
      </c>
      <c r="BA783" s="7">
        <v>-0.237</v>
      </c>
      <c r="BB783" s="7">
        <v>0.7476</v>
      </c>
      <c r="BC783" s="4">
        <v>9</v>
      </c>
      <c r="BD783" s="8">
        <v>540.66</v>
      </c>
      <c r="BE783" s="4">
        <v>15</v>
      </c>
      <c r="BF783" s="8">
        <v>960.6</v>
      </c>
      <c r="BG783" s="7">
        <v>-0.4</v>
      </c>
      <c r="BH783" s="7">
        <v>-0.4372</v>
      </c>
      <c r="BI783" s="7">
        <v>1</v>
      </c>
      <c r="BJ783" s="4">
        <v>237</v>
      </c>
      <c r="BK783" s="8">
        <v>13508.68</v>
      </c>
      <c r="BL783" s="2" t="s">
        <v>2962</v>
      </c>
      <c r="BM783" s="7">
        <v>0.0295</v>
      </c>
      <c r="BN783" s="7">
        <v>0.0299</v>
      </c>
      <c r="BO783" s="4">
        <v>7</v>
      </c>
      <c r="BP783" s="8">
        <v>404.18</v>
      </c>
      <c r="BQ783" s="4">
        <v>4</v>
      </c>
      <c r="BR783" s="8">
        <v>230.96</v>
      </c>
      <c r="BS783" s="7">
        <v>0.75</v>
      </c>
      <c r="BT783" s="7">
        <v>0.75</v>
      </c>
      <c r="BU783" s="2" t="s">
        <v>109</v>
      </c>
      <c r="BV783" s="2" t="s">
        <v>97</v>
      </c>
      <c r="BW783" s="2" t="s">
        <v>132</v>
      </c>
      <c r="BX783" s="2" t="s">
        <v>2963</v>
      </c>
      <c r="BY783" s="2" t="s">
        <v>112</v>
      </c>
      <c r="BZ783" s="2" t="s">
        <v>100</v>
      </c>
    </row>
    <row r="784">
      <c r="A784" s="2" t="s">
        <v>2964</v>
      </c>
      <c r="B784" s="2" t="s">
        <v>87</v>
      </c>
      <c r="C784" s="2" t="s">
        <v>88</v>
      </c>
      <c r="D784" s="2" t="s">
        <v>2308</v>
      </c>
      <c r="E784" s="2" t="s">
        <v>2927</v>
      </c>
      <c r="F784" s="2" t="s">
        <v>2956</v>
      </c>
      <c r="G784" s="2" t="s">
        <v>2957</v>
      </c>
      <c r="H784" s="2" t="s">
        <v>2958</v>
      </c>
      <c r="I784" s="2" t="s">
        <v>2959</v>
      </c>
      <c r="J784" s="2" t="s">
        <v>114</v>
      </c>
      <c r="K784" s="2" t="s">
        <v>158</v>
      </c>
      <c r="L784" s="3">
        <v>65</v>
      </c>
      <c r="M784" s="3">
        <v>68.24</v>
      </c>
      <c r="N784" s="3">
        <v>129.99</v>
      </c>
      <c r="O784" s="2" t="s">
        <v>97</v>
      </c>
      <c r="P784" s="2" t="s">
        <v>198</v>
      </c>
      <c r="Q784" s="2" t="s">
        <v>99</v>
      </c>
      <c r="R784" s="2" t="s">
        <v>100</v>
      </c>
      <c r="S784" s="2" t="s">
        <v>2960</v>
      </c>
      <c r="T784" s="2" t="s">
        <v>100</v>
      </c>
      <c r="U784" s="2" t="s">
        <v>790</v>
      </c>
      <c r="V784" s="2" t="s">
        <v>637</v>
      </c>
      <c r="W784" s="2" t="s">
        <v>405</v>
      </c>
      <c r="X784" s="2" t="s">
        <v>2961</v>
      </c>
      <c r="Y784" s="2" t="s">
        <v>106</v>
      </c>
      <c r="Z784" s="4">
        <v>723</v>
      </c>
      <c r="AA784" s="4">
        <f>=ROUNDDOWN(32.8636363636364,0)</f>
      </c>
      <c r="AB784" s="5">
        <v>22</v>
      </c>
      <c r="AC784" s="2" t="s">
        <v>100</v>
      </c>
      <c r="AD784" s="4"/>
      <c r="AE784" s="4"/>
      <c r="AF784" s="6">
        <v>64</v>
      </c>
      <c r="AG784" s="6">
        <v>47</v>
      </c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>
        <v>0</v>
      </c>
      <c r="AP784" s="4">
        <v>2</v>
      </c>
      <c r="AQ784" s="8">
        <v>136.48</v>
      </c>
      <c r="AR784" s="4">
        <v>7</v>
      </c>
      <c r="AS784" s="8">
        <v>477.68</v>
      </c>
      <c r="AT784" s="7">
        <v>-0.7143</v>
      </c>
      <c r="AU784" s="7">
        <v>-0.7143</v>
      </c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>
        <v>0.2524</v>
      </c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 t="s">
        <v>100</v>
      </c>
      <c r="BJ784" s="4">
        <v>307</v>
      </c>
      <c r="BK784" s="8">
        <v>21147.56</v>
      </c>
      <c r="BL784" s="2" t="s">
        <v>2962</v>
      </c>
      <c r="BM784" s="7">
        <v>0.0065</v>
      </c>
      <c r="BN784" s="7">
        <v>0.0065</v>
      </c>
      <c r="BO784" s="4">
        <v>2</v>
      </c>
      <c r="BP784" s="8">
        <v>136.48</v>
      </c>
      <c r="BQ784" s="4">
        <v>7</v>
      </c>
      <c r="BR784" s="8">
        <v>477.68</v>
      </c>
      <c r="BS784" s="7">
        <v>-0.7143</v>
      </c>
      <c r="BT784" s="7">
        <v>-0.7143</v>
      </c>
      <c r="BU784" s="2" t="s">
        <v>109</v>
      </c>
      <c r="BV784" s="2" t="s">
        <v>97</v>
      </c>
      <c r="BW784" s="2" t="s">
        <v>132</v>
      </c>
      <c r="BX784" s="2" t="s">
        <v>412</v>
      </c>
      <c r="BY784" s="2" t="s">
        <v>112</v>
      </c>
      <c r="BZ784" s="2" t="s">
        <v>100</v>
      </c>
    </row>
    <row r="785">
      <c r="A785" s="2" t="s">
        <v>2965</v>
      </c>
      <c r="B785" s="2" t="s">
        <v>87</v>
      </c>
      <c r="C785" s="2" t="s">
        <v>88</v>
      </c>
      <c r="D785" s="2" t="s">
        <v>2308</v>
      </c>
      <c r="E785" s="2" t="s">
        <v>2927</v>
      </c>
      <c r="F785" s="2" t="s">
        <v>2956</v>
      </c>
      <c r="G785" s="2" t="s">
        <v>2957</v>
      </c>
      <c r="H785" s="2" t="s">
        <v>2958</v>
      </c>
      <c r="I785" s="2" t="s">
        <v>2959</v>
      </c>
      <c r="J785" s="2" t="s">
        <v>95</v>
      </c>
      <c r="K785" s="2" t="s">
        <v>1018</v>
      </c>
      <c r="L785" s="3">
        <v>54.99</v>
      </c>
      <c r="M785" s="3">
        <v>57.74</v>
      </c>
      <c r="N785" s="3">
        <v>109.99</v>
      </c>
      <c r="O785" s="2" t="s">
        <v>229</v>
      </c>
      <c r="P785" s="2" t="s">
        <v>198</v>
      </c>
      <c r="Q785" s="2" t="s">
        <v>99</v>
      </c>
      <c r="R785" s="2" t="s">
        <v>100</v>
      </c>
      <c r="S785" s="2" t="s">
        <v>2966</v>
      </c>
      <c r="T785" s="2" t="s">
        <v>100</v>
      </c>
      <c r="U785" s="2" t="s">
        <v>790</v>
      </c>
      <c r="V785" s="2" t="s">
        <v>637</v>
      </c>
      <c r="W785" s="2" t="s">
        <v>405</v>
      </c>
      <c r="X785" s="2" t="s">
        <v>2961</v>
      </c>
      <c r="Y785" s="2" t="s">
        <v>106</v>
      </c>
      <c r="Z785" s="4"/>
      <c r="AA785" s="4">
        <f>=ROUNDDOWN({0},0)</f>
      </c>
      <c r="AB785" s="5"/>
      <c r="AC785" s="2" t="s">
        <v>100</v>
      </c>
      <c r="AD785" s="4"/>
      <c r="AE785" s="4"/>
      <c r="AF785" s="6">
        <v>64</v>
      </c>
      <c r="AG785" s="6">
        <v>47</v>
      </c>
      <c r="AH785" s="7">
        <v>0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>
        <v>0</v>
      </c>
      <c r="AP785" s="4"/>
      <c r="AQ785" s="8"/>
      <c r="AR785" s="4">
        <v>2</v>
      </c>
      <c r="AS785" s="8">
        <v>115.48</v>
      </c>
      <c r="AT785" s="7">
        <v>-1</v>
      </c>
      <c r="AU785" s="7">
        <v>-1</v>
      </c>
      <c r="AV785" s="4" t="s">
        <v>100</v>
      </c>
      <c r="AW785" s="8" t="s">
        <v>100</v>
      </c>
      <c r="AX785" s="4">
        <v>4</v>
      </c>
      <c r="AY785" s="8">
        <v>251.96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 t="s">
        <v>100</v>
      </c>
      <c r="BJ785" s="4"/>
      <c r="BK785" s="8"/>
      <c r="BL785" s="2" t="s">
        <v>2967</v>
      </c>
      <c r="BM785" s="7"/>
      <c r="BN785" s="7"/>
      <c r="BO785" s="4"/>
      <c r="BP785" s="8"/>
      <c r="BQ785" s="4">
        <v>2</v>
      </c>
      <c r="BR785" s="8">
        <v>115.48</v>
      </c>
      <c r="BS785" s="7">
        <v>-1</v>
      </c>
      <c r="BT785" s="7">
        <v>-1</v>
      </c>
      <c r="BU785" s="2" t="s">
        <v>109</v>
      </c>
      <c r="BV785" s="2" t="s">
        <v>552</v>
      </c>
      <c r="BW785" s="2" t="s">
        <v>132</v>
      </c>
      <c r="BX785" s="2" t="s">
        <v>2968</v>
      </c>
      <c r="BY785" s="2" t="s">
        <v>112</v>
      </c>
      <c r="BZ785" s="2" t="s">
        <v>100</v>
      </c>
    </row>
    <row r="786">
      <c r="A786" s="2" t="s">
        <v>2969</v>
      </c>
      <c r="B786" s="2" t="s">
        <v>87</v>
      </c>
      <c r="C786" s="2" t="s">
        <v>88</v>
      </c>
      <c r="D786" s="2" t="s">
        <v>2308</v>
      </c>
      <c r="E786" s="2" t="s">
        <v>2927</v>
      </c>
      <c r="F786" s="2" t="s">
        <v>2956</v>
      </c>
      <c r="G786" s="2" t="s">
        <v>2957</v>
      </c>
      <c r="H786" s="2" t="s">
        <v>2958</v>
      </c>
      <c r="I786" s="2" t="s">
        <v>2959</v>
      </c>
      <c r="J786" s="2" t="s">
        <v>114</v>
      </c>
      <c r="K786" s="2" t="s">
        <v>1018</v>
      </c>
      <c r="L786" s="3">
        <v>65</v>
      </c>
      <c r="M786" s="3">
        <v>68.24</v>
      </c>
      <c r="N786" s="3">
        <v>129.99</v>
      </c>
      <c r="O786" s="2" t="s">
        <v>550</v>
      </c>
      <c r="P786" s="2" t="s">
        <v>198</v>
      </c>
      <c r="Q786" s="2" t="s">
        <v>99</v>
      </c>
      <c r="R786" s="2" t="s">
        <v>100</v>
      </c>
      <c r="S786" s="2" t="s">
        <v>2966</v>
      </c>
      <c r="T786" s="2" t="s">
        <v>100</v>
      </c>
      <c r="U786" s="2" t="s">
        <v>790</v>
      </c>
      <c r="V786" s="2" t="s">
        <v>637</v>
      </c>
      <c r="W786" s="2" t="s">
        <v>405</v>
      </c>
      <c r="X786" s="2" t="s">
        <v>2961</v>
      </c>
      <c r="Y786" s="2" t="s">
        <v>106</v>
      </c>
      <c r="Z786" s="4">
        <v>36</v>
      </c>
      <c r="AA786" s="4">
        <f>=ROUNDDOWN(4.55696202531646,0)</f>
      </c>
      <c r="AB786" s="5">
        <v>7.9</v>
      </c>
      <c r="AC786" s="2" t="s">
        <v>100</v>
      </c>
      <c r="AD786" s="4"/>
      <c r="AE786" s="4"/>
      <c r="AF786" s="6">
        <v>64</v>
      </c>
      <c r="AG786" s="6">
        <v>47</v>
      </c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>
        <v>0</v>
      </c>
      <c r="AP786" s="4"/>
      <c r="AQ786" s="8"/>
      <c r="AR786" s="4">
        <v>2</v>
      </c>
      <c r="AS786" s="8">
        <v>136.48</v>
      </c>
      <c r="AT786" s="7">
        <v>-1</v>
      </c>
      <c r="AU786" s="7">
        <v>-1</v>
      </c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 t="s">
        <v>100</v>
      </c>
      <c r="BJ786" s="4">
        <v>129</v>
      </c>
      <c r="BK786" s="8">
        <v>8105.04</v>
      </c>
      <c r="BL786" s="2" t="s">
        <v>2970</v>
      </c>
      <c r="BM786" s="7"/>
      <c r="BN786" s="7"/>
      <c r="BO786" s="4"/>
      <c r="BP786" s="8"/>
      <c r="BQ786" s="4">
        <v>2</v>
      </c>
      <c r="BR786" s="8">
        <v>136.48</v>
      </c>
      <c r="BS786" s="7">
        <v>-1</v>
      </c>
      <c r="BT786" s="7">
        <v>-1</v>
      </c>
      <c r="BU786" s="2" t="s">
        <v>109</v>
      </c>
      <c r="BV786" s="2" t="s">
        <v>97</v>
      </c>
      <c r="BW786" s="2" t="s">
        <v>132</v>
      </c>
      <c r="BX786" s="2" t="s">
        <v>2971</v>
      </c>
      <c r="BY786" s="2" t="s">
        <v>112</v>
      </c>
      <c r="BZ786" s="2" t="s">
        <v>100</v>
      </c>
    </row>
    <row r="787">
      <c r="A787" s="2" t="s">
        <v>2972</v>
      </c>
      <c r="B787" s="2" t="s">
        <v>87</v>
      </c>
      <c r="C787" s="2" t="s">
        <v>88</v>
      </c>
      <c r="D787" s="2" t="s">
        <v>2308</v>
      </c>
      <c r="E787" s="2" t="s">
        <v>2927</v>
      </c>
      <c r="F787" s="2" t="s">
        <v>930</v>
      </c>
      <c r="G787" s="2" t="s">
        <v>931</v>
      </c>
      <c r="H787" s="2" t="s">
        <v>932</v>
      </c>
      <c r="I787" s="2" t="s">
        <v>2973</v>
      </c>
      <c r="J787" s="2" t="s">
        <v>95</v>
      </c>
      <c r="K787" s="2" t="s">
        <v>933</v>
      </c>
      <c r="L787" s="3">
        <v>57.32</v>
      </c>
      <c r="M787" s="3">
        <v>60.19</v>
      </c>
      <c r="N787" s="3">
        <v>119.99</v>
      </c>
      <c r="O787" s="2" t="s">
        <v>97</v>
      </c>
      <c r="P787" s="2" t="s">
        <v>182</v>
      </c>
      <c r="Q787" s="2" t="s">
        <v>99</v>
      </c>
      <c r="R787" s="2" t="s">
        <v>100</v>
      </c>
      <c r="S787" s="2" t="s">
        <v>2974</v>
      </c>
      <c r="T787" s="2" t="s">
        <v>100</v>
      </c>
      <c r="U787" s="2" t="s">
        <v>790</v>
      </c>
      <c r="V787" s="2" t="s">
        <v>455</v>
      </c>
      <c r="W787" s="2" t="s">
        <v>405</v>
      </c>
      <c r="X787" s="2" t="s">
        <v>456</v>
      </c>
      <c r="Y787" s="2" t="s">
        <v>1322</v>
      </c>
      <c r="Z787" s="4">
        <v>708</v>
      </c>
      <c r="AA787" s="4">
        <f>=ROUNDDOWN(41.6470588235294,0)</f>
      </c>
      <c r="AB787" s="5">
        <v>17</v>
      </c>
      <c r="AC787" s="2" t="s">
        <v>936</v>
      </c>
      <c r="AD787" s="4">
        <v>50</v>
      </c>
      <c r="AE787" s="4">
        <v>50</v>
      </c>
      <c r="AF787" s="6">
        <v>65</v>
      </c>
      <c r="AG787" s="6">
        <v>48</v>
      </c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>
        <v>0</v>
      </c>
      <c r="AP787" s="4">
        <v>2</v>
      </c>
      <c r="AQ787" s="8">
        <v>120.38</v>
      </c>
      <c r="AR787" s="4">
        <v>3</v>
      </c>
      <c r="AS787" s="8">
        <v>200.64</v>
      </c>
      <c r="AT787" s="7">
        <v>-0.3333</v>
      </c>
      <c r="AU787" s="7">
        <v>-0.4</v>
      </c>
      <c r="AV787" s="4">
        <v>7</v>
      </c>
      <c r="AW787" s="8">
        <v>474.78</v>
      </c>
      <c r="AX787" s="4">
        <v>11</v>
      </c>
      <c r="AY787" s="8">
        <v>822.7</v>
      </c>
      <c r="AZ787" s="7">
        <v>-0.3636</v>
      </c>
      <c r="BA787" s="7">
        <v>-0.4229</v>
      </c>
      <c r="BB787" s="7">
        <v>0.2535</v>
      </c>
      <c r="BC787" s="4">
        <v>7</v>
      </c>
      <c r="BD787" s="8">
        <v>474.78</v>
      </c>
      <c r="BE787" s="4">
        <v>11</v>
      </c>
      <c r="BF787" s="8">
        <v>822.7</v>
      </c>
      <c r="BG787" s="7">
        <v>-0.3636</v>
      </c>
      <c r="BH787" s="7">
        <v>-0.4229</v>
      </c>
      <c r="BI787" s="7">
        <v>1</v>
      </c>
      <c r="BJ787" s="4">
        <v>315</v>
      </c>
      <c r="BK787" s="8">
        <v>20797.35</v>
      </c>
      <c r="BL787" s="2" t="s">
        <v>2975</v>
      </c>
      <c r="BM787" s="7">
        <v>0.0063</v>
      </c>
      <c r="BN787" s="7">
        <v>0.0058</v>
      </c>
      <c r="BO787" s="4">
        <v>2</v>
      </c>
      <c r="BP787" s="8">
        <v>120.38</v>
      </c>
      <c r="BQ787" s="4">
        <v>3</v>
      </c>
      <c r="BR787" s="8">
        <v>200.64</v>
      </c>
      <c r="BS787" s="7">
        <v>-0.3333</v>
      </c>
      <c r="BT787" s="7">
        <v>-0.4</v>
      </c>
      <c r="BU787" s="2" t="s">
        <v>109</v>
      </c>
      <c r="BV787" s="2" t="s">
        <v>97</v>
      </c>
      <c r="BW787" s="2" t="s">
        <v>203</v>
      </c>
      <c r="BX787" s="2" t="s">
        <v>2976</v>
      </c>
      <c r="BY787" s="2" t="s">
        <v>112</v>
      </c>
      <c r="BZ787" s="2" t="s">
        <v>100</v>
      </c>
    </row>
    <row r="788">
      <c r="A788" s="2" t="s">
        <v>2977</v>
      </c>
      <c r="B788" s="2" t="s">
        <v>87</v>
      </c>
      <c r="C788" s="2" t="s">
        <v>88</v>
      </c>
      <c r="D788" s="2" t="s">
        <v>2308</v>
      </c>
      <c r="E788" s="2" t="s">
        <v>2927</v>
      </c>
      <c r="F788" s="2" t="s">
        <v>930</v>
      </c>
      <c r="G788" s="2" t="s">
        <v>931</v>
      </c>
      <c r="H788" s="2" t="s">
        <v>932</v>
      </c>
      <c r="I788" s="2" t="s">
        <v>2973</v>
      </c>
      <c r="J788" s="2" t="s">
        <v>114</v>
      </c>
      <c r="K788" s="2" t="s">
        <v>933</v>
      </c>
      <c r="L788" s="3">
        <v>67.5</v>
      </c>
      <c r="M788" s="3">
        <v>70.88</v>
      </c>
      <c r="N788" s="3">
        <v>139.99</v>
      </c>
      <c r="O788" s="2" t="s">
        <v>97</v>
      </c>
      <c r="P788" s="2" t="s">
        <v>182</v>
      </c>
      <c r="Q788" s="2" t="s">
        <v>99</v>
      </c>
      <c r="R788" s="2" t="s">
        <v>100</v>
      </c>
      <c r="S788" s="2" t="s">
        <v>2974</v>
      </c>
      <c r="T788" s="2" t="s">
        <v>100</v>
      </c>
      <c r="U788" s="2" t="s">
        <v>790</v>
      </c>
      <c r="V788" s="2" t="s">
        <v>455</v>
      </c>
      <c r="W788" s="2" t="s">
        <v>405</v>
      </c>
      <c r="X788" s="2" t="s">
        <v>456</v>
      </c>
      <c r="Y788" s="2" t="s">
        <v>1322</v>
      </c>
      <c r="Z788" s="4">
        <v>1141</v>
      </c>
      <c r="AA788" s="4">
        <f>=ROUNDDOWN(40.75,0)</f>
      </c>
      <c r="AB788" s="5">
        <v>28</v>
      </c>
      <c r="AC788" s="2" t="s">
        <v>589</v>
      </c>
      <c r="AD788" s="4">
        <v>100</v>
      </c>
      <c r="AE788" s="4">
        <v>170</v>
      </c>
      <c r="AF788" s="6">
        <v>65</v>
      </c>
      <c r="AG788" s="6">
        <v>48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>
        <v>0</v>
      </c>
      <c r="AP788" s="4">
        <v>5</v>
      </c>
      <c r="AQ788" s="8">
        <v>354.4</v>
      </c>
      <c r="AR788" s="4">
        <v>8</v>
      </c>
      <c r="AS788" s="8">
        <v>622.06</v>
      </c>
      <c r="AT788" s="7">
        <v>-0.375</v>
      </c>
      <c r="AU788" s="7">
        <v>-0.4303</v>
      </c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>
        <v>0.7465</v>
      </c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 t="s">
        <v>100</v>
      </c>
      <c r="BJ788" s="4">
        <v>565</v>
      </c>
      <c r="BK788" s="8">
        <v>44288.32</v>
      </c>
      <c r="BL788" s="2" t="s">
        <v>2978</v>
      </c>
      <c r="BM788" s="7">
        <v>0.0088</v>
      </c>
      <c r="BN788" s="7">
        <v>0.008</v>
      </c>
      <c r="BO788" s="4">
        <v>5</v>
      </c>
      <c r="BP788" s="8">
        <v>354.4</v>
      </c>
      <c r="BQ788" s="4">
        <v>8</v>
      </c>
      <c r="BR788" s="8">
        <v>622.06</v>
      </c>
      <c r="BS788" s="7">
        <v>-0.375</v>
      </c>
      <c r="BT788" s="7">
        <v>-0.4303</v>
      </c>
      <c r="BU788" s="2" t="s">
        <v>109</v>
      </c>
      <c r="BV788" s="2" t="s">
        <v>97</v>
      </c>
      <c r="BW788" s="2" t="s">
        <v>203</v>
      </c>
      <c r="BX788" s="2" t="s">
        <v>2979</v>
      </c>
      <c r="BY788" s="2" t="s">
        <v>112</v>
      </c>
      <c r="BZ788" s="2" t="s">
        <v>100</v>
      </c>
    </row>
    <row r="789">
      <c r="A789" s="2" t="s">
        <v>2980</v>
      </c>
      <c r="B789" s="2" t="s">
        <v>87</v>
      </c>
      <c r="C789" s="2" t="s">
        <v>88</v>
      </c>
      <c r="D789" s="2" t="s">
        <v>2308</v>
      </c>
      <c r="E789" s="2" t="s">
        <v>2927</v>
      </c>
      <c r="F789" s="2" t="s">
        <v>1931</v>
      </c>
      <c r="G789" s="2" t="s">
        <v>1932</v>
      </c>
      <c r="H789" s="2" t="s">
        <v>1933</v>
      </c>
      <c r="I789" s="2" t="s">
        <v>2981</v>
      </c>
      <c r="J789" s="2" t="s">
        <v>844</v>
      </c>
      <c r="K789" s="2" t="s">
        <v>1935</v>
      </c>
      <c r="L789" s="3">
        <v>44.54</v>
      </c>
      <c r="M789" s="3">
        <v>46.77</v>
      </c>
      <c r="N789" s="3">
        <v>99.99</v>
      </c>
      <c r="O789" s="2" t="s">
        <v>97</v>
      </c>
      <c r="P789" s="2" t="s">
        <v>182</v>
      </c>
      <c r="Q789" s="2" t="s">
        <v>99</v>
      </c>
      <c r="R789" s="2" t="s">
        <v>100</v>
      </c>
      <c r="S789" s="2" t="s">
        <v>2982</v>
      </c>
      <c r="T789" s="2" t="s">
        <v>100</v>
      </c>
      <c r="U789" s="2" t="s">
        <v>1610</v>
      </c>
      <c r="V789" s="2" t="s">
        <v>455</v>
      </c>
      <c r="W789" s="2" t="s">
        <v>733</v>
      </c>
      <c r="X789" s="2" t="s">
        <v>1852</v>
      </c>
      <c r="Y789" s="2" t="s">
        <v>2983</v>
      </c>
      <c r="Z789" s="4">
        <v>523</v>
      </c>
      <c r="AA789" s="4">
        <f>=ROUNDDOWN(34.1830065359477,0)</f>
      </c>
      <c r="AB789" s="5">
        <v>15.3</v>
      </c>
      <c r="AC789" s="2" t="s">
        <v>792</v>
      </c>
      <c r="AD789" s="4">
        <v>50</v>
      </c>
      <c r="AE789" s="4">
        <v>210</v>
      </c>
      <c r="AF789" s="6">
        <v>69</v>
      </c>
      <c r="AG789" s="6">
        <v>77</v>
      </c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>
        <v>0</v>
      </c>
      <c r="AP789" s="4">
        <v>1</v>
      </c>
      <c r="AQ789" s="8">
        <v>46.77</v>
      </c>
      <c r="AR789" s="4">
        <v>1</v>
      </c>
      <c r="AS789" s="8">
        <v>46.77</v>
      </c>
      <c r="AT789" s="7"/>
      <c r="AU789" s="7"/>
      <c r="AV789" s="4">
        <v>2</v>
      </c>
      <c r="AW789" s="8">
        <v>102.05</v>
      </c>
      <c r="AX789" s="4">
        <v>14</v>
      </c>
      <c r="AY789" s="8">
        <v>802.25</v>
      </c>
      <c r="AZ789" s="7">
        <v>-0.8571</v>
      </c>
      <c r="BA789" s="7">
        <v>-0.8728</v>
      </c>
      <c r="BB789" s="7">
        <v>0.4583</v>
      </c>
      <c r="BC789" s="4">
        <v>2</v>
      </c>
      <c r="BD789" s="8">
        <v>102.05</v>
      </c>
      <c r="BE789" s="4">
        <v>14</v>
      </c>
      <c r="BF789" s="8">
        <v>802.25</v>
      </c>
      <c r="BG789" s="7">
        <v>-0.8571</v>
      </c>
      <c r="BH789" s="7">
        <v>-0.8728</v>
      </c>
      <c r="BI789" s="7">
        <v>1</v>
      </c>
      <c r="BJ789" s="4">
        <v>372</v>
      </c>
      <c r="BK789" s="8">
        <v>19440.1</v>
      </c>
      <c r="BL789" s="2" t="s">
        <v>2984</v>
      </c>
      <c r="BM789" s="7">
        <v>0.0027</v>
      </c>
      <c r="BN789" s="7">
        <v>0.0024</v>
      </c>
      <c r="BO789" s="4">
        <v>1</v>
      </c>
      <c r="BP789" s="8">
        <v>46.77</v>
      </c>
      <c r="BQ789" s="4">
        <v>1</v>
      </c>
      <c r="BR789" s="8">
        <v>46.77</v>
      </c>
      <c r="BS789" s="7"/>
      <c r="BT789" s="7"/>
      <c r="BU789" s="2" t="s">
        <v>109</v>
      </c>
      <c r="BV789" s="2" t="s">
        <v>97</v>
      </c>
      <c r="BW789" s="2" t="s">
        <v>606</v>
      </c>
      <c r="BX789" s="2" t="s">
        <v>2985</v>
      </c>
      <c r="BY789" s="2" t="s">
        <v>112</v>
      </c>
      <c r="BZ789" s="2" t="s">
        <v>100</v>
      </c>
    </row>
    <row r="790">
      <c r="A790" s="2" t="s">
        <v>2986</v>
      </c>
      <c r="B790" s="2" t="s">
        <v>87</v>
      </c>
      <c r="C790" s="2" t="s">
        <v>88</v>
      </c>
      <c r="D790" s="2" t="s">
        <v>2308</v>
      </c>
      <c r="E790" s="2" t="s">
        <v>2927</v>
      </c>
      <c r="F790" s="2" t="s">
        <v>1931</v>
      </c>
      <c r="G790" s="2" t="s">
        <v>1932</v>
      </c>
      <c r="H790" s="2" t="s">
        <v>1933</v>
      </c>
      <c r="I790" s="2" t="s">
        <v>2981</v>
      </c>
      <c r="J790" s="2" t="s">
        <v>850</v>
      </c>
      <c r="K790" s="2" t="s">
        <v>1935</v>
      </c>
      <c r="L790" s="3">
        <v>52.65</v>
      </c>
      <c r="M790" s="3">
        <v>55.28</v>
      </c>
      <c r="N790" s="3">
        <v>119.99</v>
      </c>
      <c r="O790" s="2" t="s">
        <v>97</v>
      </c>
      <c r="P790" s="2" t="s">
        <v>182</v>
      </c>
      <c r="Q790" s="2" t="s">
        <v>99</v>
      </c>
      <c r="R790" s="2" t="s">
        <v>100</v>
      </c>
      <c r="S790" s="2" t="s">
        <v>2982</v>
      </c>
      <c r="T790" s="2" t="s">
        <v>100</v>
      </c>
      <c r="U790" s="2" t="s">
        <v>1610</v>
      </c>
      <c r="V790" s="2" t="s">
        <v>455</v>
      </c>
      <c r="W790" s="2" t="s">
        <v>733</v>
      </c>
      <c r="X790" s="2" t="s">
        <v>1852</v>
      </c>
      <c r="Y790" s="2" t="s">
        <v>2983</v>
      </c>
      <c r="Z790" s="4">
        <v>719</v>
      </c>
      <c r="AA790" s="4">
        <f>=ROUNDDOWN(31.2608695652174,0)</f>
      </c>
      <c r="AB790" s="5">
        <v>23</v>
      </c>
      <c r="AC790" s="2" t="s">
        <v>2403</v>
      </c>
      <c r="AD790" s="4">
        <v>100</v>
      </c>
      <c r="AE790" s="4">
        <v>190</v>
      </c>
      <c r="AF790" s="6">
        <v>69</v>
      </c>
      <c r="AG790" s="6">
        <v>77</v>
      </c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>
        <v>0</v>
      </c>
      <c r="AP790" s="4">
        <v>1</v>
      </c>
      <c r="AQ790" s="8">
        <v>55.28</v>
      </c>
      <c r="AR790" s="4">
        <v>13</v>
      </c>
      <c r="AS790" s="8">
        <v>755.48</v>
      </c>
      <c r="AT790" s="7">
        <v>-0.9231</v>
      </c>
      <c r="AU790" s="7">
        <v>-0.9268</v>
      </c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>
        <v>0.5417</v>
      </c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 t="s">
        <v>100</v>
      </c>
      <c r="BJ790" s="4">
        <v>453</v>
      </c>
      <c r="BK790" s="8">
        <v>27938.34</v>
      </c>
      <c r="BL790" s="2" t="s">
        <v>2987</v>
      </c>
      <c r="BM790" s="7">
        <v>0.0022</v>
      </c>
      <c r="BN790" s="7">
        <v>0.002</v>
      </c>
      <c r="BO790" s="4">
        <v>1</v>
      </c>
      <c r="BP790" s="8">
        <v>55.28</v>
      </c>
      <c r="BQ790" s="4">
        <v>13</v>
      </c>
      <c r="BR790" s="8">
        <v>755.48</v>
      </c>
      <c r="BS790" s="7">
        <v>-0.9231</v>
      </c>
      <c r="BT790" s="7">
        <v>-0.9268</v>
      </c>
      <c r="BU790" s="2" t="s">
        <v>109</v>
      </c>
      <c r="BV790" s="2" t="s">
        <v>97</v>
      </c>
      <c r="BW790" s="2" t="s">
        <v>606</v>
      </c>
      <c r="BX790" s="2" t="s">
        <v>2988</v>
      </c>
      <c r="BY790" s="2" t="s">
        <v>112</v>
      </c>
      <c r="BZ790" s="2" t="s">
        <v>100</v>
      </c>
    </row>
    <row r="791">
      <c r="A791" s="2" t="s">
        <v>2989</v>
      </c>
      <c r="B791" s="2" t="s">
        <v>87</v>
      </c>
      <c r="C791" s="2" t="s">
        <v>88</v>
      </c>
      <c r="D791" s="2" t="s">
        <v>2308</v>
      </c>
      <c r="E791" s="2" t="s">
        <v>2927</v>
      </c>
      <c r="F791" s="2" t="s">
        <v>1931</v>
      </c>
      <c r="G791" s="2" t="s">
        <v>1932</v>
      </c>
      <c r="H791" s="2" t="s">
        <v>1933</v>
      </c>
      <c r="I791" s="2" t="s">
        <v>2990</v>
      </c>
      <c r="J791" s="2" t="s">
        <v>844</v>
      </c>
      <c r="K791" s="2" t="s">
        <v>622</v>
      </c>
      <c r="L791" s="3">
        <v>44.54</v>
      </c>
      <c r="M791" s="3">
        <v>46.77</v>
      </c>
      <c r="N791" s="3">
        <v>99.99</v>
      </c>
      <c r="O791" s="2" t="s">
        <v>97</v>
      </c>
      <c r="P791" s="2" t="s">
        <v>182</v>
      </c>
      <c r="Q791" s="2" t="s">
        <v>99</v>
      </c>
      <c r="R791" s="2" t="s">
        <v>100</v>
      </c>
      <c r="S791" s="2" t="s">
        <v>2991</v>
      </c>
      <c r="T791" s="2" t="s">
        <v>100</v>
      </c>
      <c r="U791" s="2" t="s">
        <v>1610</v>
      </c>
      <c r="V791" s="2" t="s">
        <v>455</v>
      </c>
      <c r="W791" s="2" t="s">
        <v>733</v>
      </c>
      <c r="X791" s="2" t="s">
        <v>791</v>
      </c>
      <c r="Y791" s="2" t="s">
        <v>2537</v>
      </c>
      <c r="Z791" s="4">
        <v>177</v>
      </c>
      <c r="AA791" s="4">
        <f>=ROUNDDOWN(12.6428571428571,0)</f>
      </c>
      <c r="AB791" s="5">
        <v>14</v>
      </c>
      <c r="AC791" s="2" t="s">
        <v>138</v>
      </c>
      <c r="AD791" s="4">
        <v>140</v>
      </c>
      <c r="AE791" s="4">
        <v>460</v>
      </c>
      <c r="AF791" s="6">
        <v>69</v>
      </c>
      <c r="AG791" s="6">
        <v>77</v>
      </c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 t="s">
        <v>100</v>
      </c>
      <c r="BJ791" s="4">
        <v>284</v>
      </c>
      <c r="BK791" s="8">
        <v>14261.21</v>
      </c>
      <c r="BL791" s="2" t="s">
        <v>2992</v>
      </c>
      <c r="BM791" s="7"/>
      <c r="BN791" s="7"/>
      <c r="BO791" s="4"/>
      <c r="BP791" s="8"/>
      <c r="BQ791" s="4"/>
      <c r="BR791" s="8"/>
      <c r="BS791" s="7"/>
      <c r="BT791" s="7"/>
      <c r="BU791" s="2" t="s">
        <v>147</v>
      </c>
      <c r="BV791" s="2" t="s">
        <v>97</v>
      </c>
      <c r="BW791" s="2" t="s">
        <v>100</v>
      </c>
      <c r="BX791" s="2" t="s">
        <v>100</v>
      </c>
      <c r="BY791" s="2" t="s">
        <v>112</v>
      </c>
      <c r="BZ791" s="2" t="s">
        <v>100</v>
      </c>
    </row>
    <row r="792">
      <c r="A792" s="2" t="s">
        <v>2993</v>
      </c>
      <c r="B792" s="2" t="s">
        <v>87</v>
      </c>
      <c r="C792" s="2" t="s">
        <v>88</v>
      </c>
      <c r="D792" s="2" t="s">
        <v>2308</v>
      </c>
      <c r="E792" s="2" t="s">
        <v>2927</v>
      </c>
      <c r="F792" s="2" t="s">
        <v>1931</v>
      </c>
      <c r="G792" s="2" t="s">
        <v>1932</v>
      </c>
      <c r="H792" s="2" t="s">
        <v>1933</v>
      </c>
      <c r="I792" s="2" t="s">
        <v>2990</v>
      </c>
      <c r="J792" s="2" t="s">
        <v>850</v>
      </c>
      <c r="K792" s="2" t="s">
        <v>622</v>
      </c>
      <c r="L792" s="3">
        <v>52.65</v>
      </c>
      <c r="M792" s="3">
        <v>55.28</v>
      </c>
      <c r="N792" s="3">
        <v>119.99</v>
      </c>
      <c r="O792" s="2" t="s">
        <v>97</v>
      </c>
      <c r="P792" s="2" t="s">
        <v>182</v>
      </c>
      <c r="Q792" s="2" t="s">
        <v>99</v>
      </c>
      <c r="R792" s="2" t="s">
        <v>100</v>
      </c>
      <c r="S792" s="2" t="s">
        <v>2991</v>
      </c>
      <c r="T792" s="2" t="s">
        <v>100</v>
      </c>
      <c r="U792" s="2" t="s">
        <v>1610</v>
      </c>
      <c r="V792" s="2" t="s">
        <v>455</v>
      </c>
      <c r="W792" s="2" t="s">
        <v>733</v>
      </c>
      <c r="X792" s="2" t="s">
        <v>791</v>
      </c>
      <c r="Y792" s="2" t="s">
        <v>2537</v>
      </c>
      <c r="Z792" s="4">
        <v>526</v>
      </c>
      <c r="AA792" s="4">
        <f>=ROUNDDOWN(23.9090909090909,0)</f>
      </c>
      <c r="AB792" s="5">
        <v>22</v>
      </c>
      <c r="AC792" s="2" t="s">
        <v>533</v>
      </c>
      <c r="AD792" s="4">
        <v>180</v>
      </c>
      <c r="AE792" s="4">
        <v>340</v>
      </c>
      <c r="AF792" s="6">
        <v>69</v>
      </c>
      <c r="AG792" s="6">
        <v>77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 t="s">
        <v>100</v>
      </c>
      <c r="BJ792" s="4">
        <v>482</v>
      </c>
      <c r="BK792" s="8">
        <v>29229.23</v>
      </c>
      <c r="BL792" s="2" t="s">
        <v>2994</v>
      </c>
      <c r="BM792" s="7"/>
      <c r="BN792" s="7"/>
      <c r="BO792" s="4"/>
      <c r="BP792" s="8"/>
      <c r="BQ792" s="4"/>
      <c r="BR792" s="8"/>
      <c r="BS792" s="7"/>
      <c r="BT792" s="7"/>
      <c r="BU792" s="2" t="s">
        <v>147</v>
      </c>
      <c r="BV792" s="2" t="s">
        <v>97</v>
      </c>
      <c r="BW792" s="2" t="s">
        <v>100</v>
      </c>
      <c r="BX792" s="2" t="s">
        <v>100</v>
      </c>
      <c r="BY792" s="2" t="s">
        <v>112</v>
      </c>
      <c r="BZ792" s="2" t="s">
        <v>100</v>
      </c>
    </row>
    <row r="793">
      <c r="A793" s="2" t="s">
        <v>2995</v>
      </c>
      <c r="B793" s="2" t="s">
        <v>87</v>
      </c>
      <c r="C793" s="2" t="s">
        <v>88</v>
      </c>
      <c r="D793" s="2" t="s">
        <v>2308</v>
      </c>
      <c r="E793" s="2" t="s">
        <v>2927</v>
      </c>
      <c r="F793" s="2" t="s">
        <v>1864</v>
      </c>
      <c r="G793" s="2" t="s">
        <v>1865</v>
      </c>
      <c r="H793" s="2" t="s">
        <v>1866</v>
      </c>
      <c r="I793" s="2" t="s">
        <v>2973</v>
      </c>
      <c r="J793" s="2" t="s">
        <v>95</v>
      </c>
      <c r="K793" s="2" t="s">
        <v>158</v>
      </c>
      <c r="L793" s="3">
        <v>63.7</v>
      </c>
      <c r="M793" s="3">
        <v>66.88</v>
      </c>
      <c r="N793" s="3">
        <v>129.99</v>
      </c>
      <c r="O793" s="2" t="s">
        <v>97</v>
      </c>
      <c r="P793" s="2" t="s">
        <v>182</v>
      </c>
      <c r="Q793" s="2" t="s">
        <v>99</v>
      </c>
      <c r="R793" s="2" t="s">
        <v>100</v>
      </c>
      <c r="S793" s="2" t="s">
        <v>2996</v>
      </c>
      <c r="T793" s="2" t="s">
        <v>100</v>
      </c>
      <c r="U793" s="2" t="s">
        <v>790</v>
      </c>
      <c r="V793" s="2" t="s">
        <v>404</v>
      </c>
      <c r="W793" s="2" t="s">
        <v>405</v>
      </c>
      <c r="X793" s="2" t="s">
        <v>406</v>
      </c>
      <c r="Y793" s="2" t="s">
        <v>2938</v>
      </c>
      <c r="Z793" s="4">
        <v>292</v>
      </c>
      <c r="AA793" s="4">
        <f>=ROUNDDOWN(20.8571428571429,0)</f>
      </c>
      <c r="AB793" s="5">
        <v>14</v>
      </c>
      <c r="AC793" s="2" t="s">
        <v>589</v>
      </c>
      <c r="AD793" s="4">
        <v>120</v>
      </c>
      <c r="AE793" s="4">
        <v>450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271</v>
      </c>
      <c r="BK793" s="8">
        <v>15827.17</v>
      </c>
      <c r="BL793" s="2" t="s">
        <v>2997</v>
      </c>
      <c r="BM793" s="7"/>
      <c r="BN793" s="7"/>
      <c r="BO793" s="4"/>
      <c r="BP793" s="8"/>
      <c r="BQ793" s="4"/>
      <c r="BR793" s="8"/>
      <c r="BS793" s="7"/>
      <c r="BT793" s="7"/>
      <c r="BU793" s="2" t="s">
        <v>147</v>
      </c>
      <c r="BV793" s="2" t="s">
        <v>97</v>
      </c>
      <c r="BW793" s="2" t="s">
        <v>100</v>
      </c>
      <c r="BX793" s="2" t="s">
        <v>100</v>
      </c>
      <c r="BY793" s="2" t="s">
        <v>112</v>
      </c>
      <c r="BZ793" s="2" t="s">
        <v>100</v>
      </c>
    </row>
    <row r="794">
      <c r="A794" s="2" t="s">
        <v>2998</v>
      </c>
      <c r="B794" s="2" t="s">
        <v>87</v>
      </c>
      <c r="C794" s="2" t="s">
        <v>88</v>
      </c>
      <c r="D794" s="2" t="s">
        <v>2308</v>
      </c>
      <c r="E794" s="2" t="s">
        <v>2927</v>
      </c>
      <c r="F794" s="2" t="s">
        <v>1864</v>
      </c>
      <c r="G794" s="2" t="s">
        <v>1865</v>
      </c>
      <c r="H794" s="2" t="s">
        <v>1866</v>
      </c>
      <c r="I794" s="2" t="s">
        <v>2973</v>
      </c>
      <c r="J794" s="2" t="s">
        <v>114</v>
      </c>
      <c r="K794" s="2" t="s">
        <v>158</v>
      </c>
      <c r="L794" s="3">
        <v>75</v>
      </c>
      <c r="M794" s="3">
        <v>78.74</v>
      </c>
      <c r="N794" s="3">
        <v>149.99</v>
      </c>
      <c r="O794" s="2" t="s">
        <v>97</v>
      </c>
      <c r="P794" s="2" t="s">
        <v>182</v>
      </c>
      <c r="Q794" s="2" t="s">
        <v>99</v>
      </c>
      <c r="R794" s="2" t="s">
        <v>100</v>
      </c>
      <c r="S794" s="2" t="s">
        <v>2996</v>
      </c>
      <c r="T794" s="2" t="s">
        <v>100</v>
      </c>
      <c r="U794" s="2" t="s">
        <v>790</v>
      </c>
      <c r="V794" s="2" t="s">
        <v>404</v>
      </c>
      <c r="W794" s="2" t="s">
        <v>405</v>
      </c>
      <c r="X794" s="2" t="s">
        <v>406</v>
      </c>
      <c r="Y794" s="2" t="s">
        <v>2938</v>
      </c>
      <c r="Z794" s="4">
        <v>257</v>
      </c>
      <c r="AA794" s="4">
        <f>=ROUNDDOWN(16.0625,0)</f>
      </c>
      <c r="AB794" s="5">
        <v>16</v>
      </c>
      <c r="AC794" s="2" t="s">
        <v>589</v>
      </c>
      <c r="AD794" s="4">
        <v>130</v>
      </c>
      <c r="AE794" s="4">
        <v>750</v>
      </c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100</v>
      </c>
      <c r="AW794" s="8" t="s">
        <v>100</v>
      </c>
      <c r="AX794" s="4" t="s">
        <v>100</v>
      </c>
      <c r="AY794" s="8" t="s">
        <v>100</v>
      </c>
      <c r="AZ794" s="7" t="s">
        <v>100</v>
      </c>
      <c r="BA794" s="7" t="s">
        <v>100</v>
      </c>
      <c r="BB794" s="7"/>
      <c r="BC794" s="4" t="s">
        <v>100</v>
      </c>
      <c r="BD794" s="8" t="s">
        <v>100</v>
      </c>
      <c r="BE794" s="4" t="s">
        <v>100</v>
      </c>
      <c r="BF794" s="8" t="s">
        <v>100</v>
      </c>
      <c r="BG794" s="7" t="s">
        <v>100</v>
      </c>
      <c r="BH794" s="7" t="s">
        <v>100</v>
      </c>
      <c r="BI794" s="7"/>
      <c r="BJ794" s="4">
        <v>362</v>
      </c>
      <c r="BK794" s="8">
        <v>25111.67</v>
      </c>
      <c r="BL794" s="2" t="s">
        <v>2999</v>
      </c>
      <c r="BM794" s="7"/>
      <c r="BN794" s="7"/>
      <c r="BO794" s="4"/>
      <c r="BP794" s="8"/>
      <c r="BQ794" s="4"/>
      <c r="BR794" s="8"/>
      <c r="BS794" s="7"/>
      <c r="BT794" s="7"/>
      <c r="BU794" s="2" t="s">
        <v>147</v>
      </c>
      <c r="BV794" s="2" t="s">
        <v>97</v>
      </c>
      <c r="BW794" s="2" t="s">
        <v>100</v>
      </c>
      <c r="BX794" s="2" t="s">
        <v>100</v>
      </c>
      <c r="BY794" s="2" t="s">
        <v>112</v>
      </c>
      <c r="BZ794" s="2" t="s">
        <v>100</v>
      </c>
    </row>
    <row r="795">
      <c r="A795" s="2" t="s">
        <v>3000</v>
      </c>
      <c r="B795" s="2" t="s">
        <v>87</v>
      </c>
      <c r="C795" s="2" t="s">
        <v>88</v>
      </c>
      <c r="D795" s="2" t="s">
        <v>2308</v>
      </c>
      <c r="E795" s="2" t="s">
        <v>2927</v>
      </c>
      <c r="F795" s="2" t="s">
        <v>1864</v>
      </c>
      <c r="G795" s="2" t="s">
        <v>1865</v>
      </c>
      <c r="H795" s="2" t="s">
        <v>1866</v>
      </c>
      <c r="I795" s="2" t="s">
        <v>2973</v>
      </c>
      <c r="J795" s="2" t="s">
        <v>95</v>
      </c>
      <c r="K795" s="2" t="s">
        <v>96</v>
      </c>
      <c r="L795" s="3">
        <v>63.7</v>
      </c>
      <c r="M795" s="3">
        <v>66.88</v>
      </c>
      <c r="N795" s="3">
        <v>129.99</v>
      </c>
      <c r="O795" s="2" t="s">
        <v>97</v>
      </c>
      <c r="P795" s="2" t="s">
        <v>182</v>
      </c>
      <c r="Q795" s="2" t="s">
        <v>99</v>
      </c>
      <c r="R795" s="2" t="s">
        <v>100</v>
      </c>
      <c r="S795" s="2" t="s">
        <v>3001</v>
      </c>
      <c r="T795" s="2" t="s">
        <v>100</v>
      </c>
      <c r="U795" s="2" t="s">
        <v>790</v>
      </c>
      <c r="V795" s="2" t="s">
        <v>404</v>
      </c>
      <c r="W795" s="2" t="s">
        <v>405</v>
      </c>
      <c r="X795" s="2" t="s">
        <v>456</v>
      </c>
      <c r="Y795" s="2" t="s">
        <v>2930</v>
      </c>
      <c r="Z795" s="4">
        <v>411</v>
      </c>
      <c r="AA795" s="4">
        <f>=ROUNDDOWN(25.6875,0)</f>
      </c>
      <c r="AB795" s="5">
        <v>16</v>
      </c>
      <c r="AC795" s="2" t="s">
        <v>107</v>
      </c>
      <c r="AD795" s="4">
        <v>110</v>
      </c>
      <c r="AE795" s="4">
        <v>220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100</v>
      </c>
      <c r="AW795" s="8" t="s">
        <v>100</v>
      </c>
      <c r="AX795" s="4" t="s">
        <v>100</v>
      </c>
      <c r="AY795" s="8" t="s">
        <v>100</v>
      </c>
      <c r="AZ795" s="7" t="s">
        <v>100</v>
      </c>
      <c r="BA795" s="7" t="s">
        <v>100</v>
      </c>
      <c r="BB795" s="7"/>
      <c r="BC795" s="4" t="s">
        <v>100</v>
      </c>
      <c r="BD795" s="8" t="s">
        <v>100</v>
      </c>
      <c r="BE795" s="4" t="s">
        <v>100</v>
      </c>
      <c r="BF795" s="8" t="s">
        <v>100</v>
      </c>
      <c r="BG795" s="7" t="s">
        <v>100</v>
      </c>
      <c r="BH795" s="7" t="s">
        <v>100</v>
      </c>
      <c r="BI795" s="7"/>
      <c r="BJ795" s="4">
        <v>319</v>
      </c>
      <c r="BK795" s="8">
        <v>16596.34</v>
      </c>
      <c r="BL795" s="2" t="s">
        <v>3002</v>
      </c>
      <c r="BM795" s="7"/>
      <c r="BN795" s="7"/>
      <c r="BO795" s="4"/>
      <c r="BP795" s="8"/>
      <c r="BQ795" s="4"/>
      <c r="BR795" s="8"/>
      <c r="BS795" s="7"/>
      <c r="BT795" s="7"/>
      <c r="BU795" s="2" t="s">
        <v>147</v>
      </c>
      <c r="BV795" s="2" t="s">
        <v>97</v>
      </c>
      <c r="BW795" s="2" t="s">
        <v>100</v>
      </c>
      <c r="BX795" s="2" t="s">
        <v>100</v>
      </c>
      <c r="BY795" s="2" t="s">
        <v>112</v>
      </c>
      <c r="BZ795" s="2" t="s">
        <v>100</v>
      </c>
    </row>
    <row r="796">
      <c r="A796" s="2" t="s">
        <v>3003</v>
      </c>
      <c r="B796" s="2" t="s">
        <v>87</v>
      </c>
      <c r="C796" s="2" t="s">
        <v>88</v>
      </c>
      <c r="D796" s="2" t="s">
        <v>2308</v>
      </c>
      <c r="E796" s="2" t="s">
        <v>2927</v>
      </c>
      <c r="F796" s="2" t="s">
        <v>1864</v>
      </c>
      <c r="G796" s="2" t="s">
        <v>1865</v>
      </c>
      <c r="H796" s="2" t="s">
        <v>1866</v>
      </c>
      <c r="I796" s="2" t="s">
        <v>2973</v>
      </c>
      <c r="J796" s="2" t="s">
        <v>114</v>
      </c>
      <c r="K796" s="2" t="s">
        <v>96</v>
      </c>
      <c r="L796" s="3">
        <v>75</v>
      </c>
      <c r="M796" s="3">
        <v>78.74</v>
      </c>
      <c r="N796" s="3">
        <v>149.99</v>
      </c>
      <c r="O796" s="2" t="s">
        <v>97</v>
      </c>
      <c r="P796" s="2" t="s">
        <v>182</v>
      </c>
      <c r="Q796" s="2" t="s">
        <v>99</v>
      </c>
      <c r="R796" s="2" t="s">
        <v>100</v>
      </c>
      <c r="S796" s="2" t="s">
        <v>3001</v>
      </c>
      <c r="T796" s="2" t="s">
        <v>100</v>
      </c>
      <c r="U796" s="2" t="s">
        <v>790</v>
      </c>
      <c r="V796" s="2" t="s">
        <v>404</v>
      </c>
      <c r="W796" s="2" t="s">
        <v>405</v>
      </c>
      <c r="X796" s="2" t="s">
        <v>456</v>
      </c>
      <c r="Y796" s="2" t="s">
        <v>2930</v>
      </c>
      <c r="Z796" s="4">
        <v>737</v>
      </c>
      <c r="AA796" s="4">
        <f>=ROUNDDOWN(21.6764705882353,0)</f>
      </c>
      <c r="AB796" s="5">
        <v>34</v>
      </c>
      <c r="AC796" s="2" t="s">
        <v>107</v>
      </c>
      <c r="AD796" s="4">
        <v>130</v>
      </c>
      <c r="AE796" s="4">
        <v>310</v>
      </c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100</v>
      </c>
      <c r="AW796" s="8" t="s">
        <v>100</v>
      </c>
      <c r="AX796" s="4" t="s">
        <v>100</v>
      </c>
      <c r="AY796" s="8" t="s">
        <v>100</v>
      </c>
      <c r="AZ796" s="7" t="s">
        <v>100</v>
      </c>
      <c r="BA796" s="7" t="s">
        <v>100</v>
      </c>
      <c r="BB796" s="7"/>
      <c r="BC796" s="4" t="s">
        <v>100</v>
      </c>
      <c r="BD796" s="8" t="s">
        <v>100</v>
      </c>
      <c r="BE796" s="4" t="s">
        <v>100</v>
      </c>
      <c r="BF796" s="8" t="s">
        <v>100</v>
      </c>
      <c r="BG796" s="7" t="s">
        <v>100</v>
      </c>
      <c r="BH796" s="7" t="s">
        <v>100</v>
      </c>
      <c r="BI796" s="7"/>
      <c r="BJ796" s="4">
        <v>637</v>
      </c>
      <c r="BK796" s="8">
        <v>43574.21</v>
      </c>
      <c r="BL796" s="2" t="s">
        <v>3004</v>
      </c>
      <c r="BM796" s="7"/>
      <c r="BN796" s="7"/>
      <c r="BO796" s="4"/>
      <c r="BP796" s="8"/>
      <c r="BQ796" s="4"/>
      <c r="BR796" s="8"/>
      <c r="BS796" s="7"/>
      <c r="BT796" s="7"/>
      <c r="BU796" s="2" t="s">
        <v>147</v>
      </c>
      <c r="BV796" s="2" t="s">
        <v>97</v>
      </c>
      <c r="BW796" s="2" t="s">
        <v>100</v>
      </c>
      <c r="BX796" s="2" t="s">
        <v>100</v>
      </c>
      <c r="BY796" s="2" t="s">
        <v>112</v>
      </c>
      <c r="BZ796" s="2" t="s">
        <v>100</v>
      </c>
    </row>
    <row r="797">
      <c r="A797" s="2" t="s">
        <v>3005</v>
      </c>
      <c r="B797" s="2" t="s">
        <v>87</v>
      </c>
      <c r="C797" s="2" t="s">
        <v>88</v>
      </c>
      <c r="D797" s="2" t="s">
        <v>2308</v>
      </c>
      <c r="E797" s="2" t="s">
        <v>2927</v>
      </c>
      <c r="F797" s="2" t="s">
        <v>1879</v>
      </c>
      <c r="G797" s="2" t="s">
        <v>1880</v>
      </c>
      <c r="H797" s="2" t="s">
        <v>1881</v>
      </c>
      <c r="I797" s="2" t="s">
        <v>3006</v>
      </c>
      <c r="J797" s="2" t="s">
        <v>95</v>
      </c>
      <c r="K797" s="2" t="s">
        <v>158</v>
      </c>
      <c r="L797" s="3">
        <v>49.5</v>
      </c>
      <c r="M797" s="3">
        <v>51.98</v>
      </c>
      <c r="N797" s="3">
        <v>99.99</v>
      </c>
      <c r="O797" s="2" t="s">
        <v>97</v>
      </c>
      <c r="P797" s="2" t="s">
        <v>182</v>
      </c>
      <c r="Q797" s="2" t="s">
        <v>99</v>
      </c>
      <c r="R797" s="2" t="s">
        <v>100</v>
      </c>
      <c r="S797" s="2" t="s">
        <v>3007</v>
      </c>
      <c r="T797" s="2" t="s">
        <v>100</v>
      </c>
      <c r="U797" s="2" t="s">
        <v>1610</v>
      </c>
      <c r="V797" s="2" t="s">
        <v>601</v>
      </c>
      <c r="W797" s="2" t="s">
        <v>104</v>
      </c>
      <c r="X797" s="2" t="s">
        <v>759</v>
      </c>
      <c r="Y797" s="2" t="s">
        <v>106</v>
      </c>
      <c r="Z797" s="4">
        <v>79</v>
      </c>
      <c r="AA797" s="4">
        <f>=ROUNDDOWN(1.975,0)</f>
      </c>
      <c r="AB797" s="5">
        <v>40</v>
      </c>
      <c r="AC797" s="2" t="s">
        <v>659</v>
      </c>
      <c r="AD797" s="4">
        <v>100</v>
      </c>
      <c r="AE797" s="4">
        <v>1070</v>
      </c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100</v>
      </c>
      <c r="AW797" s="8" t="s">
        <v>100</v>
      </c>
      <c r="AX797" s="4" t="s">
        <v>100</v>
      </c>
      <c r="AY797" s="8" t="s">
        <v>100</v>
      </c>
      <c r="AZ797" s="7" t="s">
        <v>100</v>
      </c>
      <c r="BA797" s="7" t="s">
        <v>100</v>
      </c>
      <c r="BB797" s="7"/>
      <c r="BC797" s="4" t="s">
        <v>100</v>
      </c>
      <c r="BD797" s="8" t="s">
        <v>100</v>
      </c>
      <c r="BE797" s="4" t="s">
        <v>100</v>
      </c>
      <c r="BF797" s="8" t="s">
        <v>100</v>
      </c>
      <c r="BG797" s="7" t="s">
        <v>100</v>
      </c>
      <c r="BH797" s="7" t="s">
        <v>100</v>
      </c>
      <c r="BI797" s="7"/>
      <c r="BJ797" s="4">
        <v>512</v>
      </c>
      <c r="BK797" s="8">
        <v>27006.07</v>
      </c>
      <c r="BL797" s="2" t="s">
        <v>3008</v>
      </c>
      <c r="BM797" s="7"/>
      <c r="BN797" s="7"/>
      <c r="BO797" s="4"/>
      <c r="BP797" s="8"/>
      <c r="BQ797" s="4"/>
      <c r="BR797" s="8"/>
      <c r="BS797" s="7"/>
      <c r="BT797" s="7"/>
      <c r="BU797" s="2" t="s">
        <v>147</v>
      </c>
      <c r="BV797" s="2" t="s">
        <v>97</v>
      </c>
      <c r="BW797" s="2" t="s">
        <v>100</v>
      </c>
      <c r="BX797" s="2" t="s">
        <v>100</v>
      </c>
      <c r="BY797" s="2" t="s">
        <v>112</v>
      </c>
      <c r="BZ797" s="2" t="s">
        <v>100</v>
      </c>
    </row>
    <row r="798">
      <c r="A798" s="2" t="s">
        <v>3009</v>
      </c>
      <c r="B798" s="2" t="s">
        <v>87</v>
      </c>
      <c r="C798" s="2" t="s">
        <v>88</v>
      </c>
      <c r="D798" s="2" t="s">
        <v>2308</v>
      </c>
      <c r="E798" s="2" t="s">
        <v>2927</v>
      </c>
      <c r="F798" s="2" t="s">
        <v>1879</v>
      </c>
      <c r="G798" s="2" t="s">
        <v>1880</v>
      </c>
      <c r="H798" s="2" t="s">
        <v>1881</v>
      </c>
      <c r="I798" s="2" t="s">
        <v>3006</v>
      </c>
      <c r="J798" s="2" t="s">
        <v>114</v>
      </c>
      <c r="K798" s="2" t="s">
        <v>158</v>
      </c>
      <c r="L798" s="3">
        <v>64.25</v>
      </c>
      <c r="M798" s="3">
        <v>67.46</v>
      </c>
      <c r="N798" s="3">
        <v>129.99</v>
      </c>
      <c r="O798" s="2" t="s">
        <v>97</v>
      </c>
      <c r="P798" s="2" t="s">
        <v>182</v>
      </c>
      <c r="Q798" s="2" t="s">
        <v>99</v>
      </c>
      <c r="R798" s="2" t="s">
        <v>100</v>
      </c>
      <c r="S798" s="2" t="s">
        <v>3007</v>
      </c>
      <c r="T798" s="2" t="s">
        <v>100</v>
      </c>
      <c r="U798" s="2" t="s">
        <v>1610</v>
      </c>
      <c r="V798" s="2" t="s">
        <v>601</v>
      </c>
      <c r="W798" s="2" t="s">
        <v>104</v>
      </c>
      <c r="X798" s="2" t="s">
        <v>759</v>
      </c>
      <c r="Y798" s="2" t="s">
        <v>106</v>
      </c>
      <c r="Z798" s="4">
        <v>111</v>
      </c>
      <c r="AA798" s="4">
        <f>=ROUNDDOWN(3,0)</f>
      </c>
      <c r="AB798" s="5">
        <v>37</v>
      </c>
      <c r="AC798" s="2" t="s">
        <v>126</v>
      </c>
      <c r="AD798" s="4">
        <v>30</v>
      </c>
      <c r="AE798" s="4">
        <v>1030</v>
      </c>
      <c r="AF798" s="6">
        <v>65</v>
      </c>
      <c r="AG798" s="6">
        <v>48</v>
      </c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100</v>
      </c>
      <c r="AW798" s="8" t="s">
        <v>100</v>
      </c>
      <c r="AX798" s="4" t="s">
        <v>100</v>
      </c>
      <c r="AY798" s="8" t="s">
        <v>100</v>
      </c>
      <c r="AZ798" s="7" t="s">
        <v>100</v>
      </c>
      <c r="BA798" s="7" t="s">
        <v>100</v>
      </c>
      <c r="BB798" s="7"/>
      <c r="BC798" s="4" t="s">
        <v>100</v>
      </c>
      <c r="BD798" s="8" t="s">
        <v>100</v>
      </c>
      <c r="BE798" s="4" t="s">
        <v>100</v>
      </c>
      <c r="BF798" s="8" t="s">
        <v>100</v>
      </c>
      <c r="BG798" s="7" t="s">
        <v>100</v>
      </c>
      <c r="BH798" s="7" t="s">
        <v>100</v>
      </c>
      <c r="BI798" s="7"/>
      <c r="BJ798" s="4">
        <v>551</v>
      </c>
      <c r="BK798" s="8">
        <v>39266.06</v>
      </c>
      <c r="BL798" s="2" t="s">
        <v>3010</v>
      </c>
      <c r="BM798" s="7"/>
      <c r="BN798" s="7"/>
      <c r="BO798" s="4"/>
      <c r="BP798" s="8"/>
      <c r="BQ798" s="4"/>
      <c r="BR798" s="8"/>
      <c r="BS798" s="7"/>
      <c r="BT798" s="7"/>
      <c r="BU798" s="2" t="s">
        <v>147</v>
      </c>
      <c r="BV798" s="2" t="s">
        <v>97</v>
      </c>
      <c r="BW798" s="2" t="s">
        <v>100</v>
      </c>
      <c r="BX798" s="2" t="s">
        <v>100</v>
      </c>
      <c r="BY798" s="2" t="s">
        <v>112</v>
      </c>
      <c r="BZ798" s="2" t="s">
        <v>100</v>
      </c>
    </row>
    <row r="799">
      <c r="A799" s="2" t="s">
        <v>3011</v>
      </c>
      <c r="B799" s="2" t="s">
        <v>87</v>
      </c>
      <c r="C799" s="2" t="s">
        <v>88</v>
      </c>
      <c r="D799" s="2" t="s">
        <v>2308</v>
      </c>
      <c r="E799" s="2" t="s">
        <v>2927</v>
      </c>
      <c r="F799" s="2" t="s">
        <v>1879</v>
      </c>
      <c r="G799" s="2" t="s">
        <v>1880</v>
      </c>
      <c r="H799" s="2" t="s">
        <v>1881</v>
      </c>
      <c r="I799" s="2" t="s">
        <v>3006</v>
      </c>
      <c r="J799" s="2" t="s">
        <v>3012</v>
      </c>
      <c r="K799" s="2" t="s">
        <v>2367</v>
      </c>
      <c r="L799" s="3">
        <v>32.39</v>
      </c>
      <c r="M799" s="3">
        <v>34.01</v>
      </c>
      <c r="N799" s="3">
        <v>64.99</v>
      </c>
      <c r="O799" s="2" t="s">
        <v>97</v>
      </c>
      <c r="P799" s="2" t="s">
        <v>143</v>
      </c>
      <c r="Q799" s="2" t="s">
        <v>99</v>
      </c>
      <c r="R799" s="2" t="s">
        <v>100</v>
      </c>
      <c r="S799" s="2" t="s">
        <v>1883</v>
      </c>
      <c r="T799" s="2" t="s">
        <v>100</v>
      </c>
      <c r="U799" s="2" t="s">
        <v>2104</v>
      </c>
      <c r="V799" s="2" t="s">
        <v>601</v>
      </c>
      <c r="W799" s="2" t="s">
        <v>104</v>
      </c>
      <c r="X799" s="2" t="s">
        <v>759</v>
      </c>
      <c r="Y799" s="2" t="s">
        <v>106</v>
      </c>
      <c r="Z799" s="4">
        <v>172</v>
      </c>
      <c r="AA799" s="4">
        <f>=ROUNDDOWN(6.88,0)</f>
      </c>
      <c r="AB799" s="5">
        <v>25</v>
      </c>
      <c r="AC799" s="2" t="s">
        <v>126</v>
      </c>
      <c r="AD799" s="4">
        <v>30</v>
      </c>
      <c r="AE799" s="4">
        <v>640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100</v>
      </c>
      <c r="AW799" s="8" t="s">
        <v>100</v>
      </c>
      <c r="AX799" s="4" t="s">
        <v>100</v>
      </c>
      <c r="AY799" s="8" t="s">
        <v>100</v>
      </c>
      <c r="AZ799" s="7" t="s">
        <v>100</v>
      </c>
      <c r="BA799" s="7" t="s">
        <v>100</v>
      </c>
      <c r="BB799" s="7"/>
      <c r="BC799" s="4" t="s">
        <v>100</v>
      </c>
      <c r="BD799" s="8" t="s">
        <v>100</v>
      </c>
      <c r="BE799" s="4" t="s">
        <v>100</v>
      </c>
      <c r="BF799" s="8" t="s">
        <v>100</v>
      </c>
      <c r="BG799" s="7" t="s">
        <v>100</v>
      </c>
      <c r="BH799" s="7" t="s">
        <v>100</v>
      </c>
      <c r="BI799" s="7"/>
      <c r="BJ799" s="4">
        <v>339</v>
      </c>
      <c r="BK799" s="8">
        <v>12380.06</v>
      </c>
      <c r="BL799" s="2" t="s">
        <v>3013</v>
      </c>
      <c r="BM799" s="7"/>
      <c r="BN799" s="7"/>
      <c r="BO799" s="4"/>
      <c r="BP799" s="8"/>
      <c r="BQ799" s="4"/>
      <c r="BR799" s="8"/>
      <c r="BS799" s="7"/>
      <c r="BT799" s="7"/>
      <c r="BU799" s="2" t="s">
        <v>147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3014</v>
      </c>
      <c r="B800" s="2" t="s">
        <v>87</v>
      </c>
      <c r="C800" s="2" t="s">
        <v>88</v>
      </c>
      <c r="D800" s="2" t="s">
        <v>2308</v>
      </c>
      <c r="E800" s="2" t="s">
        <v>2927</v>
      </c>
      <c r="F800" s="2" t="s">
        <v>1879</v>
      </c>
      <c r="G800" s="2" t="s">
        <v>1880</v>
      </c>
      <c r="H800" s="2" t="s">
        <v>1881</v>
      </c>
      <c r="I800" s="2" t="s">
        <v>3006</v>
      </c>
      <c r="J800" s="2" t="s">
        <v>122</v>
      </c>
      <c r="K800" s="2" t="s">
        <v>2367</v>
      </c>
      <c r="L800" s="3">
        <v>39.69</v>
      </c>
      <c r="M800" s="3">
        <v>41.67</v>
      </c>
      <c r="N800" s="3">
        <v>79.99</v>
      </c>
      <c r="O800" s="2" t="s">
        <v>97</v>
      </c>
      <c r="P800" s="2" t="s">
        <v>143</v>
      </c>
      <c r="Q800" s="2" t="s">
        <v>99</v>
      </c>
      <c r="R800" s="2" t="s">
        <v>100</v>
      </c>
      <c r="S800" s="2" t="s">
        <v>1883</v>
      </c>
      <c r="T800" s="2" t="s">
        <v>100</v>
      </c>
      <c r="U800" s="2" t="s">
        <v>1610</v>
      </c>
      <c r="V800" s="2" t="s">
        <v>601</v>
      </c>
      <c r="W800" s="2" t="s">
        <v>104</v>
      </c>
      <c r="X800" s="2" t="s">
        <v>759</v>
      </c>
      <c r="Y800" s="2" t="s">
        <v>106</v>
      </c>
      <c r="Z800" s="4">
        <v>106</v>
      </c>
      <c r="AA800" s="4">
        <f>=ROUNDDOWN(5.88888888888889,0)</f>
      </c>
      <c r="AB800" s="5">
        <v>18</v>
      </c>
      <c r="AC800" s="2" t="s">
        <v>659</v>
      </c>
      <c r="AD800" s="4">
        <v>140</v>
      </c>
      <c r="AE800" s="4">
        <v>420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100</v>
      </c>
      <c r="AW800" s="8" t="s">
        <v>100</v>
      </c>
      <c r="AX800" s="4" t="s">
        <v>100</v>
      </c>
      <c r="AY800" s="8" t="s">
        <v>100</v>
      </c>
      <c r="AZ800" s="7" t="s">
        <v>100</v>
      </c>
      <c r="BA800" s="7" t="s">
        <v>100</v>
      </c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267</v>
      </c>
      <c r="BK800" s="8">
        <v>11647.11</v>
      </c>
      <c r="BL800" s="2" t="s">
        <v>3015</v>
      </c>
      <c r="BM800" s="7"/>
      <c r="BN800" s="7"/>
      <c r="BO800" s="4"/>
      <c r="BP800" s="8"/>
      <c r="BQ800" s="4"/>
      <c r="BR800" s="8"/>
      <c r="BS800" s="7"/>
      <c r="BT800" s="7"/>
      <c r="BU800" s="2" t="s">
        <v>147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3016</v>
      </c>
      <c r="B801" s="2" t="s">
        <v>87</v>
      </c>
      <c r="C801" s="2" t="s">
        <v>88</v>
      </c>
      <c r="D801" s="2" t="s">
        <v>2308</v>
      </c>
      <c r="E801" s="2" t="s">
        <v>2927</v>
      </c>
      <c r="F801" s="2" t="s">
        <v>1879</v>
      </c>
      <c r="G801" s="2" t="s">
        <v>1880</v>
      </c>
      <c r="H801" s="2" t="s">
        <v>1881</v>
      </c>
      <c r="I801" s="2" t="s">
        <v>3006</v>
      </c>
      <c r="J801" s="2" t="s">
        <v>95</v>
      </c>
      <c r="K801" s="2" t="s">
        <v>2367</v>
      </c>
      <c r="L801" s="3">
        <v>49.5</v>
      </c>
      <c r="M801" s="3">
        <v>51.98</v>
      </c>
      <c r="N801" s="3">
        <v>99.99</v>
      </c>
      <c r="O801" s="2" t="s">
        <v>97</v>
      </c>
      <c r="P801" s="2" t="s">
        <v>143</v>
      </c>
      <c r="Q801" s="2" t="s">
        <v>99</v>
      </c>
      <c r="R801" s="2" t="s">
        <v>100</v>
      </c>
      <c r="S801" s="2" t="s">
        <v>1883</v>
      </c>
      <c r="T801" s="2" t="s">
        <v>100</v>
      </c>
      <c r="U801" s="2" t="s">
        <v>1610</v>
      </c>
      <c r="V801" s="2" t="s">
        <v>601</v>
      </c>
      <c r="W801" s="2" t="s">
        <v>104</v>
      </c>
      <c r="X801" s="2" t="s">
        <v>759</v>
      </c>
      <c r="Y801" s="2" t="s">
        <v>106</v>
      </c>
      <c r="Z801" s="4">
        <v>356</v>
      </c>
      <c r="AA801" s="4">
        <f>=ROUNDDOWN(5.01408450704225,0)</f>
      </c>
      <c r="AB801" s="5">
        <v>71</v>
      </c>
      <c r="AC801" s="2" t="s">
        <v>126</v>
      </c>
      <c r="AD801" s="4">
        <v>30</v>
      </c>
      <c r="AE801" s="4">
        <v>1870</v>
      </c>
      <c r="AF801" s="6">
        <v>65</v>
      </c>
      <c r="AG801" s="6">
        <v>48</v>
      </c>
      <c r="AH801" s="7">
        <v>0.9333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100</v>
      </c>
      <c r="AW801" s="8" t="s">
        <v>100</v>
      </c>
      <c r="AX801" s="4" t="s">
        <v>100</v>
      </c>
      <c r="AY801" s="8" t="s">
        <v>100</v>
      </c>
      <c r="AZ801" s="7" t="s">
        <v>100</v>
      </c>
      <c r="BA801" s="7" t="s">
        <v>100</v>
      </c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1151</v>
      </c>
      <c r="BK801" s="8">
        <v>62053.58</v>
      </c>
      <c r="BL801" s="2" t="s">
        <v>3017</v>
      </c>
      <c r="BM801" s="7"/>
      <c r="BN801" s="7"/>
      <c r="BO801" s="4"/>
      <c r="BP801" s="8"/>
      <c r="BQ801" s="4"/>
      <c r="BR801" s="8"/>
      <c r="BS801" s="7"/>
      <c r="BT801" s="7"/>
      <c r="BU801" s="2" t="s">
        <v>147</v>
      </c>
      <c r="BV801" s="2" t="s">
        <v>97</v>
      </c>
      <c r="BW801" s="2" t="s">
        <v>100</v>
      </c>
      <c r="BX801" s="2" t="s">
        <v>100</v>
      </c>
      <c r="BY801" s="2" t="s">
        <v>112</v>
      </c>
      <c r="BZ801" s="2" t="s">
        <v>100</v>
      </c>
    </row>
    <row r="802">
      <c r="A802" s="2" t="s">
        <v>3018</v>
      </c>
      <c r="B802" s="2" t="s">
        <v>87</v>
      </c>
      <c r="C802" s="2" t="s">
        <v>88</v>
      </c>
      <c r="D802" s="2" t="s">
        <v>2308</v>
      </c>
      <c r="E802" s="2" t="s">
        <v>2927</v>
      </c>
      <c r="F802" s="2" t="s">
        <v>1879</v>
      </c>
      <c r="G802" s="2" t="s">
        <v>1880</v>
      </c>
      <c r="H802" s="2" t="s">
        <v>1881</v>
      </c>
      <c r="I802" s="2" t="s">
        <v>3006</v>
      </c>
      <c r="J802" s="2" t="s">
        <v>114</v>
      </c>
      <c r="K802" s="2" t="s">
        <v>2367</v>
      </c>
      <c r="L802" s="3">
        <v>64.25</v>
      </c>
      <c r="M802" s="3">
        <v>67.46</v>
      </c>
      <c r="N802" s="3">
        <v>129.99</v>
      </c>
      <c r="O802" s="2" t="s">
        <v>97</v>
      </c>
      <c r="P802" s="2" t="s">
        <v>143</v>
      </c>
      <c r="Q802" s="2" t="s">
        <v>99</v>
      </c>
      <c r="R802" s="2" t="s">
        <v>100</v>
      </c>
      <c r="S802" s="2" t="s">
        <v>1883</v>
      </c>
      <c r="T802" s="2" t="s">
        <v>100</v>
      </c>
      <c r="U802" s="2" t="s">
        <v>1610</v>
      </c>
      <c r="V802" s="2" t="s">
        <v>601</v>
      </c>
      <c r="W802" s="2" t="s">
        <v>104</v>
      </c>
      <c r="X802" s="2" t="s">
        <v>759</v>
      </c>
      <c r="Y802" s="2" t="s">
        <v>106</v>
      </c>
      <c r="Z802" s="4">
        <v>570</v>
      </c>
      <c r="AA802" s="4">
        <f>=ROUNDDOWN(7.4025974025974,0)</f>
      </c>
      <c r="AB802" s="5">
        <v>77</v>
      </c>
      <c r="AC802" s="2" t="s">
        <v>659</v>
      </c>
      <c r="AD802" s="4">
        <v>520</v>
      </c>
      <c r="AE802" s="4">
        <v>2140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100</v>
      </c>
      <c r="AW802" s="8" t="s">
        <v>100</v>
      </c>
      <c r="AX802" s="4" t="s">
        <v>100</v>
      </c>
      <c r="AY802" s="8" t="s">
        <v>100</v>
      </c>
      <c r="AZ802" s="7" t="s">
        <v>100</v>
      </c>
      <c r="BA802" s="7" t="s">
        <v>100</v>
      </c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1381</v>
      </c>
      <c r="BK802" s="8">
        <v>97158.61</v>
      </c>
      <c r="BL802" s="2" t="s">
        <v>3019</v>
      </c>
      <c r="BM802" s="7"/>
      <c r="BN802" s="7"/>
      <c r="BO802" s="4"/>
      <c r="BP802" s="8"/>
      <c r="BQ802" s="4"/>
      <c r="BR802" s="8"/>
      <c r="BS802" s="7"/>
      <c r="BT802" s="7"/>
      <c r="BU802" s="2" t="s">
        <v>147</v>
      </c>
      <c r="BV802" s="2" t="s">
        <v>97</v>
      </c>
      <c r="BW802" s="2" t="s">
        <v>100</v>
      </c>
      <c r="BX802" s="2" t="s">
        <v>100</v>
      </c>
      <c r="BY802" s="2" t="s">
        <v>112</v>
      </c>
      <c r="BZ802" s="2" t="s">
        <v>100</v>
      </c>
    </row>
    <row r="803">
      <c r="A803" s="2" t="s">
        <v>3020</v>
      </c>
      <c r="B803" s="2" t="s">
        <v>87</v>
      </c>
      <c r="C803" s="2" t="s">
        <v>88</v>
      </c>
      <c r="D803" s="2" t="s">
        <v>2308</v>
      </c>
      <c r="E803" s="2" t="s">
        <v>2927</v>
      </c>
      <c r="F803" s="2" t="s">
        <v>1879</v>
      </c>
      <c r="G803" s="2" t="s">
        <v>1880</v>
      </c>
      <c r="H803" s="2" t="s">
        <v>1881</v>
      </c>
      <c r="I803" s="2" t="s">
        <v>3006</v>
      </c>
      <c r="J803" s="2" t="s">
        <v>122</v>
      </c>
      <c r="K803" s="2" t="s">
        <v>3021</v>
      </c>
      <c r="L803" s="3">
        <v>39.69</v>
      </c>
      <c r="M803" s="3">
        <v>41.67</v>
      </c>
      <c r="N803" s="3">
        <v>79.99</v>
      </c>
      <c r="O803" s="2" t="s">
        <v>97</v>
      </c>
      <c r="P803" s="2" t="s">
        <v>182</v>
      </c>
      <c r="Q803" s="2" t="s">
        <v>99</v>
      </c>
      <c r="R803" s="2" t="s">
        <v>100</v>
      </c>
      <c r="S803" s="2" t="s">
        <v>2497</v>
      </c>
      <c r="T803" s="2" t="s">
        <v>100</v>
      </c>
      <c r="U803" s="2" t="s">
        <v>1610</v>
      </c>
      <c r="V803" s="2" t="s">
        <v>601</v>
      </c>
      <c r="W803" s="2" t="s">
        <v>104</v>
      </c>
      <c r="X803" s="2" t="s">
        <v>759</v>
      </c>
      <c r="Y803" s="2" t="s">
        <v>3022</v>
      </c>
      <c r="Z803" s="4">
        <v>59</v>
      </c>
      <c r="AA803" s="4">
        <f>=ROUNDDOWN(7.375,0)</f>
      </c>
      <c r="AB803" s="5">
        <v>8</v>
      </c>
      <c r="AC803" s="2" t="s">
        <v>659</v>
      </c>
      <c r="AD803" s="4">
        <v>30</v>
      </c>
      <c r="AE803" s="4">
        <v>280</v>
      </c>
      <c r="AF803" s="6">
        <v>65</v>
      </c>
      <c r="AG803" s="6"/>
      <c r="AH803" s="7">
        <v>0.6485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100</v>
      </c>
      <c r="AW803" s="8" t="s">
        <v>100</v>
      </c>
      <c r="AX803" s="4" t="s">
        <v>100</v>
      </c>
      <c r="AY803" s="8" t="s">
        <v>100</v>
      </c>
      <c r="AZ803" s="7" t="s">
        <v>100</v>
      </c>
      <c r="BA803" s="7" t="s">
        <v>100</v>
      </c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80</v>
      </c>
      <c r="BK803" s="8">
        <v>3500.79</v>
      </c>
      <c r="BL803" s="2" t="s">
        <v>3023</v>
      </c>
      <c r="BM803" s="7"/>
      <c r="BN803" s="7"/>
      <c r="BO803" s="4"/>
      <c r="BP803" s="8"/>
      <c r="BQ803" s="4"/>
      <c r="BR803" s="8"/>
      <c r="BS803" s="7"/>
      <c r="BT803" s="7"/>
      <c r="BU803" s="2" t="s">
        <v>147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3024</v>
      </c>
      <c r="B804" s="2" t="s">
        <v>87</v>
      </c>
      <c r="C804" s="2" t="s">
        <v>88</v>
      </c>
      <c r="D804" s="2" t="s">
        <v>2308</v>
      </c>
      <c r="E804" s="2" t="s">
        <v>2927</v>
      </c>
      <c r="F804" s="2" t="s">
        <v>1879</v>
      </c>
      <c r="G804" s="2" t="s">
        <v>1880</v>
      </c>
      <c r="H804" s="2" t="s">
        <v>1881</v>
      </c>
      <c r="I804" s="2" t="s">
        <v>3006</v>
      </c>
      <c r="J804" s="2" t="s">
        <v>95</v>
      </c>
      <c r="K804" s="2" t="s">
        <v>3021</v>
      </c>
      <c r="L804" s="3">
        <v>49.5</v>
      </c>
      <c r="M804" s="3">
        <v>51.98</v>
      </c>
      <c r="N804" s="3">
        <v>99.99</v>
      </c>
      <c r="O804" s="2" t="s">
        <v>97</v>
      </c>
      <c r="P804" s="2" t="s">
        <v>182</v>
      </c>
      <c r="Q804" s="2" t="s">
        <v>99</v>
      </c>
      <c r="R804" s="2" t="s">
        <v>100</v>
      </c>
      <c r="S804" s="2" t="s">
        <v>2510</v>
      </c>
      <c r="T804" s="2" t="s">
        <v>100</v>
      </c>
      <c r="U804" s="2" t="s">
        <v>1610</v>
      </c>
      <c r="V804" s="2" t="s">
        <v>601</v>
      </c>
      <c r="W804" s="2" t="s">
        <v>104</v>
      </c>
      <c r="X804" s="2" t="s">
        <v>759</v>
      </c>
      <c r="Y804" s="2" t="s">
        <v>3025</v>
      </c>
      <c r="Z804" s="4">
        <v>174</v>
      </c>
      <c r="AA804" s="4">
        <f>=ROUNDDOWN(5.61290322580645,0)</f>
      </c>
      <c r="AB804" s="5">
        <v>31</v>
      </c>
      <c r="AC804" s="2" t="s">
        <v>659</v>
      </c>
      <c r="AD804" s="4">
        <v>100</v>
      </c>
      <c r="AE804" s="4">
        <v>850</v>
      </c>
      <c r="AF804" s="6">
        <v>65</v>
      </c>
      <c r="AG804" s="6">
        <v>48</v>
      </c>
      <c r="AH804" s="7">
        <v>0.9333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100</v>
      </c>
      <c r="AW804" s="8" t="s">
        <v>100</v>
      </c>
      <c r="AX804" s="4" t="s">
        <v>100</v>
      </c>
      <c r="AY804" s="8" t="s">
        <v>100</v>
      </c>
      <c r="AZ804" s="7" t="s">
        <v>100</v>
      </c>
      <c r="BA804" s="7" t="s">
        <v>100</v>
      </c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374</v>
      </c>
      <c r="BK804" s="8">
        <v>19797.33</v>
      </c>
      <c r="BL804" s="2" t="s">
        <v>3026</v>
      </c>
      <c r="BM804" s="7"/>
      <c r="BN804" s="7"/>
      <c r="BO804" s="4"/>
      <c r="BP804" s="8"/>
      <c r="BQ804" s="4"/>
      <c r="BR804" s="8"/>
      <c r="BS804" s="7"/>
      <c r="BT804" s="7"/>
      <c r="BU804" s="2" t="s">
        <v>147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3027</v>
      </c>
      <c r="B805" s="2" t="s">
        <v>87</v>
      </c>
      <c r="C805" s="2" t="s">
        <v>88</v>
      </c>
      <c r="D805" s="2" t="s">
        <v>2308</v>
      </c>
      <c r="E805" s="2" t="s">
        <v>2927</v>
      </c>
      <c r="F805" s="2" t="s">
        <v>1879</v>
      </c>
      <c r="G805" s="2" t="s">
        <v>1880</v>
      </c>
      <c r="H805" s="2" t="s">
        <v>1881</v>
      </c>
      <c r="I805" s="2" t="s">
        <v>3006</v>
      </c>
      <c r="J805" s="2" t="s">
        <v>114</v>
      </c>
      <c r="K805" s="2" t="s">
        <v>3021</v>
      </c>
      <c r="L805" s="3">
        <v>64.25</v>
      </c>
      <c r="M805" s="3">
        <v>67.46</v>
      </c>
      <c r="N805" s="3">
        <v>129.99</v>
      </c>
      <c r="O805" s="2" t="s">
        <v>97</v>
      </c>
      <c r="P805" s="2" t="s">
        <v>182</v>
      </c>
      <c r="Q805" s="2" t="s">
        <v>99</v>
      </c>
      <c r="R805" s="2" t="s">
        <v>100</v>
      </c>
      <c r="S805" s="2" t="s">
        <v>2510</v>
      </c>
      <c r="T805" s="2" t="s">
        <v>100</v>
      </c>
      <c r="U805" s="2" t="s">
        <v>1610</v>
      </c>
      <c r="V805" s="2" t="s">
        <v>601</v>
      </c>
      <c r="W805" s="2" t="s">
        <v>104</v>
      </c>
      <c r="X805" s="2" t="s">
        <v>759</v>
      </c>
      <c r="Y805" s="2" t="s">
        <v>3025</v>
      </c>
      <c r="Z805" s="4">
        <v>210</v>
      </c>
      <c r="AA805" s="4">
        <f>=ROUNDDOWN(5.52631578947368,0)</f>
      </c>
      <c r="AB805" s="5">
        <v>38</v>
      </c>
      <c r="AC805" s="2" t="s">
        <v>126</v>
      </c>
      <c r="AD805" s="4">
        <v>30</v>
      </c>
      <c r="AE805" s="4">
        <v>1160</v>
      </c>
      <c r="AF805" s="6">
        <v>65</v>
      </c>
      <c r="AG805" s="6">
        <v>48</v>
      </c>
      <c r="AH805" s="7">
        <v>0.8182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100</v>
      </c>
      <c r="AW805" s="8" t="s">
        <v>100</v>
      </c>
      <c r="AX805" s="4" t="s">
        <v>100</v>
      </c>
      <c r="AY805" s="8" t="s">
        <v>100</v>
      </c>
      <c r="AZ805" s="7" t="s">
        <v>100</v>
      </c>
      <c r="BA805" s="7" t="s">
        <v>100</v>
      </c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562</v>
      </c>
      <c r="BK805" s="8">
        <v>38917.61</v>
      </c>
      <c r="BL805" s="2" t="s">
        <v>3028</v>
      </c>
      <c r="BM805" s="7"/>
      <c r="BN805" s="7"/>
      <c r="BO805" s="4"/>
      <c r="BP805" s="8"/>
      <c r="BQ805" s="4"/>
      <c r="BR805" s="8"/>
      <c r="BS805" s="7"/>
      <c r="BT805" s="7"/>
      <c r="BU805" s="2" t="s">
        <v>147</v>
      </c>
      <c r="BV805" s="2" t="s">
        <v>97</v>
      </c>
      <c r="BW805" s="2" t="s">
        <v>100</v>
      </c>
      <c r="BX805" s="2" t="s">
        <v>100</v>
      </c>
      <c r="BY805" s="2" t="s">
        <v>112</v>
      </c>
      <c r="BZ805" s="2" t="s">
        <v>100</v>
      </c>
    </row>
    <row r="806">
      <c r="A806" s="2" t="s">
        <v>3029</v>
      </c>
      <c r="B806" s="2" t="s">
        <v>87</v>
      </c>
      <c r="C806" s="2" t="s">
        <v>88</v>
      </c>
      <c r="D806" s="2" t="s">
        <v>2308</v>
      </c>
      <c r="E806" s="2" t="s">
        <v>2927</v>
      </c>
      <c r="F806" s="2" t="s">
        <v>1879</v>
      </c>
      <c r="G806" s="2" t="s">
        <v>1880</v>
      </c>
      <c r="H806" s="2" t="s">
        <v>1881</v>
      </c>
      <c r="I806" s="2" t="s">
        <v>3006</v>
      </c>
      <c r="J806" s="2" t="s">
        <v>95</v>
      </c>
      <c r="K806" s="2" t="s">
        <v>333</v>
      </c>
      <c r="L806" s="3">
        <v>49.5</v>
      </c>
      <c r="M806" s="3">
        <v>51.98</v>
      </c>
      <c r="N806" s="3">
        <v>99.99</v>
      </c>
      <c r="O806" s="2" t="s">
        <v>97</v>
      </c>
      <c r="P806" s="2" t="s">
        <v>182</v>
      </c>
      <c r="Q806" s="2" t="s">
        <v>99</v>
      </c>
      <c r="R806" s="2" t="s">
        <v>100</v>
      </c>
      <c r="S806" s="2" t="s">
        <v>2489</v>
      </c>
      <c r="T806" s="2" t="s">
        <v>100</v>
      </c>
      <c r="U806" s="2" t="s">
        <v>1610</v>
      </c>
      <c r="V806" s="2" t="s">
        <v>601</v>
      </c>
      <c r="W806" s="2" t="s">
        <v>104</v>
      </c>
      <c r="X806" s="2" t="s">
        <v>759</v>
      </c>
      <c r="Y806" s="2" t="s">
        <v>106</v>
      </c>
      <c r="Z806" s="4">
        <v>197</v>
      </c>
      <c r="AA806" s="4">
        <f>=ROUNDDOWN(7.88,0)</f>
      </c>
      <c r="AB806" s="5">
        <v>25</v>
      </c>
      <c r="AC806" s="2" t="s">
        <v>659</v>
      </c>
      <c r="AD806" s="4">
        <v>120</v>
      </c>
      <c r="AE806" s="4">
        <v>650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100</v>
      </c>
      <c r="AW806" s="8" t="s">
        <v>100</v>
      </c>
      <c r="AX806" s="4" t="s">
        <v>100</v>
      </c>
      <c r="AY806" s="8" t="s">
        <v>100</v>
      </c>
      <c r="AZ806" s="7" t="s">
        <v>100</v>
      </c>
      <c r="BA806" s="7" t="s">
        <v>100</v>
      </c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384</v>
      </c>
      <c r="BK806" s="8">
        <v>20405.29</v>
      </c>
      <c r="BL806" s="2" t="s">
        <v>3030</v>
      </c>
      <c r="BM806" s="7"/>
      <c r="BN806" s="7"/>
      <c r="BO806" s="4"/>
      <c r="BP806" s="8"/>
      <c r="BQ806" s="4"/>
      <c r="BR806" s="8"/>
      <c r="BS806" s="7"/>
      <c r="BT806" s="7"/>
      <c r="BU806" s="2" t="s">
        <v>147</v>
      </c>
      <c r="BV806" s="2" t="s">
        <v>97</v>
      </c>
      <c r="BW806" s="2" t="s">
        <v>100</v>
      </c>
      <c r="BX806" s="2" t="s">
        <v>100</v>
      </c>
      <c r="BY806" s="2" t="s">
        <v>112</v>
      </c>
      <c r="BZ806" s="2" t="s">
        <v>100</v>
      </c>
    </row>
    <row r="807">
      <c r="A807" s="2" t="s">
        <v>3031</v>
      </c>
      <c r="B807" s="2" t="s">
        <v>87</v>
      </c>
      <c r="C807" s="2" t="s">
        <v>88</v>
      </c>
      <c r="D807" s="2" t="s">
        <v>2308</v>
      </c>
      <c r="E807" s="2" t="s">
        <v>2927</v>
      </c>
      <c r="F807" s="2" t="s">
        <v>1879</v>
      </c>
      <c r="G807" s="2" t="s">
        <v>1880</v>
      </c>
      <c r="H807" s="2" t="s">
        <v>1881</v>
      </c>
      <c r="I807" s="2" t="s">
        <v>3006</v>
      </c>
      <c r="J807" s="2" t="s">
        <v>114</v>
      </c>
      <c r="K807" s="2" t="s">
        <v>333</v>
      </c>
      <c r="L807" s="3">
        <v>64.25</v>
      </c>
      <c r="M807" s="3">
        <v>67.46</v>
      </c>
      <c r="N807" s="3">
        <v>129.99</v>
      </c>
      <c r="O807" s="2" t="s">
        <v>97</v>
      </c>
      <c r="P807" s="2" t="s">
        <v>182</v>
      </c>
      <c r="Q807" s="2" t="s">
        <v>99</v>
      </c>
      <c r="R807" s="2" t="s">
        <v>100</v>
      </c>
      <c r="S807" s="2" t="s">
        <v>2489</v>
      </c>
      <c r="T807" s="2" t="s">
        <v>100</v>
      </c>
      <c r="U807" s="2" t="s">
        <v>1610</v>
      </c>
      <c r="V807" s="2" t="s">
        <v>601</v>
      </c>
      <c r="W807" s="2" t="s">
        <v>104</v>
      </c>
      <c r="X807" s="2" t="s">
        <v>759</v>
      </c>
      <c r="Y807" s="2" t="s">
        <v>3032</v>
      </c>
      <c r="Z807" s="4">
        <v>242</v>
      </c>
      <c r="AA807" s="4">
        <f>=ROUNDDOWN(7.11764705882353,0)</f>
      </c>
      <c r="AB807" s="5">
        <v>34</v>
      </c>
      <c r="AC807" s="2" t="s">
        <v>659</v>
      </c>
      <c r="AD807" s="4">
        <v>160</v>
      </c>
      <c r="AE807" s="4">
        <v>870</v>
      </c>
      <c r="AF807" s="6">
        <v>65</v>
      </c>
      <c r="AG807" s="6">
        <v>48</v>
      </c>
      <c r="AH807" s="7">
        <v>0.8788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100</v>
      </c>
      <c r="AW807" s="8" t="s">
        <v>100</v>
      </c>
      <c r="AX807" s="4" t="s">
        <v>100</v>
      </c>
      <c r="AY807" s="8" t="s">
        <v>100</v>
      </c>
      <c r="AZ807" s="7" t="s">
        <v>100</v>
      </c>
      <c r="BA807" s="7" t="s">
        <v>100</v>
      </c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527</v>
      </c>
      <c r="BK807" s="8">
        <v>37206.14</v>
      </c>
      <c r="BL807" s="2" t="s">
        <v>3033</v>
      </c>
      <c r="BM807" s="7"/>
      <c r="BN807" s="7"/>
      <c r="BO807" s="4"/>
      <c r="BP807" s="8"/>
      <c r="BQ807" s="4"/>
      <c r="BR807" s="8"/>
      <c r="BS807" s="7"/>
      <c r="BT807" s="7"/>
      <c r="BU807" s="2" t="s">
        <v>147</v>
      </c>
      <c r="BV807" s="2" t="s">
        <v>97</v>
      </c>
      <c r="BW807" s="2" t="s">
        <v>100</v>
      </c>
      <c r="BX807" s="2" t="s">
        <v>100</v>
      </c>
      <c r="BY807" s="2" t="s">
        <v>112</v>
      </c>
      <c r="BZ807" s="2" t="s">
        <v>100</v>
      </c>
    </row>
    <row r="808">
      <c r="A808" s="2" t="s">
        <v>3034</v>
      </c>
      <c r="B808" s="2" t="s">
        <v>87</v>
      </c>
      <c r="C808" s="2" t="s">
        <v>88</v>
      </c>
      <c r="D808" s="2" t="s">
        <v>2308</v>
      </c>
      <c r="E808" s="2" t="s">
        <v>2927</v>
      </c>
      <c r="F808" s="2" t="s">
        <v>1879</v>
      </c>
      <c r="G808" s="2" t="s">
        <v>1880</v>
      </c>
      <c r="H808" s="2" t="s">
        <v>1881</v>
      </c>
      <c r="I808" s="2" t="s">
        <v>3006</v>
      </c>
      <c r="J808" s="2" t="s">
        <v>95</v>
      </c>
      <c r="K808" s="2" t="s">
        <v>1018</v>
      </c>
      <c r="L808" s="3">
        <v>49.5</v>
      </c>
      <c r="M808" s="3">
        <v>51.98</v>
      </c>
      <c r="N808" s="3">
        <v>99.99</v>
      </c>
      <c r="O808" s="2" t="s">
        <v>97</v>
      </c>
      <c r="P808" s="2" t="s">
        <v>98</v>
      </c>
      <c r="Q808" s="2" t="s">
        <v>99</v>
      </c>
      <c r="R808" s="2" t="s">
        <v>100</v>
      </c>
      <c r="S808" s="2" t="s">
        <v>3035</v>
      </c>
      <c r="T808" s="2" t="s">
        <v>100</v>
      </c>
      <c r="U808" s="2" t="s">
        <v>1610</v>
      </c>
      <c r="V808" s="2" t="s">
        <v>601</v>
      </c>
      <c r="W808" s="2" t="s">
        <v>104</v>
      </c>
      <c r="X808" s="2" t="s">
        <v>759</v>
      </c>
      <c r="Y808" s="2" t="s">
        <v>106</v>
      </c>
      <c r="Z808" s="4">
        <v>275</v>
      </c>
      <c r="AA808" s="4">
        <f>=ROUNDDOWN(7.43243243243243,0)</f>
      </c>
      <c r="AB808" s="5">
        <v>37</v>
      </c>
      <c r="AC808" s="2" t="s">
        <v>126</v>
      </c>
      <c r="AD808" s="4">
        <v>30</v>
      </c>
      <c r="AE808" s="4">
        <v>950</v>
      </c>
      <c r="AF808" s="6">
        <v>65</v>
      </c>
      <c r="AG808" s="6">
        <v>48</v>
      </c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100</v>
      </c>
      <c r="AW808" s="8" t="s">
        <v>100</v>
      </c>
      <c r="AX808" s="4" t="s">
        <v>100</v>
      </c>
      <c r="AY808" s="8" t="s">
        <v>100</v>
      </c>
      <c r="AZ808" s="7" t="s">
        <v>100</v>
      </c>
      <c r="BA808" s="7" t="s">
        <v>100</v>
      </c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650</v>
      </c>
      <c r="BK808" s="8">
        <v>35062.1</v>
      </c>
      <c r="BL808" s="2" t="s">
        <v>3036</v>
      </c>
      <c r="BM808" s="7"/>
      <c r="BN808" s="7"/>
      <c r="BO808" s="4"/>
      <c r="BP808" s="8"/>
      <c r="BQ808" s="4"/>
      <c r="BR808" s="8"/>
      <c r="BS808" s="7"/>
      <c r="BT808" s="7"/>
      <c r="BU808" s="2" t="s">
        <v>147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3037</v>
      </c>
      <c r="B809" s="2" t="s">
        <v>87</v>
      </c>
      <c r="C809" s="2" t="s">
        <v>88</v>
      </c>
      <c r="D809" s="2" t="s">
        <v>2308</v>
      </c>
      <c r="E809" s="2" t="s">
        <v>2927</v>
      </c>
      <c r="F809" s="2" t="s">
        <v>1879</v>
      </c>
      <c r="G809" s="2" t="s">
        <v>1880</v>
      </c>
      <c r="H809" s="2" t="s">
        <v>1881</v>
      </c>
      <c r="I809" s="2" t="s">
        <v>3006</v>
      </c>
      <c r="J809" s="2" t="s">
        <v>114</v>
      </c>
      <c r="K809" s="2" t="s">
        <v>1018</v>
      </c>
      <c r="L809" s="3">
        <v>64.25</v>
      </c>
      <c r="M809" s="3">
        <v>67.46</v>
      </c>
      <c r="N809" s="3">
        <v>129.99</v>
      </c>
      <c r="O809" s="2" t="s">
        <v>97</v>
      </c>
      <c r="P809" s="2" t="s">
        <v>98</v>
      </c>
      <c r="Q809" s="2" t="s">
        <v>99</v>
      </c>
      <c r="R809" s="2" t="s">
        <v>100</v>
      </c>
      <c r="S809" s="2" t="s">
        <v>3035</v>
      </c>
      <c r="T809" s="2" t="s">
        <v>100</v>
      </c>
      <c r="U809" s="2" t="s">
        <v>1610</v>
      </c>
      <c r="V809" s="2" t="s">
        <v>601</v>
      </c>
      <c r="W809" s="2" t="s">
        <v>104</v>
      </c>
      <c r="X809" s="2" t="s">
        <v>759</v>
      </c>
      <c r="Y809" s="2" t="s">
        <v>106</v>
      </c>
      <c r="Z809" s="4">
        <v>298</v>
      </c>
      <c r="AA809" s="4">
        <f>=ROUNDDOWN(6.47826086956522,0)</f>
      </c>
      <c r="AB809" s="5">
        <v>46</v>
      </c>
      <c r="AC809" s="2" t="s">
        <v>126</v>
      </c>
      <c r="AD809" s="4">
        <v>30</v>
      </c>
      <c r="AE809" s="4">
        <v>1170</v>
      </c>
      <c r="AF809" s="6">
        <v>65</v>
      </c>
      <c r="AG809" s="6">
        <v>48</v>
      </c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100</v>
      </c>
      <c r="AW809" s="8" t="s">
        <v>100</v>
      </c>
      <c r="AX809" s="4" t="s">
        <v>100</v>
      </c>
      <c r="AY809" s="8" t="s">
        <v>100</v>
      </c>
      <c r="AZ809" s="7" t="s">
        <v>100</v>
      </c>
      <c r="BA809" s="7" t="s">
        <v>100</v>
      </c>
      <c r="BB809" s="7"/>
      <c r="BC809" s="4" t="s">
        <v>100</v>
      </c>
      <c r="BD809" s="8" t="s">
        <v>100</v>
      </c>
      <c r="BE809" s="4" t="s">
        <v>100</v>
      </c>
      <c r="BF809" s="8" t="s">
        <v>100</v>
      </c>
      <c r="BG809" s="7" t="s">
        <v>100</v>
      </c>
      <c r="BH809" s="7" t="s">
        <v>100</v>
      </c>
      <c r="BI809" s="7"/>
      <c r="BJ809" s="4">
        <v>786</v>
      </c>
      <c r="BK809" s="8">
        <v>55011.97</v>
      </c>
      <c r="BL809" s="2" t="s">
        <v>3038</v>
      </c>
      <c r="BM809" s="7"/>
      <c r="BN809" s="7"/>
      <c r="BO809" s="4"/>
      <c r="BP809" s="8"/>
      <c r="BQ809" s="4"/>
      <c r="BR809" s="8"/>
      <c r="BS809" s="7"/>
      <c r="BT809" s="7"/>
      <c r="BU809" s="2" t="s">
        <v>147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3039</v>
      </c>
      <c r="B810" s="2" t="s">
        <v>87</v>
      </c>
      <c r="C810" s="2" t="s">
        <v>88</v>
      </c>
      <c r="D810" s="2" t="s">
        <v>2308</v>
      </c>
      <c r="E810" s="2" t="s">
        <v>2927</v>
      </c>
      <c r="F810" s="2" t="s">
        <v>1879</v>
      </c>
      <c r="G810" s="2" t="s">
        <v>1880</v>
      </c>
      <c r="H810" s="2" t="s">
        <v>1881</v>
      </c>
      <c r="I810" s="2" t="s">
        <v>3006</v>
      </c>
      <c r="J810" s="2" t="s">
        <v>95</v>
      </c>
      <c r="K810" s="2" t="s">
        <v>2496</v>
      </c>
      <c r="L810" s="3">
        <v>49.5</v>
      </c>
      <c r="M810" s="3">
        <v>51.98</v>
      </c>
      <c r="N810" s="3">
        <v>99.99</v>
      </c>
      <c r="O810" s="2" t="s">
        <v>97</v>
      </c>
      <c r="P810" s="2" t="s">
        <v>182</v>
      </c>
      <c r="Q810" s="2" t="s">
        <v>99</v>
      </c>
      <c r="R810" s="2" t="s">
        <v>100</v>
      </c>
      <c r="S810" s="2" t="s">
        <v>2497</v>
      </c>
      <c r="T810" s="2" t="s">
        <v>100</v>
      </c>
      <c r="U810" s="2" t="s">
        <v>1610</v>
      </c>
      <c r="V810" s="2" t="s">
        <v>601</v>
      </c>
      <c r="W810" s="2" t="s">
        <v>104</v>
      </c>
      <c r="X810" s="2" t="s">
        <v>759</v>
      </c>
      <c r="Y810" s="2" t="s">
        <v>2498</v>
      </c>
      <c r="Z810" s="4">
        <v>329</v>
      </c>
      <c r="AA810" s="4">
        <f>=ROUNDDOWN(9.96969696969697,0)</f>
      </c>
      <c r="AB810" s="5">
        <v>33</v>
      </c>
      <c r="AC810" s="2" t="s">
        <v>126</v>
      </c>
      <c r="AD810" s="4">
        <v>30</v>
      </c>
      <c r="AE810" s="4">
        <v>960</v>
      </c>
      <c r="AF810" s="6">
        <v>65</v>
      </c>
      <c r="AG810" s="6">
        <v>48</v>
      </c>
      <c r="AH810" s="7">
        <v>0.9091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100</v>
      </c>
      <c r="AW810" s="8" t="s">
        <v>100</v>
      </c>
      <c r="AX810" s="4" t="s">
        <v>100</v>
      </c>
      <c r="AY810" s="8" t="s">
        <v>100</v>
      </c>
      <c r="AZ810" s="7" t="s">
        <v>100</v>
      </c>
      <c r="BA810" s="7" t="s">
        <v>100</v>
      </c>
      <c r="BB810" s="7"/>
      <c r="BC810" s="4" t="s">
        <v>100</v>
      </c>
      <c r="BD810" s="8" t="s">
        <v>100</v>
      </c>
      <c r="BE810" s="4" t="s">
        <v>100</v>
      </c>
      <c r="BF810" s="8" t="s">
        <v>100</v>
      </c>
      <c r="BG810" s="7" t="s">
        <v>100</v>
      </c>
      <c r="BH810" s="7" t="s">
        <v>100</v>
      </c>
      <c r="BI810" s="7"/>
      <c r="BJ810" s="4">
        <v>536</v>
      </c>
      <c r="BK810" s="8">
        <v>28887.82</v>
      </c>
      <c r="BL810" s="2" t="s">
        <v>3040</v>
      </c>
      <c r="BM810" s="7"/>
      <c r="BN810" s="7"/>
      <c r="BO810" s="4"/>
      <c r="BP810" s="8"/>
      <c r="BQ810" s="4"/>
      <c r="BR810" s="8"/>
      <c r="BS810" s="7"/>
      <c r="BT810" s="7"/>
      <c r="BU810" s="2" t="s">
        <v>147</v>
      </c>
      <c r="BV810" s="2" t="s">
        <v>97</v>
      </c>
      <c r="BW810" s="2" t="s">
        <v>100</v>
      </c>
      <c r="BX810" s="2" t="s">
        <v>100</v>
      </c>
      <c r="BY810" s="2" t="s">
        <v>112</v>
      </c>
      <c r="BZ810" s="2" t="s">
        <v>100</v>
      </c>
    </row>
    <row r="811">
      <c r="A811" s="2" t="s">
        <v>3041</v>
      </c>
      <c r="B811" s="2" t="s">
        <v>87</v>
      </c>
      <c r="C811" s="2" t="s">
        <v>88</v>
      </c>
      <c r="D811" s="2" t="s">
        <v>2308</v>
      </c>
      <c r="E811" s="2" t="s">
        <v>2927</v>
      </c>
      <c r="F811" s="2" t="s">
        <v>1879</v>
      </c>
      <c r="G811" s="2" t="s">
        <v>1880</v>
      </c>
      <c r="H811" s="2" t="s">
        <v>1881</v>
      </c>
      <c r="I811" s="2" t="s">
        <v>3006</v>
      </c>
      <c r="J811" s="2" t="s">
        <v>114</v>
      </c>
      <c r="K811" s="2" t="s">
        <v>2496</v>
      </c>
      <c r="L811" s="3">
        <v>64.25</v>
      </c>
      <c r="M811" s="3">
        <v>67.46</v>
      </c>
      <c r="N811" s="3">
        <v>129.99</v>
      </c>
      <c r="O811" s="2" t="s">
        <v>97</v>
      </c>
      <c r="P811" s="2" t="s">
        <v>182</v>
      </c>
      <c r="Q811" s="2" t="s">
        <v>99</v>
      </c>
      <c r="R811" s="2" t="s">
        <v>100</v>
      </c>
      <c r="S811" s="2" t="s">
        <v>2497</v>
      </c>
      <c r="T811" s="2" t="s">
        <v>100</v>
      </c>
      <c r="U811" s="2" t="s">
        <v>1610</v>
      </c>
      <c r="V811" s="2" t="s">
        <v>601</v>
      </c>
      <c r="W811" s="2" t="s">
        <v>104</v>
      </c>
      <c r="X811" s="2" t="s">
        <v>759</v>
      </c>
      <c r="Y811" s="2" t="s">
        <v>2498</v>
      </c>
      <c r="Z811" s="4">
        <v>390</v>
      </c>
      <c r="AA811" s="4">
        <f>=ROUNDDOWN(9.75,0)</f>
      </c>
      <c r="AB811" s="5">
        <v>40</v>
      </c>
      <c r="AC811" s="2" t="s">
        <v>2449</v>
      </c>
      <c r="AD811" s="4">
        <v>150</v>
      </c>
      <c r="AE811" s="4">
        <v>1100</v>
      </c>
      <c r="AF811" s="6">
        <v>65</v>
      </c>
      <c r="AG811" s="6">
        <v>48</v>
      </c>
      <c r="AH811" s="7">
        <v>0.9152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100</v>
      </c>
      <c r="AW811" s="8" t="s">
        <v>100</v>
      </c>
      <c r="AX811" s="4" t="s">
        <v>100</v>
      </c>
      <c r="AY811" s="8" t="s">
        <v>100</v>
      </c>
      <c r="AZ811" s="7" t="s">
        <v>100</v>
      </c>
      <c r="BA811" s="7" t="s">
        <v>100</v>
      </c>
      <c r="BB811" s="7"/>
      <c r="BC811" s="4" t="s">
        <v>100</v>
      </c>
      <c r="BD811" s="8" t="s">
        <v>100</v>
      </c>
      <c r="BE811" s="4" t="s">
        <v>100</v>
      </c>
      <c r="BF811" s="8" t="s">
        <v>100</v>
      </c>
      <c r="BG811" s="7" t="s">
        <v>100</v>
      </c>
      <c r="BH811" s="7" t="s">
        <v>100</v>
      </c>
      <c r="BI811" s="7"/>
      <c r="BJ811" s="4">
        <v>755</v>
      </c>
      <c r="BK811" s="8">
        <v>53632.84</v>
      </c>
      <c r="BL811" s="2" t="s">
        <v>3042</v>
      </c>
      <c r="BM811" s="7"/>
      <c r="BN811" s="7"/>
      <c r="BO811" s="4"/>
      <c r="BP811" s="8"/>
      <c r="BQ811" s="4"/>
      <c r="BR811" s="8"/>
      <c r="BS811" s="7"/>
      <c r="BT811" s="7"/>
      <c r="BU811" s="2" t="s">
        <v>147</v>
      </c>
      <c r="BV811" s="2" t="s">
        <v>97</v>
      </c>
      <c r="BW811" s="2" t="s">
        <v>100</v>
      </c>
      <c r="BX811" s="2" t="s">
        <v>100</v>
      </c>
      <c r="BY811" s="2" t="s">
        <v>112</v>
      </c>
      <c r="BZ811" s="2" t="s">
        <v>100</v>
      </c>
    </row>
    <row r="812">
      <c r="A812" s="2" t="s">
        <v>3043</v>
      </c>
      <c r="B812" s="2" t="s">
        <v>87</v>
      </c>
      <c r="C812" s="2" t="s">
        <v>88</v>
      </c>
      <c r="D812" s="2" t="s">
        <v>2308</v>
      </c>
      <c r="E812" s="2" t="s">
        <v>2927</v>
      </c>
      <c r="F812" s="2" t="s">
        <v>1879</v>
      </c>
      <c r="G812" s="2" t="s">
        <v>1880</v>
      </c>
      <c r="H812" s="2" t="s">
        <v>1881</v>
      </c>
      <c r="I812" s="2" t="s">
        <v>3006</v>
      </c>
      <c r="J812" s="2" t="s">
        <v>3012</v>
      </c>
      <c r="K812" s="2" t="s">
        <v>197</v>
      </c>
      <c r="L812" s="3">
        <v>32.39</v>
      </c>
      <c r="M812" s="3">
        <v>34.01</v>
      </c>
      <c r="N812" s="3">
        <v>64.99</v>
      </c>
      <c r="O812" s="2" t="s">
        <v>97</v>
      </c>
      <c r="P812" s="2" t="s">
        <v>98</v>
      </c>
      <c r="Q812" s="2" t="s">
        <v>99</v>
      </c>
      <c r="R812" s="2" t="s">
        <v>100</v>
      </c>
      <c r="S812" s="2" t="s">
        <v>3044</v>
      </c>
      <c r="T812" s="2" t="s">
        <v>100</v>
      </c>
      <c r="U812" s="2" t="s">
        <v>2104</v>
      </c>
      <c r="V812" s="2" t="s">
        <v>601</v>
      </c>
      <c r="W812" s="2" t="s">
        <v>104</v>
      </c>
      <c r="X812" s="2" t="s">
        <v>759</v>
      </c>
      <c r="Y812" s="2" t="s">
        <v>3025</v>
      </c>
      <c r="Z812" s="4">
        <v>151</v>
      </c>
      <c r="AA812" s="4">
        <f>=ROUNDDOWN(8.88235294117647,0)</f>
      </c>
      <c r="AB812" s="5">
        <v>17</v>
      </c>
      <c r="AC812" s="2" t="s">
        <v>659</v>
      </c>
      <c r="AD812" s="4">
        <v>80</v>
      </c>
      <c r="AE812" s="4">
        <v>450</v>
      </c>
      <c r="AF812" s="6">
        <v>65</v>
      </c>
      <c r="AG812" s="6">
        <v>48</v>
      </c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100</v>
      </c>
      <c r="AW812" s="8" t="s">
        <v>100</v>
      </c>
      <c r="AX812" s="4" t="s">
        <v>100</v>
      </c>
      <c r="AY812" s="8" t="s">
        <v>100</v>
      </c>
      <c r="AZ812" s="7" t="s">
        <v>100</v>
      </c>
      <c r="BA812" s="7" t="s">
        <v>100</v>
      </c>
      <c r="BB812" s="7"/>
      <c r="BC812" s="4" t="s">
        <v>100</v>
      </c>
      <c r="BD812" s="8" t="s">
        <v>100</v>
      </c>
      <c r="BE812" s="4" t="s">
        <v>100</v>
      </c>
      <c r="BF812" s="8" t="s">
        <v>100</v>
      </c>
      <c r="BG812" s="7" t="s">
        <v>100</v>
      </c>
      <c r="BH812" s="7" t="s">
        <v>100</v>
      </c>
      <c r="BI812" s="7"/>
      <c r="BJ812" s="4">
        <v>232</v>
      </c>
      <c r="BK812" s="8">
        <v>8040.6</v>
      </c>
      <c r="BL812" s="2" t="s">
        <v>3045</v>
      </c>
      <c r="BM812" s="7"/>
      <c r="BN812" s="7"/>
      <c r="BO812" s="4"/>
      <c r="BP812" s="8"/>
      <c r="BQ812" s="4"/>
      <c r="BR812" s="8"/>
      <c r="BS812" s="7"/>
      <c r="BT812" s="7"/>
      <c r="BU812" s="2" t="s">
        <v>147</v>
      </c>
      <c r="BV812" s="2" t="s">
        <v>97</v>
      </c>
      <c r="BW812" s="2" t="s">
        <v>100</v>
      </c>
      <c r="BX812" s="2" t="s">
        <v>100</v>
      </c>
      <c r="BY812" s="2" t="s">
        <v>112</v>
      </c>
      <c r="BZ812" s="2" t="s">
        <v>100</v>
      </c>
    </row>
    <row r="813">
      <c r="A813" s="2" t="s">
        <v>3046</v>
      </c>
      <c r="B813" s="2" t="s">
        <v>87</v>
      </c>
      <c r="C813" s="2" t="s">
        <v>88</v>
      </c>
      <c r="D813" s="2" t="s">
        <v>2308</v>
      </c>
      <c r="E813" s="2" t="s">
        <v>2927</v>
      </c>
      <c r="F813" s="2" t="s">
        <v>1879</v>
      </c>
      <c r="G813" s="2" t="s">
        <v>1880</v>
      </c>
      <c r="H813" s="2" t="s">
        <v>1881</v>
      </c>
      <c r="I813" s="2" t="s">
        <v>3006</v>
      </c>
      <c r="J813" s="2" t="s">
        <v>122</v>
      </c>
      <c r="K813" s="2" t="s">
        <v>197</v>
      </c>
      <c r="L813" s="3">
        <v>39.69</v>
      </c>
      <c r="M813" s="3">
        <v>41.67</v>
      </c>
      <c r="N813" s="3">
        <v>79.99</v>
      </c>
      <c r="O813" s="2" t="s">
        <v>97</v>
      </c>
      <c r="P813" s="2" t="s">
        <v>98</v>
      </c>
      <c r="Q813" s="2" t="s">
        <v>99</v>
      </c>
      <c r="R813" s="2" t="s">
        <v>100</v>
      </c>
      <c r="S813" s="2" t="s">
        <v>3044</v>
      </c>
      <c r="T813" s="2" t="s">
        <v>100</v>
      </c>
      <c r="U813" s="2" t="s">
        <v>1610</v>
      </c>
      <c r="V813" s="2" t="s">
        <v>601</v>
      </c>
      <c r="W813" s="2" t="s">
        <v>104</v>
      </c>
      <c r="X813" s="2" t="s">
        <v>759</v>
      </c>
      <c r="Y813" s="2" t="s">
        <v>3025</v>
      </c>
      <c r="Z813" s="4">
        <v>182</v>
      </c>
      <c r="AA813" s="4">
        <f>=ROUNDDOWN(20.2222222222222,0)</f>
      </c>
      <c r="AB813" s="5">
        <v>9</v>
      </c>
      <c r="AC813" s="2" t="s">
        <v>589</v>
      </c>
      <c r="AD813" s="4">
        <v>30</v>
      </c>
      <c r="AE813" s="4">
        <v>160</v>
      </c>
      <c r="AF813" s="6">
        <v>65</v>
      </c>
      <c r="AG813" s="6">
        <v>48</v>
      </c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100</v>
      </c>
      <c r="AW813" s="8" t="s">
        <v>100</v>
      </c>
      <c r="AX813" s="4" t="s">
        <v>100</v>
      </c>
      <c r="AY813" s="8" t="s">
        <v>100</v>
      </c>
      <c r="AZ813" s="7" t="s">
        <v>100</v>
      </c>
      <c r="BA813" s="7" t="s">
        <v>100</v>
      </c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119</v>
      </c>
      <c r="BK813" s="8">
        <v>5172.21</v>
      </c>
      <c r="BL813" s="2" t="s">
        <v>3047</v>
      </c>
      <c r="BM813" s="7"/>
      <c r="BN813" s="7"/>
      <c r="BO813" s="4"/>
      <c r="BP813" s="8"/>
      <c r="BQ813" s="4"/>
      <c r="BR813" s="8"/>
      <c r="BS813" s="7"/>
      <c r="BT813" s="7"/>
      <c r="BU813" s="2" t="s">
        <v>147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3048</v>
      </c>
      <c r="B814" s="2" t="s">
        <v>87</v>
      </c>
      <c r="C814" s="2" t="s">
        <v>88</v>
      </c>
      <c r="D814" s="2" t="s">
        <v>2308</v>
      </c>
      <c r="E814" s="2" t="s">
        <v>2927</v>
      </c>
      <c r="F814" s="2" t="s">
        <v>1879</v>
      </c>
      <c r="G814" s="2" t="s">
        <v>1880</v>
      </c>
      <c r="H814" s="2" t="s">
        <v>1881</v>
      </c>
      <c r="I814" s="2" t="s">
        <v>3006</v>
      </c>
      <c r="J814" s="2" t="s">
        <v>95</v>
      </c>
      <c r="K814" s="2" t="s">
        <v>197</v>
      </c>
      <c r="L814" s="3">
        <v>49.5</v>
      </c>
      <c r="M814" s="3">
        <v>51.98</v>
      </c>
      <c r="N814" s="3">
        <v>99.99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2502</v>
      </c>
      <c r="T814" s="2" t="s">
        <v>100</v>
      </c>
      <c r="U814" s="2" t="s">
        <v>1610</v>
      </c>
      <c r="V814" s="2" t="s">
        <v>601</v>
      </c>
      <c r="W814" s="2" t="s">
        <v>104</v>
      </c>
      <c r="X814" s="2" t="s">
        <v>759</v>
      </c>
      <c r="Y814" s="2" t="s">
        <v>106</v>
      </c>
      <c r="Z814" s="4">
        <v>278</v>
      </c>
      <c r="AA814" s="4">
        <f>=ROUNDDOWN(7.51351351351351,0)</f>
      </c>
      <c r="AB814" s="5">
        <v>37</v>
      </c>
      <c r="AC814" s="2" t="s">
        <v>659</v>
      </c>
      <c r="AD814" s="4">
        <v>100</v>
      </c>
      <c r="AE814" s="4">
        <v>990</v>
      </c>
      <c r="AF814" s="6">
        <v>65</v>
      </c>
      <c r="AG814" s="6">
        <v>48</v>
      </c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100</v>
      </c>
      <c r="AW814" s="8" t="s">
        <v>100</v>
      </c>
      <c r="AX814" s="4" t="s">
        <v>100</v>
      </c>
      <c r="AY814" s="8" t="s">
        <v>100</v>
      </c>
      <c r="AZ814" s="7" t="s">
        <v>100</v>
      </c>
      <c r="BA814" s="7" t="s">
        <v>100</v>
      </c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600</v>
      </c>
      <c r="BK814" s="8">
        <v>32050.44</v>
      </c>
      <c r="BL814" s="2" t="s">
        <v>3049</v>
      </c>
      <c r="BM814" s="7"/>
      <c r="BN814" s="7"/>
      <c r="BO814" s="4"/>
      <c r="BP814" s="8"/>
      <c r="BQ814" s="4"/>
      <c r="BR814" s="8"/>
      <c r="BS814" s="7"/>
      <c r="BT814" s="7"/>
      <c r="BU814" s="2" t="s">
        <v>147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3050</v>
      </c>
      <c r="B815" s="2" t="s">
        <v>87</v>
      </c>
      <c r="C815" s="2" t="s">
        <v>88</v>
      </c>
      <c r="D815" s="2" t="s">
        <v>2308</v>
      </c>
      <c r="E815" s="2" t="s">
        <v>2927</v>
      </c>
      <c r="F815" s="2" t="s">
        <v>1879</v>
      </c>
      <c r="G815" s="2" t="s">
        <v>1880</v>
      </c>
      <c r="H815" s="2" t="s">
        <v>1881</v>
      </c>
      <c r="I815" s="2" t="s">
        <v>3006</v>
      </c>
      <c r="J815" s="2" t="s">
        <v>114</v>
      </c>
      <c r="K815" s="2" t="s">
        <v>197</v>
      </c>
      <c r="L815" s="3">
        <v>64.25</v>
      </c>
      <c r="M815" s="3">
        <v>67.46</v>
      </c>
      <c r="N815" s="3">
        <v>129.99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2502</v>
      </c>
      <c r="T815" s="2" t="s">
        <v>100</v>
      </c>
      <c r="U815" s="2" t="s">
        <v>1610</v>
      </c>
      <c r="V815" s="2" t="s">
        <v>601</v>
      </c>
      <c r="W815" s="2" t="s">
        <v>104</v>
      </c>
      <c r="X815" s="2" t="s">
        <v>759</v>
      </c>
      <c r="Y815" s="2" t="s">
        <v>106</v>
      </c>
      <c r="Z815" s="4">
        <v>280</v>
      </c>
      <c r="AA815" s="4">
        <f>=ROUNDDOWN(7,0)</f>
      </c>
      <c r="AB815" s="5">
        <v>40</v>
      </c>
      <c r="AC815" s="2" t="s">
        <v>126</v>
      </c>
      <c r="AD815" s="4">
        <v>30</v>
      </c>
      <c r="AE815" s="4">
        <v>1170</v>
      </c>
      <c r="AF815" s="6">
        <v>65</v>
      </c>
      <c r="AG815" s="6">
        <v>48</v>
      </c>
      <c r="AH815" s="7">
        <v>0.9333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100</v>
      </c>
      <c r="AW815" s="8" t="s">
        <v>100</v>
      </c>
      <c r="AX815" s="4" t="s">
        <v>100</v>
      </c>
      <c r="AY815" s="8" t="s">
        <v>100</v>
      </c>
      <c r="AZ815" s="7" t="s">
        <v>100</v>
      </c>
      <c r="BA815" s="7" t="s">
        <v>100</v>
      </c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710</v>
      </c>
      <c r="BK815" s="8">
        <v>50044.76</v>
      </c>
      <c r="BL815" s="2" t="s">
        <v>3051</v>
      </c>
      <c r="BM815" s="7"/>
      <c r="BN815" s="7"/>
      <c r="BO815" s="4"/>
      <c r="BP815" s="8"/>
      <c r="BQ815" s="4"/>
      <c r="BR815" s="8"/>
      <c r="BS815" s="7"/>
      <c r="BT815" s="7"/>
      <c r="BU815" s="2" t="s">
        <v>147</v>
      </c>
      <c r="BV815" s="2" t="s">
        <v>97</v>
      </c>
      <c r="BW815" s="2" t="s">
        <v>100</v>
      </c>
      <c r="BX815" s="2" t="s">
        <v>100</v>
      </c>
      <c r="BY815" s="2" t="s">
        <v>112</v>
      </c>
      <c r="BZ815" s="2" t="s">
        <v>100</v>
      </c>
    </row>
    <row r="816">
      <c r="A816" s="2" t="s">
        <v>3052</v>
      </c>
      <c r="B816" s="2" t="s">
        <v>87</v>
      </c>
      <c r="C816" s="2" t="s">
        <v>88</v>
      </c>
      <c r="D816" s="2" t="s">
        <v>2308</v>
      </c>
      <c r="E816" s="2" t="s">
        <v>2927</v>
      </c>
      <c r="F816" s="2" t="s">
        <v>1879</v>
      </c>
      <c r="G816" s="2" t="s">
        <v>1880</v>
      </c>
      <c r="H816" s="2" t="s">
        <v>1881</v>
      </c>
      <c r="I816" s="2" t="s">
        <v>3006</v>
      </c>
      <c r="J816" s="2" t="s">
        <v>95</v>
      </c>
      <c r="K816" s="2" t="s">
        <v>168</v>
      </c>
      <c r="L816" s="3">
        <v>49.5</v>
      </c>
      <c r="M816" s="3">
        <v>51.98</v>
      </c>
      <c r="N816" s="3">
        <v>99.99</v>
      </c>
      <c r="O816" s="2" t="s">
        <v>97</v>
      </c>
      <c r="P816" s="2" t="s">
        <v>182</v>
      </c>
      <c r="Q816" s="2" t="s">
        <v>99</v>
      </c>
      <c r="R816" s="2" t="s">
        <v>100</v>
      </c>
      <c r="S816" s="2" t="s">
        <v>2510</v>
      </c>
      <c r="T816" s="2" t="s">
        <v>100</v>
      </c>
      <c r="U816" s="2" t="s">
        <v>1610</v>
      </c>
      <c r="V816" s="2" t="s">
        <v>601</v>
      </c>
      <c r="W816" s="2" t="s">
        <v>104</v>
      </c>
      <c r="X816" s="2" t="s">
        <v>759</v>
      </c>
      <c r="Y816" s="2" t="s">
        <v>2511</v>
      </c>
      <c r="Z816" s="4">
        <v>169</v>
      </c>
      <c r="AA816" s="4">
        <f>=ROUNDDOWN(8.04761904761905,0)</f>
      </c>
      <c r="AB816" s="5">
        <v>21</v>
      </c>
      <c r="AC816" s="2" t="s">
        <v>126</v>
      </c>
      <c r="AD816" s="4">
        <v>30</v>
      </c>
      <c r="AE816" s="4">
        <v>480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100</v>
      </c>
      <c r="AW816" s="8" t="s">
        <v>100</v>
      </c>
      <c r="AX816" s="4" t="s">
        <v>100</v>
      </c>
      <c r="AY816" s="8" t="s">
        <v>100</v>
      </c>
      <c r="AZ816" s="7" t="s">
        <v>100</v>
      </c>
      <c r="BA816" s="7" t="s">
        <v>100</v>
      </c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408</v>
      </c>
      <c r="BK816" s="8">
        <v>21794.7</v>
      </c>
      <c r="BL816" s="2" t="s">
        <v>3053</v>
      </c>
      <c r="BM816" s="7"/>
      <c r="BN816" s="7"/>
      <c r="BO816" s="4"/>
      <c r="BP816" s="8"/>
      <c r="BQ816" s="4"/>
      <c r="BR816" s="8"/>
      <c r="BS816" s="7"/>
      <c r="BT816" s="7"/>
      <c r="BU816" s="2" t="s">
        <v>147</v>
      </c>
      <c r="BV816" s="2" t="s">
        <v>97</v>
      </c>
      <c r="BW816" s="2" t="s">
        <v>100</v>
      </c>
      <c r="BX816" s="2" t="s">
        <v>100</v>
      </c>
      <c r="BY816" s="2" t="s">
        <v>112</v>
      </c>
      <c r="BZ816" s="2" t="s">
        <v>100</v>
      </c>
    </row>
    <row r="817">
      <c r="A817" s="2" t="s">
        <v>3054</v>
      </c>
      <c r="B817" s="2" t="s">
        <v>87</v>
      </c>
      <c r="C817" s="2" t="s">
        <v>88</v>
      </c>
      <c r="D817" s="2" t="s">
        <v>2308</v>
      </c>
      <c r="E817" s="2" t="s">
        <v>2927</v>
      </c>
      <c r="F817" s="2" t="s">
        <v>1879</v>
      </c>
      <c r="G817" s="2" t="s">
        <v>1880</v>
      </c>
      <c r="H817" s="2" t="s">
        <v>1881</v>
      </c>
      <c r="I817" s="2" t="s">
        <v>3006</v>
      </c>
      <c r="J817" s="2" t="s">
        <v>114</v>
      </c>
      <c r="K817" s="2" t="s">
        <v>168</v>
      </c>
      <c r="L817" s="3">
        <v>64.25</v>
      </c>
      <c r="M817" s="3">
        <v>67.46</v>
      </c>
      <c r="N817" s="3">
        <v>129.99</v>
      </c>
      <c r="O817" s="2" t="s">
        <v>97</v>
      </c>
      <c r="P817" s="2" t="s">
        <v>182</v>
      </c>
      <c r="Q817" s="2" t="s">
        <v>99</v>
      </c>
      <c r="R817" s="2" t="s">
        <v>100</v>
      </c>
      <c r="S817" s="2" t="s">
        <v>2510</v>
      </c>
      <c r="T817" s="2" t="s">
        <v>100</v>
      </c>
      <c r="U817" s="2" t="s">
        <v>1610</v>
      </c>
      <c r="V817" s="2" t="s">
        <v>601</v>
      </c>
      <c r="W817" s="2" t="s">
        <v>104</v>
      </c>
      <c r="X817" s="2" t="s">
        <v>759</v>
      </c>
      <c r="Y817" s="2" t="s">
        <v>2511</v>
      </c>
      <c r="Z817" s="4">
        <v>276</v>
      </c>
      <c r="AA817" s="4">
        <f>=ROUNDDOWN(9.85714285714286,0)</f>
      </c>
      <c r="AB817" s="5">
        <v>28</v>
      </c>
      <c r="AC817" s="2" t="s">
        <v>659</v>
      </c>
      <c r="AD817" s="4">
        <v>60</v>
      </c>
      <c r="AE817" s="4">
        <v>710</v>
      </c>
      <c r="AF817" s="6">
        <v>65</v>
      </c>
      <c r="AG817" s="6">
        <v>48</v>
      </c>
      <c r="AH817" s="7">
        <v>0.9697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100</v>
      </c>
      <c r="AW817" s="8" t="s">
        <v>100</v>
      </c>
      <c r="AX817" s="4" t="s">
        <v>100</v>
      </c>
      <c r="AY817" s="8" t="s">
        <v>100</v>
      </c>
      <c r="AZ817" s="7" t="s">
        <v>100</v>
      </c>
      <c r="BA817" s="7" t="s">
        <v>100</v>
      </c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435</v>
      </c>
      <c r="BK817" s="8">
        <v>30173.18</v>
      </c>
      <c r="BL817" s="2" t="s">
        <v>1721</v>
      </c>
      <c r="BM817" s="7"/>
      <c r="BN817" s="7"/>
      <c r="BO817" s="4"/>
      <c r="BP817" s="8"/>
      <c r="BQ817" s="4"/>
      <c r="BR817" s="8"/>
      <c r="BS817" s="7"/>
      <c r="BT817" s="7"/>
      <c r="BU817" s="2" t="s">
        <v>147</v>
      </c>
      <c r="BV817" s="2" t="s">
        <v>97</v>
      </c>
      <c r="BW817" s="2" t="s">
        <v>100</v>
      </c>
      <c r="BX817" s="2" t="s">
        <v>100</v>
      </c>
      <c r="BY817" s="2" t="s">
        <v>112</v>
      </c>
      <c r="BZ817" s="2" t="s">
        <v>100</v>
      </c>
    </row>
    <row r="818">
      <c r="A818" s="2" t="s">
        <v>3055</v>
      </c>
      <c r="B818" s="2" t="s">
        <v>87</v>
      </c>
      <c r="C818" s="2" t="s">
        <v>88</v>
      </c>
      <c r="D818" s="2" t="s">
        <v>2308</v>
      </c>
      <c r="E818" s="2" t="s">
        <v>2927</v>
      </c>
      <c r="F818" s="2" t="s">
        <v>1879</v>
      </c>
      <c r="G818" s="2" t="s">
        <v>1880</v>
      </c>
      <c r="H818" s="2" t="s">
        <v>1881</v>
      </c>
      <c r="I818" s="2" t="s">
        <v>3006</v>
      </c>
      <c r="J818" s="2" t="s">
        <v>95</v>
      </c>
      <c r="K818" s="2" t="s">
        <v>96</v>
      </c>
      <c r="L818" s="3">
        <v>49.5</v>
      </c>
      <c r="M818" s="3">
        <v>51.98</v>
      </c>
      <c r="N818" s="3">
        <v>99.99</v>
      </c>
      <c r="O818" s="2" t="s">
        <v>97</v>
      </c>
      <c r="P818" s="2" t="s">
        <v>182</v>
      </c>
      <c r="Q818" s="2" t="s">
        <v>99</v>
      </c>
      <c r="R818" s="2" t="s">
        <v>100</v>
      </c>
      <c r="S818" s="2" t="s">
        <v>3056</v>
      </c>
      <c r="T818" s="2" t="s">
        <v>100</v>
      </c>
      <c r="U818" s="2" t="s">
        <v>1610</v>
      </c>
      <c r="V818" s="2" t="s">
        <v>601</v>
      </c>
      <c r="W818" s="2" t="s">
        <v>104</v>
      </c>
      <c r="X818" s="2" t="s">
        <v>759</v>
      </c>
      <c r="Y818" s="2" t="s">
        <v>3057</v>
      </c>
      <c r="Z818" s="4">
        <v>147</v>
      </c>
      <c r="AA818" s="4">
        <f>=ROUNDDOWN(10.5,0)</f>
      </c>
      <c r="AB818" s="5">
        <v>14</v>
      </c>
      <c r="AC818" s="2" t="s">
        <v>659</v>
      </c>
      <c r="AD818" s="4">
        <v>90</v>
      </c>
      <c r="AE818" s="4">
        <v>270</v>
      </c>
      <c r="AF818" s="6">
        <v>65</v>
      </c>
      <c r="AG818" s="6">
        <v>48</v>
      </c>
      <c r="AH818" s="7">
        <v>0.7758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100</v>
      </c>
      <c r="AW818" s="8" t="s">
        <v>100</v>
      </c>
      <c r="AX818" s="4" t="s">
        <v>100</v>
      </c>
      <c r="AY818" s="8" t="s">
        <v>100</v>
      </c>
      <c r="AZ818" s="7" t="s">
        <v>100</v>
      </c>
      <c r="BA818" s="7" t="s">
        <v>100</v>
      </c>
      <c r="BB818" s="7"/>
      <c r="BC818" s="4" t="s">
        <v>100</v>
      </c>
      <c r="BD818" s="8" t="s">
        <v>100</v>
      </c>
      <c r="BE818" s="4" t="s">
        <v>100</v>
      </c>
      <c r="BF818" s="8" t="s">
        <v>100</v>
      </c>
      <c r="BG818" s="7" t="s">
        <v>100</v>
      </c>
      <c r="BH818" s="7" t="s">
        <v>100</v>
      </c>
      <c r="BI818" s="7"/>
      <c r="BJ818" s="4">
        <v>186</v>
      </c>
      <c r="BK818" s="8">
        <v>10025.36</v>
      </c>
      <c r="BL818" s="2" t="s">
        <v>3030</v>
      </c>
      <c r="BM818" s="7"/>
      <c r="BN818" s="7"/>
      <c r="BO818" s="4"/>
      <c r="BP818" s="8"/>
      <c r="BQ818" s="4"/>
      <c r="BR818" s="8"/>
      <c r="BS818" s="7"/>
      <c r="BT818" s="7"/>
      <c r="BU818" s="2" t="s">
        <v>147</v>
      </c>
      <c r="BV818" s="2" t="s">
        <v>97</v>
      </c>
      <c r="BW818" s="2" t="s">
        <v>100</v>
      </c>
      <c r="BX818" s="2" t="s">
        <v>100</v>
      </c>
      <c r="BY818" s="2" t="s">
        <v>112</v>
      </c>
      <c r="BZ818" s="2" t="s">
        <v>100</v>
      </c>
    </row>
    <row r="819">
      <c r="A819" s="2" t="s">
        <v>3058</v>
      </c>
      <c r="B819" s="2" t="s">
        <v>87</v>
      </c>
      <c r="C819" s="2" t="s">
        <v>88</v>
      </c>
      <c r="D819" s="2" t="s">
        <v>2308</v>
      </c>
      <c r="E819" s="2" t="s">
        <v>2927</v>
      </c>
      <c r="F819" s="2" t="s">
        <v>1879</v>
      </c>
      <c r="G819" s="2" t="s">
        <v>1880</v>
      </c>
      <c r="H819" s="2" t="s">
        <v>1881</v>
      </c>
      <c r="I819" s="2" t="s">
        <v>3006</v>
      </c>
      <c r="J819" s="2" t="s">
        <v>114</v>
      </c>
      <c r="K819" s="2" t="s">
        <v>96</v>
      </c>
      <c r="L819" s="3">
        <v>64.25</v>
      </c>
      <c r="M819" s="3">
        <v>67.46</v>
      </c>
      <c r="N819" s="3">
        <v>129.99</v>
      </c>
      <c r="O819" s="2" t="s">
        <v>97</v>
      </c>
      <c r="P819" s="2" t="s">
        <v>182</v>
      </c>
      <c r="Q819" s="2" t="s">
        <v>99</v>
      </c>
      <c r="R819" s="2" t="s">
        <v>100</v>
      </c>
      <c r="S819" s="2" t="s">
        <v>3056</v>
      </c>
      <c r="T819" s="2" t="s">
        <v>100</v>
      </c>
      <c r="U819" s="2" t="s">
        <v>1610</v>
      </c>
      <c r="V819" s="2" t="s">
        <v>601</v>
      </c>
      <c r="W819" s="2" t="s">
        <v>104</v>
      </c>
      <c r="X819" s="2" t="s">
        <v>759</v>
      </c>
      <c r="Y819" s="2" t="s">
        <v>106</v>
      </c>
      <c r="Z819" s="4">
        <v>302</v>
      </c>
      <c r="AA819" s="4">
        <f>=ROUNDDOWN(20.1333333333333,0)</f>
      </c>
      <c r="AB819" s="5">
        <v>15</v>
      </c>
      <c r="AC819" s="2" t="s">
        <v>659</v>
      </c>
      <c r="AD819" s="4">
        <v>100</v>
      </c>
      <c r="AE819" s="4">
        <v>240</v>
      </c>
      <c r="AF819" s="6">
        <v>65</v>
      </c>
      <c r="AG819" s="6">
        <v>48</v>
      </c>
      <c r="AH819" s="7">
        <v>0.9333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194</v>
      </c>
      <c r="BK819" s="8">
        <v>13318.52</v>
      </c>
      <c r="BL819" s="2" t="s">
        <v>3059</v>
      </c>
      <c r="BM819" s="7"/>
      <c r="BN819" s="7"/>
      <c r="BO819" s="4"/>
      <c r="BP819" s="8"/>
      <c r="BQ819" s="4"/>
      <c r="BR819" s="8"/>
      <c r="BS819" s="7"/>
      <c r="BT819" s="7"/>
      <c r="BU819" s="2" t="s">
        <v>147</v>
      </c>
      <c r="BV819" s="2" t="s">
        <v>97</v>
      </c>
      <c r="BW819" s="2" t="s">
        <v>100</v>
      </c>
      <c r="BX819" s="2" t="s">
        <v>100</v>
      </c>
      <c r="BY819" s="2" t="s">
        <v>112</v>
      </c>
      <c r="BZ819" s="2" t="s">
        <v>100</v>
      </c>
    </row>
    <row r="820">
      <c r="A820" s="2" t="s">
        <v>3060</v>
      </c>
      <c r="B820" s="2" t="s">
        <v>87</v>
      </c>
      <c r="C820" s="2" t="s">
        <v>88</v>
      </c>
      <c r="D820" s="2" t="s">
        <v>2308</v>
      </c>
      <c r="E820" s="2" t="s">
        <v>2927</v>
      </c>
      <c r="F820" s="2" t="s">
        <v>1879</v>
      </c>
      <c r="G820" s="2" t="s">
        <v>1880</v>
      </c>
      <c r="H820" s="2" t="s">
        <v>1881</v>
      </c>
      <c r="I820" s="2" t="s">
        <v>3006</v>
      </c>
      <c r="J820" s="2" t="s">
        <v>3012</v>
      </c>
      <c r="K820" s="2" t="s">
        <v>713</v>
      </c>
      <c r="L820" s="3">
        <v>32.39</v>
      </c>
      <c r="M820" s="3">
        <v>34.01</v>
      </c>
      <c r="N820" s="3">
        <v>64.99</v>
      </c>
      <c r="O820" s="2" t="s">
        <v>97</v>
      </c>
      <c r="P820" s="2" t="s">
        <v>98</v>
      </c>
      <c r="Q820" s="2" t="s">
        <v>99</v>
      </c>
      <c r="R820" s="2" t="s">
        <v>100</v>
      </c>
      <c r="S820" s="2" t="s">
        <v>2497</v>
      </c>
      <c r="T820" s="2" t="s">
        <v>100</v>
      </c>
      <c r="U820" s="2" t="s">
        <v>2104</v>
      </c>
      <c r="V820" s="2" t="s">
        <v>601</v>
      </c>
      <c r="W820" s="2" t="s">
        <v>104</v>
      </c>
      <c r="X820" s="2" t="s">
        <v>759</v>
      </c>
      <c r="Y820" s="2" t="s">
        <v>3061</v>
      </c>
      <c r="Z820" s="4">
        <v>172</v>
      </c>
      <c r="AA820" s="4">
        <f>=ROUNDDOWN(8.19047619047619,0)</f>
      </c>
      <c r="AB820" s="5">
        <v>21</v>
      </c>
      <c r="AC820" s="2" t="s">
        <v>126</v>
      </c>
      <c r="AD820" s="4">
        <v>50</v>
      </c>
      <c r="AE820" s="4">
        <v>490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336</v>
      </c>
      <c r="BK820" s="8">
        <v>11602.48</v>
      </c>
      <c r="BL820" s="2" t="s">
        <v>3062</v>
      </c>
      <c r="BM820" s="7"/>
      <c r="BN820" s="7"/>
      <c r="BO820" s="4"/>
      <c r="BP820" s="8"/>
      <c r="BQ820" s="4"/>
      <c r="BR820" s="8"/>
      <c r="BS820" s="7"/>
      <c r="BT820" s="7"/>
      <c r="BU820" s="2" t="s">
        <v>147</v>
      </c>
      <c r="BV820" s="2" t="s">
        <v>97</v>
      </c>
      <c r="BW820" s="2" t="s">
        <v>100</v>
      </c>
      <c r="BX820" s="2" t="s">
        <v>100</v>
      </c>
      <c r="BY820" s="2" t="s">
        <v>112</v>
      </c>
      <c r="BZ820" s="2" t="s">
        <v>100</v>
      </c>
    </row>
    <row r="821">
      <c r="A821" s="2" t="s">
        <v>3063</v>
      </c>
      <c r="B821" s="2" t="s">
        <v>87</v>
      </c>
      <c r="C821" s="2" t="s">
        <v>88</v>
      </c>
      <c r="D821" s="2" t="s">
        <v>2308</v>
      </c>
      <c r="E821" s="2" t="s">
        <v>2927</v>
      </c>
      <c r="F821" s="2" t="s">
        <v>1879</v>
      </c>
      <c r="G821" s="2" t="s">
        <v>1880</v>
      </c>
      <c r="H821" s="2" t="s">
        <v>1881</v>
      </c>
      <c r="I821" s="2" t="s">
        <v>3006</v>
      </c>
      <c r="J821" s="2" t="s">
        <v>122</v>
      </c>
      <c r="K821" s="2" t="s">
        <v>713</v>
      </c>
      <c r="L821" s="3">
        <v>39.69</v>
      </c>
      <c r="M821" s="3">
        <v>41.67</v>
      </c>
      <c r="N821" s="3">
        <v>79.99</v>
      </c>
      <c r="O821" s="2" t="s">
        <v>97</v>
      </c>
      <c r="P821" s="2" t="s">
        <v>98</v>
      </c>
      <c r="Q821" s="2" t="s">
        <v>99</v>
      </c>
      <c r="R821" s="2" t="s">
        <v>100</v>
      </c>
      <c r="S821" s="2" t="s">
        <v>2497</v>
      </c>
      <c r="T821" s="2" t="s">
        <v>100</v>
      </c>
      <c r="U821" s="2" t="s">
        <v>1610</v>
      </c>
      <c r="V821" s="2" t="s">
        <v>601</v>
      </c>
      <c r="W821" s="2" t="s">
        <v>104</v>
      </c>
      <c r="X821" s="2" t="s">
        <v>759</v>
      </c>
      <c r="Y821" s="2" t="s">
        <v>3061</v>
      </c>
      <c r="Z821" s="4">
        <v>192</v>
      </c>
      <c r="AA821" s="4">
        <f>=ROUNDDOWN(12.8,0)</f>
      </c>
      <c r="AB821" s="5">
        <v>15</v>
      </c>
      <c r="AC821" s="2" t="s">
        <v>659</v>
      </c>
      <c r="AD821" s="4">
        <v>30</v>
      </c>
      <c r="AE821" s="4">
        <v>310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/>
      <c r="BJ821" s="4">
        <v>186</v>
      </c>
      <c r="BK821" s="8">
        <v>7970.07</v>
      </c>
      <c r="BL821" s="2" t="s">
        <v>3064</v>
      </c>
      <c r="BM821" s="7"/>
      <c r="BN821" s="7"/>
      <c r="BO821" s="4"/>
      <c r="BP821" s="8"/>
      <c r="BQ821" s="4"/>
      <c r="BR821" s="8"/>
      <c r="BS821" s="7"/>
      <c r="BT821" s="7"/>
      <c r="BU821" s="2" t="s">
        <v>147</v>
      </c>
      <c r="BV821" s="2" t="s">
        <v>97</v>
      </c>
      <c r="BW821" s="2" t="s">
        <v>100</v>
      </c>
      <c r="BX821" s="2" t="s">
        <v>100</v>
      </c>
      <c r="BY821" s="2" t="s">
        <v>112</v>
      </c>
      <c r="BZ821" s="2" t="s">
        <v>100</v>
      </c>
    </row>
    <row r="822">
      <c r="A822" s="2" t="s">
        <v>3065</v>
      </c>
      <c r="B822" s="2" t="s">
        <v>87</v>
      </c>
      <c r="C822" s="2" t="s">
        <v>88</v>
      </c>
      <c r="D822" s="2" t="s">
        <v>2308</v>
      </c>
      <c r="E822" s="2" t="s">
        <v>2927</v>
      </c>
      <c r="F822" s="2" t="s">
        <v>1879</v>
      </c>
      <c r="G822" s="2" t="s">
        <v>1880</v>
      </c>
      <c r="H822" s="2" t="s">
        <v>1881</v>
      </c>
      <c r="I822" s="2" t="s">
        <v>3006</v>
      </c>
      <c r="J822" s="2" t="s">
        <v>95</v>
      </c>
      <c r="K822" s="2" t="s">
        <v>713</v>
      </c>
      <c r="L822" s="3">
        <v>49.5</v>
      </c>
      <c r="M822" s="3">
        <v>51.98</v>
      </c>
      <c r="N822" s="3">
        <v>99.99</v>
      </c>
      <c r="O822" s="2" t="s">
        <v>97</v>
      </c>
      <c r="P822" s="2" t="s">
        <v>98</v>
      </c>
      <c r="Q822" s="2" t="s">
        <v>99</v>
      </c>
      <c r="R822" s="2" t="s">
        <v>100</v>
      </c>
      <c r="S822" s="2" t="s">
        <v>3066</v>
      </c>
      <c r="T822" s="2" t="s">
        <v>100</v>
      </c>
      <c r="U822" s="2" t="s">
        <v>1610</v>
      </c>
      <c r="V822" s="2" t="s">
        <v>601</v>
      </c>
      <c r="W822" s="2" t="s">
        <v>104</v>
      </c>
      <c r="X822" s="2" t="s">
        <v>759</v>
      </c>
      <c r="Y822" s="2" t="s">
        <v>106</v>
      </c>
      <c r="Z822" s="4">
        <v>36</v>
      </c>
      <c r="AA822" s="4">
        <f>=ROUNDDOWN(0.73469387755102,0)</f>
      </c>
      <c r="AB822" s="5">
        <v>49</v>
      </c>
      <c r="AC822" s="2" t="s">
        <v>126</v>
      </c>
      <c r="AD822" s="4">
        <v>100</v>
      </c>
      <c r="AE822" s="4">
        <v>1410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860</v>
      </c>
      <c r="BK822" s="8">
        <v>45923.27</v>
      </c>
      <c r="BL822" s="2" t="s">
        <v>3067</v>
      </c>
      <c r="BM822" s="7"/>
      <c r="BN822" s="7"/>
      <c r="BO822" s="4"/>
      <c r="BP822" s="8"/>
      <c r="BQ822" s="4"/>
      <c r="BR822" s="8"/>
      <c r="BS822" s="7"/>
      <c r="BT822" s="7"/>
      <c r="BU822" s="2" t="s">
        <v>147</v>
      </c>
      <c r="BV822" s="2" t="s">
        <v>97</v>
      </c>
      <c r="BW822" s="2" t="s">
        <v>100</v>
      </c>
      <c r="BX822" s="2" t="s">
        <v>100</v>
      </c>
      <c r="BY822" s="2" t="s">
        <v>112</v>
      </c>
      <c r="BZ822" s="2" t="s">
        <v>100</v>
      </c>
    </row>
    <row r="823">
      <c r="A823" s="2" t="s">
        <v>3068</v>
      </c>
      <c r="B823" s="2" t="s">
        <v>87</v>
      </c>
      <c r="C823" s="2" t="s">
        <v>88</v>
      </c>
      <c r="D823" s="2" t="s">
        <v>2308</v>
      </c>
      <c r="E823" s="2" t="s">
        <v>2927</v>
      </c>
      <c r="F823" s="2" t="s">
        <v>1879</v>
      </c>
      <c r="G823" s="2" t="s">
        <v>1880</v>
      </c>
      <c r="H823" s="2" t="s">
        <v>1881</v>
      </c>
      <c r="I823" s="2" t="s">
        <v>3006</v>
      </c>
      <c r="J823" s="2" t="s">
        <v>114</v>
      </c>
      <c r="K823" s="2" t="s">
        <v>713</v>
      </c>
      <c r="L823" s="3">
        <v>64.25</v>
      </c>
      <c r="M823" s="3">
        <v>67.46</v>
      </c>
      <c r="N823" s="3">
        <v>129.99</v>
      </c>
      <c r="O823" s="2" t="s">
        <v>97</v>
      </c>
      <c r="P823" s="2" t="s">
        <v>98</v>
      </c>
      <c r="Q823" s="2" t="s">
        <v>99</v>
      </c>
      <c r="R823" s="2" t="s">
        <v>100</v>
      </c>
      <c r="S823" s="2" t="s">
        <v>3066</v>
      </c>
      <c r="T823" s="2" t="s">
        <v>100</v>
      </c>
      <c r="U823" s="2" t="s">
        <v>1610</v>
      </c>
      <c r="V823" s="2" t="s">
        <v>601</v>
      </c>
      <c r="W823" s="2" t="s">
        <v>104</v>
      </c>
      <c r="X823" s="2" t="s">
        <v>759</v>
      </c>
      <c r="Y823" s="2" t="s">
        <v>106</v>
      </c>
      <c r="Z823" s="4">
        <v>79</v>
      </c>
      <c r="AA823" s="4">
        <f>=ROUNDDOWN(1.36206896551724,0)</f>
      </c>
      <c r="AB823" s="5">
        <v>58</v>
      </c>
      <c r="AC823" s="2" t="s">
        <v>126</v>
      </c>
      <c r="AD823" s="4">
        <v>50</v>
      </c>
      <c r="AE823" s="4">
        <v>1550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>
        <v>918</v>
      </c>
      <c r="BK823" s="8">
        <v>63500.32</v>
      </c>
      <c r="BL823" s="2" t="s">
        <v>3069</v>
      </c>
      <c r="BM823" s="7"/>
      <c r="BN823" s="7"/>
      <c r="BO823" s="4"/>
      <c r="BP823" s="8"/>
      <c r="BQ823" s="4"/>
      <c r="BR823" s="8"/>
      <c r="BS823" s="7"/>
      <c r="BT823" s="7"/>
      <c r="BU823" s="2" t="s">
        <v>147</v>
      </c>
      <c r="BV823" s="2" t="s">
        <v>97</v>
      </c>
      <c r="BW823" s="2" t="s">
        <v>100</v>
      </c>
      <c r="BX823" s="2" t="s">
        <v>100</v>
      </c>
      <c r="BY823" s="2" t="s">
        <v>112</v>
      </c>
      <c r="BZ823" s="2" t="s">
        <v>100</v>
      </c>
    </row>
    <row r="824">
      <c r="A824" s="2" t="s">
        <v>3070</v>
      </c>
      <c r="B824" s="2" t="s">
        <v>87</v>
      </c>
      <c r="C824" s="2" t="s">
        <v>88</v>
      </c>
      <c r="D824" s="2" t="s">
        <v>2308</v>
      </c>
      <c r="E824" s="2" t="s">
        <v>2927</v>
      </c>
      <c r="F824" s="2" t="s">
        <v>1879</v>
      </c>
      <c r="G824" s="2" t="s">
        <v>1880</v>
      </c>
      <c r="H824" s="2" t="s">
        <v>1881</v>
      </c>
      <c r="I824" s="2" t="s">
        <v>3006</v>
      </c>
      <c r="J824" s="2" t="s">
        <v>3012</v>
      </c>
      <c r="K824" s="2" t="s">
        <v>666</v>
      </c>
      <c r="L824" s="3">
        <v>32.39</v>
      </c>
      <c r="M824" s="3">
        <v>34.01</v>
      </c>
      <c r="N824" s="3">
        <v>64.99</v>
      </c>
      <c r="O824" s="2" t="s">
        <v>97</v>
      </c>
      <c r="P824" s="2" t="s">
        <v>98</v>
      </c>
      <c r="Q824" s="2" t="s">
        <v>99</v>
      </c>
      <c r="R824" s="2" t="s">
        <v>100</v>
      </c>
      <c r="S824" s="2" t="s">
        <v>2516</v>
      </c>
      <c r="T824" s="2" t="s">
        <v>100</v>
      </c>
      <c r="U824" s="2" t="s">
        <v>2104</v>
      </c>
      <c r="V824" s="2" t="s">
        <v>601</v>
      </c>
      <c r="W824" s="2" t="s">
        <v>104</v>
      </c>
      <c r="X824" s="2" t="s">
        <v>759</v>
      </c>
      <c r="Y824" s="2" t="s">
        <v>3025</v>
      </c>
      <c r="Z824" s="4">
        <v>104</v>
      </c>
      <c r="AA824" s="4">
        <f>=ROUNDDOWN(6.93333333333333,0)</f>
      </c>
      <c r="AB824" s="5">
        <v>15</v>
      </c>
      <c r="AC824" s="2" t="s">
        <v>659</v>
      </c>
      <c r="AD824" s="4">
        <v>100</v>
      </c>
      <c r="AE824" s="4">
        <v>360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/>
      <c r="BJ824" s="4">
        <v>258</v>
      </c>
      <c r="BK824" s="8">
        <v>9305.8</v>
      </c>
      <c r="BL824" s="2" t="s">
        <v>3071</v>
      </c>
      <c r="BM824" s="7"/>
      <c r="BN824" s="7"/>
      <c r="BO824" s="4"/>
      <c r="BP824" s="8"/>
      <c r="BQ824" s="4"/>
      <c r="BR824" s="8"/>
      <c r="BS824" s="7"/>
      <c r="BT824" s="7"/>
      <c r="BU824" s="2" t="s">
        <v>147</v>
      </c>
      <c r="BV824" s="2" t="s">
        <v>97</v>
      </c>
      <c r="BW824" s="2" t="s">
        <v>100</v>
      </c>
      <c r="BX824" s="2" t="s">
        <v>100</v>
      </c>
      <c r="BY824" s="2" t="s">
        <v>112</v>
      </c>
      <c r="BZ824" s="2" t="s">
        <v>100</v>
      </c>
    </row>
    <row r="825">
      <c r="A825" s="2" t="s">
        <v>3072</v>
      </c>
      <c r="B825" s="2" t="s">
        <v>87</v>
      </c>
      <c r="C825" s="2" t="s">
        <v>88</v>
      </c>
      <c r="D825" s="2" t="s">
        <v>2308</v>
      </c>
      <c r="E825" s="2" t="s">
        <v>2927</v>
      </c>
      <c r="F825" s="2" t="s">
        <v>1879</v>
      </c>
      <c r="G825" s="2" t="s">
        <v>1880</v>
      </c>
      <c r="H825" s="2" t="s">
        <v>1881</v>
      </c>
      <c r="I825" s="2" t="s">
        <v>3006</v>
      </c>
      <c r="J825" s="2" t="s">
        <v>122</v>
      </c>
      <c r="K825" s="2" t="s">
        <v>666</v>
      </c>
      <c r="L825" s="3">
        <v>39.69</v>
      </c>
      <c r="M825" s="3">
        <v>41.67</v>
      </c>
      <c r="N825" s="3">
        <v>79.99</v>
      </c>
      <c r="O825" s="2" t="s">
        <v>97</v>
      </c>
      <c r="P825" s="2" t="s">
        <v>98</v>
      </c>
      <c r="Q825" s="2" t="s">
        <v>99</v>
      </c>
      <c r="R825" s="2" t="s">
        <v>100</v>
      </c>
      <c r="S825" s="2" t="s">
        <v>2516</v>
      </c>
      <c r="T825" s="2" t="s">
        <v>100</v>
      </c>
      <c r="U825" s="2" t="s">
        <v>1610</v>
      </c>
      <c r="V825" s="2" t="s">
        <v>601</v>
      </c>
      <c r="W825" s="2" t="s">
        <v>104</v>
      </c>
      <c r="X825" s="2" t="s">
        <v>759</v>
      </c>
      <c r="Y825" s="2" t="s">
        <v>3025</v>
      </c>
      <c r="Z825" s="4">
        <v>46</v>
      </c>
      <c r="AA825" s="4">
        <f>=ROUNDDOWN(3.83333333333333,0)</f>
      </c>
      <c r="AB825" s="5">
        <v>12</v>
      </c>
      <c r="AC825" s="2" t="s">
        <v>659</v>
      </c>
      <c r="AD825" s="4">
        <v>60</v>
      </c>
      <c r="AE825" s="4">
        <v>360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154</v>
      </c>
      <c r="BK825" s="8">
        <v>6802.45</v>
      </c>
      <c r="BL825" s="2" t="s">
        <v>3073</v>
      </c>
      <c r="BM825" s="7"/>
      <c r="BN825" s="7"/>
      <c r="BO825" s="4"/>
      <c r="BP825" s="8"/>
      <c r="BQ825" s="4"/>
      <c r="BR825" s="8"/>
      <c r="BS825" s="7"/>
      <c r="BT825" s="7"/>
      <c r="BU825" s="2" t="s">
        <v>147</v>
      </c>
      <c r="BV825" s="2" t="s">
        <v>97</v>
      </c>
      <c r="BW825" s="2" t="s">
        <v>100</v>
      </c>
      <c r="BX825" s="2" t="s">
        <v>100</v>
      </c>
      <c r="BY825" s="2" t="s">
        <v>112</v>
      </c>
      <c r="BZ825" s="2" t="s">
        <v>100</v>
      </c>
    </row>
    <row r="826">
      <c r="A826" s="2" t="s">
        <v>3074</v>
      </c>
      <c r="B826" s="2" t="s">
        <v>87</v>
      </c>
      <c r="C826" s="2" t="s">
        <v>88</v>
      </c>
      <c r="D826" s="2" t="s">
        <v>2308</v>
      </c>
      <c r="E826" s="2" t="s">
        <v>2927</v>
      </c>
      <c r="F826" s="2" t="s">
        <v>1879</v>
      </c>
      <c r="G826" s="2" t="s">
        <v>1880</v>
      </c>
      <c r="H826" s="2" t="s">
        <v>1881</v>
      </c>
      <c r="I826" s="2" t="s">
        <v>3006</v>
      </c>
      <c r="J826" s="2" t="s">
        <v>95</v>
      </c>
      <c r="K826" s="2" t="s">
        <v>666</v>
      </c>
      <c r="L826" s="3">
        <v>49.5</v>
      </c>
      <c r="M826" s="3">
        <v>51.98</v>
      </c>
      <c r="N826" s="3">
        <v>99.99</v>
      </c>
      <c r="O826" s="2" t="s">
        <v>97</v>
      </c>
      <c r="P826" s="2" t="s">
        <v>98</v>
      </c>
      <c r="Q826" s="2" t="s">
        <v>99</v>
      </c>
      <c r="R826" s="2" t="s">
        <v>100</v>
      </c>
      <c r="S826" s="2" t="s">
        <v>3075</v>
      </c>
      <c r="T826" s="2" t="s">
        <v>100</v>
      </c>
      <c r="U826" s="2" t="s">
        <v>1610</v>
      </c>
      <c r="V826" s="2" t="s">
        <v>601</v>
      </c>
      <c r="W826" s="2" t="s">
        <v>104</v>
      </c>
      <c r="X826" s="2" t="s">
        <v>759</v>
      </c>
      <c r="Y826" s="2" t="s">
        <v>106</v>
      </c>
      <c r="Z826" s="4">
        <v>114</v>
      </c>
      <c r="AA826" s="4">
        <f>=ROUNDDOWN(3,0)</f>
      </c>
      <c r="AB826" s="5">
        <v>38</v>
      </c>
      <c r="AC826" s="2" t="s">
        <v>126</v>
      </c>
      <c r="AD826" s="4">
        <v>30</v>
      </c>
      <c r="AE826" s="4">
        <v>1050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702</v>
      </c>
      <c r="BK826" s="8">
        <v>39113.02</v>
      </c>
      <c r="BL826" s="2" t="s">
        <v>3076</v>
      </c>
      <c r="BM826" s="7"/>
      <c r="BN826" s="7"/>
      <c r="BO826" s="4"/>
      <c r="BP826" s="8"/>
      <c r="BQ826" s="4"/>
      <c r="BR826" s="8"/>
      <c r="BS826" s="7"/>
      <c r="BT826" s="7"/>
      <c r="BU826" s="2" t="s">
        <v>147</v>
      </c>
      <c r="BV826" s="2" t="s">
        <v>97</v>
      </c>
      <c r="BW826" s="2" t="s">
        <v>100</v>
      </c>
      <c r="BX826" s="2" t="s">
        <v>100</v>
      </c>
      <c r="BY826" s="2" t="s">
        <v>112</v>
      </c>
      <c r="BZ826" s="2" t="s">
        <v>100</v>
      </c>
    </row>
    <row r="827">
      <c r="A827" s="2" t="s">
        <v>3077</v>
      </c>
      <c r="B827" s="2" t="s">
        <v>87</v>
      </c>
      <c r="C827" s="2" t="s">
        <v>88</v>
      </c>
      <c r="D827" s="2" t="s">
        <v>2308</v>
      </c>
      <c r="E827" s="2" t="s">
        <v>2927</v>
      </c>
      <c r="F827" s="2" t="s">
        <v>1879</v>
      </c>
      <c r="G827" s="2" t="s">
        <v>1880</v>
      </c>
      <c r="H827" s="2" t="s">
        <v>1881</v>
      </c>
      <c r="I827" s="2" t="s">
        <v>3006</v>
      </c>
      <c r="J827" s="2" t="s">
        <v>114</v>
      </c>
      <c r="K827" s="2" t="s">
        <v>666</v>
      </c>
      <c r="L827" s="3">
        <v>64.25</v>
      </c>
      <c r="M827" s="3">
        <v>67.46</v>
      </c>
      <c r="N827" s="3">
        <v>129.99</v>
      </c>
      <c r="O827" s="2" t="s">
        <v>97</v>
      </c>
      <c r="P827" s="2" t="s">
        <v>98</v>
      </c>
      <c r="Q827" s="2" t="s">
        <v>99</v>
      </c>
      <c r="R827" s="2" t="s">
        <v>100</v>
      </c>
      <c r="S827" s="2" t="s">
        <v>3075</v>
      </c>
      <c r="T827" s="2" t="s">
        <v>100</v>
      </c>
      <c r="U827" s="2" t="s">
        <v>1610</v>
      </c>
      <c r="V827" s="2" t="s">
        <v>601</v>
      </c>
      <c r="W827" s="2" t="s">
        <v>104</v>
      </c>
      <c r="X827" s="2" t="s">
        <v>759</v>
      </c>
      <c r="Y827" s="2" t="s">
        <v>106</v>
      </c>
      <c r="Z827" s="4">
        <v>163</v>
      </c>
      <c r="AA827" s="4">
        <f>=ROUNDDOWN(3.26,0)</f>
      </c>
      <c r="AB827" s="5">
        <v>50</v>
      </c>
      <c r="AC827" s="2" t="s">
        <v>126</v>
      </c>
      <c r="AD827" s="4">
        <v>30</v>
      </c>
      <c r="AE827" s="4">
        <v>1360</v>
      </c>
      <c r="AF827" s="6">
        <v>65</v>
      </c>
      <c r="AG827" s="6">
        <v>48</v>
      </c>
      <c r="AH827" s="7">
        <v>0.9939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944</v>
      </c>
      <c r="BK827" s="8">
        <v>68730.92</v>
      </c>
      <c r="BL827" s="2" t="s">
        <v>3078</v>
      </c>
      <c r="BM827" s="7"/>
      <c r="BN827" s="7"/>
      <c r="BO827" s="4"/>
      <c r="BP827" s="8"/>
      <c r="BQ827" s="4"/>
      <c r="BR827" s="8"/>
      <c r="BS827" s="7"/>
      <c r="BT827" s="7"/>
      <c r="BU827" s="2" t="s">
        <v>147</v>
      </c>
      <c r="BV827" s="2" t="s">
        <v>97</v>
      </c>
      <c r="BW827" s="2" t="s">
        <v>100</v>
      </c>
      <c r="BX827" s="2" t="s">
        <v>100</v>
      </c>
      <c r="BY827" s="2" t="s">
        <v>112</v>
      </c>
      <c r="BZ827" s="2" t="s">
        <v>100</v>
      </c>
    </row>
    <row r="828">
      <c r="A828" s="2" t="s">
        <v>3079</v>
      </c>
      <c r="B828" s="2" t="s">
        <v>87</v>
      </c>
      <c r="C828" s="2" t="s">
        <v>88</v>
      </c>
      <c r="D828" s="2" t="s">
        <v>2308</v>
      </c>
      <c r="E828" s="2" t="s">
        <v>3080</v>
      </c>
      <c r="F828" s="2" t="s">
        <v>1331</v>
      </c>
      <c r="G828" s="2" t="s">
        <v>1332</v>
      </c>
      <c r="H828" s="2" t="s">
        <v>1333</v>
      </c>
      <c r="I828" s="2" t="s">
        <v>3081</v>
      </c>
      <c r="J828" s="2" t="s">
        <v>844</v>
      </c>
      <c r="K828" s="2" t="s">
        <v>267</v>
      </c>
      <c r="L828" s="3">
        <v>28.57</v>
      </c>
      <c r="M828" s="3">
        <v>30</v>
      </c>
      <c r="N828" s="3">
        <v>59.99</v>
      </c>
      <c r="O828" s="2" t="s">
        <v>97</v>
      </c>
      <c r="P828" s="2" t="s">
        <v>98</v>
      </c>
      <c r="Q828" s="2" t="s">
        <v>99</v>
      </c>
      <c r="R828" s="2" t="s">
        <v>100</v>
      </c>
      <c r="S828" s="2" t="s">
        <v>1335</v>
      </c>
      <c r="T828" s="2" t="s">
        <v>184</v>
      </c>
      <c r="U828" s="2" t="s">
        <v>1482</v>
      </c>
      <c r="V828" s="2" t="s">
        <v>491</v>
      </c>
      <c r="W828" s="2" t="s">
        <v>733</v>
      </c>
      <c r="X828" s="2" t="s">
        <v>1288</v>
      </c>
      <c r="Y828" s="2" t="s">
        <v>3082</v>
      </c>
      <c r="Z828" s="4">
        <v>11</v>
      </c>
      <c r="AA828" s="4">
        <f>=ROUNDDOWN(0.0733333333333333,0)</f>
      </c>
      <c r="AB828" s="5">
        <v>150</v>
      </c>
      <c r="AC828" s="2" t="s">
        <v>126</v>
      </c>
      <c r="AD828" s="4">
        <v>600</v>
      </c>
      <c r="AE828" s="4">
        <v>3530</v>
      </c>
      <c r="AF828" s="6">
        <v>64</v>
      </c>
      <c r="AG828" s="6"/>
      <c r="AH828" s="7">
        <v>0.7939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2126</v>
      </c>
      <c r="BK828" s="8">
        <v>67632.88</v>
      </c>
      <c r="BL828" s="2" t="s">
        <v>865</v>
      </c>
      <c r="BM828" s="7"/>
      <c r="BN828" s="7"/>
      <c r="BO828" s="4"/>
      <c r="BP828" s="8"/>
      <c r="BQ828" s="4"/>
      <c r="BR828" s="8"/>
      <c r="BS828" s="7"/>
      <c r="BT828" s="7"/>
      <c r="BU828" s="2" t="s">
        <v>147</v>
      </c>
      <c r="BV828" s="2" t="s">
        <v>97</v>
      </c>
      <c r="BW828" s="2" t="s">
        <v>100</v>
      </c>
      <c r="BX828" s="2" t="s">
        <v>100</v>
      </c>
      <c r="BY828" s="2" t="s">
        <v>112</v>
      </c>
      <c r="BZ828" s="2" t="s">
        <v>100</v>
      </c>
    </row>
    <row r="829">
      <c r="A829" s="2" t="s">
        <v>3083</v>
      </c>
      <c r="B829" s="2" t="s">
        <v>87</v>
      </c>
      <c r="C829" s="2" t="s">
        <v>88</v>
      </c>
      <c r="D829" s="2" t="s">
        <v>2308</v>
      </c>
      <c r="E829" s="2" t="s">
        <v>3080</v>
      </c>
      <c r="F829" s="2" t="s">
        <v>1331</v>
      </c>
      <c r="G829" s="2" t="s">
        <v>1332</v>
      </c>
      <c r="H829" s="2" t="s">
        <v>1333</v>
      </c>
      <c r="I829" s="2" t="s">
        <v>3081</v>
      </c>
      <c r="J829" s="2" t="s">
        <v>850</v>
      </c>
      <c r="K829" s="2" t="s">
        <v>267</v>
      </c>
      <c r="L829" s="3">
        <v>33.33</v>
      </c>
      <c r="M829" s="3">
        <v>35</v>
      </c>
      <c r="N829" s="3">
        <v>69.99</v>
      </c>
      <c r="O829" s="2" t="s">
        <v>97</v>
      </c>
      <c r="P829" s="2" t="s">
        <v>98</v>
      </c>
      <c r="Q829" s="2" t="s">
        <v>99</v>
      </c>
      <c r="R829" s="2" t="s">
        <v>100</v>
      </c>
      <c r="S829" s="2" t="s">
        <v>1335</v>
      </c>
      <c r="T829" s="2" t="s">
        <v>184</v>
      </c>
      <c r="U829" s="2" t="s">
        <v>1482</v>
      </c>
      <c r="V829" s="2" t="s">
        <v>491</v>
      </c>
      <c r="W829" s="2" t="s">
        <v>733</v>
      </c>
      <c r="X829" s="2" t="s">
        <v>1288</v>
      </c>
      <c r="Y829" s="2" t="s">
        <v>3082</v>
      </c>
      <c r="Z829" s="4"/>
      <c r="AA829" s="4">
        <f>=ROUNDDOWN({0},0)</f>
      </c>
      <c r="AB829" s="5">
        <v>113</v>
      </c>
      <c r="AC829" s="2" t="s">
        <v>126</v>
      </c>
      <c r="AD829" s="4">
        <v>600</v>
      </c>
      <c r="AE829" s="4">
        <v>2480</v>
      </c>
      <c r="AF829" s="6">
        <v>64</v>
      </c>
      <c r="AG829" s="6"/>
      <c r="AH829" s="7">
        <v>0.8485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1499</v>
      </c>
      <c r="BK829" s="8">
        <v>55928.58</v>
      </c>
      <c r="BL829" s="2" t="s">
        <v>3084</v>
      </c>
      <c r="BM829" s="7"/>
      <c r="BN829" s="7"/>
      <c r="BO829" s="4"/>
      <c r="BP829" s="8"/>
      <c r="BQ829" s="4"/>
      <c r="BR829" s="8"/>
      <c r="BS829" s="7"/>
      <c r="BT829" s="7"/>
      <c r="BU829" s="2" t="s">
        <v>147</v>
      </c>
      <c r="BV829" s="2" t="s">
        <v>97</v>
      </c>
      <c r="BW829" s="2" t="s">
        <v>100</v>
      </c>
      <c r="BX829" s="2" t="s">
        <v>100</v>
      </c>
      <c r="BY829" s="2" t="s">
        <v>112</v>
      </c>
      <c r="BZ829" s="2" t="s">
        <v>100</v>
      </c>
    </row>
    <row r="830">
      <c r="A830" s="2" t="s">
        <v>3085</v>
      </c>
      <c r="B830" s="2" t="s">
        <v>87</v>
      </c>
      <c r="C830" s="2" t="s">
        <v>88</v>
      </c>
      <c r="D830" s="2" t="s">
        <v>2308</v>
      </c>
      <c r="E830" s="2" t="s">
        <v>3080</v>
      </c>
      <c r="F830" s="2" t="s">
        <v>1331</v>
      </c>
      <c r="G830" s="2" t="s">
        <v>1332</v>
      </c>
      <c r="H830" s="2" t="s">
        <v>1333</v>
      </c>
      <c r="I830" s="2" t="s">
        <v>3081</v>
      </c>
      <c r="J830" s="2" t="s">
        <v>844</v>
      </c>
      <c r="K830" s="2" t="s">
        <v>181</v>
      </c>
      <c r="L830" s="3">
        <v>28.57</v>
      </c>
      <c r="M830" s="3">
        <v>30</v>
      </c>
      <c r="N830" s="3">
        <v>59.99</v>
      </c>
      <c r="O830" s="2" t="s">
        <v>97</v>
      </c>
      <c r="P830" s="2" t="s">
        <v>98</v>
      </c>
      <c r="Q830" s="2" t="s">
        <v>99</v>
      </c>
      <c r="R830" s="2" t="s">
        <v>100</v>
      </c>
      <c r="S830" s="2" t="s">
        <v>3086</v>
      </c>
      <c r="T830" s="2" t="s">
        <v>184</v>
      </c>
      <c r="U830" s="2" t="s">
        <v>1482</v>
      </c>
      <c r="V830" s="2" t="s">
        <v>491</v>
      </c>
      <c r="W830" s="2" t="s">
        <v>733</v>
      </c>
      <c r="X830" s="2" t="s">
        <v>1288</v>
      </c>
      <c r="Y830" s="2" t="s">
        <v>496</v>
      </c>
      <c r="Z830" s="4">
        <v>360</v>
      </c>
      <c r="AA830" s="4">
        <f>=ROUNDDOWN(2.25,0)</f>
      </c>
      <c r="AB830" s="5">
        <v>160</v>
      </c>
      <c r="AC830" s="2" t="s">
        <v>126</v>
      </c>
      <c r="AD830" s="4">
        <v>500</v>
      </c>
      <c r="AE830" s="4">
        <v>4160</v>
      </c>
      <c r="AF830" s="6">
        <v>64</v>
      </c>
      <c r="AG830" s="6"/>
      <c r="AH830" s="7">
        <v>0.9455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2437</v>
      </c>
      <c r="BK830" s="8">
        <v>78273.63</v>
      </c>
      <c r="BL830" s="2" t="s">
        <v>3087</v>
      </c>
      <c r="BM830" s="7"/>
      <c r="BN830" s="7"/>
      <c r="BO830" s="4"/>
      <c r="BP830" s="8"/>
      <c r="BQ830" s="4"/>
      <c r="BR830" s="8"/>
      <c r="BS830" s="7"/>
      <c r="BT830" s="7"/>
      <c r="BU830" s="2" t="s">
        <v>147</v>
      </c>
      <c r="BV830" s="2" t="s">
        <v>97</v>
      </c>
      <c r="BW830" s="2" t="s">
        <v>100</v>
      </c>
      <c r="BX830" s="2" t="s">
        <v>100</v>
      </c>
      <c r="BY830" s="2" t="s">
        <v>112</v>
      </c>
      <c r="BZ830" s="2" t="s">
        <v>100</v>
      </c>
    </row>
    <row r="831">
      <c r="A831" s="2" t="s">
        <v>3088</v>
      </c>
      <c r="B831" s="2" t="s">
        <v>87</v>
      </c>
      <c r="C831" s="2" t="s">
        <v>88</v>
      </c>
      <c r="D831" s="2" t="s">
        <v>2308</v>
      </c>
      <c r="E831" s="2" t="s">
        <v>3080</v>
      </c>
      <c r="F831" s="2" t="s">
        <v>1331</v>
      </c>
      <c r="G831" s="2" t="s">
        <v>1332</v>
      </c>
      <c r="H831" s="2" t="s">
        <v>1333</v>
      </c>
      <c r="I831" s="2" t="s">
        <v>3081</v>
      </c>
      <c r="J831" s="2" t="s">
        <v>850</v>
      </c>
      <c r="K831" s="2" t="s">
        <v>181</v>
      </c>
      <c r="L831" s="3">
        <v>33.33</v>
      </c>
      <c r="M831" s="3">
        <v>35</v>
      </c>
      <c r="N831" s="3">
        <v>69.99</v>
      </c>
      <c r="O831" s="2" t="s">
        <v>97</v>
      </c>
      <c r="P831" s="2" t="s">
        <v>98</v>
      </c>
      <c r="Q831" s="2" t="s">
        <v>99</v>
      </c>
      <c r="R831" s="2" t="s">
        <v>100</v>
      </c>
      <c r="S831" s="2" t="s">
        <v>3086</v>
      </c>
      <c r="T831" s="2" t="s">
        <v>184</v>
      </c>
      <c r="U831" s="2" t="s">
        <v>1482</v>
      </c>
      <c r="V831" s="2" t="s">
        <v>491</v>
      </c>
      <c r="W831" s="2" t="s">
        <v>733</v>
      </c>
      <c r="X831" s="2" t="s">
        <v>1288</v>
      </c>
      <c r="Y831" s="2" t="s">
        <v>496</v>
      </c>
      <c r="Z831" s="4">
        <v>343</v>
      </c>
      <c r="AA831" s="4">
        <f>=ROUNDDOWN({0},0)</f>
      </c>
      <c r="AB831" s="5">
        <v>104</v>
      </c>
      <c r="AC831" s="2" t="s">
        <v>126</v>
      </c>
      <c r="AD831" s="4">
        <v>300</v>
      </c>
      <c r="AE831" s="4">
        <v>2590</v>
      </c>
      <c r="AF831" s="6">
        <v>64</v>
      </c>
      <c r="AG831" s="6"/>
      <c r="AH831" s="7">
        <v>0.9879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100</v>
      </c>
      <c r="AW831" s="8" t="s">
        <v>100</v>
      </c>
      <c r="AX831" s="4" t="s">
        <v>100</v>
      </c>
      <c r="AY831" s="8" t="s">
        <v>100</v>
      </c>
      <c r="AZ831" s="7" t="s">
        <v>100</v>
      </c>
      <c r="BA831" s="7" t="s">
        <v>100</v>
      </c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1842</v>
      </c>
      <c r="BK831" s="8">
        <v>69212.64</v>
      </c>
      <c r="BL831" s="2" t="s">
        <v>3087</v>
      </c>
      <c r="BM831" s="7"/>
      <c r="BN831" s="7"/>
      <c r="BO831" s="4"/>
      <c r="BP831" s="8"/>
      <c r="BQ831" s="4"/>
      <c r="BR831" s="8"/>
      <c r="BS831" s="7"/>
      <c r="BT831" s="7"/>
      <c r="BU831" s="2" t="s">
        <v>147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3089</v>
      </c>
      <c r="B832" s="2" t="s">
        <v>87</v>
      </c>
      <c r="C832" s="2" t="s">
        <v>88</v>
      </c>
      <c r="D832" s="2" t="s">
        <v>2308</v>
      </c>
      <c r="E832" s="2" t="s">
        <v>3080</v>
      </c>
      <c r="F832" s="2" t="s">
        <v>1879</v>
      </c>
      <c r="G832" s="2" t="s">
        <v>1880</v>
      </c>
      <c r="H832" s="2" t="s">
        <v>1881</v>
      </c>
      <c r="I832" s="2" t="s">
        <v>3090</v>
      </c>
      <c r="J832" s="2" t="s">
        <v>95</v>
      </c>
      <c r="K832" s="2" t="s">
        <v>2478</v>
      </c>
      <c r="L832" s="3">
        <v>49.5</v>
      </c>
      <c r="M832" s="3">
        <v>51.98</v>
      </c>
      <c r="N832" s="3">
        <v>99.99</v>
      </c>
      <c r="O832" s="2" t="s">
        <v>97</v>
      </c>
      <c r="P832" s="2" t="s">
        <v>2479</v>
      </c>
      <c r="Q832" s="2" t="s">
        <v>99</v>
      </c>
      <c r="R832" s="2" t="s">
        <v>100</v>
      </c>
      <c r="S832" s="2" t="s">
        <v>2480</v>
      </c>
      <c r="T832" s="2" t="s">
        <v>100</v>
      </c>
      <c r="U832" s="2" t="s">
        <v>1610</v>
      </c>
      <c r="V832" s="2" t="s">
        <v>601</v>
      </c>
      <c r="W832" s="2" t="s">
        <v>104</v>
      </c>
      <c r="X832" s="2" t="s">
        <v>759</v>
      </c>
      <c r="Y832" s="2" t="s">
        <v>100</v>
      </c>
      <c r="Z832" s="4"/>
      <c r="AA832" s="4">
        <f>=ROUNDDOWN({0},0)</f>
      </c>
      <c r="AB832" s="5"/>
      <c r="AC832" s="2" t="s">
        <v>1221</v>
      </c>
      <c r="AD832" s="4">
        <v>210</v>
      </c>
      <c r="AE832" s="4">
        <v>630</v>
      </c>
      <c r="AF832" s="6">
        <v>65</v>
      </c>
      <c r="AG832" s="6"/>
      <c r="AH832" s="7">
        <v>0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100</v>
      </c>
      <c r="AW832" s="8" t="s">
        <v>100</v>
      </c>
      <c r="AX832" s="4" t="s">
        <v>100</v>
      </c>
      <c r="AY832" s="8" t="s">
        <v>100</v>
      </c>
      <c r="AZ832" s="7" t="s">
        <v>100</v>
      </c>
      <c r="BA832" s="7" t="s">
        <v>100</v>
      </c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/>
      <c r="BK832" s="8"/>
      <c r="BL832" s="2" t="s">
        <v>100</v>
      </c>
      <c r="BM832" s="7"/>
      <c r="BN832" s="7"/>
      <c r="BO832" s="4"/>
      <c r="BP832" s="8"/>
      <c r="BQ832" s="4"/>
      <c r="BR832" s="8"/>
      <c r="BS832" s="7"/>
      <c r="BT832" s="7"/>
      <c r="BU832" s="2" t="s">
        <v>1171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3091</v>
      </c>
      <c r="B833" s="2" t="s">
        <v>87</v>
      </c>
      <c r="C833" s="2" t="s">
        <v>88</v>
      </c>
      <c r="D833" s="2" t="s">
        <v>2308</v>
      </c>
      <c r="E833" s="2" t="s">
        <v>3080</v>
      </c>
      <c r="F833" s="2" t="s">
        <v>1879</v>
      </c>
      <c r="G833" s="2" t="s">
        <v>1880</v>
      </c>
      <c r="H833" s="2" t="s">
        <v>1881</v>
      </c>
      <c r="I833" s="2" t="s">
        <v>3090</v>
      </c>
      <c r="J833" s="2" t="s">
        <v>114</v>
      </c>
      <c r="K833" s="2" t="s">
        <v>2478</v>
      </c>
      <c r="L833" s="3">
        <v>64.25</v>
      </c>
      <c r="M833" s="3">
        <v>67.46</v>
      </c>
      <c r="N833" s="3">
        <v>129.99</v>
      </c>
      <c r="O833" s="2" t="s">
        <v>97</v>
      </c>
      <c r="P833" s="2" t="s">
        <v>2479</v>
      </c>
      <c r="Q833" s="2" t="s">
        <v>99</v>
      </c>
      <c r="R833" s="2" t="s">
        <v>100</v>
      </c>
      <c r="S833" s="2" t="s">
        <v>2480</v>
      </c>
      <c r="T833" s="2" t="s">
        <v>100</v>
      </c>
      <c r="U833" s="2" t="s">
        <v>1610</v>
      </c>
      <c r="V833" s="2" t="s">
        <v>601</v>
      </c>
      <c r="W833" s="2" t="s">
        <v>104</v>
      </c>
      <c r="X833" s="2" t="s">
        <v>759</v>
      </c>
      <c r="Y833" s="2" t="s">
        <v>100</v>
      </c>
      <c r="Z833" s="4"/>
      <c r="AA833" s="4">
        <f>=ROUNDDOWN({0},0)</f>
      </c>
      <c r="AB833" s="5"/>
      <c r="AC833" s="2" t="s">
        <v>1221</v>
      </c>
      <c r="AD833" s="4">
        <v>250</v>
      </c>
      <c r="AE833" s="4">
        <v>770</v>
      </c>
      <c r="AF833" s="6">
        <v>65</v>
      </c>
      <c r="AG833" s="6"/>
      <c r="AH833" s="7">
        <v>0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100</v>
      </c>
      <c r="AW833" s="8" t="s">
        <v>100</v>
      </c>
      <c r="AX833" s="4" t="s">
        <v>100</v>
      </c>
      <c r="AY833" s="8" t="s">
        <v>100</v>
      </c>
      <c r="AZ833" s="7" t="s">
        <v>100</v>
      </c>
      <c r="BA833" s="7" t="s">
        <v>100</v>
      </c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/>
      <c r="BK833" s="8"/>
      <c r="BL833" s="2" t="s">
        <v>100</v>
      </c>
      <c r="BM833" s="7"/>
      <c r="BN833" s="7"/>
      <c r="BO833" s="4"/>
      <c r="BP833" s="8"/>
      <c r="BQ833" s="4"/>
      <c r="BR833" s="8"/>
      <c r="BS833" s="7"/>
      <c r="BT833" s="7"/>
      <c r="BU833" s="2" t="s">
        <v>1171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3092</v>
      </c>
      <c r="B834" s="2" t="s">
        <v>87</v>
      </c>
      <c r="C834" s="2" t="s">
        <v>88</v>
      </c>
      <c r="D834" s="2" t="s">
        <v>2308</v>
      </c>
      <c r="E834" s="2" t="s">
        <v>3080</v>
      </c>
      <c r="F834" s="2" t="s">
        <v>1879</v>
      </c>
      <c r="G834" s="2" t="s">
        <v>1880</v>
      </c>
      <c r="H834" s="2" t="s">
        <v>1881</v>
      </c>
      <c r="I834" s="2" t="s">
        <v>3090</v>
      </c>
      <c r="J834" s="2" t="s">
        <v>95</v>
      </c>
      <c r="K834" s="2" t="s">
        <v>3093</v>
      </c>
      <c r="L834" s="3">
        <v>49.5</v>
      </c>
      <c r="M834" s="3">
        <v>51.98</v>
      </c>
      <c r="N834" s="3">
        <v>99.99</v>
      </c>
      <c r="O834" s="2" t="s">
        <v>97</v>
      </c>
      <c r="P834" s="2" t="s">
        <v>2479</v>
      </c>
      <c r="Q834" s="2" t="s">
        <v>99</v>
      </c>
      <c r="R834" s="2" t="s">
        <v>100</v>
      </c>
      <c r="S834" s="2" t="s">
        <v>2480</v>
      </c>
      <c r="T834" s="2" t="s">
        <v>100</v>
      </c>
      <c r="U834" s="2" t="s">
        <v>1610</v>
      </c>
      <c r="V834" s="2" t="s">
        <v>601</v>
      </c>
      <c r="W834" s="2" t="s">
        <v>104</v>
      </c>
      <c r="X834" s="2" t="s">
        <v>759</v>
      </c>
      <c r="Y834" s="2" t="s">
        <v>100</v>
      </c>
      <c r="Z834" s="4"/>
      <c r="AA834" s="4">
        <f>=ROUNDDOWN({0},0)</f>
      </c>
      <c r="AB834" s="5"/>
      <c r="AC834" s="2" t="s">
        <v>1221</v>
      </c>
      <c r="AD834" s="4">
        <v>120</v>
      </c>
      <c r="AE834" s="4">
        <v>360</v>
      </c>
      <c r="AF834" s="6">
        <v>65</v>
      </c>
      <c r="AG834" s="6"/>
      <c r="AH834" s="7">
        <v>0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100</v>
      </c>
      <c r="AW834" s="8" t="s">
        <v>100</v>
      </c>
      <c r="AX834" s="4" t="s">
        <v>100</v>
      </c>
      <c r="AY834" s="8" t="s">
        <v>100</v>
      </c>
      <c r="AZ834" s="7" t="s">
        <v>100</v>
      </c>
      <c r="BA834" s="7" t="s">
        <v>100</v>
      </c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/>
      <c r="BK834" s="8"/>
      <c r="BL834" s="2" t="s">
        <v>100</v>
      </c>
      <c r="BM834" s="7"/>
      <c r="BN834" s="7"/>
      <c r="BO834" s="4"/>
      <c r="BP834" s="8"/>
      <c r="BQ834" s="4"/>
      <c r="BR834" s="8"/>
      <c r="BS834" s="7"/>
      <c r="BT834" s="7"/>
      <c r="BU834" s="2" t="s">
        <v>1171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3094</v>
      </c>
      <c r="B835" s="2" t="s">
        <v>87</v>
      </c>
      <c r="C835" s="2" t="s">
        <v>88</v>
      </c>
      <c r="D835" s="2" t="s">
        <v>2308</v>
      </c>
      <c r="E835" s="2" t="s">
        <v>3080</v>
      </c>
      <c r="F835" s="2" t="s">
        <v>1879</v>
      </c>
      <c r="G835" s="2" t="s">
        <v>1880</v>
      </c>
      <c r="H835" s="2" t="s">
        <v>1881</v>
      </c>
      <c r="I835" s="2" t="s">
        <v>3090</v>
      </c>
      <c r="J835" s="2" t="s">
        <v>114</v>
      </c>
      <c r="K835" s="2" t="s">
        <v>3093</v>
      </c>
      <c r="L835" s="3">
        <v>64.25</v>
      </c>
      <c r="M835" s="3">
        <v>67.46</v>
      </c>
      <c r="N835" s="3">
        <v>129.99</v>
      </c>
      <c r="O835" s="2" t="s">
        <v>97</v>
      </c>
      <c r="P835" s="2" t="s">
        <v>2479</v>
      </c>
      <c r="Q835" s="2" t="s">
        <v>99</v>
      </c>
      <c r="R835" s="2" t="s">
        <v>100</v>
      </c>
      <c r="S835" s="2" t="s">
        <v>2480</v>
      </c>
      <c r="T835" s="2" t="s">
        <v>100</v>
      </c>
      <c r="U835" s="2" t="s">
        <v>1610</v>
      </c>
      <c r="V835" s="2" t="s">
        <v>601</v>
      </c>
      <c r="W835" s="2" t="s">
        <v>104</v>
      </c>
      <c r="X835" s="2" t="s">
        <v>759</v>
      </c>
      <c r="Y835" s="2" t="s">
        <v>100</v>
      </c>
      <c r="Z835" s="4"/>
      <c r="AA835" s="4">
        <f>=ROUNDDOWN({0},0)</f>
      </c>
      <c r="AB835" s="5"/>
      <c r="AC835" s="2" t="s">
        <v>1221</v>
      </c>
      <c r="AD835" s="4">
        <v>140</v>
      </c>
      <c r="AE835" s="4">
        <v>440</v>
      </c>
      <c r="AF835" s="6">
        <v>65</v>
      </c>
      <c r="AG835" s="6"/>
      <c r="AH835" s="7">
        <v>0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/>
      <c r="BK835" s="8"/>
      <c r="BL835" s="2" t="s">
        <v>100</v>
      </c>
      <c r="BM835" s="7"/>
      <c r="BN835" s="7"/>
      <c r="BO835" s="4"/>
      <c r="BP835" s="8"/>
      <c r="BQ835" s="4"/>
      <c r="BR835" s="8"/>
      <c r="BS835" s="7"/>
      <c r="BT835" s="7"/>
      <c r="BU835" s="2" t="s">
        <v>1171</v>
      </c>
      <c r="BV835" s="2" t="s">
        <v>97</v>
      </c>
      <c r="BW835" s="2" t="s">
        <v>100</v>
      </c>
      <c r="BX835" s="2" t="s">
        <v>100</v>
      </c>
      <c r="BY835" s="2" t="s">
        <v>112</v>
      </c>
      <c r="BZ835" s="2" t="s">
        <v>100</v>
      </c>
    </row>
    <row r="836">
      <c r="A836" s="2" t="s">
        <v>3095</v>
      </c>
      <c r="B836" s="2" t="s">
        <v>87</v>
      </c>
      <c r="C836" s="2" t="s">
        <v>88</v>
      </c>
      <c r="D836" s="2" t="s">
        <v>2308</v>
      </c>
      <c r="E836" s="2" t="s">
        <v>3080</v>
      </c>
      <c r="F836" s="2" t="s">
        <v>2607</v>
      </c>
      <c r="G836" s="2" t="s">
        <v>2608</v>
      </c>
      <c r="H836" s="2" t="s">
        <v>2609</v>
      </c>
      <c r="I836" s="2" t="s">
        <v>2610</v>
      </c>
      <c r="J836" s="2" t="s">
        <v>844</v>
      </c>
      <c r="K836" s="2" t="s">
        <v>3096</v>
      </c>
      <c r="L836" s="3">
        <v>36.8</v>
      </c>
      <c r="M836" s="3">
        <v>38.64</v>
      </c>
      <c r="N836" s="3">
        <v>79.99</v>
      </c>
      <c r="O836" s="2" t="s">
        <v>97</v>
      </c>
      <c r="P836" s="2" t="s">
        <v>2479</v>
      </c>
      <c r="Q836" s="2" t="s">
        <v>99</v>
      </c>
      <c r="R836" s="2" t="s">
        <v>100</v>
      </c>
      <c r="S836" s="2" t="s">
        <v>3097</v>
      </c>
      <c r="T836" s="2" t="s">
        <v>100</v>
      </c>
      <c r="U836" s="2" t="s">
        <v>1610</v>
      </c>
      <c r="V836" s="2" t="s">
        <v>1287</v>
      </c>
      <c r="W836" s="2" t="s">
        <v>312</v>
      </c>
      <c r="X836" s="2" t="s">
        <v>1310</v>
      </c>
      <c r="Y836" s="2" t="s">
        <v>3098</v>
      </c>
      <c r="Z836" s="4">
        <v>3</v>
      </c>
      <c r="AA836" s="4">
        <f>=ROUNDDOWN({0},0)</f>
      </c>
      <c r="AB836" s="5"/>
      <c r="AC836" s="2" t="s">
        <v>382</v>
      </c>
      <c r="AD836" s="4">
        <v>290</v>
      </c>
      <c r="AE836" s="4">
        <v>580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/>
      <c r="BK836" s="8"/>
      <c r="BL836" s="2" t="s">
        <v>100</v>
      </c>
      <c r="BM836" s="7"/>
      <c r="BN836" s="7"/>
      <c r="BO836" s="4"/>
      <c r="BP836" s="8"/>
      <c r="BQ836" s="4"/>
      <c r="BR836" s="8"/>
      <c r="BS836" s="7"/>
      <c r="BT836" s="7"/>
      <c r="BU836" s="2" t="s">
        <v>1171</v>
      </c>
      <c r="BV836" s="2" t="s">
        <v>97</v>
      </c>
      <c r="BW836" s="2" t="s">
        <v>100</v>
      </c>
      <c r="BX836" s="2" t="s">
        <v>100</v>
      </c>
      <c r="BY836" s="2" t="s">
        <v>112</v>
      </c>
      <c r="BZ836" s="2" t="s">
        <v>100</v>
      </c>
    </row>
    <row r="837">
      <c r="A837" s="2" t="s">
        <v>3099</v>
      </c>
      <c r="B837" s="2" t="s">
        <v>87</v>
      </c>
      <c r="C837" s="2" t="s">
        <v>88</v>
      </c>
      <c r="D837" s="2" t="s">
        <v>2308</v>
      </c>
      <c r="E837" s="2" t="s">
        <v>3080</v>
      </c>
      <c r="F837" s="2" t="s">
        <v>2607</v>
      </c>
      <c r="G837" s="2" t="s">
        <v>2608</v>
      </c>
      <c r="H837" s="2" t="s">
        <v>2609</v>
      </c>
      <c r="I837" s="2" t="s">
        <v>2610</v>
      </c>
      <c r="J837" s="2" t="s">
        <v>850</v>
      </c>
      <c r="K837" s="2" t="s">
        <v>3096</v>
      </c>
      <c r="L837" s="3">
        <v>42.3</v>
      </c>
      <c r="M837" s="3">
        <v>44.41</v>
      </c>
      <c r="N837" s="3">
        <v>89.99</v>
      </c>
      <c r="O837" s="2" t="s">
        <v>97</v>
      </c>
      <c r="P837" s="2" t="s">
        <v>2479</v>
      </c>
      <c r="Q837" s="2" t="s">
        <v>99</v>
      </c>
      <c r="R837" s="2" t="s">
        <v>100</v>
      </c>
      <c r="S837" s="2" t="s">
        <v>3097</v>
      </c>
      <c r="T837" s="2" t="s">
        <v>100</v>
      </c>
      <c r="U837" s="2" t="s">
        <v>1610</v>
      </c>
      <c r="V837" s="2" t="s">
        <v>1287</v>
      </c>
      <c r="W837" s="2" t="s">
        <v>312</v>
      </c>
      <c r="X837" s="2" t="s">
        <v>1310</v>
      </c>
      <c r="Y837" s="2" t="s">
        <v>3098</v>
      </c>
      <c r="Z837" s="4">
        <v>3</v>
      </c>
      <c r="AA837" s="4">
        <f>=ROUNDDOWN({0},0)</f>
      </c>
      <c r="AB837" s="5"/>
      <c r="AC837" s="2" t="s">
        <v>382</v>
      </c>
      <c r="AD837" s="4">
        <v>260</v>
      </c>
      <c r="AE837" s="4">
        <v>520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/>
      <c r="BK837" s="8"/>
      <c r="BL837" s="2" t="s">
        <v>100</v>
      </c>
      <c r="BM837" s="7"/>
      <c r="BN837" s="7"/>
      <c r="BO837" s="4"/>
      <c r="BP837" s="8"/>
      <c r="BQ837" s="4"/>
      <c r="BR837" s="8"/>
      <c r="BS837" s="7"/>
      <c r="BT837" s="7"/>
      <c r="BU837" s="2" t="s">
        <v>1171</v>
      </c>
      <c r="BV837" s="2" t="s">
        <v>97</v>
      </c>
      <c r="BW837" s="2" t="s">
        <v>100</v>
      </c>
      <c r="BX837" s="2" t="s">
        <v>100</v>
      </c>
      <c r="BY837" s="2" t="s">
        <v>112</v>
      </c>
      <c r="BZ837" s="2" t="s">
        <v>100</v>
      </c>
    </row>
    <row r="838">
      <c r="A838" s="2" t="s">
        <v>3100</v>
      </c>
      <c r="B838" s="2" t="s">
        <v>87</v>
      </c>
      <c r="C838" s="2" t="s">
        <v>88</v>
      </c>
      <c r="D838" s="2" t="s">
        <v>2308</v>
      </c>
      <c r="E838" s="2" t="s">
        <v>3101</v>
      </c>
      <c r="F838" s="2" t="s">
        <v>974</v>
      </c>
      <c r="G838" s="2" t="s">
        <v>975</v>
      </c>
      <c r="H838" s="2" t="s">
        <v>976</v>
      </c>
      <c r="I838" s="2" t="s">
        <v>3102</v>
      </c>
      <c r="J838" s="2" t="s">
        <v>3103</v>
      </c>
      <c r="K838" s="2" t="s">
        <v>158</v>
      </c>
      <c r="L838" s="3">
        <v>42.3</v>
      </c>
      <c r="M838" s="3">
        <v>44.41</v>
      </c>
      <c r="N838" s="3">
        <v>89.99</v>
      </c>
      <c r="O838" s="2" t="s">
        <v>97</v>
      </c>
      <c r="P838" s="2" t="s">
        <v>182</v>
      </c>
      <c r="Q838" s="2" t="s">
        <v>99</v>
      </c>
      <c r="R838" s="2" t="s">
        <v>100</v>
      </c>
      <c r="S838" s="2" t="s">
        <v>3104</v>
      </c>
      <c r="T838" s="2" t="s">
        <v>100</v>
      </c>
      <c r="U838" s="2" t="s">
        <v>490</v>
      </c>
      <c r="V838" s="2" t="s">
        <v>906</v>
      </c>
      <c r="W838" s="2" t="s">
        <v>906</v>
      </c>
      <c r="X838" s="2" t="s">
        <v>185</v>
      </c>
      <c r="Y838" s="2" t="s">
        <v>3105</v>
      </c>
      <c r="Z838" s="4">
        <v>417</v>
      </c>
      <c r="AA838" s="4">
        <f>=ROUNDDOWN(27.8,0)</f>
      </c>
      <c r="AB838" s="5">
        <v>15</v>
      </c>
      <c r="AC838" s="2" t="s">
        <v>874</v>
      </c>
      <c r="AD838" s="4">
        <v>60</v>
      </c>
      <c r="AE838" s="4">
        <v>400</v>
      </c>
      <c r="AF838" s="6">
        <v>65</v>
      </c>
      <c r="AG838" s="6">
        <v>73</v>
      </c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/>
      <c r="BD838" s="8"/>
      <c r="BE838" s="4"/>
      <c r="BF838" s="8"/>
      <c r="BG838" s="7"/>
      <c r="BH838" s="7"/>
      <c r="BI838" s="7"/>
      <c r="BJ838" s="4">
        <v>361</v>
      </c>
      <c r="BK838" s="8">
        <v>15358.3</v>
      </c>
      <c r="BL838" s="2" t="s">
        <v>3106</v>
      </c>
      <c r="BM838" s="7"/>
      <c r="BN838" s="7"/>
      <c r="BO838" s="4"/>
      <c r="BP838" s="8"/>
      <c r="BQ838" s="4"/>
      <c r="BR838" s="8"/>
      <c r="BS838" s="7"/>
      <c r="BT838" s="7"/>
      <c r="BU838" s="2" t="s">
        <v>147</v>
      </c>
      <c r="BV838" s="2" t="s">
        <v>97</v>
      </c>
      <c r="BW838" s="2" t="s">
        <v>100</v>
      </c>
      <c r="BX838" s="2" t="s">
        <v>100</v>
      </c>
      <c r="BY838" s="2" t="s">
        <v>112</v>
      </c>
      <c r="BZ838" s="2" t="s">
        <v>100</v>
      </c>
    </row>
    <row r="839">
      <c r="A839" s="2" t="s">
        <v>3107</v>
      </c>
      <c r="B839" s="2" t="s">
        <v>87</v>
      </c>
      <c r="C839" s="2" t="s">
        <v>88</v>
      </c>
      <c r="D839" s="2" t="s">
        <v>2308</v>
      </c>
      <c r="E839" s="2" t="s">
        <v>3101</v>
      </c>
      <c r="F839" s="2" t="s">
        <v>306</v>
      </c>
      <c r="G839" s="2" t="s">
        <v>307</v>
      </c>
      <c r="H839" s="2" t="s">
        <v>308</v>
      </c>
      <c r="I839" s="2" t="s">
        <v>3108</v>
      </c>
      <c r="J839" s="2" t="s">
        <v>3103</v>
      </c>
      <c r="K839" s="2" t="s">
        <v>323</v>
      </c>
      <c r="L839" s="3">
        <v>55.2</v>
      </c>
      <c r="M839" s="3">
        <v>57.95</v>
      </c>
      <c r="N839" s="3">
        <v>114.99</v>
      </c>
      <c r="O839" s="2" t="s">
        <v>97</v>
      </c>
      <c r="P839" s="2" t="s">
        <v>182</v>
      </c>
      <c r="Q839" s="2" t="s">
        <v>99</v>
      </c>
      <c r="R839" s="2" t="s">
        <v>100</v>
      </c>
      <c r="S839" s="2" t="s">
        <v>324</v>
      </c>
      <c r="T839" s="2" t="s">
        <v>100</v>
      </c>
      <c r="U839" s="2" t="s">
        <v>490</v>
      </c>
      <c r="V839" s="2" t="s">
        <v>103</v>
      </c>
      <c r="W839" s="2" t="s">
        <v>312</v>
      </c>
      <c r="X839" s="2" t="s">
        <v>3109</v>
      </c>
      <c r="Y839" s="2" t="s">
        <v>3110</v>
      </c>
      <c r="Z839" s="4">
        <v>490</v>
      </c>
      <c r="AA839" s="4">
        <f>=ROUNDDOWN(25.7894736842105,0)</f>
      </c>
      <c r="AB839" s="5">
        <v>19</v>
      </c>
      <c r="AC839" s="2" t="s">
        <v>1698</v>
      </c>
      <c r="AD839" s="4">
        <v>300</v>
      </c>
      <c r="AE839" s="4">
        <v>620</v>
      </c>
      <c r="AF839" s="6">
        <v>64</v>
      </c>
      <c r="AG839" s="6">
        <v>47</v>
      </c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>
        <v>422</v>
      </c>
      <c r="BK839" s="8">
        <v>25193.91</v>
      </c>
      <c r="BL839" s="2" t="s">
        <v>2089</v>
      </c>
      <c r="BM839" s="7"/>
      <c r="BN839" s="7"/>
      <c r="BO839" s="4"/>
      <c r="BP839" s="8"/>
      <c r="BQ839" s="4"/>
      <c r="BR839" s="8"/>
      <c r="BS839" s="7"/>
      <c r="BT839" s="7"/>
      <c r="BU839" s="2" t="s">
        <v>147</v>
      </c>
      <c r="BV839" s="2" t="s">
        <v>97</v>
      </c>
      <c r="BW839" s="2" t="s">
        <v>100</v>
      </c>
      <c r="BX839" s="2" t="s">
        <v>100</v>
      </c>
      <c r="BY839" s="2" t="s">
        <v>112</v>
      </c>
      <c r="BZ839" s="2" t="s">
        <v>100</v>
      </c>
    </row>
    <row r="840">
      <c r="A840" s="2" t="s">
        <v>3111</v>
      </c>
      <c r="B840" s="2" t="s">
        <v>87</v>
      </c>
      <c r="C840" s="2" t="s">
        <v>88</v>
      </c>
      <c r="D840" s="2" t="s">
        <v>2308</v>
      </c>
      <c r="E840" s="2" t="s">
        <v>3101</v>
      </c>
      <c r="F840" s="2" t="s">
        <v>3112</v>
      </c>
      <c r="G840" s="2" t="s">
        <v>3113</v>
      </c>
      <c r="H840" s="2" t="s">
        <v>3114</v>
      </c>
      <c r="I840" s="2" t="s">
        <v>3115</v>
      </c>
      <c r="J840" s="2" t="s">
        <v>3103</v>
      </c>
      <c r="K840" s="2" t="s">
        <v>1018</v>
      </c>
      <c r="L840" s="3">
        <v>52.8</v>
      </c>
      <c r="M840" s="3">
        <v>55.43</v>
      </c>
      <c r="N840" s="3">
        <v>109.99</v>
      </c>
      <c r="O840" s="2" t="s">
        <v>97</v>
      </c>
      <c r="P840" s="2" t="s">
        <v>182</v>
      </c>
      <c r="Q840" s="2" t="s">
        <v>99</v>
      </c>
      <c r="R840" s="2" t="s">
        <v>100</v>
      </c>
      <c r="S840" s="2" t="s">
        <v>3116</v>
      </c>
      <c r="T840" s="2" t="s">
        <v>100</v>
      </c>
      <c r="U840" s="2" t="s">
        <v>490</v>
      </c>
      <c r="V840" s="2" t="s">
        <v>601</v>
      </c>
      <c r="W840" s="2" t="s">
        <v>104</v>
      </c>
      <c r="X840" s="2" t="s">
        <v>3117</v>
      </c>
      <c r="Y840" s="2" t="s">
        <v>3118</v>
      </c>
      <c r="Z840" s="4">
        <v>451</v>
      </c>
      <c r="AA840" s="4">
        <f>=ROUNDDOWN(24.3783783783784,0)</f>
      </c>
      <c r="AB840" s="5">
        <v>18.5</v>
      </c>
      <c r="AC840" s="2" t="s">
        <v>474</v>
      </c>
      <c r="AD840" s="4">
        <v>550</v>
      </c>
      <c r="AE840" s="4">
        <v>550</v>
      </c>
      <c r="AF840" s="6">
        <v>65</v>
      </c>
      <c r="AG840" s="6"/>
      <c r="AH840" s="7">
        <v>0.8909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359</v>
      </c>
      <c r="BK840" s="8">
        <v>20717.3</v>
      </c>
      <c r="BL840" s="2" t="s">
        <v>3119</v>
      </c>
      <c r="BM840" s="7"/>
      <c r="BN840" s="7"/>
      <c r="BO840" s="4"/>
      <c r="BP840" s="8"/>
      <c r="BQ840" s="4"/>
      <c r="BR840" s="8"/>
      <c r="BS840" s="7"/>
      <c r="BT840" s="7"/>
      <c r="BU840" s="2" t="s">
        <v>147</v>
      </c>
      <c r="BV840" s="2" t="s">
        <v>97</v>
      </c>
      <c r="BW840" s="2" t="s">
        <v>100</v>
      </c>
      <c r="BX840" s="2" t="s">
        <v>100</v>
      </c>
      <c r="BY840" s="2" t="s">
        <v>112</v>
      </c>
      <c r="BZ840" s="2" t="s">
        <v>100</v>
      </c>
    </row>
    <row r="841">
      <c r="A841" s="2" t="s">
        <v>3120</v>
      </c>
      <c r="B841" s="2" t="s">
        <v>87</v>
      </c>
      <c r="C841" s="2" t="s">
        <v>88</v>
      </c>
      <c r="D841" s="2" t="s">
        <v>2308</v>
      </c>
      <c r="E841" s="2" t="s">
        <v>3101</v>
      </c>
      <c r="F841" s="2" t="s">
        <v>2796</v>
      </c>
      <c r="G841" s="2" t="s">
        <v>2797</v>
      </c>
      <c r="H841" s="2" t="s">
        <v>2798</v>
      </c>
      <c r="I841" s="2" t="s">
        <v>3108</v>
      </c>
      <c r="J841" s="2" t="s">
        <v>3103</v>
      </c>
      <c r="K841" s="2" t="s">
        <v>267</v>
      </c>
      <c r="L841" s="3">
        <v>42.3</v>
      </c>
      <c r="M841" s="3">
        <v>44.41</v>
      </c>
      <c r="N841" s="3">
        <v>89.99</v>
      </c>
      <c r="O841" s="2" t="s">
        <v>97</v>
      </c>
      <c r="P841" s="2" t="s">
        <v>182</v>
      </c>
      <c r="Q841" s="2" t="s">
        <v>99</v>
      </c>
      <c r="R841" s="2" t="s">
        <v>100</v>
      </c>
      <c r="S841" s="2" t="s">
        <v>3121</v>
      </c>
      <c r="T841" s="2" t="s">
        <v>100</v>
      </c>
      <c r="U841" s="2" t="s">
        <v>490</v>
      </c>
      <c r="V841" s="2" t="s">
        <v>455</v>
      </c>
      <c r="W841" s="2" t="s">
        <v>104</v>
      </c>
      <c r="X841" s="2" t="s">
        <v>105</v>
      </c>
      <c r="Y841" s="2" t="s">
        <v>3122</v>
      </c>
      <c r="Z841" s="4">
        <v>2233</v>
      </c>
      <c r="AA841" s="4">
        <f>=ROUNDDOWN(54.7303921568627,0)</f>
      </c>
      <c r="AB841" s="5">
        <v>40.8</v>
      </c>
      <c r="AC841" s="2" t="s">
        <v>100</v>
      </c>
      <c r="AD841" s="4"/>
      <c r="AE841" s="4"/>
      <c r="AF841" s="6">
        <v>65</v>
      </c>
      <c r="AG841" s="6">
        <v>73</v>
      </c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1170</v>
      </c>
      <c r="BK841" s="8">
        <v>45240.21</v>
      </c>
      <c r="BL841" s="2" t="s">
        <v>3123</v>
      </c>
      <c r="BM841" s="7"/>
      <c r="BN841" s="7"/>
      <c r="BO841" s="4"/>
      <c r="BP841" s="8"/>
      <c r="BQ841" s="4"/>
      <c r="BR841" s="8"/>
      <c r="BS841" s="7"/>
      <c r="BT841" s="7"/>
      <c r="BU841" s="2" t="s">
        <v>147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3124</v>
      </c>
      <c r="B842" s="2" t="s">
        <v>87</v>
      </c>
      <c r="C842" s="2" t="s">
        <v>88</v>
      </c>
      <c r="D842" s="2" t="s">
        <v>2308</v>
      </c>
      <c r="E842" s="2" t="s">
        <v>3101</v>
      </c>
      <c r="F842" s="2" t="s">
        <v>3125</v>
      </c>
      <c r="G842" s="2" t="s">
        <v>3126</v>
      </c>
      <c r="H842" s="2" t="s">
        <v>3127</v>
      </c>
      <c r="I842" s="2" t="s">
        <v>3108</v>
      </c>
      <c r="J842" s="2" t="s">
        <v>3103</v>
      </c>
      <c r="K842" s="2" t="s">
        <v>3128</v>
      </c>
      <c r="L842" s="3">
        <v>48</v>
      </c>
      <c r="M842" s="3">
        <v>50.39</v>
      </c>
      <c r="N842" s="3">
        <v>99.99</v>
      </c>
      <c r="O842" s="2" t="s">
        <v>97</v>
      </c>
      <c r="P842" s="2" t="s">
        <v>1265</v>
      </c>
      <c r="Q842" s="2" t="s">
        <v>99</v>
      </c>
      <c r="R842" s="2" t="s">
        <v>100</v>
      </c>
      <c r="S842" s="2" t="s">
        <v>3129</v>
      </c>
      <c r="T842" s="2" t="s">
        <v>100</v>
      </c>
      <c r="U842" s="2" t="s">
        <v>490</v>
      </c>
      <c r="V842" s="2" t="s">
        <v>601</v>
      </c>
      <c r="W842" s="2" t="s">
        <v>733</v>
      </c>
      <c r="X842" s="2" t="s">
        <v>201</v>
      </c>
      <c r="Y842" s="2" t="s">
        <v>3130</v>
      </c>
      <c r="Z842" s="4">
        <v>651</v>
      </c>
      <c r="AA842" s="4">
        <f>=ROUNDDOWN(27.125,0)</f>
      </c>
      <c r="AB842" s="5">
        <v>24</v>
      </c>
      <c r="AC842" s="2" t="s">
        <v>3131</v>
      </c>
      <c r="AD842" s="4">
        <v>70</v>
      </c>
      <c r="AE842" s="4">
        <v>370</v>
      </c>
      <c r="AF842" s="6">
        <v>65</v>
      </c>
      <c r="AG842" s="6">
        <v>48</v>
      </c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604</v>
      </c>
      <c r="BK842" s="8">
        <v>31260.85</v>
      </c>
      <c r="BL842" s="2" t="s">
        <v>3132</v>
      </c>
      <c r="BM842" s="7"/>
      <c r="BN842" s="7"/>
      <c r="BO842" s="4"/>
      <c r="BP842" s="8"/>
      <c r="BQ842" s="4"/>
      <c r="BR842" s="8"/>
      <c r="BS842" s="7"/>
      <c r="BT842" s="7"/>
      <c r="BU842" s="2" t="s">
        <v>147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3133</v>
      </c>
      <c r="B843" s="2" t="s">
        <v>87</v>
      </c>
      <c r="C843" s="2" t="s">
        <v>88</v>
      </c>
      <c r="D843" s="2" t="s">
        <v>2308</v>
      </c>
      <c r="E843" s="2" t="s">
        <v>3101</v>
      </c>
      <c r="F843" s="2" t="s">
        <v>3134</v>
      </c>
      <c r="G843" s="2" t="s">
        <v>3135</v>
      </c>
      <c r="H843" s="2" t="s">
        <v>3136</v>
      </c>
      <c r="I843" s="2" t="s">
        <v>3108</v>
      </c>
      <c r="J843" s="2" t="s">
        <v>3103</v>
      </c>
      <c r="K843" s="2" t="s">
        <v>158</v>
      </c>
      <c r="L843" s="3">
        <v>42.3</v>
      </c>
      <c r="M843" s="3">
        <v>44.41</v>
      </c>
      <c r="N843" s="3">
        <v>89.99</v>
      </c>
      <c r="O843" s="2" t="s">
        <v>97</v>
      </c>
      <c r="P843" s="2" t="s">
        <v>182</v>
      </c>
      <c r="Q843" s="2" t="s">
        <v>99</v>
      </c>
      <c r="R843" s="2" t="s">
        <v>100</v>
      </c>
      <c r="S843" s="2" t="s">
        <v>3137</v>
      </c>
      <c r="T843" s="2" t="s">
        <v>100</v>
      </c>
      <c r="U843" s="2" t="s">
        <v>490</v>
      </c>
      <c r="V843" s="2" t="s">
        <v>455</v>
      </c>
      <c r="W843" s="2" t="s">
        <v>104</v>
      </c>
      <c r="X843" s="2" t="s">
        <v>3117</v>
      </c>
      <c r="Y843" s="2" t="s">
        <v>3138</v>
      </c>
      <c r="Z843" s="4">
        <v>820</v>
      </c>
      <c r="AA843" s="4">
        <f>=ROUNDDOWN(32.8,0)</f>
      </c>
      <c r="AB843" s="5">
        <v>25</v>
      </c>
      <c r="AC843" s="2" t="s">
        <v>100</v>
      </c>
      <c r="AD843" s="4"/>
      <c r="AE843" s="4"/>
      <c r="AF843" s="6">
        <v>64</v>
      </c>
      <c r="AG843" s="6">
        <v>47</v>
      </c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545</v>
      </c>
      <c r="BK843" s="8">
        <v>22601.42</v>
      </c>
      <c r="BL843" s="2" t="s">
        <v>3139</v>
      </c>
      <c r="BM843" s="7"/>
      <c r="BN843" s="7"/>
      <c r="BO843" s="4"/>
      <c r="BP843" s="8"/>
      <c r="BQ843" s="4"/>
      <c r="BR843" s="8"/>
      <c r="BS843" s="7"/>
      <c r="BT843" s="7"/>
      <c r="BU843" s="2" t="s">
        <v>147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3140</v>
      </c>
      <c r="B844" s="2" t="s">
        <v>87</v>
      </c>
      <c r="C844" s="2" t="s">
        <v>88</v>
      </c>
      <c r="D844" s="2" t="s">
        <v>2308</v>
      </c>
      <c r="E844" s="2" t="s">
        <v>3101</v>
      </c>
      <c r="F844" s="2" t="s">
        <v>1879</v>
      </c>
      <c r="G844" s="2" t="s">
        <v>1880</v>
      </c>
      <c r="H844" s="2" t="s">
        <v>1881</v>
      </c>
      <c r="I844" s="2" t="s">
        <v>3108</v>
      </c>
      <c r="J844" s="2" t="s">
        <v>3103</v>
      </c>
      <c r="K844" s="2" t="s">
        <v>3021</v>
      </c>
      <c r="L844" s="3">
        <v>42.3</v>
      </c>
      <c r="M844" s="3">
        <v>44.41</v>
      </c>
      <c r="N844" s="3">
        <v>89.99</v>
      </c>
      <c r="O844" s="2" t="s">
        <v>97</v>
      </c>
      <c r="P844" s="2" t="s">
        <v>182</v>
      </c>
      <c r="Q844" s="2" t="s">
        <v>99</v>
      </c>
      <c r="R844" s="2" t="s">
        <v>100</v>
      </c>
      <c r="S844" s="2" t="s">
        <v>2497</v>
      </c>
      <c r="T844" s="2" t="s">
        <v>100</v>
      </c>
      <c r="U844" s="2" t="s">
        <v>490</v>
      </c>
      <c r="V844" s="2" t="s">
        <v>601</v>
      </c>
      <c r="W844" s="2" t="s">
        <v>104</v>
      </c>
      <c r="X844" s="2" t="s">
        <v>759</v>
      </c>
      <c r="Y844" s="2" t="s">
        <v>3022</v>
      </c>
      <c r="Z844" s="4">
        <v>365</v>
      </c>
      <c r="AA844" s="4">
        <f>=ROUNDDOWN(9.125,0)</f>
      </c>
      <c r="AB844" s="5">
        <v>40</v>
      </c>
      <c r="AC844" s="2" t="s">
        <v>1193</v>
      </c>
      <c r="AD844" s="4">
        <v>200</v>
      </c>
      <c r="AE844" s="4">
        <v>790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899</v>
      </c>
      <c r="BK844" s="8">
        <v>36687.35</v>
      </c>
      <c r="BL844" s="2" t="s">
        <v>3141</v>
      </c>
      <c r="BM844" s="7"/>
      <c r="BN844" s="7"/>
      <c r="BO844" s="4"/>
      <c r="BP844" s="8"/>
      <c r="BQ844" s="4"/>
      <c r="BR844" s="8"/>
      <c r="BS844" s="7"/>
      <c r="BT844" s="7"/>
      <c r="BU844" s="2" t="s">
        <v>147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3142</v>
      </c>
      <c r="B845" s="2" t="s">
        <v>87</v>
      </c>
      <c r="C845" s="2" t="s">
        <v>88</v>
      </c>
      <c r="D845" s="2" t="s">
        <v>2308</v>
      </c>
      <c r="E845" s="2" t="s">
        <v>3101</v>
      </c>
      <c r="F845" s="2" t="s">
        <v>1879</v>
      </c>
      <c r="G845" s="2" t="s">
        <v>1880</v>
      </c>
      <c r="H845" s="2" t="s">
        <v>1881</v>
      </c>
      <c r="I845" s="2" t="s">
        <v>3108</v>
      </c>
      <c r="J845" s="2" t="s">
        <v>3103</v>
      </c>
      <c r="K845" s="2" t="s">
        <v>333</v>
      </c>
      <c r="L845" s="3">
        <v>42.3</v>
      </c>
      <c r="M845" s="3">
        <v>44.41</v>
      </c>
      <c r="N845" s="3">
        <v>89.99</v>
      </c>
      <c r="O845" s="2" t="s">
        <v>97</v>
      </c>
      <c r="P845" s="2" t="s">
        <v>182</v>
      </c>
      <c r="Q845" s="2" t="s">
        <v>99</v>
      </c>
      <c r="R845" s="2" t="s">
        <v>100</v>
      </c>
      <c r="S845" s="2" t="s">
        <v>3143</v>
      </c>
      <c r="T845" s="2" t="s">
        <v>100</v>
      </c>
      <c r="U845" s="2" t="s">
        <v>490</v>
      </c>
      <c r="V845" s="2" t="s">
        <v>601</v>
      </c>
      <c r="W845" s="2" t="s">
        <v>104</v>
      </c>
      <c r="X845" s="2" t="s">
        <v>759</v>
      </c>
      <c r="Y845" s="2" t="s">
        <v>3144</v>
      </c>
      <c r="Z845" s="4">
        <v>102</v>
      </c>
      <c r="AA845" s="4">
        <f>=ROUNDDOWN(3,0)</f>
      </c>
      <c r="AB845" s="5">
        <v>34</v>
      </c>
      <c r="AC845" s="2" t="s">
        <v>126</v>
      </c>
      <c r="AD845" s="4">
        <v>50</v>
      </c>
      <c r="AE845" s="4">
        <v>900</v>
      </c>
      <c r="AF845" s="6">
        <v>65</v>
      </c>
      <c r="AG845" s="6">
        <v>48</v>
      </c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100</v>
      </c>
      <c r="BD845" s="8" t="s">
        <v>100</v>
      </c>
      <c r="BE845" s="4" t="s">
        <v>100</v>
      </c>
      <c r="BF845" s="8" t="s">
        <v>100</v>
      </c>
      <c r="BG845" s="7" t="s">
        <v>100</v>
      </c>
      <c r="BH845" s="7" t="s">
        <v>100</v>
      </c>
      <c r="BI845" s="7"/>
      <c r="BJ845" s="4">
        <v>574</v>
      </c>
      <c r="BK845" s="8">
        <v>23364.88</v>
      </c>
      <c r="BL845" s="2" t="s">
        <v>3145</v>
      </c>
      <c r="BM845" s="7"/>
      <c r="BN845" s="7"/>
      <c r="BO845" s="4"/>
      <c r="BP845" s="8"/>
      <c r="BQ845" s="4"/>
      <c r="BR845" s="8"/>
      <c r="BS845" s="7"/>
      <c r="BT845" s="7"/>
      <c r="BU845" s="2" t="s">
        <v>147</v>
      </c>
      <c r="BV845" s="2" t="s">
        <v>97</v>
      </c>
      <c r="BW845" s="2" t="s">
        <v>100</v>
      </c>
      <c r="BX845" s="2" t="s">
        <v>100</v>
      </c>
      <c r="BY845" s="2" t="s">
        <v>112</v>
      </c>
      <c r="BZ845" s="2" t="s">
        <v>100</v>
      </c>
    </row>
    <row r="846">
      <c r="A846" s="2" t="s">
        <v>3146</v>
      </c>
      <c r="B846" s="2" t="s">
        <v>87</v>
      </c>
      <c r="C846" s="2" t="s">
        <v>88</v>
      </c>
      <c r="D846" s="2" t="s">
        <v>2308</v>
      </c>
      <c r="E846" s="2" t="s">
        <v>3101</v>
      </c>
      <c r="F846" s="2" t="s">
        <v>1879</v>
      </c>
      <c r="G846" s="2" t="s">
        <v>1880</v>
      </c>
      <c r="H846" s="2" t="s">
        <v>1881</v>
      </c>
      <c r="I846" s="2" t="s">
        <v>3108</v>
      </c>
      <c r="J846" s="2" t="s">
        <v>3103</v>
      </c>
      <c r="K846" s="2" t="s">
        <v>1018</v>
      </c>
      <c r="L846" s="3">
        <v>42.3</v>
      </c>
      <c r="M846" s="3">
        <v>44.41</v>
      </c>
      <c r="N846" s="3">
        <v>89.99</v>
      </c>
      <c r="O846" s="2" t="s">
        <v>97</v>
      </c>
      <c r="P846" s="2" t="s">
        <v>182</v>
      </c>
      <c r="Q846" s="2" t="s">
        <v>99</v>
      </c>
      <c r="R846" s="2" t="s">
        <v>100</v>
      </c>
      <c r="S846" s="2" t="s">
        <v>3147</v>
      </c>
      <c r="T846" s="2" t="s">
        <v>100</v>
      </c>
      <c r="U846" s="2" t="s">
        <v>490</v>
      </c>
      <c r="V846" s="2" t="s">
        <v>601</v>
      </c>
      <c r="W846" s="2" t="s">
        <v>104</v>
      </c>
      <c r="X846" s="2" t="s">
        <v>759</v>
      </c>
      <c r="Y846" s="2" t="s">
        <v>3138</v>
      </c>
      <c r="Z846" s="4">
        <v>170</v>
      </c>
      <c r="AA846" s="4">
        <f>=ROUNDDOWN(6.8,0)</f>
      </c>
      <c r="AB846" s="5">
        <v>25</v>
      </c>
      <c r="AC846" s="2" t="s">
        <v>126</v>
      </c>
      <c r="AD846" s="4">
        <v>60</v>
      </c>
      <c r="AE846" s="4">
        <v>650</v>
      </c>
      <c r="AF846" s="6">
        <v>65</v>
      </c>
      <c r="AG846" s="6">
        <v>48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489</v>
      </c>
      <c r="BK846" s="8">
        <v>20154.7</v>
      </c>
      <c r="BL846" s="2" t="s">
        <v>3148</v>
      </c>
      <c r="BM846" s="7"/>
      <c r="BN846" s="7"/>
      <c r="BO846" s="4"/>
      <c r="BP846" s="8"/>
      <c r="BQ846" s="4"/>
      <c r="BR846" s="8"/>
      <c r="BS846" s="7"/>
      <c r="BT846" s="7"/>
      <c r="BU846" s="2" t="s">
        <v>147</v>
      </c>
      <c r="BV846" s="2" t="s">
        <v>97</v>
      </c>
      <c r="BW846" s="2" t="s">
        <v>100</v>
      </c>
      <c r="BX846" s="2" t="s">
        <v>100</v>
      </c>
      <c r="BY846" s="2" t="s">
        <v>112</v>
      </c>
      <c r="BZ846" s="2" t="s">
        <v>100</v>
      </c>
    </row>
    <row r="847">
      <c r="A847" s="2" t="s">
        <v>3149</v>
      </c>
      <c r="B847" s="2" t="s">
        <v>87</v>
      </c>
      <c r="C847" s="2" t="s">
        <v>88</v>
      </c>
      <c r="D847" s="2" t="s">
        <v>2308</v>
      </c>
      <c r="E847" s="2" t="s">
        <v>3101</v>
      </c>
      <c r="F847" s="2" t="s">
        <v>1879</v>
      </c>
      <c r="G847" s="2" t="s">
        <v>1880</v>
      </c>
      <c r="H847" s="2" t="s">
        <v>1881</v>
      </c>
      <c r="I847" s="2" t="s">
        <v>3108</v>
      </c>
      <c r="J847" s="2" t="s">
        <v>3103</v>
      </c>
      <c r="K847" s="2" t="s">
        <v>197</v>
      </c>
      <c r="L847" s="3">
        <v>42.3</v>
      </c>
      <c r="M847" s="3">
        <v>44.41</v>
      </c>
      <c r="N847" s="3">
        <v>89.99</v>
      </c>
      <c r="O847" s="2" t="s">
        <v>97</v>
      </c>
      <c r="P847" s="2" t="s">
        <v>182</v>
      </c>
      <c r="Q847" s="2" t="s">
        <v>99</v>
      </c>
      <c r="R847" s="2" t="s">
        <v>100</v>
      </c>
      <c r="S847" s="2" t="s">
        <v>3150</v>
      </c>
      <c r="T847" s="2" t="s">
        <v>100</v>
      </c>
      <c r="U847" s="2" t="s">
        <v>490</v>
      </c>
      <c r="V847" s="2" t="s">
        <v>601</v>
      </c>
      <c r="W847" s="2" t="s">
        <v>104</v>
      </c>
      <c r="X847" s="2" t="s">
        <v>759</v>
      </c>
      <c r="Y847" s="2" t="s">
        <v>3144</v>
      </c>
      <c r="Z847" s="4">
        <v>191</v>
      </c>
      <c r="AA847" s="4">
        <f>=ROUNDDOWN(4.15217391304348,0)</f>
      </c>
      <c r="AB847" s="5">
        <v>46</v>
      </c>
      <c r="AC847" s="2" t="s">
        <v>126</v>
      </c>
      <c r="AD847" s="4">
        <v>60</v>
      </c>
      <c r="AE847" s="4">
        <v>1250</v>
      </c>
      <c r="AF847" s="6">
        <v>65</v>
      </c>
      <c r="AG847" s="6">
        <v>48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892</v>
      </c>
      <c r="BK847" s="8">
        <v>36641.03</v>
      </c>
      <c r="BL847" s="2" t="s">
        <v>3151</v>
      </c>
      <c r="BM847" s="7"/>
      <c r="BN847" s="7"/>
      <c r="BO847" s="4"/>
      <c r="BP847" s="8"/>
      <c r="BQ847" s="4"/>
      <c r="BR847" s="8"/>
      <c r="BS847" s="7"/>
      <c r="BT847" s="7"/>
      <c r="BU847" s="2" t="s">
        <v>147</v>
      </c>
      <c r="BV847" s="2" t="s">
        <v>97</v>
      </c>
      <c r="BW847" s="2" t="s">
        <v>100</v>
      </c>
      <c r="BX847" s="2" t="s">
        <v>100</v>
      </c>
      <c r="BY847" s="2" t="s">
        <v>112</v>
      </c>
      <c r="BZ847" s="2" t="s">
        <v>100</v>
      </c>
    </row>
    <row r="848">
      <c r="A848" s="2" t="s">
        <v>3152</v>
      </c>
      <c r="B848" s="2" t="s">
        <v>87</v>
      </c>
      <c r="C848" s="2" t="s">
        <v>88</v>
      </c>
      <c r="D848" s="2" t="s">
        <v>2308</v>
      </c>
      <c r="E848" s="2" t="s">
        <v>3101</v>
      </c>
      <c r="F848" s="2" t="s">
        <v>1879</v>
      </c>
      <c r="G848" s="2" t="s">
        <v>1880</v>
      </c>
      <c r="H848" s="2" t="s">
        <v>1881</v>
      </c>
      <c r="I848" s="2" t="s">
        <v>3108</v>
      </c>
      <c r="J848" s="2" t="s">
        <v>3103</v>
      </c>
      <c r="K848" s="2" t="s">
        <v>713</v>
      </c>
      <c r="L848" s="3">
        <v>42.3</v>
      </c>
      <c r="M848" s="3">
        <v>44.41</v>
      </c>
      <c r="N848" s="3">
        <v>89.99</v>
      </c>
      <c r="O848" s="2" t="s">
        <v>97</v>
      </c>
      <c r="P848" s="2" t="s">
        <v>182</v>
      </c>
      <c r="Q848" s="2" t="s">
        <v>99</v>
      </c>
      <c r="R848" s="2" t="s">
        <v>100</v>
      </c>
      <c r="S848" s="2" t="s">
        <v>3153</v>
      </c>
      <c r="T848" s="2" t="s">
        <v>100</v>
      </c>
      <c r="U848" s="2" t="s">
        <v>490</v>
      </c>
      <c r="V848" s="2" t="s">
        <v>601</v>
      </c>
      <c r="W848" s="2" t="s">
        <v>104</v>
      </c>
      <c r="X848" s="2" t="s">
        <v>759</v>
      </c>
      <c r="Y848" s="2" t="s">
        <v>3138</v>
      </c>
      <c r="Z848" s="4">
        <v>246</v>
      </c>
      <c r="AA848" s="4">
        <f>=ROUNDDOWN(11.1818181818182,0)</f>
      </c>
      <c r="AB848" s="5">
        <v>22</v>
      </c>
      <c r="AC848" s="2" t="s">
        <v>126</v>
      </c>
      <c r="AD848" s="4">
        <v>100</v>
      </c>
      <c r="AE848" s="4">
        <v>490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348</v>
      </c>
      <c r="BK848" s="8">
        <v>14215.26</v>
      </c>
      <c r="BL848" s="2" t="s">
        <v>3154</v>
      </c>
      <c r="BM848" s="7"/>
      <c r="BN848" s="7"/>
      <c r="BO848" s="4"/>
      <c r="BP848" s="8"/>
      <c r="BQ848" s="4"/>
      <c r="BR848" s="8"/>
      <c r="BS848" s="7"/>
      <c r="BT848" s="7"/>
      <c r="BU848" s="2" t="s">
        <v>147</v>
      </c>
      <c r="BV848" s="2" t="s">
        <v>97</v>
      </c>
      <c r="BW848" s="2" t="s">
        <v>100</v>
      </c>
      <c r="BX848" s="2" t="s">
        <v>100</v>
      </c>
      <c r="BY848" s="2" t="s">
        <v>112</v>
      </c>
      <c r="BZ848" s="2" t="s">
        <v>100</v>
      </c>
    </row>
    <row r="849">
      <c r="A849" s="2" t="s">
        <v>3155</v>
      </c>
      <c r="B849" s="2" t="s">
        <v>87</v>
      </c>
      <c r="C849" s="2" t="s">
        <v>88</v>
      </c>
      <c r="D849" s="2" t="s">
        <v>2308</v>
      </c>
      <c r="E849" s="2" t="s">
        <v>3101</v>
      </c>
      <c r="F849" s="2" t="s">
        <v>1879</v>
      </c>
      <c r="G849" s="2" t="s">
        <v>1880</v>
      </c>
      <c r="H849" s="2" t="s">
        <v>1881</v>
      </c>
      <c r="I849" s="2" t="s">
        <v>3108</v>
      </c>
      <c r="J849" s="2" t="s">
        <v>3103</v>
      </c>
      <c r="K849" s="2" t="s">
        <v>666</v>
      </c>
      <c r="L849" s="3">
        <v>42.3</v>
      </c>
      <c r="M849" s="3">
        <v>44.41</v>
      </c>
      <c r="N849" s="3">
        <v>89.99</v>
      </c>
      <c r="O849" s="2" t="s">
        <v>97</v>
      </c>
      <c r="P849" s="2" t="s">
        <v>182</v>
      </c>
      <c r="Q849" s="2" t="s">
        <v>99</v>
      </c>
      <c r="R849" s="2" t="s">
        <v>100</v>
      </c>
      <c r="S849" s="2" t="s">
        <v>3156</v>
      </c>
      <c r="T849" s="2" t="s">
        <v>100</v>
      </c>
      <c r="U849" s="2" t="s">
        <v>490</v>
      </c>
      <c r="V849" s="2" t="s">
        <v>601</v>
      </c>
      <c r="W849" s="2" t="s">
        <v>104</v>
      </c>
      <c r="X849" s="2" t="s">
        <v>759</v>
      </c>
      <c r="Y849" s="2" t="s">
        <v>3138</v>
      </c>
      <c r="Z849" s="4">
        <v>79</v>
      </c>
      <c r="AA849" s="4">
        <f>=ROUNDDOWN(4.38888888888889,0)</f>
      </c>
      <c r="AB849" s="5">
        <v>18</v>
      </c>
      <c r="AC849" s="2" t="s">
        <v>126</v>
      </c>
      <c r="AD849" s="4">
        <v>30</v>
      </c>
      <c r="AE849" s="4">
        <v>450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376</v>
      </c>
      <c r="BK849" s="8">
        <v>15492.25</v>
      </c>
      <c r="BL849" s="2" t="s">
        <v>3157</v>
      </c>
      <c r="BM849" s="7"/>
      <c r="BN849" s="7"/>
      <c r="BO849" s="4"/>
      <c r="BP849" s="8"/>
      <c r="BQ849" s="4"/>
      <c r="BR849" s="8"/>
      <c r="BS849" s="7"/>
      <c r="BT849" s="7"/>
      <c r="BU849" s="2" t="s">
        <v>147</v>
      </c>
      <c r="BV849" s="2" t="s">
        <v>97</v>
      </c>
      <c r="BW849" s="2" t="s">
        <v>100</v>
      </c>
      <c r="BX849" s="2" t="s">
        <v>100</v>
      </c>
      <c r="BY849" s="2" t="s">
        <v>112</v>
      </c>
      <c r="BZ849" s="2" t="s">
        <v>100</v>
      </c>
    </row>
    <row r="850">
      <c r="A850" s="2" t="s">
        <v>3158</v>
      </c>
      <c r="B850" s="2" t="s">
        <v>87</v>
      </c>
      <c r="C850" s="2" t="s">
        <v>88</v>
      </c>
      <c r="D850" s="2" t="s">
        <v>2308</v>
      </c>
      <c r="E850" s="2" t="s">
        <v>3101</v>
      </c>
      <c r="F850" s="2" t="s">
        <v>1906</v>
      </c>
      <c r="G850" s="2" t="s">
        <v>1907</v>
      </c>
      <c r="H850" s="2" t="s">
        <v>1561</v>
      </c>
      <c r="I850" s="2" t="s">
        <v>3159</v>
      </c>
      <c r="J850" s="2" t="s">
        <v>3103</v>
      </c>
      <c r="K850" s="2" t="s">
        <v>333</v>
      </c>
      <c r="L850" s="3">
        <v>49.35</v>
      </c>
      <c r="M850" s="3">
        <v>51.81</v>
      </c>
      <c r="N850" s="3">
        <v>104.99</v>
      </c>
      <c r="O850" s="2" t="s">
        <v>97</v>
      </c>
      <c r="P850" s="2" t="s">
        <v>1166</v>
      </c>
      <c r="Q850" s="2" t="s">
        <v>99</v>
      </c>
      <c r="R850" s="2" t="s">
        <v>100</v>
      </c>
      <c r="S850" s="2" t="s">
        <v>3160</v>
      </c>
      <c r="T850" s="2" t="s">
        <v>1168</v>
      </c>
      <c r="U850" s="2" t="s">
        <v>490</v>
      </c>
      <c r="V850" s="2" t="s">
        <v>1287</v>
      </c>
      <c r="W850" s="2" t="s">
        <v>312</v>
      </c>
      <c r="X850" s="2" t="s">
        <v>185</v>
      </c>
      <c r="Y850" s="2" t="s">
        <v>3161</v>
      </c>
      <c r="Z850" s="4">
        <v>152</v>
      </c>
      <c r="AA850" s="4">
        <f>=ROUNDDOWN(108.571428571429,0)</f>
      </c>
      <c r="AB850" s="5">
        <v>1.4</v>
      </c>
      <c r="AC850" s="2" t="s">
        <v>847</v>
      </c>
      <c r="AD850" s="4">
        <v>120</v>
      </c>
      <c r="AE850" s="4">
        <v>190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8</v>
      </c>
      <c r="BK850" s="8">
        <v>477.72</v>
      </c>
      <c r="BL850" s="2" t="s">
        <v>3162</v>
      </c>
      <c r="BM850" s="7"/>
      <c r="BN850" s="7"/>
      <c r="BO850" s="4"/>
      <c r="BP850" s="8"/>
      <c r="BQ850" s="4"/>
      <c r="BR850" s="8"/>
      <c r="BS850" s="7"/>
      <c r="BT850" s="7"/>
      <c r="BU850" s="2" t="s">
        <v>1171</v>
      </c>
      <c r="BV850" s="2" t="s">
        <v>97</v>
      </c>
      <c r="BW850" s="2" t="s">
        <v>100</v>
      </c>
      <c r="BX850" s="2" t="s">
        <v>100</v>
      </c>
      <c r="BY850" s="2" t="s">
        <v>112</v>
      </c>
      <c r="BZ850" s="2" t="s">
        <v>100</v>
      </c>
    </row>
    <row r="851">
      <c r="A851" s="2" t="s">
        <v>3163</v>
      </c>
      <c r="B851" s="2" t="s">
        <v>87</v>
      </c>
      <c r="C851" s="2" t="s">
        <v>88</v>
      </c>
      <c r="D851" s="2" t="s">
        <v>2308</v>
      </c>
      <c r="E851" s="2" t="s">
        <v>3101</v>
      </c>
      <c r="F851" s="2" t="s">
        <v>1906</v>
      </c>
      <c r="G851" s="2" t="s">
        <v>1907</v>
      </c>
      <c r="H851" s="2" t="s">
        <v>1561</v>
      </c>
      <c r="I851" s="2" t="s">
        <v>3159</v>
      </c>
      <c r="J851" s="2" t="s">
        <v>3103</v>
      </c>
      <c r="K851" s="2" t="s">
        <v>1637</v>
      </c>
      <c r="L851" s="3">
        <v>49.35</v>
      </c>
      <c r="M851" s="3">
        <v>51.81</v>
      </c>
      <c r="N851" s="3">
        <v>104.99</v>
      </c>
      <c r="O851" s="2" t="s">
        <v>97</v>
      </c>
      <c r="P851" s="2" t="s">
        <v>1166</v>
      </c>
      <c r="Q851" s="2" t="s">
        <v>99</v>
      </c>
      <c r="R851" s="2" t="s">
        <v>100</v>
      </c>
      <c r="S851" s="2" t="s">
        <v>1916</v>
      </c>
      <c r="T851" s="2" t="s">
        <v>1168</v>
      </c>
      <c r="U851" s="2" t="s">
        <v>490</v>
      </c>
      <c r="V851" s="2" t="s">
        <v>1287</v>
      </c>
      <c r="W851" s="2" t="s">
        <v>312</v>
      </c>
      <c r="X851" s="2" t="s">
        <v>185</v>
      </c>
      <c r="Y851" s="2" t="s">
        <v>3161</v>
      </c>
      <c r="Z851" s="4">
        <v>128</v>
      </c>
      <c r="AA851" s="4">
        <f>=ROUNDDOWN(11.6363636363636,0)</f>
      </c>
      <c r="AB851" s="5">
        <v>11</v>
      </c>
      <c r="AC851" s="2" t="s">
        <v>126</v>
      </c>
      <c r="AD851" s="4">
        <v>100</v>
      </c>
      <c r="AE851" s="4">
        <v>340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31</v>
      </c>
      <c r="BK851" s="8">
        <v>1588.87</v>
      </c>
      <c r="BL851" s="2" t="s">
        <v>3164</v>
      </c>
      <c r="BM851" s="7"/>
      <c r="BN851" s="7"/>
      <c r="BO851" s="4"/>
      <c r="BP851" s="8"/>
      <c r="BQ851" s="4"/>
      <c r="BR851" s="8"/>
      <c r="BS851" s="7"/>
      <c r="BT851" s="7"/>
      <c r="BU851" s="2" t="s">
        <v>1171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100</v>
      </c>
    </row>
    <row r="852">
      <c r="A852" s="2" t="s">
        <v>3165</v>
      </c>
      <c r="B852" s="2" t="s">
        <v>87</v>
      </c>
      <c r="C852" s="2" t="s">
        <v>88</v>
      </c>
      <c r="D852" s="2" t="s">
        <v>2308</v>
      </c>
      <c r="E852" s="2" t="s">
        <v>3101</v>
      </c>
      <c r="F852" s="2" t="s">
        <v>1906</v>
      </c>
      <c r="G852" s="2" t="s">
        <v>1907</v>
      </c>
      <c r="H852" s="2" t="s">
        <v>1561</v>
      </c>
      <c r="I852" s="2" t="s">
        <v>3159</v>
      </c>
      <c r="J852" s="2" t="s">
        <v>3103</v>
      </c>
      <c r="K852" s="2" t="s">
        <v>96</v>
      </c>
      <c r="L852" s="3">
        <v>49.35</v>
      </c>
      <c r="M852" s="3">
        <v>51.81</v>
      </c>
      <c r="N852" s="3">
        <v>104.99</v>
      </c>
      <c r="O852" s="2" t="s">
        <v>97</v>
      </c>
      <c r="P852" s="2" t="s">
        <v>182</v>
      </c>
      <c r="Q852" s="2" t="s">
        <v>99</v>
      </c>
      <c r="R852" s="2" t="s">
        <v>100</v>
      </c>
      <c r="S852" s="2" t="s">
        <v>3166</v>
      </c>
      <c r="T852" s="2" t="s">
        <v>1168</v>
      </c>
      <c r="U852" s="2" t="s">
        <v>490</v>
      </c>
      <c r="V852" s="2" t="s">
        <v>1287</v>
      </c>
      <c r="W852" s="2" t="s">
        <v>312</v>
      </c>
      <c r="X852" s="2" t="s">
        <v>185</v>
      </c>
      <c r="Y852" s="2" t="s">
        <v>3167</v>
      </c>
      <c r="Z852" s="4">
        <v>142</v>
      </c>
      <c r="AA852" s="4">
        <f>=ROUNDDOWN(12.9090909090909,0)</f>
      </c>
      <c r="AB852" s="5">
        <v>11</v>
      </c>
      <c r="AC852" s="2" t="s">
        <v>847</v>
      </c>
      <c r="AD852" s="4">
        <v>300</v>
      </c>
      <c r="AE852" s="4">
        <v>300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245</v>
      </c>
      <c r="BK852" s="8">
        <v>13527.12</v>
      </c>
      <c r="BL852" s="2" t="s">
        <v>1960</v>
      </c>
      <c r="BM852" s="7"/>
      <c r="BN852" s="7"/>
      <c r="BO852" s="4"/>
      <c r="BP852" s="8"/>
      <c r="BQ852" s="4"/>
      <c r="BR852" s="8"/>
      <c r="BS852" s="7"/>
      <c r="BT852" s="7"/>
      <c r="BU852" s="2" t="s">
        <v>147</v>
      </c>
      <c r="BV852" s="2" t="s">
        <v>97</v>
      </c>
      <c r="BW852" s="2" t="s">
        <v>100</v>
      </c>
      <c r="BX852" s="2" t="s">
        <v>100</v>
      </c>
      <c r="BY852" s="2" t="s">
        <v>112</v>
      </c>
      <c r="BZ852" s="2" t="s">
        <v>100</v>
      </c>
    </row>
    <row r="853">
      <c r="A853" s="2" t="s">
        <v>3168</v>
      </c>
      <c r="B853" s="2" t="s">
        <v>87</v>
      </c>
      <c r="C853" s="2" t="s">
        <v>88</v>
      </c>
      <c r="D853" s="2" t="s">
        <v>2308</v>
      </c>
      <c r="E853" s="2" t="s">
        <v>3101</v>
      </c>
      <c r="F853" s="2" t="s">
        <v>3169</v>
      </c>
      <c r="G853" s="2" t="s">
        <v>3170</v>
      </c>
      <c r="H853" s="2" t="s">
        <v>3171</v>
      </c>
      <c r="I853" s="2" t="s">
        <v>3172</v>
      </c>
      <c r="J853" s="2" t="s">
        <v>3103</v>
      </c>
      <c r="K853" s="2" t="s">
        <v>666</v>
      </c>
      <c r="L853" s="3">
        <v>42.3</v>
      </c>
      <c r="M853" s="3">
        <v>44.41</v>
      </c>
      <c r="N853" s="3">
        <v>89.99</v>
      </c>
      <c r="O853" s="2" t="s">
        <v>97</v>
      </c>
      <c r="P853" s="2" t="s">
        <v>1265</v>
      </c>
      <c r="Q853" s="2" t="s">
        <v>99</v>
      </c>
      <c r="R853" s="2" t="s">
        <v>100</v>
      </c>
      <c r="S853" s="2" t="s">
        <v>3173</v>
      </c>
      <c r="T853" s="2" t="s">
        <v>100</v>
      </c>
      <c r="U853" s="2" t="s">
        <v>490</v>
      </c>
      <c r="V853" s="2" t="s">
        <v>601</v>
      </c>
      <c r="W853" s="2" t="s">
        <v>808</v>
      </c>
      <c r="X853" s="2" t="s">
        <v>3174</v>
      </c>
      <c r="Y853" s="2" t="s">
        <v>3175</v>
      </c>
      <c r="Z853" s="4">
        <v>443</v>
      </c>
      <c r="AA853" s="4">
        <f>=ROUNDDOWN(24.6111111111111,0)</f>
      </c>
      <c r="AB853" s="5">
        <v>18</v>
      </c>
      <c r="AC853" s="2" t="s">
        <v>589</v>
      </c>
      <c r="AD853" s="4">
        <v>200</v>
      </c>
      <c r="AE853" s="4">
        <v>200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378</v>
      </c>
      <c r="BK853" s="8">
        <v>17008.71</v>
      </c>
      <c r="BL853" s="2" t="s">
        <v>3176</v>
      </c>
      <c r="BM853" s="7"/>
      <c r="BN853" s="7"/>
      <c r="BO853" s="4"/>
      <c r="BP853" s="8"/>
      <c r="BQ853" s="4"/>
      <c r="BR853" s="8"/>
      <c r="BS853" s="7"/>
      <c r="BT853" s="7"/>
      <c r="BU853" s="2" t="s">
        <v>147</v>
      </c>
      <c r="BV853" s="2" t="s">
        <v>97</v>
      </c>
      <c r="BW853" s="2" t="s">
        <v>100</v>
      </c>
      <c r="BX853" s="2" t="s">
        <v>100</v>
      </c>
      <c r="BY853" s="2" t="s">
        <v>112</v>
      </c>
      <c r="BZ853" s="2" t="s">
        <v>100</v>
      </c>
    </row>
    <row r="854">
      <c r="A854" s="2" t="s">
        <v>3177</v>
      </c>
      <c r="B854" s="2" t="s">
        <v>87</v>
      </c>
      <c r="C854" s="2" t="s">
        <v>88</v>
      </c>
      <c r="D854" s="2" t="s">
        <v>2308</v>
      </c>
      <c r="E854" s="2" t="s">
        <v>3101</v>
      </c>
      <c r="F854" s="2" t="s">
        <v>1931</v>
      </c>
      <c r="G854" s="2" t="s">
        <v>1932</v>
      </c>
      <c r="H854" s="2" t="s">
        <v>1933</v>
      </c>
      <c r="I854" s="2" t="s">
        <v>3178</v>
      </c>
      <c r="J854" s="2" t="s">
        <v>3103</v>
      </c>
      <c r="K854" s="2" t="s">
        <v>1935</v>
      </c>
      <c r="L854" s="3">
        <v>52.8</v>
      </c>
      <c r="M854" s="3">
        <v>55.43</v>
      </c>
      <c r="N854" s="3">
        <v>109.99</v>
      </c>
      <c r="O854" s="2" t="s">
        <v>97</v>
      </c>
      <c r="P854" s="2" t="s">
        <v>182</v>
      </c>
      <c r="Q854" s="2" t="s">
        <v>99</v>
      </c>
      <c r="R854" s="2" t="s">
        <v>100</v>
      </c>
      <c r="S854" s="2" t="s">
        <v>2982</v>
      </c>
      <c r="T854" s="2" t="s">
        <v>100</v>
      </c>
      <c r="U854" s="2" t="s">
        <v>790</v>
      </c>
      <c r="V854" s="2" t="s">
        <v>455</v>
      </c>
      <c r="W854" s="2" t="s">
        <v>733</v>
      </c>
      <c r="X854" s="2" t="s">
        <v>1852</v>
      </c>
      <c r="Y854" s="2" t="s">
        <v>2983</v>
      </c>
      <c r="Z854" s="4">
        <v>306</v>
      </c>
      <c r="AA854" s="4">
        <f>=ROUNDDOWN(25.5,0)</f>
      </c>
      <c r="AB854" s="5">
        <v>12</v>
      </c>
      <c r="AC854" s="2" t="s">
        <v>792</v>
      </c>
      <c r="AD854" s="4">
        <v>170</v>
      </c>
      <c r="AE854" s="4">
        <v>310</v>
      </c>
      <c r="AF854" s="6">
        <v>69</v>
      </c>
      <c r="AG854" s="6">
        <v>77</v>
      </c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352</v>
      </c>
      <c r="BK854" s="8">
        <v>18621.11</v>
      </c>
      <c r="BL854" s="2" t="s">
        <v>3179</v>
      </c>
      <c r="BM854" s="7"/>
      <c r="BN854" s="7"/>
      <c r="BO854" s="4"/>
      <c r="BP854" s="8"/>
      <c r="BQ854" s="4"/>
      <c r="BR854" s="8"/>
      <c r="BS854" s="7"/>
      <c r="BT854" s="7"/>
      <c r="BU854" s="2" t="s">
        <v>147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3180</v>
      </c>
      <c r="B855" s="2" t="s">
        <v>87</v>
      </c>
      <c r="C855" s="2" t="s">
        <v>88</v>
      </c>
      <c r="D855" s="2" t="s">
        <v>2308</v>
      </c>
      <c r="E855" s="2" t="s">
        <v>3101</v>
      </c>
      <c r="F855" s="2" t="s">
        <v>2660</v>
      </c>
      <c r="G855" s="2" t="s">
        <v>2661</v>
      </c>
      <c r="H855" s="2" t="s">
        <v>2662</v>
      </c>
      <c r="I855" s="2" t="s">
        <v>3108</v>
      </c>
      <c r="J855" s="2" t="s">
        <v>3103</v>
      </c>
      <c r="K855" s="2" t="s">
        <v>158</v>
      </c>
      <c r="L855" s="3">
        <v>42.3</v>
      </c>
      <c r="M855" s="3">
        <v>44.41</v>
      </c>
      <c r="N855" s="3">
        <v>89.99</v>
      </c>
      <c r="O855" s="2" t="s">
        <v>97</v>
      </c>
      <c r="P855" s="2" t="s">
        <v>182</v>
      </c>
      <c r="Q855" s="2" t="s">
        <v>99</v>
      </c>
      <c r="R855" s="2" t="s">
        <v>100</v>
      </c>
      <c r="S855" s="2" t="s">
        <v>3181</v>
      </c>
      <c r="T855" s="2" t="s">
        <v>100</v>
      </c>
      <c r="U855" s="2" t="s">
        <v>490</v>
      </c>
      <c r="V855" s="2" t="s">
        <v>455</v>
      </c>
      <c r="W855" s="2" t="s">
        <v>1530</v>
      </c>
      <c r="X855" s="2" t="s">
        <v>907</v>
      </c>
      <c r="Y855" s="2" t="s">
        <v>3182</v>
      </c>
      <c r="Z855" s="4">
        <v>464</v>
      </c>
      <c r="AA855" s="4">
        <f>=ROUNDDOWN(22.0952380952381,0)</f>
      </c>
      <c r="AB855" s="5">
        <v>21</v>
      </c>
      <c r="AC855" s="2" t="s">
        <v>2670</v>
      </c>
      <c r="AD855" s="4">
        <v>120</v>
      </c>
      <c r="AE855" s="4">
        <v>160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441</v>
      </c>
      <c r="BK855" s="8">
        <v>19527.68</v>
      </c>
      <c r="BL855" s="2" t="s">
        <v>3183</v>
      </c>
      <c r="BM855" s="7"/>
      <c r="BN855" s="7"/>
      <c r="BO855" s="4"/>
      <c r="BP855" s="8"/>
      <c r="BQ855" s="4"/>
      <c r="BR855" s="8"/>
      <c r="BS855" s="7"/>
      <c r="BT855" s="7"/>
      <c r="BU855" s="2" t="s">
        <v>147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3184</v>
      </c>
      <c r="B856" s="2" t="s">
        <v>87</v>
      </c>
      <c r="C856" s="2" t="s">
        <v>88</v>
      </c>
      <c r="D856" s="2" t="s">
        <v>2308</v>
      </c>
      <c r="E856" s="2" t="s">
        <v>3101</v>
      </c>
      <c r="F856" s="2" t="s">
        <v>2908</v>
      </c>
      <c r="G856" s="2" t="s">
        <v>2909</v>
      </c>
      <c r="H856" s="2" t="s">
        <v>2910</v>
      </c>
      <c r="I856" s="2" t="s">
        <v>3108</v>
      </c>
      <c r="J856" s="2" t="s">
        <v>3103</v>
      </c>
      <c r="K856" s="2" t="s">
        <v>635</v>
      </c>
      <c r="L856" s="3">
        <v>42.3</v>
      </c>
      <c r="M856" s="3">
        <v>44.41</v>
      </c>
      <c r="N856" s="3">
        <v>89.99</v>
      </c>
      <c r="O856" s="2" t="s">
        <v>97</v>
      </c>
      <c r="P856" s="2" t="s">
        <v>1265</v>
      </c>
      <c r="Q856" s="2" t="s">
        <v>99</v>
      </c>
      <c r="R856" s="2" t="s">
        <v>100</v>
      </c>
      <c r="S856" s="2" t="s">
        <v>2911</v>
      </c>
      <c r="T856" s="2" t="s">
        <v>100</v>
      </c>
      <c r="U856" s="2" t="s">
        <v>490</v>
      </c>
      <c r="V856" s="2" t="s">
        <v>455</v>
      </c>
      <c r="W856" s="2" t="s">
        <v>1530</v>
      </c>
      <c r="X856" s="2" t="s">
        <v>907</v>
      </c>
      <c r="Y856" s="2" t="s">
        <v>3185</v>
      </c>
      <c r="Z856" s="4">
        <v>37</v>
      </c>
      <c r="AA856" s="4">
        <f>=ROUNDDOWN(1.27586206896552,0)</f>
      </c>
      <c r="AB856" s="5">
        <v>29</v>
      </c>
      <c r="AC856" s="2" t="s">
        <v>746</v>
      </c>
      <c r="AD856" s="4">
        <v>198</v>
      </c>
      <c r="AE856" s="4">
        <v>230</v>
      </c>
      <c r="AF856" s="6">
        <v>65</v>
      </c>
      <c r="AG856" s="6">
        <v>73</v>
      </c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561</v>
      </c>
      <c r="BK856" s="8">
        <v>22733.77</v>
      </c>
      <c r="BL856" s="2" t="s">
        <v>1868</v>
      </c>
      <c r="BM856" s="7"/>
      <c r="BN856" s="7"/>
      <c r="BO856" s="4"/>
      <c r="BP856" s="8"/>
      <c r="BQ856" s="4"/>
      <c r="BR856" s="8"/>
      <c r="BS856" s="7"/>
      <c r="BT856" s="7"/>
      <c r="BU856" s="2" t="s">
        <v>147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3186</v>
      </c>
      <c r="B857" s="2" t="s">
        <v>87</v>
      </c>
      <c r="C857" s="2" t="s">
        <v>88</v>
      </c>
      <c r="D857" s="2" t="s">
        <v>2308</v>
      </c>
      <c r="E857" s="2" t="s">
        <v>3101</v>
      </c>
      <c r="F857" s="2" t="s">
        <v>2415</v>
      </c>
      <c r="G857" s="2" t="s">
        <v>2416</v>
      </c>
      <c r="H857" s="2" t="s">
        <v>2417</v>
      </c>
      <c r="I857" s="2" t="s">
        <v>3187</v>
      </c>
      <c r="J857" s="2" t="s">
        <v>3103</v>
      </c>
      <c r="K857" s="2" t="s">
        <v>158</v>
      </c>
      <c r="L857" s="3">
        <v>47</v>
      </c>
      <c r="M857" s="3">
        <v>49.35</v>
      </c>
      <c r="N857" s="3">
        <v>99.99</v>
      </c>
      <c r="O857" s="2" t="s">
        <v>97</v>
      </c>
      <c r="P857" s="2" t="s">
        <v>1166</v>
      </c>
      <c r="Q857" s="2" t="s">
        <v>99</v>
      </c>
      <c r="R857" s="2" t="s">
        <v>100</v>
      </c>
      <c r="S857" s="2" t="s">
        <v>2431</v>
      </c>
      <c r="T857" s="2" t="s">
        <v>184</v>
      </c>
      <c r="U857" s="2" t="s">
        <v>490</v>
      </c>
      <c r="V857" s="2" t="s">
        <v>601</v>
      </c>
      <c r="W857" s="2" t="s">
        <v>808</v>
      </c>
      <c r="X857" s="2" t="s">
        <v>3188</v>
      </c>
      <c r="Y857" s="2" t="s">
        <v>3189</v>
      </c>
      <c r="Z857" s="4">
        <v>390</v>
      </c>
      <c r="AA857" s="4">
        <f>=ROUNDDOWN(30,0)</f>
      </c>
      <c r="AB857" s="5">
        <v>13</v>
      </c>
      <c r="AC857" s="2" t="s">
        <v>766</v>
      </c>
      <c r="AD857" s="4">
        <v>300</v>
      </c>
      <c r="AE857" s="4">
        <v>300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53</v>
      </c>
      <c r="BK857" s="8">
        <v>2473.07</v>
      </c>
      <c r="BL857" s="2" t="s">
        <v>1902</v>
      </c>
      <c r="BM857" s="7"/>
      <c r="BN857" s="7"/>
      <c r="BO857" s="4"/>
      <c r="BP857" s="8"/>
      <c r="BQ857" s="4"/>
      <c r="BR857" s="8"/>
      <c r="BS857" s="7"/>
      <c r="BT857" s="7"/>
      <c r="BU857" s="2" t="s">
        <v>1171</v>
      </c>
      <c r="BV857" s="2" t="s">
        <v>97</v>
      </c>
      <c r="BW857" s="2" t="s">
        <v>100</v>
      </c>
      <c r="BX857" s="2" t="s">
        <v>100</v>
      </c>
      <c r="BY857" s="2" t="s">
        <v>112</v>
      </c>
      <c r="BZ857" s="2" t="s">
        <v>100</v>
      </c>
    </row>
    <row r="858">
      <c r="A858" s="2" t="s">
        <v>3190</v>
      </c>
      <c r="B858" s="2" t="s">
        <v>87</v>
      </c>
      <c r="C858" s="2" t="s">
        <v>88</v>
      </c>
      <c r="D858" s="2" t="s">
        <v>2308</v>
      </c>
      <c r="E858" s="2" t="s">
        <v>3101</v>
      </c>
      <c r="F858" s="2" t="s">
        <v>2415</v>
      </c>
      <c r="G858" s="2" t="s">
        <v>2416</v>
      </c>
      <c r="H858" s="2" t="s">
        <v>2417</v>
      </c>
      <c r="I858" s="2" t="s">
        <v>3187</v>
      </c>
      <c r="J858" s="2" t="s">
        <v>3103</v>
      </c>
      <c r="K858" s="2" t="s">
        <v>650</v>
      </c>
      <c r="L858" s="3">
        <v>47</v>
      </c>
      <c r="M858" s="3">
        <v>49.35</v>
      </c>
      <c r="N858" s="3">
        <v>99.99</v>
      </c>
      <c r="O858" s="2" t="s">
        <v>97</v>
      </c>
      <c r="P858" s="2" t="s">
        <v>182</v>
      </c>
      <c r="Q858" s="2" t="s">
        <v>99</v>
      </c>
      <c r="R858" s="2" t="s">
        <v>100</v>
      </c>
      <c r="S858" s="2" t="s">
        <v>2437</v>
      </c>
      <c r="T858" s="2" t="s">
        <v>184</v>
      </c>
      <c r="U858" s="2" t="s">
        <v>490</v>
      </c>
      <c r="V858" s="2" t="s">
        <v>601</v>
      </c>
      <c r="W858" s="2" t="s">
        <v>808</v>
      </c>
      <c r="X858" s="2" t="s">
        <v>809</v>
      </c>
      <c r="Y858" s="2" t="s">
        <v>3191</v>
      </c>
      <c r="Z858" s="4">
        <v>648</v>
      </c>
      <c r="AA858" s="4">
        <f>=ROUNDDOWN(15.8048780487805,0)</f>
      </c>
      <c r="AB858" s="5">
        <v>41</v>
      </c>
      <c r="AC858" s="2" t="s">
        <v>126</v>
      </c>
      <c r="AD858" s="4">
        <v>140</v>
      </c>
      <c r="AE858" s="4">
        <v>520</v>
      </c>
      <c r="AF858" s="6">
        <v>64</v>
      </c>
      <c r="AG858" s="6">
        <v>47</v>
      </c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631</v>
      </c>
      <c r="BK858" s="8">
        <v>31715.62</v>
      </c>
      <c r="BL858" s="2" t="s">
        <v>3192</v>
      </c>
      <c r="BM858" s="7"/>
      <c r="BN858" s="7"/>
      <c r="BO858" s="4"/>
      <c r="BP858" s="8"/>
      <c r="BQ858" s="4"/>
      <c r="BR858" s="8"/>
      <c r="BS858" s="7"/>
      <c r="BT858" s="7"/>
      <c r="BU858" s="2" t="s">
        <v>147</v>
      </c>
      <c r="BV858" s="2" t="s">
        <v>97</v>
      </c>
      <c r="BW858" s="2" t="s">
        <v>100</v>
      </c>
      <c r="BX858" s="2" t="s">
        <v>100</v>
      </c>
      <c r="BY858" s="2" t="s">
        <v>112</v>
      </c>
      <c r="BZ858" s="2" t="s">
        <v>100</v>
      </c>
    </row>
    <row r="859">
      <c r="A859" s="2" t="s">
        <v>3193</v>
      </c>
      <c r="B859" s="2" t="s">
        <v>87</v>
      </c>
      <c r="C859" s="2" t="s">
        <v>88</v>
      </c>
      <c r="D859" s="2" t="s">
        <v>2308</v>
      </c>
      <c r="E859" s="2" t="s">
        <v>3101</v>
      </c>
      <c r="F859" s="2" t="s">
        <v>2415</v>
      </c>
      <c r="G859" s="2" t="s">
        <v>2416</v>
      </c>
      <c r="H859" s="2" t="s">
        <v>2417</v>
      </c>
      <c r="I859" s="2" t="s">
        <v>3187</v>
      </c>
      <c r="J859" s="2" t="s">
        <v>3103</v>
      </c>
      <c r="K859" s="2" t="s">
        <v>2367</v>
      </c>
      <c r="L859" s="3">
        <v>47</v>
      </c>
      <c r="M859" s="3">
        <v>49.35</v>
      </c>
      <c r="N859" s="3">
        <v>99.99</v>
      </c>
      <c r="O859" s="2" t="s">
        <v>97</v>
      </c>
      <c r="P859" s="2" t="s">
        <v>143</v>
      </c>
      <c r="Q859" s="2" t="s">
        <v>99</v>
      </c>
      <c r="R859" s="2" t="s">
        <v>100</v>
      </c>
      <c r="S859" s="2" t="s">
        <v>3194</v>
      </c>
      <c r="T859" s="2" t="s">
        <v>184</v>
      </c>
      <c r="U859" s="2" t="s">
        <v>490</v>
      </c>
      <c r="V859" s="2" t="s">
        <v>601</v>
      </c>
      <c r="W859" s="2" t="s">
        <v>808</v>
      </c>
      <c r="X859" s="2" t="s">
        <v>809</v>
      </c>
      <c r="Y859" s="2" t="s">
        <v>3195</v>
      </c>
      <c r="Z859" s="4">
        <v>838</v>
      </c>
      <c r="AA859" s="4">
        <f>=ROUNDDOWN(9.85882352941177,0)</f>
      </c>
      <c r="AB859" s="5">
        <v>85</v>
      </c>
      <c r="AC859" s="2" t="s">
        <v>335</v>
      </c>
      <c r="AD859" s="4">
        <v>300</v>
      </c>
      <c r="AE859" s="4">
        <v>1450</v>
      </c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2112</v>
      </c>
      <c r="BK859" s="8">
        <v>106028.06</v>
      </c>
      <c r="BL859" s="2" t="s">
        <v>3196</v>
      </c>
      <c r="BM859" s="7"/>
      <c r="BN859" s="7"/>
      <c r="BO859" s="4"/>
      <c r="BP859" s="8"/>
      <c r="BQ859" s="4"/>
      <c r="BR859" s="8"/>
      <c r="BS859" s="7"/>
      <c r="BT859" s="7"/>
      <c r="BU859" s="2" t="s">
        <v>147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3197</v>
      </c>
      <c r="B860" s="2" t="s">
        <v>87</v>
      </c>
      <c r="C860" s="2" t="s">
        <v>88</v>
      </c>
      <c r="D860" s="2" t="s">
        <v>2308</v>
      </c>
      <c r="E860" s="2" t="s">
        <v>3101</v>
      </c>
      <c r="F860" s="2" t="s">
        <v>2415</v>
      </c>
      <c r="G860" s="2" t="s">
        <v>2416</v>
      </c>
      <c r="H860" s="2" t="s">
        <v>2417</v>
      </c>
      <c r="I860" s="2" t="s">
        <v>3187</v>
      </c>
      <c r="J860" s="2" t="s">
        <v>3103</v>
      </c>
      <c r="K860" s="2" t="s">
        <v>713</v>
      </c>
      <c r="L860" s="3">
        <v>47</v>
      </c>
      <c r="M860" s="3">
        <v>49.35</v>
      </c>
      <c r="N860" s="3">
        <v>99.99</v>
      </c>
      <c r="O860" s="2" t="s">
        <v>97</v>
      </c>
      <c r="P860" s="2" t="s">
        <v>182</v>
      </c>
      <c r="Q860" s="2" t="s">
        <v>99</v>
      </c>
      <c r="R860" s="2" t="s">
        <v>100</v>
      </c>
      <c r="S860" s="2" t="s">
        <v>2442</v>
      </c>
      <c r="T860" s="2" t="s">
        <v>184</v>
      </c>
      <c r="U860" s="2" t="s">
        <v>490</v>
      </c>
      <c r="V860" s="2" t="s">
        <v>601</v>
      </c>
      <c r="W860" s="2" t="s">
        <v>808</v>
      </c>
      <c r="X860" s="2" t="s">
        <v>809</v>
      </c>
      <c r="Y860" s="2" t="s">
        <v>3191</v>
      </c>
      <c r="Z860" s="4">
        <v>528</v>
      </c>
      <c r="AA860" s="4">
        <f>=ROUNDDOWN(11.4782608695652,0)</f>
      </c>
      <c r="AB860" s="5">
        <v>46</v>
      </c>
      <c r="AC860" s="2" t="s">
        <v>2403</v>
      </c>
      <c r="AD860" s="4">
        <v>460</v>
      </c>
      <c r="AE860" s="4">
        <v>460</v>
      </c>
      <c r="AF860" s="6">
        <v>64</v>
      </c>
      <c r="AG860" s="6">
        <v>47</v>
      </c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>
        <v>1072</v>
      </c>
      <c r="BK860" s="8">
        <v>54788.77</v>
      </c>
      <c r="BL860" s="2" t="s">
        <v>3198</v>
      </c>
      <c r="BM860" s="7"/>
      <c r="BN860" s="7"/>
      <c r="BO860" s="4"/>
      <c r="BP860" s="8"/>
      <c r="BQ860" s="4"/>
      <c r="BR860" s="8"/>
      <c r="BS860" s="7"/>
      <c r="BT860" s="7"/>
      <c r="BU860" s="2" t="s">
        <v>147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3199</v>
      </c>
      <c r="B861" s="2" t="s">
        <v>87</v>
      </c>
      <c r="C861" s="2" t="s">
        <v>88</v>
      </c>
      <c r="D861" s="2" t="s">
        <v>2308</v>
      </c>
      <c r="E861" s="2" t="s">
        <v>3101</v>
      </c>
      <c r="F861" s="2" t="s">
        <v>2415</v>
      </c>
      <c r="G861" s="2" t="s">
        <v>2416</v>
      </c>
      <c r="H861" s="2" t="s">
        <v>2417</v>
      </c>
      <c r="I861" s="2" t="s">
        <v>3187</v>
      </c>
      <c r="J861" s="2" t="s">
        <v>3103</v>
      </c>
      <c r="K861" s="2" t="s">
        <v>666</v>
      </c>
      <c r="L861" s="3">
        <v>47</v>
      </c>
      <c r="M861" s="3">
        <v>49.35</v>
      </c>
      <c r="N861" s="3">
        <v>99.99</v>
      </c>
      <c r="O861" s="2" t="s">
        <v>97</v>
      </c>
      <c r="P861" s="2" t="s">
        <v>182</v>
      </c>
      <c r="Q861" s="2" t="s">
        <v>99</v>
      </c>
      <c r="R861" s="2" t="s">
        <v>100</v>
      </c>
      <c r="S861" s="2" t="s">
        <v>100</v>
      </c>
      <c r="T861" s="2" t="s">
        <v>184</v>
      </c>
      <c r="U861" s="2" t="s">
        <v>490</v>
      </c>
      <c r="V861" s="2" t="s">
        <v>601</v>
      </c>
      <c r="W861" s="2" t="s">
        <v>808</v>
      </c>
      <c r="X861" s="2" t="s">
        <v>809</v>
      </c>
      <c r="Y861" s="2" t="s">
        <v>3195</v>
      </c>
      <c r="Z861" s="4">
        <v>825</v>
      </c>
      <c r="AA861" s="4">
        <f>=ROUNDDOWN(25,0)</f>
      </c>
      <c r="AB861" s="5">
        <v>33</v>
      </c>
      <c r="AC861" s="2" t="s">
        <v>919</v>
      </c>
      <c r="AD861" s="4">
        <v>50</v>
      </c>
      <c r="AE861" s="4">
        <v>350</v>
      </c>
      <c r="AF861" s="6">
        <v>64</v>
      </c>
      <c r="AG861" s="6">
        <v>47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624</v>
      </c>
      <c r="BK861" s="8">
        <v>31338.27</v>
      </c>
      <c r="BL861" s="2" t="s">
        <v>3200</v>
      </c>
      <c r="BM861" s="7"/>
      <c r="BN861" s="7"/>
      <c r="BO861" s="4"/>
      <c r="BP861" s="8"/>
      <c r="BQ861" s="4"/>
      <c r="BR861" s="8"/>
      <c r="BS861" s="7"/>
      <c r="BT861" s="7"/>
      <c r="BU861" s="2" t="s">
        <v>147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3201</v>
      </c>
      <c r="B862" s="2" t="s">
        <v>87</v>
      </c>
      <c r="C862" s="2" t="s">
        <v>88</v>
      </c>
      <c r="D862" s="2" t="s">
        <v>2308</v>
      </c>
      <c r="E862" s="2" t="s">
        <v>3101</v>
      </c>
      <c r="F862" s="2" t="s">
        <v>2752</v>
      </c>
      <c r="G862" s="2" t="s">
        <v>2753</v>
      </c>
      <c r="H862" s="2" t="s">
        <v>2754</v>
      </c>
      <c r="I862" s="2" t="s">
        <v>3108</v>
      </c>
      <c r="J862" s="2" t="s">
        <v>3103</v>
      </c>
      <c r="K862" s="2" t="s">
        <v>1767</v>
      </c>
      <c r="L862" s="3">
        <v>43.2</v>
      </c>
      <c r="M862" s="3">
        <v>45.35</v>
      </c>
      <c r="N862" s="3">
        <v>89.99</v>
      </c>
      <c r="O862" s="2" t="s">
        <v>97</v>
      </c>
      <c r="P862" s="2" t="s">
        <v>143</v>
      </c>
      <c r="Q862" s="2" t="s">
        <v>99</v>
      </c>
      <c r="R862" s="2" t="s">
        <v>100</v>
      </c>
      <c r="S862" s="2" t="s">
        <v>3202</v>
      </c>
      <c r="T862" s="2" t="s">
        <v>100</v>
      </c>
      <c r="U862" s="2" t="s">
        <v>490</v>
      </c>
      <c r="V862" s="2" t="s">
        <v>1741</v>
      </c>
      <c r="W862" s="2" t="s">
        <v>1530</v>
      </c>
      <c r="X862" s="2" t="s">
        <v>1742</v>
      </c>
      <c r="Y862" s="2" t="s">
        <v>3203</v>
      </c>
      <c r="Z862" s="4">
        <v>949</v>
      </c>
      <c r="AA862" s="4">
        <f>=ROUNDDOWN(14.6,0)</f>
      </c>
      <c r="AB862" s="5">
        <v>65</v>
      </c>
      <c r="AC862" s="2" t="s">
        <v>130</v>
      </c>
      <c r="AD862" s="4">
        <v>180</v>
      </c>
      <c r="AE862" s="4">
        <v>1280</v>
      </c>
      <c r="AF862" s="6">
        <v>65</v>
      </c>
      <c r="AG862" s="6">
        <v>73</v>
      </c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>
        <v>1643</v>
      </c>
      <c r="BK862" s="8">
        <v>65928.7</v>
      </c>
      <c r="BL862" s="2" t="s">
        <v>3204</v>
      </c>
      <c r="BM862" s="7"/>
      <c r="BN862" s="7"/>
      <c r="BO862" s="4"/>
      <c r="BP862" s="8"/>
      <c r="BQ862" s="4"/>
      <c r="BR862" s="8"/>
      <c r="BS862" s="7"/>
      <c r="BT862" s="7"/>
      <c r="BU862" s="2" t="s">
        <v>147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3205</v>
      </c>
      <c r="B863" s="2" t="s">
        <v>87</v>
      </c>
      <c r="C863" s="2" t="s">
        <v>88</v>
      </c>
      <c r="D863" s="2" t="s">
        <v>2308</v>
      </c>
      <c r="E863" s="2" t="s">
        <v>3206</v>
      </c>
      <c r="F863" s="2" t="s">
        <v>3112</v>
      </c>
      <c r="G863" s="2" t="s">
        <v>3113</v>
      </c>
      <c r="H863" s="2" t="s">
        <v>3114</v>
      </c>
      <c r="I863" s="2" t="s">
        <v>3207</v>
      </c>
      <c r="J863" s="2" t="s">
        <v>95</v>
      </c>
      <c r="K863" s="2" t="s">
        <v>635</v>
      </c>
      <c r="L863" s="3">
        <v>54</v>
      </c>
      <c r="M863" s="3">
        <v>56.7</v>
      </c>
      <c r="N863" s="3">
        <v>119.99</v>
      </c>
      <c r="O863" s="2" t="s">
        <v>97</v>
      </c>
      <c r="P863" s="2" t="s">
        <v>198</v>
      </c>
      <c r="Q863" s="2" t="s">
        <v>99</v>
      </c>
      <c r="R863" s="2" t="s">
        <v>100</v>
      </c>
      <c r="S863" s="2" t="s">
        <v>3208</v>
      </c>
      <c r="T863" s="2" t="s">
        <v>100</v>
      </c>
      <c r="U863" s="2" t="s">
        <v>1482</v>
      </c>
      <c r="V863" s="2" t="s">
        <v>601</v>
      </c>
      <c r="W863" s="2" t="s">
        <v>104</v>
      </c>
      <c r="X863" s="2" t="s">
        <v>1289</v>
      </c>
      <c r="Y863" s="2" t="s">
        <v>3209</v>
      </c>
      <c r="Z863" s="4">
        <v>191</v>
      </c>
      <c r="AA863" s="4">
        <f>=ROUNDDOWN(17.5229357798165,0)</f>
      </c>
      <c r="AB863" s="5">
        <v>10.9</v>
      </c>
      <c r="AC863" s="2" t="s">
        <v>589</v>
      </c>
      <c r="AD863" s="4">
        <v>170</v>
      </c>
      <c r="AE863" s="4">
        <v>170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436</v>
      </c>
      <c r="BK863" s="8">
        <v>25544.5</v>
      </c>
      <c r="BL863" s="2" t="s">
        <v>1138</v>
      </c>
      <c r="BM863" s="7"/>
      <c r="BN863" s="7"/>
      <c r="BO863" s="4"/>
      <c r="BP863" s="8"/>
      <c r="BQ863" s="4"/>
      <c r="BR863" s="8"/>
      <c r="BS863" s="7"/>
      <c r="BT863" s="7"/>
      <c r="BU863" s="2" t="s">
        <v>147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3210</v>
      </c>
      <c r="B864" s="2" t="s">
        <v>87</v>
      </c>
      <c r="C864" s="2" t="s">
        <v>88</v>
      </c>
      <c r="D864" s="2" t="s">
        <v>2308</v>
      </c>
      <c r="E864" s="2" t="s">
        <v>3206</v>
      </c>
      <c r="F864" s="2" t="s">
        <v>3112</v>
      </c>
      <c r="G864" s="2" t="s">
        <v>3113</v>
      </c>
      <c r="H864" s="2" t="s">
        <v>3114</v>
      </c>
      <c r="I864" s="2" t="s">
        <v>3207</v>
      </c>
      <c r="J864" s="2" t="s">
        <v>114</v>
      </c>
      <c r="K864" s="2" t="s">
        <v>635</v>
      </c>
      <c r="L864" s="3">
        <v>64.4</v>
      </c>
      <c r="M864" s="3">
        <v>67.62</v>
      </c>
      <c r="N864" s="3">
        <v>139.99</v>
      </c>
      <c r="O864" s="2" t="s">
        <v>97</v>
      </c>
      <c r="P864" s="2" t="s">
        <v>198</v>
      </c>
      <c r="Q864" s="2" t="s">
        <v>99</v>
      </c>
      <c r="R864" s="2" t="s">
        <v>100</v>
      </c>
      <c r="S864" s="2" t="s">
        <v>3208</v>
      </c>
      <c r="T864" s="2" t="s">
        <v>100</v>
      </c>
      <c r="U864" s="2" t="s">
        <v>1482</v>
      </c>
      <c r="V864" s="2" t="s">
        <v>601</v>
      </c>
      <c r="W864" s="2" t="s">
        <v>104</v>
      </c>
      <c r="X864" s="2" t="s">
        <v>1289</v>
      </c>
      <c r="Y864" s="2" t="s">
        <v>3209</v>
      </c>
      <c r="Z864" s="4">
        <v>148</v>
      </c>
      <c r="AA864" s="4">
        <f>=ROUNDDOWN(23.125,0)</f>
      </c>
      <c r="AB864" s="5">
        <v>6.4</v>
      </c>
      <c r="AC864" s="2" t="s">
        <v>589</v>
      </c>
      <c r="AD864" s="4">
        <v>120</v>
      </c>
      <c r="AE864" s="4">
        <v>120</v>
      </c>
      <c r="AF864" s="6">
        <v>65</v>
      </c>
      <c r="AG864" s="6"/>
      <c r="AH864" s="7">
        <v>0.9939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311</v>
      </c>
      <c r="BK864" s="8">
        <v>21053.34</v>
      </c>
      <c r="BL864" s="2" t="s">
        <v>3211</v>
      </c>
      <c r="BM864" s="7"/>
      <c r="BN864" s="7"/>
      <c r="BO864" s="4"/>
      <c r="BP864" s="8"/>
      <c r="BQ864" s="4"/>
      <c r="BR864" s="8"/>
      <c r="BS864" s="7"/>
      <c r="BT864" s="7"/>
      <c r="BU864" s="2" t="s">
        <v>147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100</v>
      </c>
    </row>
    <row r="865">
      <c r="A865" s="2" t="s">
        <v>3212</v>
      </c>
      <c r="B865" s="2" t="s">
        <v>87</v>
      </c>
      <c r="C865" s="2" t="s">
        <v>88</v>
      </c>
      <c r="D865" s="2" t="s">
        <v>2308</v>
      </c>
      <c r="E865" s="2" t="s">
        <v>3206</v>
      </c>
      <c r="F865" s="2" t="s">
        <v>3112</v>
      </c>
      <c r="G865" s="2" t="s">
        <v>3113</v>
      </c>
      <c r="H865" s="2" t="s">
        <v>3114</v>
      </c>
      <c r="I865" s="2" t="s">
        <v>3207</v>
      </c>
      <c r="J865" s="2" t="s">
        <v>95</v>
      </c>
      <c r="K865" s="2" t="s">
        <v>1018</v>
      </c>
      <c r="L865" s="3">
        <v>54</v>
      </c>
      <c r="M865" s="3">
        <v>56.7</v>
      </c>
      <c r="N865" s="3">
        <v>119.99</v>
      </c>
      <c r="O865" s="2" t="s">
        <v>97</v>
      </c>
      <c r="P865" s="2" t="s">
        <v>182</v>
      </c>
      <c r="Q865" s="2" t="s">
        <v>99</v>
      </c>
      <c r="R865" s="2" t="s">
        <v>100</v>
      </c>
      <c r="S865" s="2" t="s">
        <v>3213</v>
      </c>
      <c r="T865" s="2" t="s">
        <v>100</v>
      </c>
      <c r="U865" s="2" t="s">
        <v>1482</v>
      </c>
      <c r="V865" s="2" t="s">
        <v>601</v>
      </c>
      <c r="W865" s="2" t="s">
        <v>104</v>
      </c>
      <c r="X865" s="2" t="s">
        <v>1289</v>
      </c>
      <c r="Y865" s="2" t="s">
        <v>3209</v>
      </c>
      <c r="Z865" s="4">
        <v>320</v>
      </c>
      <c r="AA865" s="4">
        <f>=ROUNDDOWN(29.0909090909091,0)</f>
      </c>
      <c r="AB865" s="5">
        <v>11</v>
      </c>
      <c r="AC865" s="2" t="s">
        <v>2305</v>
      </c>
      <c r="AD865" s="4">
        <v>80</v>
      </c>
      <c r="AE865" s="4">
        <v>200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309</v>
      </c>
      <c r="BK865" s="8">
        <v>18178.79</v>
      </c>
      <c r="BL865" s="2" t="s">
        <v>1724</v>
      </c>
      <c r="BM865" s="7"/>
      <c r="BN865" s="7"/>
      <c r="BO865" s="4"/>
      <c r="BP865" s="8"/>
      <c r="BQ865" s="4"/>
      <c r="BR865" s="8"/>
      <c r="BS865" s="7"/>
      <c r="BT865" s="7"/>
      <c r="BU865" s="2" t="s">
        <v>147</v>
      </c>
      <c r="BV865" s="2" t="s">
        <v>97</v>
      </c>
      <c r="BW865" s="2" t="s">
        <v>100</v>
      </c>
      <c r="BX865" s="2" t="s">
        <v>100</v>
      </c>
      <c r="BY865" s="2" t="s">
        <v>112</v>
      </c>
      <c r="BZ865" s="2" t="s">
        <v>100</v>
      </c>
    </row>
    <row r="866">
      <c r="A866" s="2" t="s">
        <v>3214</v>
      </c>
      <c r="B866" s="2" t="s">
        <v>87</v>
      </c>
      <c r="C866" s="2" t="s">
        <v>88</v>
      </c>
      <c r="D866" s="2" t="s">
        <v>2308</v>
      </c>
      <c r="E866" s="2" t="s">
        <v>3206</v>
      </c>
      <c r="F866" s="2" t="s">
        <v>3112</v>
      </c>
      <c r="G866" s="2" t="s">
        <v>3113</v>
      </c>
      <c r="H866" s="2" t="s">
        <v>3114</v>
      </c>
      <c r="I866" s="2" t="s">
        <v>3215</v>
      </c>
      <c r="J866" s="2" t="s">
        <v>114</v>
      </c>
      <c r="K866" s="2" t="s">
        <v>1018</v>
      </c>
      <c r="L866" s="3">
        <v>64.4</v>
      </c>
      <c r="M866" s="3">
        <v>67.62</v>
      </c>
      <c r="N866" s="3">
        <v>139.99</v>
      </c>
      <c r="O866" s="2" t="s">
        <v>97</v>
      </c>
      <c r="P866" s="2" t="s">
        <v>182</v>
      </c>
      <c r="Q866" s="2" t="s">
        <v>99</v>
      </c>
      <c r="R866" s="2" t="s">
        <v>100</v>
      </c>
      <c r="S866" s="2" t="s">
        <v>3213</v>
      </c>
      <c r="T866" s="2" t="s">
        <v>100</v>
      </c>
      <c r="U866" s="2" t="s">
        <v>1482</v>
      </c>
      <c r="V866" s="2" t="s">
        <v>601</v>
      </c>
      <c r="W866" s="2" t="s">
        <v>104</v>
      </c>
      <c r="X866" s="2" t="s">
        <v>1289</v>
      </c>
      <c r="Y866" s="2" t="s">
        <v>3209</v>
      </c>
      <c r="Z866" s="4">
        <v>152</v>
      </c>
      <c r="AA866" s="4">
        <f>=ROUNDDOWN(12.6666666666667,0)</f>
      </c>
      <c r="AB866" s="5">
        <v>12</v>
      </c>
      <c r="AC866" s="2" t="s">
        <v>2305</v>
      </c>
      <c r="AD866" s="4">
        <v>190</v>
      </c>
      <c r="AE866" s="4">
        <v>300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>
        <v>312</v>
      </c>
      <c r="BK866" s="8">
        <v>21944.67</v>
      </c>
      <c r="BL866" s="2" t="s">
        <v>3216</v>
      </c>
      <c r="BM866" s="7"/>
      <c r="BN866" s="7"/>
      <c r="BO866" s="4"/>
      <c r="BP866" s="8"/>
      <c r="BQ866" s="4"/>
      <c r="BR866" s="8"/>
      <c r="BS866" s="7"/>
      <c r="BT866" s="7"/>
      <c r="BU866" s="2" t="s">
        <v>147</v>
      </c>
      <c r="BV866" s="2" t="s">
        <v>97</v>
      </c>
      <c r="BW866" s="2" t="s">
        <v>100</v>
      </c>
      <c r="BX866" s="2" t="s">
        <v>100</v>
      </c>
      <c r="BY866" s="2" t="s">
        <v>112</v>
      </c>
      <c r="BZ866" s="2" t="s">
        <v>100</v>
      </c>
    </row>
    <row r="867">
      <c r="A867" s="2" t="s">
        <v>3217</v>
      </c>
      <c r="B867" s="2" t="s">
        <v>87</v>
      </c>
      <c r="C867" s="2" t="s">
        <v>88</v>
      </c>
      <c r="D867" s="2" t="s">
        <v>2308</v>
      </c>
      <c r="E867" s="2" t="s">
        <v>3206</v>
      </c>
      <c r="F867" s="2" t="s">
        <v>1879</v>
      </c>
      <c r="G867" s="2" t="s">
        <v>1880</v>
      </c>
      <c r="H867" s="2" t="s">
        <v>1881</v>
      </c>
      <c r="I867" s="2" t="s">
        <v>3218</v>
      </c>
      <c r="J867" s="2" t="s">
        <v>95</v>
      </c>
      <c r="K867" s="2" t="s">
        <v>2367</v>
      </c>
      <c r="L867" s="3">
        <v>47</v>
      </c>
      <c r="M867" s="3">
        <v>49.35</v>
      </c>
      <c r="N867" s="3">
        <v>99.99</v>
      </c>
      <c r="O867" s="2" t="s">
        <v>97</v>
      </c>
      <c r="P867" s="2" t="s">
        <v>182</v>
      </c>
      <c r="Q867" s="2" t="s">
        <v>99</v>
      </c>
      <c r="R867" s="2" t="s">
        <v>100</v>
      </c>
      <c r="S867" s="2" t="s">
        <v>2480</v>
      </c>
      <c r="T867" s="2" t="s">
        <v>100</v>
      </c>
      <c r="U867" s="2" t="s">
        <v>1610</v>
      </c>
      <c r="V867" s="2" t="s">
        <v>601</v>
      </c>
      <c r="W867" s="2" t="s">
        <v>104</v>
      </c>
      <c r="X867" s="2" t="s">
        <v>759</v>
      </c>
      <c r="Y867" s="2" t="s">
        <v>3219</v>
      </c>
      <c r="Z867" s="4">
        <v>425</v>
      </c>
      <c r="AA867" s="4">
        <f>=ROUNDDOWN(14.1666666666667,0)</f>
      </c>
      <c r="AB867" s="5">
        <v>30</v>
      </c>
      <c r="AC867" s="2" t="s">
        <v>356</v>
      </c>
      <c r="AD867" s="4">
        <v>310</v>
      </c>
      <c r="AE867" s="4">
        <v>710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>
        <v>520</v>
      </c>
      <c r="BK867" s="8">
        <v>26669.08</v>
      </c>
      <c r="BL867" s="2" t="s">
        <v>3220</v>
      </c>
      <c r="BM867" s="7"/>
      <c r="BN867" s="7"/>
      <c r="BO867" s="4"/>
      <c r="BP867" s="8"/>
      <c r="BQ867" s="4"/>
      <c r="BR867" s="8"/>
      <c r="BS867" s="7"/>
      <c r="BT867" s="7"/>
      <c r="BU867" s="2" t="s">
        <v>147</v>
      </c>
      <c r="BV867" s="2" t="s">
        <v>97</v>
      </c>
      <c r="BW867" s="2" t="s">
        <v>100</v>
      </c>
      <c r="BX867" s="2" t="s">
        <v>100</v>
      </c>
      <c r="BY867" s="2" t="s">
        <v>112</v>
      </c>
      <c r="BZ867" s="2" t="s">
        <v>100</v>
      </c>
    </row>
    <row r="868">
      <c r="A868" s="2" t="s">
        <v>3221</v>
      </c>
      <c r="B868" s="2" t="s">
        <v>87</v>
      </c>
      <c r="C868" s="2" t="s">
        <v>88</v>
      </c>
      <c r="D868" s="2" t="s">
        <v>2308</v>
      </c>
      <c r="E868" s="2" t="s">
        <v>3206</v>
      </c>
      <c r="F868" s="2" t="s">
        <v>1879</v>
      </c>
      <c r="G868" s="2" t="s">
        <v>1880</v>
      </c>
      <c r="H868" s="2" t="s">
        <v>1881</v>
      </c>
      <c r="I868" s="2" t="s">
        <v>3218</v>
      </c>
      <c r="J868" s="2" t="s">
        <v>114</v>
      </c>
      <c r="K868" s="2" t="s">
        <v>2367</v>
      </c>
      <c r="L868" s="3">
        <v>57.6</v>
      </c>
      <c r="M868" s="3">
        <v>60.47</v>
      </c>
      <c r="N868" s="3">
        <v>119.99</v>
      </c>
      <c r="O868" s="2" t="s">
        <v>97</v>
      </c>
      <c r="P868" s="2" t="s">
        <v>182</v>
      </c>
      <c r="Q868" s="2" t="s">
        <v>99</v>
      </c>
      <c r="R868" s="2" t="s">
        <v>100</v>
      </c>
      <c r="S868" s="2" t="s">
        <v>2480</v>
      </c>
      <c r="T868" s="2" t="s">
        <v>100</v>
      </c>
      <c r="U868" s="2" t="s">
        <v>1610</v>
      </c>
      <c r="V868" s="2" t="s">
        <v>601</v>
      </c>
      <c r="W868" s="2" t="s">
        <v>104</v>
      </c>
      <c r="X868" s="2" t="s">
        <v>759</v>
      </c>
      <c r="Y868" s="2" t="s">
        <v>3219</v>
      </c>
      <c r="Z868" s="4">
        <v>306</v>
      </c>
      <c r="AA868" s="4">
        <f>=ROUNDDOWN(11.3333333333333,0)</f>
      </c>
      <c r="AB868" s="5">
        <v>27</v>
      </c>
      <c r="AC868" s="2" t="s">
        <v>126</v>
      </c>
      <c r="AD868" s="4">
        <v>50</v>
      </c>
      <c r="AE868" s="4">
        <v>610</v>
      </c>
      <c r="AF868" s="6">
        <v>65</v>
      </c>
      <c r="AG868" s="6">
        <v>48</v>
      </c>
      <c r="AH868" s="7">
        <v>0.9879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422</v>
      </c>
      <c r="BK868" s="8">
        <v>26715.56</v>
      </c>
      <c r="BL868" s="2" t="s">
        <v>1517</v>
      </c>
      <c r="BM868" s="7"/>
      <c r="BN868" s="7"/>
      <c r="BO868" s="4"/>
      <c r="BP868" s="8"/>
      <c r="BQ868" s="4"/>
      <c r="BR868" s="8"/>
      <c r="BS868" s="7"/>
      <c r="BT868" s="7"/>
      <c r="BU868" s="2" t="s">
        <v>147</v>
      </c>
      <c r="BV868" s="2" t="s">
        <v>97</v>
      </c>
      <c r="BW868" s="2" t="s">
        <v>100</v>
      </c>
      <c r="BX868" s="2" t="s">
        <v>100</v>
      </c>
      <c r="BY868" s="2" t="s">
        <v>112</v>
      </c>
      <c r="BZ868" s="2" t="s">
        <v>100</v>
      </c>
    </row>
    <row r="869">
      <c r="A869" s="2" t="s">
        <v>3222</v>
      </c>
      <c r="B869" s="2" t="s">
        <v>87</v>
      </c>
      <c r="C869" s="2" t="s">
        <v>88</v>
      </c>
      <c r="D869" s="2" t="s">
        <v>2308</v>
      </c>
      <c r="E869" s="2" t="s">
        <v>3206</v>
      </c>
      <c r="F869" s="2" t="s">
        <v>1879</v>
      </c>
      <c r="G869" s="2" t="s">
        <v>1880</v>
      </c>
      <c r="H869" s="2" t="s">
        <v>1881</v>
      </c>
      <c r="I869" s="2" t="s">
        <v>3218</v>
      </c>
      <c r="J869" s="2" t="s">
        <v>95</v>
      </c>
      <c r="K869" s="2" t="s">
        <v>3021</v>
      </c>
      <c r="L869" s="3">
        <v>47</v>
      </c>
      <c r="M869" s="3">
        <v>49.35</v>
      </c>
      <c r="N869" s="3">
        <v>99.99</v>
      </c>
      <c r="O869" s="2" t="s">
        <v>97</v>
      </c>
      <c r="P869" s="2" t="s">
        <v>182</v>
      </c>
      <c r="Q869" s="2" t="s">
        <v>99</v>
      </c>
      <c r="R869" s="2" t="s">
        <v>100</v>
      </c>
      <c r="S869" s="2" t="s">
        <v>2480</v>
      </c>
      <c r="T869" s="2" t="s">
        <v>100</v>
      </c>
      <c r="U869" s="2" t="s">
        <v>1610</v>
      </c>
      <c r="V869" s="2" t="s">
        <v>601</v>
      </c>
      <c r="W869" s="2" t="s">
        <v>104</v>
      </c>
      <c r="X869" s="2" t="s">
        <v>759</v>
      </c>
      <c r="Y869" s="2" t="s">
        <v>3219</v>
      </c>
      <c r="Z869" s="4">
        <v>83</v>
      </c>
      <c r="AA869" s="4">
        <f>=ROUNDDOWN(5.53333333333333,0)</f>
      </c>
      <c r="AB869" s="5">
        <v>15</v>
      </c>
      <c r="AC869" s="2" t="s">
        <v>107</v>
      </c>
      <c r="AD869" s="4">
        <v>60</v>
      </c>
      <c r="AE869" s="4">
        <v>430</v>
      </c>
      <c r="AF869" s="6">
        <v>65</v>
      </c>
      <c r="AG869" s="6">
        <v>48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261</v>
      </c>
      <c r="BK869" s="8">
        <v>13466.36</v>
      </c>
      <c r="BL869" s="2" t="s">
        <v>3223</v>
      </c>
      <c r="BM869" s="7"/>
      <c r="BN869" s="7"/>
      <c r="BO869" s="4"/>
      <c r="BP869" s="8"/>
      <c r="BQ869" s="4"/>
      <c r="BR869" s="8"/>
      <c r="BS869" s="7"/>
      <c r="BT869" s="7"/>
      <c r="BU869" s="2" t="s">
        <v>147</v>
      </c>
      <c r="BV869" s="2" t="s">
        <v>97</v>
      </c>
      <c r="BW869" s="2" t="s">
        <v>100</v>
      </c>
      <c r="BX869" s="2" t="s">
        <v>100</v>
      </c>
      <c r="BY869" s="2" t="s">
        <v>112</v>
      </c>
      <c r="BZ869" s="2" t="s">
        <v>100</v>
      </c>
    </row>
    <row r="870">
      <c r="A870" s="2" t="s">
        <v>3224</v>
      </c>
      <c r="B870" s="2" t="s">
        <v>87</v>
      </c>
      <c r="C870" s="2" t="s">
        <v>88</v>
      </c>
      <c r="D870" s="2" t="s">
        <v>2308</v>
      </c>
      <c r="E870" s="2" t="s">
        <v>3206</v>
      </c>
      <c r="F870" s="2" t="s">
        <v>1879</v>
      </c>
      <c r="G870" s="2" t="s">
        <v>1880</v>
      </c>
      <c r="H870" s="2" t="s">
        <v>1881</v>
      </c>
      <c r="I870" s="2" t="s">
        <v>3218</v>
      </c>
      <c r="J870" s="2" t="s">
        <v>114</v>
      </c>
      <c r="K870" s="2" t="s">
        <v>3021</v>
      </c>
      <c r="L870" s="3">
        <v>57.6</v>
      </c>
      <c r="M870" s="3">
        <v>60.47</v>
      </c>
      <c r="N870" s="3">
        <v>119.99</v>
      </c>
      <c r="O870" s="2" t="s">
        <v>97</v>
      </c>
      <c r="P870" s="2" t="s">
        <v>182</v>
      </c>
      <c r="Q870" s="2" t="s">
        <v>99</v>
      </c>
      <c r="R870" s="2" t="s">
        <v>100</v>
      </c>
      <c r="S870" s="2" t="s">
        <v>2480</v>
      </c>
      <c r="T870" s="2" t="s">
        <v>100</v>
      </c>
      <c r="U870" s="2" t="s">
        <v>1610</v>
      </c>
      <c r="V870" s="2" t="s">
        <v>601</v>
      </c>
      <c r="W870" s="2" t="s">
        <v>104</v>
      </c>
      <c r="X870" s="2" t="s">
        <v>759</v>
      </c>
      <c r="Y870" s="2" t="s">
        <v>3219</v>
      </c>
      <c r="Z870" s="4">
        <v>157</v>
      </c>
      <c r="AA870" s="4">
        <f>=ROUNDDOWN(13.0833333333333,0)</f>
      </c>
      <c r="AB870" s="5">
        <v>12</v>
      </c>
      <c r="AC870" s="2" t="s">
        <v>126</v>
      </c>
      <c r="AD870" s="4">
        <v>30</v>
      </c>
      <c r="AE870" s="4">
        <v>290</v>
      </c>
      <c r="AF870" s="6">
        <v>65</v>
      </c>
      <c r="AG870" s="6">
        <v>48</v>
      </c>
      <c r="AH870" s="7">
        <v>0.903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180</v>
      </c>
      <c r="BK870" s="8">
        <v>11338.93</v>
      </c>
      <c r="BL870" s="2" t="s">
        <v>2077</v>
      </c>
      <c r="BM870" s="7"/>
      <c r="BN870" s="7"/>
      <c r="BO870" s="4"/>
      <c r="BP870" s="8"/>
      <c r="BQ870" s="4"/>
      <c r="BR870" s="8"/>
      <c r="BS870" s="7"/>
      <c r="BT870" s="7"/>
      <c r="BU870" s="2" t="s">
        <v>147</v>
      </c>
      <c r="BV870" s="2" t="s">
        <v>97</v>
      </c>
      <c r="BW870" s="2" t="s">
        <v>100</v>
      </c>
      <c r="BX870" s="2" t="s">
        <v>100</v>
      </c>
      <c r="BY870" s="2" t="s">
        <v>112</v>
      </c>
      <c r="BZ870" s="2" t="s">
        <v>100</v>
      </c>
    </row>
    <row r="871">
      <c r="A871" s="2" t="s">
        <v>3225</v>
      </c>
      <c r="B871" s="2" t="s">
        <v>87</v>
      </c>
      <c r="C871" s="2" t="s">
        <v>88</v>
      </c>
      <c r="D871" s="2" t="s">
        <v>2308</v>
      </c>
      <c r="E871" s="2" t="s">
        <v>3206</v>
      </c>
      <c r="F871" s="2" t="s">
        <v>1879</v>
      </c>
      <c r="G871" s="2" t="s">
        <v>1880</v>
      </c>
      <c r="H871" s="2" t="s">
        <v>1881</v>
      </c>
      <c r="I871" s="2" t="s">
        <v>3218</v>
      </c>
      <c r="J871" s="2" t="s">
        <v>95</v>
      </c>
      <c r="K871" s="2" t="s">
        <v>1018</v>
      </c>
      <c r="L871" s="3">
        <v>47</v>
      </c>
      <c r="M871" s="3">
        <v>49.35</v>
      </c>
      <c r="N871" s="3">
        <v>99.99</v>
      </c>
      <c r="O871" s="2" t="s">
        <v>97</v>
      </c>
      <c r="P871" s="2" t="s">
        <v>182</v>
      </c>
      <c r="Q871" s="2" t="s">
        <v>99</v>
      </c>
      <c r="R871" s="2" t="s">
        <v>100</v>
      </c>
      <c r="S871" s="2" t="s">
        <v>2480</v>
      </c>
      <c r="T871" s="2" t="s">
        <v>100</v>
      </c>
      <c r="U871" s="2" t="s">
        <v>1610</v>
      </c>
      <c r="V871" s="2" t="s">
        <v>601</v>
      </c>
      <c r="W871" s="2" t="s">
        <v>104</v>
      </c>
      <c r="X871" s="2" t="s">
        <v>759</v>
      </c>
      <c r="Y871" s="2" t="s">
        <v>3219</v>
      </c>
      <c r="Z871" s="4">
        <v>120</v>
      </c>
      <c r="AA871" s="4">
        <f>=ROUNDDOWN(4.61538461538462,0)</f>
      </c>
      <c r="AB871" s="5">
        <v>26</v>
      </c>
      <c r="AC871" s="2" t="s">
        <v>659</v>
      </c>
      <c r="AD871" s="4">
        <v>80</v>
      </c>
      <c r="AE871" s="4">
        <v>700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422</v>
      </c>
      <c r="BK871" s="8">
        <v>21617.98</v>
      </c>
      <c r="BL871" s="2" t="s">
        <v>3226</v>
      </c>
      <c r="BM871" s="7"/>
      <c r="BN871" s="7"/>
      <c r="BO871" s="4"/>
      <c r="BP871" s="8"/>
      <c r="BQ871" s="4"/>
      <c r="BR871" s="8"/>
      <c r="BS871" s="7"/>
      <c r="BT871" s="7"/>
      <c r="BU871" s="2" t="s">
        <v>147</v>
      </c>
      <c r="BV871" s="2" t="s">
        <v>97</v>
      </c>
      <c r="BW871" s="2" t="s">
        <v>100</v>
      </c>
      <c r="BX871" s="2" t="s">
        <v>100</v>
      </c>
      <c r="BY871" s="2" t="s">
        <v>112</v>
      </c>
      <c r="BZ871" s="2" t="s">
        <v>100</v>
      </c>
    </row>
    <row r="872">
      <c r="A872" s="2" t="s">
        <v>3227</v>
      </c>
      <c r="B872" s="2" t="s">
        <v>87</v>
      </c>
      <c r="C872" s="2" t="s">
        <v>88</v>
      </c>
      <c r="D872" s="2" t="s">
        <v>2308</v>
      </c>
      <c r="E872" s="2" t="s">
        <v>3206</v>
      </c>
      <c r="F872" s="2" t="s">
        <v>1879</v>
      </c>
      <c r="G872" s="2" t="s">
        <v>1880</v>
      </c>
      <c r="H872" s="2" t="s">
        <v>1881</v>
      </c>
      <c r="I872" s="2" t="s">
        <v>3218</v>
      </c>
      <c r="J872" s="2" t="s">
        <v>114</v>
      </c>
      <c r="K872" s="2" t="s">
        <v>1018</v>
      </c>
      <c r="L872" s="3">
        <v>57.6</v>
      </c>
      <c r="M872" s="3">
        <v>60.47</v>
      </c>
      <c r="N872" s="3">
        <v>119.99</v>
      </c>
      <c r="O872" s="2" t="s">
        <v>97</v>
      </c>
      <c r="P872" s="2" t="s">
        <v>182</v>
      </c>
      <c r="Q872" s="2" t="s">
        <v>99</v>
      </c>
      <c r="R872" s="2" t="s">
        <v>100</v>
      </c>
      <c r="S872" s="2" t="s">
        <v>2480</v>
      </c>
      <c r="T872" s="2" t="s">
        <v>100</v>
      </c>
      <c r="U872" s="2" t="s">
        <v>1610</v>
      </c>
      <c r="V872" s="2" t="s">
        <v>601</v>
      </c>
      <c r="W872" s="2" t="s">
        <v>104</v>
      </c>
      <c r="X872" s="2" t="s">
        <v>759</v>
      </c>
      <c r="Y872" s="2" t="s">
        <v>3219</v>
      </c>
      <c r="Z872" s="4">
        <v>162</v>
      </c>
      <c r="AA872" s="4">
        <f>=ROUNDDOWN(11.5714285714286,0)</f>
      </c>
      <c r="AB872" s="5">
        <v>14</v>
      </c>
      <c r="AC872" s="2" t="s">
        <v>126</v>
      </c>
      <c r="AD872" s="4">
        <v>40</v>
      </c>
      <c r="AE872" s="4">
        <v>380</v>
      </c>
      <c r="AF872" s="6">
        <v>65</v>
      </c>
      <c r="AG872" s="6">
        <v>48</v>
      </c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278</v>
      </c>
      <c r="BK872" s="8">
        <v>17731.77</v>
      </c>
      <c r="BL872" s="2" t="s">
        <v>3228</v>
      </c>
      <c r="BM872" s="7"/>
      <c r="BN872" s="7"/>
      <c r="BO872" s="4"/>
      <c r="BP872" s="8"/>
      <c r="BQ872" s="4"/>
      <c r="BR872" s="8"/>
      <c r="BS872" s="7"/>
      <c r="BT872" s="7"/>
      <c r="BU872" s="2" t="s">
        <v>147</v>
      </c>
      <c r="BV872" s="2" t="s">
        <v>97</v>
      </c>
      <c r="BW872" s="2" t="s">
        <v>100</v>
      </c>
      <c r="BX872" s="2" t="s">
        <v>100</v>
      </c>
      <c r="BY872" s="2" t="s">
        <v>112</v>
      </c>
      <c r="BZ872" s="2" t="s">
        <v>100</v>
      </c>
    </row>
    <row r="873">
      <c r="A873" s="2" t="s">
        <v>3229</v>
      </c>
      <c r="B873" s="2" t="s">
        <v>87</v>
      </c>
      <c r="C873" s="2" t="s">
        <v>88</v>
      </c>
      <c r="D873" s="2" t="s">
        <v>2308</v>
      </c>
      <c r="E873" s="2" t="s">
        <v>3206</v>
      </c>
      <c r="F873" s="2" t="s">
        <v>1879</v>
      </c>
      <c r="G873" s="2" t="s">
        <v>1880</v>
      </c>
      <c r="H873" s="2" t="s">
        <v>1881</v>
      </c>
      <c r="I873" s="2" t="s">
        <v>3218</v>
      </c>
      <c r="J873" s="2" t="s">
        <v>95</v>
      </c>
      <c r="K873" s="2" t="s">
        <v>197</v>
      </c>
      <c r="L873" s="3">
        <v>47</v>
      </c>
      <c r="M873" s="3">
        <v>49.35</v>
      </c>
      <c r="N873" s="3">
        <v>99.99</v>
      </c>
      <c r="O873" s="2" t="s">
        <v>97</v>
      </c>
      <c r="P873" s="2" t="s">
        <v>182</v>
      </c>
      <c r="Q873" s="2" t="s">
        <v>99</v>
      </c>
      <c r="R873" s="2" t="s">
        <v>100</v>
      </c>
      <c r="S873" s="2" t="s">
        <v>2480</v>
      </c>
      <c r="T873" s="2" t="s">
        <v>100</v>
      </c>
      <c r="U873" s="2" t="s">
        <v>1610</v>
      </c>
      <c r="V873" s="2" t="s">
        <v>601</v>
      </c>
      <c r="W873" s="2" t="s">
        <v>104</v>
      </c>
      <c r="X873" s="2" t="s">
        <v>759</v>
      </c>
      <c r="Y873" s="2" t="s">
        <v>3219</v>
      </c>
      <c r="Z873" s="4">
        <v>218</v>
      </c>
      <c r="AA873" s="4">
        <f>=ROUNDDOWN(12.1111111111111,0)</f>
      </c>
      <c r="AB873" s="5">
        <v>18</v>
      </c>
      <c r="AC873" s="2" t="s">
        <v>659</v>
      </c>
      <c r="AD873" s="4">
        <v>120</v>
      </c>
      <c r="AE873" s="4">
        <v>370</v>
      </c>
      <c r="AF873" s="6">
        <v>65</v>
      </c>
      <c r="AG873" s="6">
        <v>48</v>
      </c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>
        <v>355</v>
      </c>
      <c r="BK873" s="8">
        <v>18299.09</v>
      </c>
      <c r="BL873" s="2" t="s">
        <v>3230</v>
      </c>
      <c r="BM873" s="7"/>
      <c r="BN873" s="7"/>
      <c r="BO873" s="4"/>
      <c r="BP873" s="8"/>
      <c r="BQ873" s="4"/>
      <c r="BR873" s="8"/>
      <c r="BS873" s="7"/>
      <c r="BT873" s="7"/>
      <c r="BU873" s="2" t="s">
        <v>147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100</v>
      </c>
    </row>
    <row r="874">
      <c r="A874" s="2" t="s">
        <v>3231</v>
      </c>
      <c r="B874" s="2" t="s">
        <v>87</v>
      </c>
      <c r="C874" s="2" t="s">
        <v>88</v>
      </c>
      <c r="D874" s="2" t="s">
        <v>2308</v>
      </c>
      <c r="E874" s="2" t="s">
        <v>3206</v>
      </c>
      <c r="F874" s="2" t="s">
        <v>1879</v>
      </c>
      <c r="G874" s="2" t="s">
        <v>1880</v>
      </c>
      <c r="H874" s="2" t="s">
        <v>1881</v>
      </c>
      <c r="I874" s="2" t="s">
        <v>3218</v>
      </c>
      <c r="J874" s="2" t="s">
        <v>114</v>
      </c>
      <c r="K874" s="2" t="s">
        <v>197</v>
      </c>
      <c r="L874" s="3">
        <v>57.6</v>
      </c>
      <c r="M874" s="3">
        <v>60.47</v>
      </c>
      <c r="N874" s="3">
        <v>119.99</v>
      </c>
      <c r="O874" s="2" t="s">
        <v>97</v>
      </c>
      <c r="P874" s="2" t="s">
        <v>182</v>
      </c>
      <c r="Q874" s="2" t="s">
        <v>99</v>
      </c>
      <c r="R874" s="2" t="s">
        <v>100</v>
      </c>
      <c r="S874" s="2" t="s">
        <v>2480</v>
      </c>
      <c r="T874" s="2" t="s">
        <v>100</v>
      </c>
      <c r="U874" s="2" t="s">
        <v>1610</v>
      </c>
      <c r="V874" s="2" t="s">
        <v>601</v>
      </c>
      <c r="W874" s="2" t="s">
        <v>104</v>
      </c>
      <c r="X874" s="2" t="s">
        <v>759</v>
      </c>
      <c r="Y874" s="2" t="s">
        <v>3219</v>
      </c>
      <c r="Z874" s="4">
        <v>268</v>
      </c>
      <c r="AA874" s="4">
        <f>=ROUNDDOWN(20.6153846153846,0)</f>
      </c>
      <c r="AB874" s="5">
        <v>13</v>
      </c>
      <c r="AC874" s="2" t="s">
        <v>659</v>
      </c>
      <c r="AD874" s="4">
        <v>50</v>
      </c>
      <c r="AE874" s="4">
        <v>150</v>
      </c>
      <c r="AF874" s="6">
        <v>65</v>
      </c>
      <c r="AG874" s="6">
        <v>48</v>
      </c>
      <c r="AH874" s="7">
        <v>0.9091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220</v>
      </c>
      <c r="BK874" s="8">
        <v>14090.31</v>
      </c>
      <c r="BL874" s="2" t="s">
        <v>3232</v>
      </c>
      <c r="BM874" s="7"/>
      <c r="BN874" s="7"/>
      <c r="BO874" s="4"/>
      <c r="BP874" s="8"/>
      <c r="BQ874" s="4"/>
      <c r="BR874" s="8"/>
      <c r="BS874" s="7"/>
      <c r="BT874" s="7"/>
      <c r="BU874" s="2" t="s">
        <v>147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100</v>
      </c>
    </row>
    <row r="875">
      <c r="A875" s="2" t="s">
        <v>3233</v>
      </c>
      <c r="B875" s="2" t="s">
        <v>87</v>
      </c>
      <c r="C875" s="2" t="s">
        <v>88</v>
      </c>
      <c r="D875" s="2" t="s">
        <v>3234</v>
      </c>
      <c r="E875" s="2" t="s">
        <v>3235</v>
      </c>
      <c r="F875" s="2" t="s">
        <v>801</v>
      </c>
      <c r="G875" s="2" t="s">
        <v>802</v>
      </c>
      <c r="H875" s="2" t="s">
        <v>803</v>
      </c>
      <c r="I875" s="2" t="s">
        <v>3236</v>
      </c>
      <c r="J875" s="2" t="s">
        <v>95</v>
      </c>
      <c r="K875" s="2" t="s">
        <v>267</v>
      </c>
      <c r="L875" s="3">
        <v>71.39</v>
      </c>
      <c r="M875" s="3">
        <v>74.96</v>
      </c>
      <c r="N875" s="3">
        <v>139.99</v>
      </c>
      <c r="O875" s="2" t="s">
        <v>97</v>
      </c>
      <c r="P875" s="2" t="s">
        <v>182</v>
      </c>
      <c r="Q875" s="2" t="s">
        <v>99</v>
      </c>
      <c r="R875" s="2" t="s">
        <v>100</v>
      </c>
      <c r="S875" s="2" t="s">
        <v>806</v>
      </c>
      <c r="T875" s="2" t="s">
        <v>100</v>
      </c>
      <c r="U875" s="2" t="s">
        <v>807</v>
      </c>
      <c r="V875" s="2" t="s">
        <v>103</v>
      </c>
      <c r="W875" s="2" t="s">
        <v>808</v>
      </c>
      <c r="X875" s="2" t="s">
        <v>809</v>
      </c>
      <c r="Y875" s="2" t="s">
        <v>106</v>
      </c>
      <c r="Z875" s="4">
        <v>277</v>
      </c>
      <c r="AA875" s="4">
        <f>=ROUNDDOWN(25.1818181818182,0)</f>
      </c>
      <c r="AB875" s="5">
        <v>11</v>
      </c>
      <c r="AC875" s="2" t="s">
        <v>1208</v>
      </c>
      <c r="AD875" s="4">
        <v>30</v>
      </c>
      <c r="AE875" s="4">
        <v>160</v>
      </c>
      <c r="AF875" s="6">
        <v>65</v>
      </c>
      <c r="AG875" s="6">
        <v>73</v>
      </c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>
        <v>0</v>
      </c>
      <c r="AP875" s="4">
        <v>2</v>
      </c>
      <c r="AQ875" s="8">
        <v>149.92</v>
      </c>
      <c r="AR875" s="4">
        <v>2</v>
      </c>
      <c r="AS875" s="8">
        <v>149.92</v>
      </c>
      <c r="AT875" s="7"/>
      <c r="AU875" s="7"/>
      <c r="AV875" s="4">
        <v>4</v>
      </c>
      <c r="AW875" s="8">
        <v>321.26</v>
      </c>
      <c r="AX875" s="4">
        <v>10</v>
      </c>
      <c r="AY875" s="8">
        <v>835.28</v>
      </c>
      <c r="AZ875" s="7">
        <v>-0.6</v>
      </c>
      <c r="BA875" s="7">
        <v>-0.6154</v>
      </c>
      <c r="BB875" s="7">
        <v>0.4667</v>
      </c>
      <c r="BC875" s="4">
        <v>4</v>
      </c>
      <c r="BD875" s="8">
        <v>321.26</v>
      </c>
      <c r="BE875" s="4">
        <v>10</v>
      </c>
      <c r="BF875" s="8">
        <v>835.28</v>
      </c>
      <c r="BG875" s="7">
        <v>-0.6</v>
      </c>
      <c r="BH875" s="7">
        <v>-0.6154</v>
      </c>
      <c r="BI875" s="7">
        <v>1</v>
      </c>
      <c r="BJ875" s="4">
        <v>149</v>
      </c>
      <c r="BK875" s="8">
        <v>11414.07</v>
      </c>
      <c r="BL875" s="2" t="s">
        <v>760</v>
      </c>
      <c r="BM875" s="7">
        <v>0.0134</v>
      </c>
      <c r="BN875" s="7">
        <v>0.0131</v>
      </c>
      <c r="BO875" s="4">
        <v>2</v>
      </c>
      <c r="BP875" s="8">
        <v>149.92</v>
      </c>
      <c r="BQ875" s="4">
        <v>2</v>
      </c>
      <c r="BR875" s="8">
        <v>149.92</v>
      </c>
      <c r="BS875" s="7"/>
      <c r="BT875" s="7"/>
      <c r="BU875" s="2" t="s">
        <v>109</v>
      </c>
      <c r="BV875" s="2" t="s">
        <v>97</v>
      </c>
      <c r="BW875" s="2" t="s">
        <v>606</v>
      </c>
      <c r="BX875" s="2" t="s">
        <v>2723</v>
      </c>
      <c r="BY875" s="2" t="s">
        <v>112</v>
      </c>
      <c r="BZ875" s="2" t="s">
        <v>100</v>
      </c>
    </row>
    <row r="876">
      <c r="A876" s="2" t="s">
        <v>3237</v>
      </c>
      <c r="B876" s="2" t="s">
        <v>87</v>
      </c>
      <c r="C876" s="2" t="s">
        <v>88</v>
      </c>
      <c r="D876" s="2" t="s">
        <v>3234</v>
      </c>
      <c r="E876" s="2" t="s">
        <v>3235</v>
      </c>
      <c r="F876" s="2" t="s">
        <v>801</v>
      </c>
      <c r="G876" s="2" t="s">
        <v>802</v>
      </c>
      <c r="H876" s="2" t="s">
        <v>803</v>
      </c>
      <c r="I876" s="2" t="s">
        <v>3236</v>
      </c>
      <c r="J876" s="2" t="s">
        <v>114</v>
      </c>
      <c r="K876" s="2" t="s">
        <v>267</v>
      </c>
      <c r="L876" s="3">
        <v>81.59</v>
      </c>
      <c r="M876" s="3">
        <v>85.67</v>
      </c>
      <c r="N876" s="3">
        <v>159.99</v>
      </c>
      <c r="O876" s="2" t="s">
        <v>97</v>
      </c>
      <c r="P876" s="2" t="s">
        <v>182</v>
      </c>
      <c r="Q876" s="2" t="s">
        <v>99</v>
      </c>
      <c r="R876" s="2" t="s">
        <v>100</v>
      </c>
      <c r="S876" s="2" t="s">
        <v>806</v>
      </c>
      <c r="T876" s="2" t="s">
        <v>100</v>
      </c>
      <c r="U876" s="2" t="s">
        <v>807</v>
      </c>
      <c r="V876" s="2" t="s">
        <v>103</v>
      </c>
      <c r="W876" s="2" t="s">
        <v>808</v>
      </c>
      <c r="X876" s="2" t="s">
        <v>809</v>
      </c>
      <c r="Y876" s="2" t="s">
        <v>106</v>
      </c>
      <c r="Z876" s="4">
        <v>196</v>
      </c>
      <c r="AA876" s="4">
        <f>=ROUNDDOWN(21.7777777777778,0)</f>
      </c>
      <c r="AB876" s="5">
        <v>9</v>
      </c>
      <c r="AC876" s="2" t="s">
        <v>1208</v>
      </c>
      <c r="AD876" s="4">
        <v>40</v>
      </c>
      <c r="AE876" s="4">
        <v>200</v>
      </c>
      <c r="AF876" s="6">
        <v>65</v>
      </c>
      <c r="AG876" s="6">
        <v>73</v>
      </c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>
        <v>0</v>
      </c>
      <c r="AP876" s="4">
        <v>2</v>
      </c>
      <c r="AQ876" s="8">
        <v>171.34</v>
      </c>
      <c r="AR876" s="4">
        <v>6</v>
      </c>
      <c r="AS876" s="8">
        <v>514.02</v>
      </c>
      <c r="AT876" s="7">
        <v>-0.6667</v>
      </c>
      <c r="AU876" s="7">
        <v>-0.6667</v>
      </c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>
        <v>0.5333</v>
      </c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 t="s">
        <v>100</v>
      </c>
      <c r="BJ876" s="4">
        <v>109</v>
      </c>
      <c r="BK876" s="8">
        <v>9575.62</v>
      </c>
      <c r="BL876" s="2" t="s">
        <v>3238</v>
      </c>
      <c r="BM876" s="7">
        <v>0.0183</v>
      </c>
      <c r="BN876" s="7">
        <v>0.0179</v>
      </c>
      <c r="BO876" s="4">
        <v>2</v>
      </c>
      <c r="BP876" s="8">
        <v>171.34</v>
      </c>
      <c r="BQ876" s="4">
        <v>6</v>
      </c>
      <c r="BR876" s="8">
        <v>514.02</v>
      </c>
      <c r="BS876" s="7">
        <v>-0.6667</v>
      </c>
      <c r="BT876" s="7">
        <v>-0.6667</v>
      </c>
      <c r="BU876" s="2" t="s">
        <v>109</v>
      </c>
      <c r="BV876" s="2" t="s">
        <v>97</v>
      </c>
      <c r="BW876" s="2" t="s">
        <v>606</v>
      </c>
      <c r="BX876" s="2" t="s">
        <v>3239</v>
      </c>
      <c r="BY876" s="2" t="s">
        <v>112</v>
      </c>
      <c r="BZ876" s="2" t="s">
        <v>100</v>
      </c>
    </row>
    <row r="877">
      <c r="A877" s="2" t="s">
        <v>3240</v>
      </c>
      <c r="B877" s="2" t="s">
        <v>87</v>
      </c>
      <c r="C877" s="2" t="s">
        <v>88</v>
      </c>
      <c r="D877" s="2" t="s">
        <v>3234</v>
      </c>
      <c r="E877" s="2" t="s">
        <v>3235</v>
      </c>
      <c r="F877" s="2" t="s">
        <v>801</v>
      </c>
      <c r="G877" s="2" t="s">
        <v>802</v>
      </c>
      <c r="H877" s="2" t="s">
        <v>803</v>
      </c>
      <c r="I877" s="2" t="s">
        <v>3236</v>
      </c>
      <c r="J877" s="2" t="s">
        <v>118</v>
      </c>
      <c r="K877" s="2" t="s">
        <v>267</v>
      </c>
      <c r="L877" s="3">
        <v>81.59</v>
      </c>
      <c r="M877" s="3">
        <v>85.67</v>
      </c>
      <c r="N877" s="3">
        <v>159.99</v>
      </c>
      <c r="O877" s="2" t="s">
        <v>97</v>
      </c>
      <c r="P877" s="2" t="s">
        <v>182</v>
      </c>
      <c r="Q877" s="2" t="s">
        <v>99</v>
      </c>
      <c r="R877" s="2" t="s">
        <v>100</v>
      </c>
      <c r="S877" s="2" t="s">
        <v>806</v>
      </c>
      <c r="T877" s="2" t="s">
        <v>100</v>
      </c>
      <c r="U877" s="2" t="s">
        <v>807</v>
      </c>
      <c r="V877" s="2" t="s">
        <v>103</v>
      </c>
      <c r="W877" s="2" t="s">
        <v>808</v>
      </c>
      <c r="X877" s="2" t="s">
        <v>809</v>
      </c>
      <c r="Y877" s="2" t="s">
        <v>106</v>
      </c>
      <c r="Z877" s="4">
        <v>145</v>
      </c>
      <c r="AA877" s="4">
        <f>=ROUNDDOWN(48.3333333333333,0)</f>
      </c>
      <c r="AB877" s="5">
        <v>3</v>
      </c>
      <c r="AC877" s="2" t="s">
        <v>1248</v>
      </c>
      <c r="AD877" s="4">
        <v>30</v>
      </c>
      <c r="AE877" s="4">
        <v>30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>
        <v>0</v>
      </c>
      <c r="AP877" s="4"/>
      <c r="AQ877" s="8"/>
      <c r="AR877" s="4">
        <v>2</v>
      </c>
      <c r="AS877" s="8">
        <v>171.34</v>
      </c>
      <c r="AT877" s="7">
        <v>-1</v>
      </c>
      <c r="AU877" s="7">
        <v>-1</v>
      </c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 t="s">
        <v>100</v>
      </c>
      <c r="BJ877" s="4">
        <v>49</v>
      </c>
      <c r="BK877" s="8">
        <v>4251.9</v>
      </c>
      <c r="BL877" s="2" t="s">
        <v>3241</v>
      </c>
      <c r="BM877" s="7"/>
      <c r="BN877" s="7"/>
      <c r="BO877" s="4"/>
      <c r="BP877" s="8"/>
      <c r="BQ877" s="4">
        <v>2</v>
      </c>
      <c r="BR877" s="8">
        <v>171.34</v>
      </c>
      <c r="BS877" s="7">
        <v>-1</v>
      </c>
      <c r="BT877" s="7">
        <v>-1</v>
      </c>
      <c r="BU877" s="2" t="s">
        <v>109</v>
      </c>
      <c r="BV877" s="2" t="s">
        <v>97</v>
      </c>
      <c r="BW877" s="2" t="s">
        <v>606</v>
      </c>
      <c r="BX877" s="2" t="s">
        <v>3242</v>
      </c>
      <c r="BY877" s="2" t="s">
        <v>112</v>
      </c>
      <c r="BZ877" s="2" t="s">
        <v>100</v>
      </c>
    </row>
    <row r="878">
      <c r="A878" s="2" t="s">
        <v>3243</v>
      </c>
      <c r="B878" s="2" t="s">
        <v>87</v>
      </c>
      <c r="C878" s="2" t="s">
        <v>88</v>
      </c>
      <c r="D878" s="2" t="s">
        <v>3234</v>
      </c>
      <c r="E878" s="2" t="s">
        <v>3235</v>
      </c>
      <c r="F878" s="2" t="s">
        <v>801</v>
      </c>
      <c r="G878" s="2" t="s">
        <v>802</v>
      </c>
      <c r="H878" s="2" t="s">
        <v>803</v>
      </c>
      <c r="I878" s="2" t="s">
        <v>3236</v>
      </c>
      <c r="J878" s="2" t="s">
        <v>95</v>
      </c>
      <c r="K878" s="2" t="s">
        <v>247</v>
      </c>
      <c r="L878" s="3">
        <v>65.6</v>
      </c>
      <c r="M878" s="3">
        <v>68.88</v>
      </c>
      <c r="N878" s="3">
        <v>129.99</v>
      </c>
      <c r="O878" s="2" t="s">
        <v>1148</v>
      </c>
      <c r="P878" s="2" t="s">
        <v>198</v>
      </c>
      <c r="Q878" s="2" t="s">
        <v>99</v>
      </c>
      <c r="R878" s="2" t="s">
        <v>100</v>
      </c>
      <c r="S878" s="2" t="s">
        <v>826</v>
      </c>
      <c r="T878" s="2" t="s">
        <v>100</v>
      </c>
      <c r="U878" s="2" t="s">
        <v>807</v>
      </c>
      <c r="V878" s="2" t="s">
        <v>3244</v>
      </c>
      <c r="W878" s="2" t="s">
        <v>808</v>
      </c>
      <c r="X878" s="2" t="s">
        <v>809</v>
      </c>
      <c r="Y878" s="2" t="s">
        <v>106</v>
      </c>
      <c r="Z878" s="4"/>
      <c r="AA878" s="4">
        <f>=ROUNDDOWN({0},0)</f>
      </c>
      <c r="AB878" s="5"/>
      <c r="AC878" s="2" t="s">
        <v>100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 t="s">
        <v>100</v>
      </c>
      <c r="BJ878" s="4"/>
      <c r="BK878" s="8"/>
      <c r="BL878" s="2" t="s">
        <v>100</v>
      </c>
      <c r="BM878" s="7"/>
      <c r="BN878" s="7"/>
      <c r="BO878" s="4"/>
      <c r="BP878" s="8"/>
      <c r="BQ878" s="4"/>
      <c r="BR878" s="8"/>
      <c r="BS878" s="7"/>
      <c r="BT878" s="7"/>
      <c r="BU878" s="2" t="s">
        <v>147</v>
      </c>
      <c r="BV878" s="2" t="s">
        <v>97</v>
      </c>
      <c r="BW878" s="2" t="s">
        <v>100</v>
      </c>
      <c r="BX878" s="2" t="s">
        <v>100</v>
      </c>
      <c r="BY878" s="2" t="s">
        <v>112</v>
      </c>
      <c r="BZ878" s="2" t="s">
        <v>100</v>
      </c>
    </row>
    <row r="879">
      <c r="A879" s="2" t="s">
        <v>3245</v>
      </c>
      <c r="B879" s="2" t="s">
        <v>87</v>
      </c>
      <c r="C879" s="2" t="s">
        <v>88</v>
      </c>
      <c r="D879" s="2" t="s">
        <v>3234</v>
      </c>
      <c r="E879" s="2" t="s">
        <v>3235</v>
      </c>
      <c r="F879" s="2" t="s">
        <v>801</v>
      </c>
      <c r="G879" s="2" t="s">
        <v>802</v>
      </c>
      <c r="H879" s="2" t="s">
        <v>803</v>
      </c>
      <c r="I879" s="2" t="s">
        <v>3236</v>
      </c>
      <c r="J879" s="2" t="s">
        <v>114</v>
      </c>
      <c r="K879" s="2" t="s">
        <v>247</v>
      </c>
      <c r="L879" s="3">
        <v>75.6</v>
      </c>
      <c r="M879" s="3">
        <v>79.38</v>
      </c>
      <c r="N879" s="3">
        <v>149.99</v>
      </c>
      <c r="O879" s="2" t="s">
        <v>1148</v>
      </c>
      <c r="P879" s="2" t="s">
        <v>198</v>
      </c>
      <c r="Q879" s="2" t="s">
        <v>99</v>
      </c>
      <c r="R879" s="2" t="s">
        <v>100</v>
      </c>
      <c r="S879" s="2" t="s">
        <v>826</v>
      </c>
      <c r="T879" s="2" t="s">
        <v>100</v>
      </c>
      <c r="U879" s="2" t="s">
        <v>807</v>
      </c>
      <c r="V879" s="2" t="s">
        <v>3244</v>
      </c>
      <c r="W879" s="2" t="s">
        <v>808</v>
      </c>
      <c r="X879" s="2" t="s">
        <v>809</v>
      </c>
      <c r="Y879" s="2" t="s">
        <v>106</v>
      </c>
      <c r="Z879" s="4"/>
      <c r="AA879" s="4">
        <f>=ROUNDDOWN({0},0)</f>
      </c>
      <c r="AB879" s="5"/>
      <c r="AC879" s="2" t="s">
        <v>100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 t="s">
        <v>100</v>
      </c>
      <c r="BJ879" s="4"/>
      <c r="BK879" s="8"/>
      <c r="BL879" s="2" t="s">
        <v>100</v>
      </c>
      <c r="BM879" s="7"/>
      <c r="BN879" s="7"/>
      <c r="BO879" s="4"/>
      <c r="BP879" s="8"/>
      <c r="BQ879" s="4"/>
      <c r="BR879" s="8"/>
      <c r="BS879" s="7"/>
      <c r="BT879" s="7"/>
      <c r="BU879" s="2" t="s">
        <v>147</v>
      </c>
      <c r="BV879" s="2" t="s">
        <v>97</v>
      </c>
      <c r="BW879" s="2" t="s">
        <v>100</v>
      </c>
      <c r="BX879" s="2" t="s">
        <v>100</v>
      </c>
      <c r="BY879" s="2" t="s">
        <v>112</v>
      </c>
      <c r="BZ879" s="2" t="s">
        <v>100</v>
      </c>
    </row>
    <row r="880">
      <c r="A880" s="2" t="s">
        <v>3246</v>
      </c>
      <c r="B880" s="2" t="s">
        <v>87</v>
      </c>
      <c r="C880" s="2" t="s">
        <v>88</v>
      </c>
      <c r="D880" s="2" t="s">
        <v>3234</v>
      </c>
      <c r="E880" s="2" t="s">
        <v>3235</v>
      </c>
      <c r="F880" s="2" t="s">
        <v>801</v>
      </c>
      <c r="G880" s="2" t="s">
        <v>802</v>
      </c>
      <c r="H880" s="2" t="s">
        <v>803</v>
      </c>
      <c r="I880" s="2" t="s">
        <v>3236</v>
      </c>
      <c r="J880" s="2" t="s">
        <v>118</v>
      </c>
      <c r="K880" s="2" t="s">
        <v>247</v>
      </c>
      <c r="L880" s="3">
        <v>75.6</v>
      </c>
      <c r="M880" s="3">
        <v>79.38</v>
      </c>
      <c r="N880" s="3">
        <v>149.99</v>
      </c>
      <c r="O880" s="2" t="s">
        <v>550</v>
      </c>
      <c r="P880" s="2" t="s">
        <v>198</v>
      </c>
      <c r="Q880" s="2" t="s">
        <v>99</v>
      </c>
      <c r="R880" s="2" t="s">
        <v>100</v>
      </c>
      <c r="S880" s="2" t="s">
        <v>826</v>
      </c>
      <c r="T880" s="2" t="s">
        <v>100</v>
      </c>
      <c r="U880" s="2" t="s">
        <v>807</v>
      </c>
      <c r="V880" s="2" t="s">
        <v>3244</v>
      </c>
      <c r="W880" s="2" t="s">
        <v>808</v>
      </c>
      <c r="X880" s="2" t="s">
        <v>809</v>
      </c>
      <c r="Y880" s="2" t="s">
        <v>106</v>
      </c>
      <c r="Z880" s="4"/>
      <c r="AA880" s="4">
        <f>=ROUNDDOWN({0},0)</f>
      </c>
      <c r="AB880" s="5"/>
      <c r="AC880" s="2" t="s">
        <v>100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 t="s">
        <v>100</v>
      </c>
      <c r="BJ880" s="4"/>
      <c r="BK880" s="8"/>
      <c r="BL880" s="2" t="s">
        <v>100</v>
      </c>
      <c r="BM880" s="7"/>
      <c r="BN880" s="7"/>
      <c r="BO880" s="4"/>
      <c r="BP880" s="8"/>
      <c r="BQ880" s="4"/>
      <c r="BR880" s="8"/>
      <c r="BS880" s="7"/>
      <c r="BT880" s="7"/>
      <c r="BU880" s="2" t="s">
        <v>147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3247</v>
      </c>
      <c r="B881" s="2" t="s">
        <v>87</v>
      </c>
      <c r="C881" s="2" t="s">
        <v>88</v>
      </c>
      <c r="D881" s="2" t="s">
        <v>3234</v>
      </c>
      <c r="E881" s="2" t="s">
        <v>3235</v>
      </c>
      <c r="F881" s="2" t="s">
        <v>3248</v>
      </c>
      <c r="G881" s="2" t="s">
        <v>1606</v>
      </c>
      <c r="H881" s="2" t="s">
        <v>3249</v>
      </c>
      <c r="I881" s="2" t="s">
        <v>3250</v>
      </c>
      <c r="J881" s="2" t="s">
        <v>844</v>
      </c>
      <c r="K881" s="2" t="s">
        <v>666</v>
      </c>
      <c r="L881" s="3">
        <v>57.02</v>
      </c>
      <c r="M881" s="3">
        <v>59.87</v>
      </c>
      <c r="N881" s="3">
        <v>119.99</v>
      </c>
      <c r="O881" s="2" t="s">
        <v>97</v>
      </c>
      <c r="P881" s="2" t="s">
        <v>198</v>
      </c>
      <c r="Q881" s="2" t="s">
        <v>99</v>
      </c>
      <c r="R881" s="2" t="s">
        <v>100</v>
      </c>
      <c r="S881" s="2" t="s">
        <v>3251</v>
      </c>
      <c r="T881" s="2" t="s">
        <v>100</v>
      </c>
      <c r="U881" s="2" t="s">
        <v>1482</v>
      </c>
      <c r="V881" s="2" t="s">
        <v>601</v>
      </c>
      <c r="W881" s="2" t="s">
        <v>759</v>
      </c>
      <c r="X881" s="2" t="s">
        <v>603</v>
      </c>
      <c r="Y881" s="2" t="s">
        <v>1604</v>
      </c>
      <c r="Z881" s="4">
        <v>322</v>
      </c>
      <c r="AA881" s="4">
        <f>=ROUNDDOWN(35,0)</f>
      </c>
      <c r="AB881" s="5">
        <v>9.2</v>
      </c>
      <c r="AC881" s="2" t="s">
        <v>2403</v>
      </c>
      <c r="AD881" s="4">
        <v>170</v>
      </c>
      <c r="AE881" s="4">
        <v>170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>
        <v>0</v>
      </c>
      <c r="AP881" s="4">
        <v>2</v>
      </c>
      <c r="AQ881" s="8">
        <v>119.74</v>
      </c>
      <c r="AR881" s="4">
        <v>1</v>
      </c>
      <c r="AS881" s="8">
        <v>59.87</v>
      </c>
      <c r="AT881" s="7">
        <v>1</v>
      </c>
      <c r="AU881" s="7">
        <v>1</v>
      </c>
      <c r="AV881" s="4">
        <v>4</v>
      </c>
      <c r="AW881" s="8">
        <v>264.2</v>
      </c>
      <c r="AX881" s="4">
        <v>4</v>
      </c>
      <c r="AY881" s="8">
        <v>276.56</v>
      </c>
      <c r="AZ881" s="7" t="s">
        <v>100</v>
      </c>
      <c r="BA881" s="7">
        <v>-0.0447</v>
      </c>
      <c r="BB881" s="7">
        <v>0.4532</v>
      </c>
      <c r="BC881" s="4">
        <v>4</v>
      </c>
      <c r="BD881" s="8">
        <v>264.2</v>
      </c>
      <c r="BE881" s="4">
        <v>4</v>
      </c>
      <c r="BF881" s="8">
        <v>276.56</v>
      </c>
      <c r="BG881" s="7" t="s">
        <v>100</v>
      </c>
      <c r="BH881" s="7">
        <v>-0.0447</v>
      </c>
      <c r="BI881" s="7">
        <v>1</v>
      </c>
      <c r="BJ881" s="4">
        <v>177</v>
      </c>
      <c r="BK881" s="8">
        <v>10126.69</v>
      </c>
      <c r="BL881" s="2" t="s">
        <v>3252</v>
      </c>
      <c r="BM881" s="7">
        <v>0.0113</v>
      </c>
      <c r="BN881" s="7">
        <v>0.0118</v>
      </c>
      <c r="BO881" s="4">
        <v>2</v>
      </c>
      <c r="BP881" s="8">
        <v>119.74</v>
      </c>
      <c r="BQ881" s="4">
        <v>1</v>
      </c>
      <c r="BR881" s="8">
        <v>59.87</v>
      </c>
      <c r="BS881" s="7">
        <v>1</v>
      </c>
      <c r="BT881" s="7">
        <v>1</v>
      </c>
      <c r="BU881" s="2" t="s">
        <v>109</v>
      </c>
      <c r="BV881" s="2" t="s">
        <v>97</v>
      </c>
      <c r="BW881" s="2" t="s">
        <v>606</v>
      </c>
      <c r="BX881" s="2" t="s">
        <v>3253</v>
      </c>
      <c r="BY881" s="2" t="s">
        <v>112</v>
      </c>
      <c r="BZ881" s="2" t="s">
        <v>100</v>
      </c>
    </row>
    <row r="882">
      <c r="A882" s="2" t="s">
        <v>3254</v>
      </c>
      <c r="B882" s="2" t="s">
        <v>87</v>
      </c>
      <c r="C882" s="2" t="s">
        <v>88</v>
      </c>
      <c r="D882" s="2" t="s">
        <v>3234</v>
      </c>
      <c r="E882" s="2" t="s">
        <v>3235</v>
      </c>
      <c r="F882" s="2" t="s">
        <v>3248</v>
      </c>
      <c r="G882" s="2" t="s">
        <v>1606</v>
      </c>
      <c r="H882" s="2" t="s">
        <v>3249</v>
      </c>
      <c r="I882" s="2" t="s">
        <v>3250</v>
      </c>
      <c r="J882" s="2" t="s">
        <v>850</v>
      </c>
      <c r="K882" s="2" t="s">
        <v>666</v>
      </c>
      <c r="L882" s="3">
        <v>68.79</v>
      </c>
      <c r="M882" s="3">
        <v>72.23</v>
      </c>
      <c r="N882" s="3">
        <v>139.99</v>
      </c>
      <c r="O882" s="2" t="s">
        <v>97</v>
      </c>
      <c r="P882" s="2" t="s">
        <v>198</v>
      </c>
      <c r="Q882" s="2" t="s">
        <v>99</v>
      </c>
      <c r="R882" s="2" t="s">
        <v>100</v>
      </c>
      <c r="S882" s="2" t="s">
        <v>3251</v>
      </c>
      <c r="T882" s="2" t="s">
        <v>100</v>
      </c>
      <c r="U882" s="2" t="s">
        <v>1482</v>
      </c>
      <c r="V882" s="2" t="s">
        <v>601</v>
      </c>
      <c r="W882" s="2" t="s">
        <v>759</v>
      </c>
      <c r="X882" s="2" t="s">
        <v>603</v>
      </c>
      <c r="Y882" s="2" t="s">
        <v>1604</v>
      </c>
      <c r="Z882" s="4">
        <v>400</v>
      </c>
      <c r="AA882" s="4">
        <f>=ROUNDDOWN(50,0)</f>
      </c>
      <c r="AB882" s="5">
        <v>8</v>
      </c>
      <c r="AC882" s="2" t="s">
        <v>2403</v>
      </c>
      <c r="AD882" s="4">
        <v>200</v>
      </c>
      <c r="AE882" s="4">
        <v>200</v>
      </c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>
        <v>0</v>
      </c>
      <c r="AP882" s="4">
        <v>2</v>
      </c>
      <c r="AQ882" s="8">
        <v>144.46</v>
      </c>
      <c r="AR882" s="4">
        <v>3</v>
      </c>
      <c r="AS882" s="8">
        <v>216.69</v>
      </c>
      <c r="AT882" s="7">
        <v>-0.3333</v>
      </c>
      <c r="AU882" s="7">
        <v>-0.3333</v>
      </c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>
        <v>0.5468</v>
      </c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 t="s">
        <v>100</v>
      </c>
      <c r="BJ882" s="4">
        <v>178</v>
      </c>
      <c r="BK882" s="8">
        <v>12026.62</v>
      </c>
      <c r="BL882" s="2" t="s">
        <v>3255</v>
      </c>
      <c r="BM882" s="7">
        <v>0.0112</v>
      </c>
      <c r="BN882" s="7">
        <v>0.012</v>
      </c>
      <c r="BO882" s="4">
        <v>2</v>
      </c>
      <c r="BP882" s="8">
        <v>144.46</v>
      </c>
      <c r="BQ882" s="4">
        <v>3</v>
      </c>
      <c r="BR882" s="8">
        <v>216.69</v>
      </c>
      <c r="BS882" s="7">
        <v>-0.3333</v>
      </c>
      <c r="BT882" s="7">
        <v>-0.3333</v>
      </c>
      <c r="BU882" s="2" t="s">
        <v>109</v>
      </c>
      <c r="BV882" s="2" t="s">
        <v>97</v>
      </c>
      <c r="BW882" s="2" t="s">
        <v>606</v>
      </c>
      <c r="BX882" s="2" t="s">
        <v>3256</v>
      </c>
      <c r="BY882" s="2" t="s">
        <v>112</v>
      </c>
      <c r="BZ882" s="2" t="s">
        <v>100</v>
      </c>
    </row>
    <row r="883">
      <c r="A883" s="2" t="s">
        <v>3257</v>
      </c>
      <c r="B883" s="2" t="s">
        <v>87</v>
      </c>
      <c r="C883" s="2" t="s">
        <v>88</v>
      </c>
      <c r="D883" s="2" t="s">
        <v>3234</v>
      </c>
      <c r="E883" s="2" t="s">
        <v>3235</v>
      </c>
      <c r="F883" s="2" t="s">
        <v>867</v>
      </c>
      <c r="G883" s="2" t="s">
        <v>868</v>
      </c>
      <c r="H883" s="2" t="s">
        <v>869</v>
      </c>
      <c r="I883" s="2" t="s">
        <v>3258</v>
      </c>
      <c r="J883" s="2" t="s">
        <v>844</v>
      </c>
      <c r="K883" s="2" t="s">
        <v>871</v>
      </c>
      <c r="L883" s="3">
        <v>48.5</v>
      </c>
      <c r="M883" s="3">
        <v>50.92</v>
      </c>
      <c r="N883" s="3">
        <v>99.99</v>
      </c>
      <c r="O883" s="2" t="s">
        <v>97</v>
      </c>
      <c r="P883" s="2" t="s">
        <v>182</v>
      </c>
      <c r="Q883" s="2" t="s">
        <v>99</v>
      </c>
      <c r="R883" s="2" t="s">
        <v>100</v>
      </c>
      <c r="S883" s="2" t="s">
        <v>872</v>
      </c>
      <c r="T883" s="2" t="s">
        <v>100</v>
      </c>
      <c r="U883" s="2" t="s">
        <v>490</v>
      </c>
      <c r="V883" s="2" t="s">
        <v>404</v>
      </c>
      <c r="W883" s="2" t="s">
        <v>104</v>
      </c>
      <c r="X883" s="2" t="s">
        <v>105</v>
      </c>
      <c r="Y883" s="2" t="s">
        <v>106</v>
      </c>
      <c r="Z883" s="4">
        <v>264</v>
      </c>
      <c r="AA883" s="4">
        <f>=ROUNDDOWN(33,0)</f>
      </c>
      <c r="AB883" s="5">
        <v>8</v>
      </c>
      <c r="AC883" s="2" t="s">
        <v>746</v>
      </c>
      <c r="AD883" s="4">
        <v>30</v>
      </c>
      <c r="AE883" s="4">
        <v>168</v>
      </c>
      <c r="AF883" s="6">
        <v>65</v>
      </c>
      <c r="AG883" s="6">
        <v>73</v>
      </c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>
        <v>0</v>
      </c>
      <c r="AP883" s="4">
        <v>1</v>
      </c>
      <c r="AQ883" s="8">
        <v>50.93</v>
      </c>
      <c r="AR883" s="4">
        <v>4</v>
      </c>
      <c r="AS883" s="8">
        <v>215.06</v>
      </c>
      <c r="AT883" s="7">
        <v>-0.75</v>
      </c>
      <c r="AU883" s="7">
        <v>-0.7632</v>
      </c>
      <c r="AV883" s="4">
        <v>1</v>
      </c>
      <c r="AW883" s="8">
        <v>50.93</v>
      </c>
      <c r="AX883" s="4">
        <v>6</v>
      </c>
      <c r="AY883" s="8">
        <v>338.54</v>
      </c>
      <c r="AZ883" s="7">
        <v>-0.8333</v>
      </c>
      <c r="BA883" s="7">
        <v>-0.8496</v>
      </c>
      <c r="BB883" s="7">
        <v>1</v>
      </c>
      <c r="BC883" s="4">
        <v>1</v>
      </c>
      <c r="BD883" s="8">
        <v>50.93</v>
      </c>
      <c r="BE883" s="4">
        <v>6</v>
      </c>
      <c r="BF883" s="8">
        <v>338.54</v>
      </c>
      <c r="BG883" s="7">
        <v>-0.8333</v>
      </c>
      <c r="BH883" s="7">
        <v>-0.8496</v>
      </c>
      <c r="BI883" s="7">
        <v>1</v>
      </c>
      <c r="BJ883" s="4">
        <v>101</v>
      </c>
      <c r="BK883" s="8">
        <v>5608.8</v>
      </c>
      <c r="BL883" s="2" t="s">
        <v>3259</v>
      </c>
      <c r="BM883" s="7">
        <v>0.0099</v>
      </c>
      <c r="BN883" s="7">
        <v>0.0091</v>
      </c>
      <c r="BO883" s="4">
        <v>1</v>
      </c>
      <c r="BP883" s="8">
        <v>50.93</v>
      </c>
      <c r="BQ883" s="4">
        <v>4</v>
      </c>
      <c r="BR883" s="8">
        <v>215.06</v>
      </c>
      <c r="BS883" s="7">
        <v>-0.75</v>
      </c>
      <c r="BT883" s="7">
        <v>-0.7632</v>
      </c>
      <c r="BU883" s="2" t="s">
        <v>109</v>
      </c>
      <c r="BV883" s="2" t="s">
        <v>97</v>
      </c>
      <c r="BW883" s="2" t="s">
        <v>606</v>
      </c>
      <c r="BX883" s="2" t="s">
        <v>2723</v>
      </c>
      <c r="BY883" s="2" t="s">
        <v>112</v>
      </c>
      <c r="BZ883" s="2" t="s">
        <v>100</v>
      </c>
    </row>
    <row r="884">
      <c r="A884" s="2" t="s">
        <v>3260</v>
      </c>
      <c r="B884" s="2" t="s">
        <v>87</v>
      </c>
      <c r="C884" s="2" t="s">
        <v>88</v>
      </c>
      <c r="D884" s="2" t="s">
        <v>3234</v>
      </c>
      <c r="E884" s="2" t="s">
        <v>3235</v>
      </c>
      <c r="F884" s="2" t="s">
        <v>867</v>
      </c>
      <c r="G884" s="2" t="s">
        <v>868</v>
      </c>
      <c r="H884" s="2" t="s">
        <v>869</v>
      </c>
      <c r="I884" s="2" t="s">
        <v>3258</v>
      </c>
      <c r="J884" s="2" t="s">
        <v>850</v>
      </c>
      <c r="K884" s="2" t="s">
        <v>871</v>
      </c>
      <c r="L884" s="3">
        <v>52.91</v>
      </c>
      <c r="M884" s="3">
        <v>55.56</v>
      </c>
      <c r="N884" s="3">
        <v>109.99</v>
      </c>
      <c r="O884" s="2" t="s">
        <v>97</v>
      </c>
      <c r="P884" s="2" t="s">
        <v>182</v>
      </c>
      <c r="Q884" s="2" t="s">
        <v>99</v>
      </c>
      <c r="R884" s="2" t="s">
        <v>100</v>
      </c>
      <c r="S884" s="2" t="s">
        <v>872</v>
      </c>
      <c r="T884" s="2" t="s">
        <v>100</v>
      </c>
      <c r="U884" s="2" t="s">
        <v>490</v>
      </c>
      <c r="V884" s="2" t="s">
        <v>404</v>
      </c>
      <c r="W884" s="2" t="s">
        <v>104</v>
      </c>
      <c r="X884" s="2" t="s">
        <v>105</v>
      </c>
      <c r="Y884" s="2" t="s">
        <v>3261</v>
      </c>
      <c r="Z884" s="4">
        <v>392</v>
      </c>
      <c r="AA884" s="4">
        <f>=ROUNDDOWN(32.6666666666667,0)</f>
      </c>
      <c r="AB884" s="5">
        <v>12</v>
      </c>
      <c r="AC884" s="2" t="s">
        <v>512</v>
      </c>
      <c r="AD884" s="4">
        <v>30</v>
      </c>
      <c r="AE884" s="4">
        <v>50</v>
      </c>
      <c r="AF884" s="6">
        <v>65</v>
      </c>
      <c r="AG884" s="6">
        <v>73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>
        <v>0</v>
      </c>
      <c r="AP884" s="4"/>
      <c r="AQ884" s="8"/>
      <c r="AR884" s="4">
        <v>2</v>
      </c>
      <c r="AS884" s="8">
        <v>123.48</v>
      </c>
      <c r="AT884" s="7">
        <v>-1</v>
      </c>
      <c r="AU884" s="7">
        <v>-1</v>
      </c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 t="s">
        <v>100</v>
      </c>
      <c r="BJ884" s="4">
        <v>178</v>
      </c>
      <c r="BK884" s="8">
        <v>10673.75</v>
      </c>
      <c r="BL884" s="2" t="s">
        <v>3262</v>
      </c>
      <c r="BM884" s="7"/>
      <c r="BN884" s="7"/>
      <c r="BO884" s="4"/>
      <c r="BP884" s="8"/>
      <c r="BQ884" s="4">
        <v>2</v>
      </c>
      <c r="BR884" s="8">
        <v>123.48</v>
      </c>
      <c r="BS884" s="7">
        <v>-1</v>
      </c>
      <c r="BT884" s="7">
        <v>-1</v>
      </c>
      <c r="BU884" s="2" t="s">
        <v>109</v>
      </c>
      <c r="BV884" s="2" t="s">
        <v>97</v>
      </c>
      <c r="BW884" s="2" t="s">
        <v>606</v>
      </c>
      <c r="BX884" s="2" t="s">
        <v>3263</v>
      </c>
      <c r="BY884" s="2" t="s">
        <v>112</v>
      </c>
      <c r="BZ884" s="2" t="s">
        <v>100</v>
      </c>
    </row>
    <row r="885">
      <c r="A885" s="2" t="s">
        <v>3264</v>
      </c>
      <c r="B885" s="2" t="s">
        <v>87</v>
      </c>
      <c r="C885" s="2" t="s">
        <v>88</v>
      </c>
      <c r="D885" s="2" t="s">
        <v>3234</v>
      </c>
      <c r="E885" s="2" t="s">
        <v>3235</v>
      </c>
      <c r="F885" s="2" t="s">
        <v>867</v>
      </c>
      <c r="G885" s="2" t="s">
        <v>868</v>
      </c>
      <c r="H885" s="2" t="s">
        <v>869</v>
      </c>
      <c r="I885" s="2" t="s">
        <v>3258</v>
      </c>
      <c r="J885" s="2" t="s">
        <v>844</v>
      </c>
      <c r="K885" s="2" t="s">
        <v>142</v>
      </c>
      <c r="L885" s="3">
        <v>48.5</v>
      </c>
      <c r="M885" s="3">
        <v>50.92</v>
      </c>
      <c r="N885" s="3">
        <v>99.99</v>
      </c>
      <c r="O885" s="2" t="s">
        <v>97</v>
      </c>
      <c r="P885" s="2" t="s">
        <v>182</v>
      </c>
      <c r="Q885" s="2" t="s">
        <v>99</v>
      </c>
      <c r="R885" s="2" t="s">
        <v>100</v>
      </c>
      <c r="S885" s="2" t="s">
        <v>3265</v>
      </c>
      <c r="T885" s="2" t="s">
        <v>732</v>
      </c>
      <c r="U885" s="2" t="s">
        <v>490</v>
      </c>
      <c r="V885" s="2" t="s">
        <v>404</v>
      </c>
      <c r="W885" s="2" t="s">
        <v>104</v>
      </c>
      <c r="X885" s="2" t="s">
        <v>380</v>
      </c>
      <c r="Y885" s="2" t="s">
        <v>1056</v>
      </c>
      <c r="Z885" s="4">
        <v>143</v>
      </c>
      <c r="AA885" s="4">
        <f>=ROUNDDOWN(47.6666666666667,0)</f>
      </c>
      <c r="AB885" s="5">
        <v>3</v>
      </c>
      <c r="AC885" s="2" t="s">
        <v>100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 t="s">
        <v>100</v>
      </c>
      <c r="BJ885" s="4">
        <v>30</v>
      </c>
      <c r="BK885" s="8">
        <v>1664.72</v>
      </c>
      <c r="BL885" s="2" t="s">
        <v>3266</v>
      </c>
      <c r="BM885" s="7"/>
      <c r="BN885" s="7"/>
      <c r="BO885" s="4"/>
      <c r="BP885" s="8"/>
      <c r="BQ885" s="4"/>
      <c r="BR885" s="8"/>
      <c r="BS885" s="7"/>
      <c r="BT885" s="7"/>
      <c r="BU885" s="2" t="s">
        <v>147</v>
      </c>
      <c r="BV885" s="2" t="s">
        <v>97</v>
      </c>
      <c r="BW885" s="2" t="s">
        <v>100</v>
      </c>
      <c r="BX885" s="2" t="s">
        <v>100</v>
      </c>
      <c r="BY885" s="2" t="s">
        <v>112</v>
      </c>
      <c r="BZ885" s="2" t="s">
        <v>100</v>
      </c>
    </row>
    <row r="886">
      <c r="A886" s="2" t="s">
        <v>3267</v>
      </c>
      <c r="B886" s="2" t="s">
        <v>87</v>
      </c>
      <c r="C886" s="2" t="s">
        <v>88</v>
      </c>
      <c r="D886" s="2" t="s">
        <v>3234</v>
      </c>
      <c r="E886" s="2" t="s">
        <v>3235</v>
      </c>
      <c r="F886" s="2" t="s">
        <v>867</v>
      </c>
      <c r="G886" s="2" t="s">
        <v>868</v>
      </c>
      <c r="H886" s="2" t="s">
        <v>869</v>
      </c>
      <c r="I886" s="2" t="s">
        <v>3258</v>
      </c>
      <c r="J886" s="2" t="s">
        <v>850</v>
      </c>
      <c r="K886" s="2" t="s">
        <v>142</v>
      </c>
      <c r="L886" s="3">
        <v>52.91</v>
      </c>
      <c r="M886" s="3">
        <v>55.56</v>
      </c>
      <c r="N886" s="3">
        <v>109.99</v>
      </c>
      <c r="O886" s="2" t="s">
        <v>97</v>
      </c>
      <c r="P886" s="2" t="s">
        <v>182</v>
      </c>
      <c r="Q886" s="2" t="s">
        <v>99</v>
      </c>
      <c r="R886" s="2" t="s">
        <v>100</v>
      </c>
      <c r="S886" s="2" t="s">
        <v>3265</v>
      </c>
      <c r="T886" s="2" t="s">
        <v>732</v>
      </c>
      <c r="U886" s="2" t="s">
        <v>490</v>
      </c>
      <c r="V886" s="2" t="s">
        <v>404</v>
      </c>
      <c r="W886" s="2" t="s">
        <v>104</v>
      </c>
      <c r="X886" s="2" t="s">
        <v>380</v>
      </c>
      <c r="Y886" s="2" t="s">
        <v>1056</v>
      </c>
      <c r="Z886" s="4">
        <v>118</v>
      </c>
      <c r="AA886" s="4">
        <f>=ROUNDDOWN(23.6,0)</f>
      </c>
      <c r="AB886" s="5">
        <v>5</v>
      </c>
      <c r="AC886" s="2" t="s">
        <v>533</v>
      </c>
      <c r="AD886" s="4">
        <v>50</v>
      </c>
      <c r="AE886" s="4">
        <v>90</v>
      </c>
      <c r="AF886" s="6">
        <v>65</v>
      </c>
      <c r="AG886" s="6"/>
      <c r="AH886" s="7">
        <v>0.9333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 t="s">
        <v>100</v>
      </c>
      <c r="BJ886" s="4">
        <v>65</v>
      </c>
      <c r="BK886" s="8">
        <v>4082.28</v>
      </c>
      <c r="BL886" s="2" t="s">
        <v>3268</v>
      </c>
      <c r="BM886" s="7"/>
      <c r="BN886" s="7"/>
      <c r="BO886" s="4"/>
      <c r="BP886" s="8"/>
      <c r="BQ886" s="4"/>
      <c r="BR886" s="8"/>
      <c r="BS886" s="7"/>
      <c r="BT886" s="7"/>
      <c r="BU886" s="2" t="s">
        <v>147</v>
      </c>
      <c r="BV886" s="2" t="s">
        <v>97</v>
      </c>
      <c r="BW886" s="2" t="s">
        <v>100</v>
      </c>
      <c r="BX886" s="2" t="s">
        <v>100</v>
      </c>
      <c r="BY886" s="2" t="s">
        <v>112</v>
      </c>
      <c r="BZ886" s="2" t="s">
        <v>100</v>
      </c>
    </row>
    <row r="887">
      <c r="A887" s="2" t="s">
        <v>3269</v>
      </c>
      <c r="B887" s="2" t="s">
        <v>87</v>
      </c>
      <c r="C887" s="2" t="s">
        <v>88</v>
      </c>
      <c r="D887" s="2" t="s">
        <v>3234</v>
      </c>
      <c r="E887" s="2" t="s">
        <v>3235</v>
      </c>
      <c r="F887" s="2" t="s">
        <v>867</v>
      </c>
      <c r="G887" s="2" t="s">
        <v>868</v>
      </c>
      <c r="H887" s="2" t="s">
        <v>869</v>
      </c>
      <c r="I887" s="2" t="s">
        <v>3258</v>
      </c>
      <c r="J887" s="2" t="s">
        <v>844</v>
      </c>
      <c r="K887" s="2" t="s">
        <v>333</v>
      </c>
      <c r="L887" s="3">
        <v>48.5</v>
      </c>
      <c r="M887" s="3">
        <v>50.92</v>
      </c>
      <c r="N887" s="3">
        <v>99.99</v>
      </c>
      <c r="O887" s="2" t="s">
        <v>97</v>
      </c>
      <c r="P887" s="2" t="s">
        <v>182</v>
      </c>
      <c r="Q887" s="2" t="s">
        <v>99</v>
      </c>
      <c r="R887" s="2" t="s">
        <v>100</v>
      </c>
      <c r="S887" s="2" t="s">
        <v>885</v>
      </c>
      <c r="T887" s="2" t="s">
        <v>100</v>
      </c>
      <c r="U887" s="2" t="s">
        <v>490</v>
      </c>
      <c r="V887" s="2" t="s">
        <v>404</v>
      </c>
      <c r="W887" s="2" t="s">
        <v>104</v>
      </c>
      <c r="X887" s="2" t="s">
        <v>105</v>
      </c>
      <c r="Y887" s="2" t="s">
        <v>106</v>
      </c>
      <c r="Z887" s="4">
        <v>277</v>
      </c>
      <c r="AA887" s="4">
        <f>=ROUNDDOWN(55.4,0)</f>
      </c>
      <c r="AB887" s="5">
        <v>5</v>
      </c>
      <c r="AC887" s="2" t="s">
        <v>100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 t="s">
        <v>100</v>
      </c>
      <c r="BJ887" s="4">
        <v>47</v>
      </c>
      <c r="BK887" s="8">
        <v>2589.57</v>
      </c>
      <c r="BL887" s="2" t="s">
        <v>1232</v>
      </c>
      <c r="BM887" s="7"/>
      <c r="BN887" s="7"/>
      <c r="BO887" s="4"/>
      <c r="BP887" s="8"/>
      <c r="BQ887" s="4"/>
      <c r="BR887" s="8"/>
      <c r="BS887" s="7"/>
      <c r="BT887" s="7"/>
      <c r="BU887" s="2" t="s">
        <v>147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3270</v>
      </c>
      <c r="B888" s="2" t="s">
        <v>87</v>
      </c>
      <c r="C888" s="2" t="s">
        <v>88</v>
      </c>
      <c r="D888" s="2" t="s">
        <v>3234</v>
      </c>
      <c r="E888" s="2" t="s">
        <v>3235</v>
      </c>
      <c r="F888" s="2" t="s">
        <v>867</v>
      </c>
      <c r="G888" s="2" t="s">
        <v>868</v>
      </c>
      <c r="H888" s="2" t="s">
        <v>869</v>
      </c>
      <c r="I888" s="2" t="s">
        <v>3258</v>
      </c>
      <c r="J888" s="2" t="s">
        <v>850</v>
      </c>
      <c r="K888" s="2" t="s">
        <v>333</v>
      </c>
      <c r="L888" s="3">
        <v>52.91</v>
      </c>
      <c r="M888" s="3">
        <v>55.56</v>
      </c>
      <c r="N888" s="3">
        <v>109.99</v>
      </c>
      <c r="O888" s="2" t="s">
        <v>97</v>
      </c>
      <c r="P888" s="2" t="s">
        <v>182</v>
      </c>
      <c r="Q888" s="2" t="s">
        <v>99</v>
      </c>
      <c r="R888" s="2" t="s">
        <v>100</v>
      </c>
      <c r="S888" s="2" t="s">
        <v>885</v>
      </c>
      <c r="T888" s="2" t="s">
        <v>100</v>
      </c>
      <c r="U888" s="2" t="s">
        <v>490</v>
      </c>
      <c r="V888" s="2" t="s">
        <v>404</v>
      </c>
      <c r="W888" s="2" t="s">
        <v>104</v>
      </c>
      <c r="X888" s="2" t="s">
        <v>105</v>
      </c>
      <c r="Y888" s="2" t="s">
        <v>106</v>
      </c>
      <c r="Z888" s="4">
        <v>232</v>
      </c>
      <c r="AA888" s="4">
        <f>=ROUNDDOWN(58,0)</f>
      </c>
      <c r="AB888" s="5">
        <v>4</v>
      </c>
      <c r="AC888" s="2" t="s">
        <v>533</v>
      </c>
      <c r="AD888" s="4">
        <v>40</v>
      </c>
      <c r="AE888" s="4">
        <v>40</v>
      </c>
      <c r="AF888" s="6">
        <v>65</v>
      </c>
      <c r="AG888" s="6"/>
      <c r="AH888" s="7">
        <v>0.5939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 t="s">
        <v>100</v>
      </c>
      <c r="BJ888" s="4">
        <v>39</v>
      </c>
      <c r="BK888" s="8">
        <v>2316.34</v>
      </c>
      <c r="BL888" s="2" t="s">
        <v>2925</v>
      </c>
      <c r="BM888" s="7"/>
      <c r="BN888" s="7"/>
      <c r="BO888" s="4"/>
      <c r="BP888" s="8"/>
      <c r="BQ888" s="4"/>
      <c r="BR888" s="8"/>
      <c r="BS888" s="7"/>
      <c r="BT888" s="7"/>
      <c r="BU888" s="2" t="s">
        <v>147</v>
      </c>
      <c r="BV888" s="2" t="s">
        <v>97</v>
      </c>
      <c r="BW888" s="2" t="s">
        <v>100</v>
      </c>
      <c r="BX888" s="2" t="s">
        <v>100</v>
      </c>
      <c r="BY888" s="2" t="s">
        <v>112</v>
      </c>
      <c r="BZ888" s="2" t="s">
        <v>100</v>
      </c>
    </row>
    <row r="889">
      <c r="A889" s="2" t="s">
        <v>3271</v>
      </c>
      <c r="B889" s="2" t="s">
        <v>87</v>
      </c>
      <c r="C889" s="2" t="s">
        <v>88</v>
      </c>
      <c r="D889" s="2" t="s">
        <v>3234</v>
      </c>
      <c r="E889" s="2" t="s">
        <v>3235</v>
      </c>
      <c r="F889" s="2" t="s">
        <v>2551</v>
      </c>
      <c r="G889" s="2" t="s">
        <v>3272</v>
      </c>
      <c r="H889" s="2" t="s">
        <v>3273</v>
      </c>
      <c r="I889" s="2" t="s">
        <v>3274</v>
      </c>
      <c r="J889" s="2" t="s">
        <v>850</v>
      </c>
      <c r="K889" s="2" t="s">
        <v>142</v>
      </c>
      <c r="L889" s="3">
        <v>57.6</v>
      </c>
      <c r="M889" s="3">
        <v>60.48</v>
      </c>
      <c r="N889" s="3">
        <v>119.99</v>
      </c>
      <c r="O889" s="2" t="s">
        <v>1148</v>
      </c>
      <c r="P889" s="2" t="s">
        <v>198</v>
      </c>
      <c r="Q889" s="2" t="s">
        <v>99</v>
      </c>
      <c r="R889" s="2" t="s">
        <v>100</v>
      </c>
      <c r="S889" s="2" t="s">
        <v>3275</v>
      </c>
      <c r="T889" s="2" t="s">
        <v>100</v>
      </c>
      <c r="U889" s="2" t="s">
        <v>102</v>
      </c>
      <c r="V889" s="2" t="s">
        <v>991</v>
      </c>
      <c r="W889" s="2" t="s">
        <v>602</v>
      </c>
      <c r="X889" s="2" t="s">
        <v>3276</v>
      </c>
      <c r="Y889" s="2" t="s">
        <v>873</v>
      </c>
      <c r="Z889" s="4"/>
      <c r="AA889" s="4">
        <f>=ROUNDDOWN({0},0)</f>
      </c>
      <c r="AB889" s="5"/>
      <c r="AC889" s="2" t="s">
        <v>100</v>
      </c>
      <c r="AD889" s="4"/>
      <c r="AE889" s="4"/>
      <c r="AF889" s="6"/>
      <c r="AG889" s="6"/>
      <c r="AH889" s="7">
        <v>0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/>
      <c r="BD889" s="8"/>
      <c r="BE889" s="4"/>
      <c r="BF889" s="8"/>
      <c r="BG889" s="7"/>
      <c r="BH889" s="7"/>
      <c r="BI889" s="7"/>
      <c r="BJ889" s="4"/>
      <c r="BK889" s="8"/>
      <c r="BL889" s="2" t="s">
        <v>100</v>
      </c>
      <c r="BM889" s="7"/>
      <c r="BN889" s="7"/>
      <c r="BO889" s="4"/>
      <c r="BP889" s="8"/>
      <c r="BQ889" s="4"/>
      <c r="BR889" s="8"/>
      <c r="BS889" s="7"/>
      <c r="BT889" s="7"/>
      <c r="BU889" s="2" t="s">
        <v>147</v>
      </c>
      <c r="BV889" s="2" t="s">
        <v>97</v>
      </c>
      <c r="BW889" s="2" t="s">
        <v>100</v>
      </c>
      <c r="BX889" s="2" t="s">
        <v>100</v>
      </c>
      <c r="BY889" s="2" t="s">
        <v>112</v>
      </c>
      <c r="BZ889" s="2" t="s">
        <v>100</v>
      </c>
    </row>
    <row r="890">
      <c r="A890" s="2" t="s">
        <v>3277</v>
      </c>
      <c r="B890" s="2" t="s">
        <v>87</v>
      </c>
      <c r="C890" s="2" t="s">
        <v>88</v>
      </c>
      <c r="D890" s="2" t="s">
        <v>3234</v>
      </c>
      <c r="E890" s="2" t="s">
        <v>3235</v>
      </c>
      <c r="F890" s="2" t="s">
        <v>2006</v>
      </c>
      <c r="G890" s="2" t="s">
        <v>2007</v>
      </c>
      <c r="H890" s="2" t="s">
        <v>2008</v>
      </c>
      <c r="I890" s="2" t="s">
        <v>3278</v>
      </c>
      <c r="J890" s="2" t="s">
        <v>844</v>
      </c>
      <c r="K890" s="2" t="s">
        <v>2031</v>
      </c>
      <c r="L890" s="3">
        <v>54.99</v>
      </c>
      <c r="M890" s="3">
        <v>57.74</v>
      </c>
      <c r="N890" s="3">
        <v>109.99</v>
      </c>
      <c r="O890" s="2" t="s">
        <v>97</v>
      </c>
      <c r="P890" s="2" t="s">
        <v>182</v>
      </c>
      <c r="Q890" s="2" t="s">
        <v>99</v>
      </c>
      <c r="R890" s="2" t="s">
        <v>100</v>
      </c>
      <c r="S890" s="2" t="s">
        <v>2032</v>
      </c>
      <c r="T890" s="2" t="s">
        <v>100</v>
      </c>
      <c r="U890" s="2" t="s">
        <v>490</v>
      </c>
      <c r="V890" s="2" t="s">
        <v>1364</v>
      </c>
      <c r="W890" s="2" t="s">
        <v>405</v>
      </c>
      <c r="X890" s="2" t="s">
        <v>456</v>
      </c>
      <c r="Y890" s="2" t="s">
        <v>106</v>
      </c>
      <c r="Z890" s="4">
        <v>141</v>
      </c>
      <c r="AA890" s="4">
        <f>=ROUNDDOWN(35.25,0)</f>
      </c>
      <c r="AB890" s="5">
        <v>4</v>
      </c>
      <c r="AC890" s="2" t="s">
        <v>1193</v>
      </c>
      <c r="AD890" s="4">
        <v>30</v>
      </c>
      <c r="AE890" s="4">
        <v>70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91</v>
      </c>
      <c r="BK890" s="8">
        <v>5056.57</v>
      </c>
      <c r="BL890" s="2" t="s">
        <v>3279</v>
      </c>
      <c r="BM890" s="7"/>
      <c r="BN890" s="7"/>
      <c r="BO890" s="4"/>
      <c r="BP890" s="8"/>
      <c r="BQ890" s="4"/>
      <c r="BR890" s="8"/>
      <c r="BS890" s="7"/>
      <c r="BT890" s="7"/>
      <c r="BU890" s="2" t="s">
        <v>147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3280</v>
      </c>
      <c r="B891" s="2" t="s">
        <v>87</v>
      </c>
      <c r="C891" s="2" t="s">
        <v>88</v>
      </c>
      <c r="D891" s="2" t="s">
        <v>3234</v>
      </c>
      <c r="E891" s="2" t="s">
        <v>3235</v>
      </c>
      <c r="F891" s="2" t="s">
        <v>2006</v>
      </c>
      <c r="G891" s="2" t="s">
        <v>2007</v>
      </c>
      <c r="H891" s="2" t="s">
        <v>2008</v>
      </c>
      <c r="I891" s="2" t="s">
        <v>3278</v>
      </c>
      <c r="J891" s="2" t="s">
        <v>850</v>
      </c>
      <c r="K891" s="2" t="s">
        <v>2031</v>
      </c>
      <c r="L891" s="3">
        <v>59.99</v>
      </c>
      <c r="M891" s="3">
        <v>62.99</v>
      </c>
      <c r="N891" s="3">
        <v>119.99</v>
      </c>
      <c r="O891" s="2" t="s">
        <v>97</v>
      </c>
      <c r="P891" s="2" t="s">
        <v>182</v>
      </c>
      <c r="Q891" s="2" t="s">
        <v>99</v>
      </c>
      <c r="R891" s="2" t="s">
        <v>100</v>
      </c>
      <c r="S891" s="2" t="s">
        <v>2032</v>
      </c>
      <c r="T891" s="2" t="s">
        <v>100</v>
      </c>
      <c r="U891" s="2" t="s">
        <v>490</v>
      </c>
      <c r="V891" s="2" t="s">
        <v>1364</v>
      </c>
      <c r="W891" s="2" t="s">
        <v>405</v>
      </c>
      <c r="X891" s="2" t="s">
        <v>456</v>
      </c>
      <c r="Y891" s="2" t="s">
        <v>106</v>
      </c>
      <c r="Z891" s="4">
        <v>154</v>
      </c>
      <c r="AA891" s="4">
        <f>=ROUNDDOWN(15.4,0)</f>
      </c>
      <c r="AB891" s="5">
        <v>10</v>
      </c>
      <c r="AC891" s="2" t="s">
        <v>1193</v>
      </c>
      <c r="AD891" s="4">
        <v>150</v>
      </c>
      <c r="AE891" s="4">
        <v>460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168</v>
      </c>
      <c r="BK891" s="8">
        <v>10170.36</v>
      </c>
      <c r="BL891" s="2" t="s">
        <v>984</v>
      </c>
      <c r="BM891" s="7"/>
      <c r="BN891" s="7"/>
      <c r="BO891" s="4"/>
      <c r="BP891" s="8"/>
      <c r="BQ891" s="4"/>
      <c r="BR891" s="8"/>
      <c r="BS891" s="7"/>
      <c r="BT891" s="7"/>
      <c r="BU891" s="2" t="s">
        <v>147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3281</v>
      </c>
      <c r="B892" s="2" t="s">
        <v>87</v>
      </c>
      <c r="C892" s="2" t="s">
        <v>88</v>
      </c>
      <c r="D892" s="2" t="s">
        <v>3234</v>
      </c>
      <c r="E892" s="2" t="s">
        <v>3235</v>
      </c>
      <c r="F892" s="2" t="s">
        <v>1127</v>
      </c>
      <c r="G892" s="2" t="s">
        <v>1128</v>
      </c>
      <c r="H892" s="2" t="s">
        <v>1129</v>
      </c>
      <c r="I892" s="2" t="s">
        <v>3282</v>
      </c>
      <c r="J892" s="2" t="s">
        <v>844</v>
      </c>
      <c r="K892" s="2" t="s">
        <v>197</v>
      </c>
      <c r="L892" s="3">
        <v>53.9</v>
      </c>
      <c r="M892" s="3">
        <v>56.59</v>
      </c>
      <c r="N892" s="3">
        <v>109.99</v>
      </c>
      <c r="O892" s="2" t="s">
        <v>97</v>
      </c>
      <c r="P892" s="2" t="s">
        <v>182</v>
      </c>
      <c r="Q892" s="2" t="s">
        <v>99</v>
      </c>
      <c r="R892" s="2" t="s">
        <v>100</v>
      </c>
      <c r="S892" s="2" t="s">
        <v>1137</v>
      </c>
      <c r="T892" s="2" t="s">
        <v>100</v>
      </c>
      <c r="U892" s="2" t="s">
        <v>490</v>
      </c>
      <c r="V892" s="2" t="s">
        <v>991</v>
      </c>
      <c r="W892" s="2" t="s">
        <v>104</v>
      </c>
      <c r="X892" s="2" t="s">
        <v>1131</v>
      </c>
      <c r="Y892" s="2" t="s">
        <v>106</v>
      </c>
      <c r="Z892" s="4">
        <v>153</v>
      </c>
      <c r="AA892" s="4">
        <f>=ROUNDDOWN(21.8571428571429,0)</f>
      </c>
      <c r="AB892" s="5">
        <v>7</v>
      </c>
      <c r="AC892" s="2" t="s">
        <v>792</v>
      </c>
      <c r="AD892" s="4">
        <v>70</v>
      </c>
      <c r="AE892" s="4">
        <v>110</v>
      </c>
      <c r="AF892" s="6">
        <v>64</v>
      </c>
      <c r="AG892" s="6">
        <v>47</v>
      </c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103</v>
      </c>
      <c r="BK892" s="8">
        <v>5105.95</v>
      </c>
      <c r="BL892" s="2" t="s">
        <v>3283</v>
      </c>
      <c r="BM892" s="7"/>
      <c r="BN892" s="7"/>
      <c r="BO892" s="4"/>
      <c r="BP892" s="8"/>
      <c r="BQ892" s="4"/>
      <c r="BR892" s="8"/>
      <c r="BS892" s="7"/>
      <c r="BT892" s="7"/>
      <c r="BU892" s="2" t="s">
        <v>147</v>
      </c>
      <c r="BV892" s="2" t="s">
        <v>97</v>
      </c>
      <c r="BW892" s="2" t="s">
        <v>100</v>
      </c>
      <c r="BX892" s="2" t="s">
        <v>100</v>
      </c>
      <c r="BY892" s="2" t="s">
        <v>112</v>
      </c>
      <c r="BZ892" s="2" t="s">
        <v>100</v>
      </c>
    </row>
    <row r="893">
      <c r="A893" s="2" t="s">
        <v>3284</v>
      </c>
      <c r="B893" s="2" t="s">
        <v>87</v>
      </c>
      <c r="C893" s="2" t="s">
        <v>88</v>
      </c>
      <c r="D893" s="2" t="s">
        <v>3234</v>
      </c>
      <c r="E893" s="2" t="s">
        <v>3235</v>
      </c>
      <c r="F893" s="2" t="s">
        <v>1127</v>
      </c>
      <c r="G893" s="2" t="s">
        <v>1128</v>
      </c>
      <c r="H893" s="2" t="s">
        <v>1129</v>
      </c>
      <c r="I893" s="2" t="s">
        <v>3282</v>
      </c>
      <c r="J893" s="2" t="s">
        <v>850</v>
      </c>
      <c r="K893" s="2" t="s">
        <v>197</v>
      </c>
      <c r="L893" s="3">
        <v>59.99</v>
      </c>
      <c r="M893" s="3">
        <v>62.99</v>
      </c>
      <c r="N893" s="3">
        <v>119.99</v>
      </c>
      <c r="O893" s="2" t="s">
        <v>97</v>
      </c>
      <c r="P893" s="2" t="s">
        <v>182</v>
      </c>
      <c r="Q893" s="2" t="s">
        <v>99</v>
      </c>
      <c r="R893" s="2" t="s">
        <v>100</v>
      </c>
      <c r="S893" s="2" t="s">
        <v>1137</v>
      </c>
      <c r="T893" s="2" t="s">
        <v>100</v>
      </c>
      <c r="U893" s="2" t="s">
        <v>490</v>
      </c>
      <c r="V893" s="2" t="s">
        <v>991</v>
      </c>
      <c r="W893" s="2" t="s">
        <v>104</v>
      </c>
      <c r="X893" s="2" t="s">
        <v>1131</v>
      </c>
      <c r="Y893" s="2" t="s">
        <v>106</v>
      </c>
      <c r="Z893" s="4">
        <v>89</v>
      </c>
      <c r="AA893" s="4">
        <f>=ROUNDDOWN(11.125,0)</f>
      </c>
      <c r="AB893" s="5">
        <v>8</v>
      </c>
      <c r="AC893" s="2" t="s">
        <v>792</v>
      </c>
      <c r="AD893" s="4">
        <v>70</v>
      </c>
      <c r="AE893" s="4">
        <v>150</v>
      </c>
      <c r="AF893" s="6">
        <v>64</v>
      </c>
      <c r="AG893" s="6">
        <v>47</v>
      </c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147</v>
      </c>
      <c r="BK893" s="8">
        <v>8783.66</v>
      </c>
      <c r="BL893" s="2" t="s">
        <v>3285</v>
      </c>
      <c r="BM893" s="7"/>
      <c r="BN893" s="7"/>
      <c r="BO893" s="4"/>
      <c r="BP893" s="8"/>
      <c r="BQ893" s="4"/>
      <c r="BR893" s="8"/>
      <c r="BS893" s="7"/>
      <c r="BT893" s="7"/>
      <c r="BU893" s="2" t="s">
        <v>147</v>
      </c>
      <c r="BV893" s="2" t="s">
        <v>97</v>
      </c>
      <c r="BW893" s="2" t="s">
        <v>100</v>
      </c>
      <c r="BX893" s="2" t="s">
        <v>100</v>
      </c>
      <c r="BY893" s="2" t="s">
        <v>112</v>
      </c>
      <c r="BZ893" s="2" t="s">
        <v>100</v>
      </c>
    </row>
    <row r="894">
      <c r="A894" s="2" t="s">
        <v>3286</v>
      </c>
      <c r="B894" s="2" t="s">
        <v>87</v>
      </c>
      <c r="C894" s="2" t="s">
        <v>88</v>
      </c>
      <c r="D894" s="2" t="s">
        <v>3234</v>
      </c>
      <c r="E894" s="2" t="s">
        <v>3235</v>
      </c>
      <c r="F894" s="2" t="s">
        <v>1127</v>
      </c>
      <c r="G894" s="2" t="s">
        <v>1128</v>
      </c>
      <c r="H894" s="2" t="s">
        <v>1129</v>
      </c>
      <c r="I894" s="2" t="s">
        <v>3282</v>
      </c>
      <c r="J894" s="2" t="s">
        <v>844</v>
      </c>
      <c r="K894" s="2" t="s">
        <v>168</v>
      </c>
      <c r="L894" s="3">
        <v>53.9</v>
      </c>
      <c r="M894" s="3">
        <v>56.59</v>
      </c>
      <c r="N894" s="3">
        <v>109.99</v>
      </c>
      <c r="O894" s="2" t="s">
        <v>97</v>
      </c>
      <c r="P894" s="2" t="s">
        <v>182</v>
      </c>
      <c r="Q894" s="2" t="s">
        <v>99</v>
      </c>
      <c r="R894" s="2" t="s">
        <v>100</v>
      </c>
      <c r="S894" s="2" t="s">
        <v>1130</v>
      </c>
      <c r="T894" s="2" t="s">
        <v>100</v>
      </c>
      <c r="U894" s="2" t="s">
        <v>490</v>
      </c>
      <c r="V894" s="2" t="s">
        <v>991</v>
      </c>
      <c r="W894" s="2" t="s">
        <v>104</v>
      </c>
      <c r="X894" s="2" t="s">
        <v>1131</v>
      </c>
      <c r="Y894" s="2" t="s">
        <v>106</v>
      </c>
      <c r="Z894" s="4">
        <v>125</v>
      </c>
      <c r="AA894" s="4">
        <f>=ROUNDDOWN(20.8333333333333,0)</f>
      </c>
      <c r="AB894" s="5">
        <v>6</v>
      </c>
      <c r="AC894" s="2" t="s">
        <v>107</v>
      </c>
      <c r="AD894" s="4">
        <v>60</v>
      </c>
      <c r="AE894" s="4">
        <v>60</v>
      </c>
      <c r="AF894" s="6">
        <v>64</v>
      </c>
      <c r="AG894" s="6">
        <v>47</v>
      </c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104</v>
      </c>
      <c r="BK894" s="8">
        <v>5518.41</v>
      </c>
      <c r="BL894" s="2" t="s">
        <v>3287</v>
      </c>
      <c r="BM894" s="7"/>
      <c r="BN894" s="7"/>
      <c r="BO894" s="4"/>
      <c r="BP894" s="8"/>
      <c r="BQ894" s="4"/>
      <c r="BR894" s="8"/>
      <c r="BS894" s="7"/>
      <c r="BT894" s="7"/>
      <c r="BU894" s="2" t="s">
        <v>147</v>
      </c>
      <c r="BV894" s="2" t="s">
        <v>97</v>
      </c>
      <c r="BW894" s="2" t="s">
        <v>100</v>
      </c>
      <c r="BX894" s="2" t="s">
        <v>100</v>
      </c>
      <c r="BY894" s="2" t="s">
        <v>112</v>
      </c>
      <c r="BZ894" s="2" t="s">
        <v>100</v>
      </c>
    </row>
    <row r="895">
      <c r="A895" s="2" t="s">
        <v>3288</v>
      </c>
      <c r="B895" s="2" t="s">
        <v>87</v>
      </c>
      <c r="C895" s="2" t="s">
        <v>88</v>
      </c>
      <c r="D895" s="2" t="s">
        <v>3234</v>
      </c>
      <c r="E895" s="2" t="s">
        <v>3235</v>
      </c>
      <c r="F895" s="2" t="s">
        <v>1127</v>
      </c>
      <c r="G895" s="2" t="s">
        <v>1128</v>
      </c>
      <c r="H895" s="2" t="s">
        <v>1129</v>
      </c>
      <c r="I895" s="2" t="s">
        <v>3282</v>
      </c>
      <c r="J895" s="2" t="s">
        <v>850</v>
      </c>
      <c r="K895" s="2" t="s">
        <v>168</v>
      </c>
      <c r="L895" s="3">
        <v>59.99</v>
      </c>
      <c r="M895" s="3">
        <v>62.99</v>
      </c>
      <c r="N895" s="3">
        <v>119.99</v>
      </c>
      <c r="O895" s="2" t="s">
        <v>97</v>
      </c>
      <c r="P895" s="2" t="s">
        <v>182</v>
      </c>
      <c r="Q895" s="2" t="s">
        <v>99</v>
      </c>
      <c r="R895" s="2" t="s">
        <v>100</v>
      </c>
      <c r="S895" s="2" t="s">
        <v>1130</v>
      </c>
      <c r="T895" s="2" t="s">
        <v>100</v>
      </c>
      <c r="U895" s="2" t="s">
        <v>490</v>
      </c>
      <c r="V895" s="2" t="s">
        <v>991</v>
      </c>
      <c r="W895" s="2" t="s">
        <v>104</v>
      </c>
      <c r="X895" s="2" t="s">
        <v>1131</v>
      </c>
      <c r="Y895" s="2" t="s">
        <v>106</v>
      </c>
      <c r="Z895" s="4">
        <v>203</v>
      </c>
      <c r="AA895" s="4">
        <f>=ROUNDDOWN(33.8333333333333,0)</f>
      </c>
      <c r="AB895" s="5">
        <v>6</v>
      </c>
      <c r="AC895" s="2" t="s">
        <v>107</v>
      </c>
      <c r="AD895" s="4">
        <v>60</v>
      </c>
      <c r="AE895" s="4">
        <v>60</v>
      </c>
      <c r="AF895" s="6">
        <v>64</v>
      </c>
      <c r="AG895" s="6">
        <v>47</v>
      </c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129</v>
      </c>
      <c r="BK895" s="8">
        <v>8002.79</v>
      </c>
      <c r="BL895" s="2" t="s">
        <v>3289</v>
      </c>
      <c r="BM895" s="7"/>
      <c r="BN895" s="7"/>
      <c r="BO895" s="4"/>
      <c r="BP895" s="8"/>
      <c r="BQ895" s="4"/>
      <c r="BR895" s="8"/>
      <c r="BS895" s="7"/>
      <c r="BT895" s="7"/>
      <c r="BU895" s="2" t="s">
        <v>147</v>
      </c>
      <c r="BV895" s="2" t="s">
        <v>97</v>
      </c>
      <c r="BW895" s="2" t="s">
        <v>100</v>
      </c>
      <c r="BX895" s="2" t="s">
        <v>100</v>
      </c>
      <c r="BY895" s="2" t="s">
        <v>112</v>
      </c>
      <c r="BZ895" s="2" t="s">
        <v>100</v>
      </c>
    </row>
    <row r="896">
      <c r="A896" s="2" t="s">
        <v>3290</v>
      </c>
      <c r="B896" s="2" t="s">
        <v>87</v>
      </c>
      <c r="C896" s="2" t="s">
        <v>88</v>
      </c>
      <c r="D896" s="2" t="s">
        <v>3234</v>
      </c>
      <c r="E896" s="2" t="s">
        <v>3235</v>
      </c>
      <c r="F896" s="2" t="s">
        <v>1270</v>
      </c>
      <c r="G896" s="2" t="s">
        <v>1271</v>
      </c>
      <c r="H896" s="2" t="s">
        <v>1272</v>
      </c>
      <c r="I896" s="2" t="s">
        <v>3291</v>
      </c>
      <c r="J896" s="2" t="s">
        <v>844</v>
      </c>
      <c r="K896" s="2" t="s">
        <v>158</v>
      </c>
      <c r="L896" s="3">
        <v>27.42</v>
      </c>
      <c r="M896" s="3">
        <v>28.79</v>
      </c>
      <c r="N896" s="3">
        <v>59.99</v>
      </c>
      <c r="O896" s="2" t="s">
        <v>97</v>
      </c>
      <c r="P896" s="2" t="s">
        <v>1166</v>
      </c>
      <c r="Q896" s="2" t="s">
        <v>99</v>
      </c>
      <c r="R896" s="2" t="s">
        <v>100</v>
      </c>
      <c r="S896" s="2" t="s">
        <v>1274</v>
      </c>
      <c r="T896" s="2" t="s">
        <v>184</v>
      </c>
      <c r="U896" s="2" t="s">
        <v>790</v>
      </c>
      <c r="V896" s="2" t="s">
        <v>1275</v>
      </c>
      <c r="W896" s="2" t="s">
        <v>759</v>
      </c>
      <c r="X896" s="2" t="s">
        <v>808</v>
      </c>
      <c r="Y896" s="2" t="s">
        <v>1279</v>
      </c>
      <c r="Z896" s="4">
        <v>81</v>
      </c>
      <c r="AA896" s="4">
        <f>=ROUNDDOWN(20.25,0)</f>
      </c>
      <c r="AB896" s="5">
        <v>4</v>
      </c>
      <c r="AC896" s="2" t="s">
        <v>100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100</v>
      </c>
      <c r="AW896" s="8" t="s">
        <v>100</v>
      </c>
      <c r="AX896" s="4" t="s">
        <v>100</v>
      </c>
      <c r="AY896" s="8" t="s">
        <v>100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 t="s">
        <v>100</v>
      </c>
      <c r="BF896" s="8" t="s">
        <v>100</v>
      </c>
      <c r="BG896" s="7" t="s">
        <v>100</v>
      </c>
      <c r="BH896" s="7" t="s">
        <v>100</v>
      </c>
      <c r="BI896" s="7"/>
      <c r="BJ896" s="4">
        <v>66</v>
      </c>
      <c r="BK896" s="8">
        <v>1995.04</v>
      </c>
      <c r="BL896" s="2" t="s">
        <v>2187</v>
      </c>
      <c r="BM896" s="7"/>
      <c r="BN896" s="7"/>
      <c r="BO896" s="4"/>
      <c r="BP896" s="8"/>
      <c r="BQ896" s="4"/>
      <c r="BR896" s="8"/>
      <c r="BS896" s="7"/>
      <c r="BT896" s="7"/>
      <c r="BU896" s="2" t="s">
        <v>147</v>
      </c>
      <c r="BV896" s="2" t="s">
        <v>97</v>
      </c>
      <c r="BW896" s="2" t="s">
        <v>100</v>
      </c>
      <c r="BX896" s="2" t="s">
        <v>100</v>
      </c>
      <c r="BY896" s="2" t="s">
        <v>112</v>
      </c>
      <c r="BZ896" s="2" t="s">
        <v>100</v>
      </c>
    </row>
    <row r="897">
      <c r="A897" s="2" t="s">
        <v>3292</v>
      </c>
      <c r="B897" s="2" t="s">
        <v>87</v>
      </c>
      <c r="C897" s="2" t="s">
        <v>88</v>
      </c>
      <c r="D897" s="2" t="s">
        <v>3234</v>
      </c>
      <c r="E897" s="2" t="s">
        <v>3235</v>
      </c>
      <c r="F897" s="2" t="s">
        <v>1270</v>
      </c>
      <c r="G897" s="2" t="s">
        <v>1271</v>
      </c>
      <c r="H897" s="2" t="s">
        <v>1272</v>
      </c>
      <c r="I897" s="2" t="s">
        <v>3291</v>
      </c>
      <c r="J897" s="2" t="s">
        <v>850</v>
      </c>
      <c r="K897" s="2" t="s">
        <v>158</v>
      </c>
      <c r="L897" s="3">
        <v>32</v>
      </c>
      <c r="M897" s="3">
        <v>33.6</v>
      </c>
      <c r="N897" s="3">
        <v>69.99</v>
      </c>
      <c r="O897" s="2" t="s">
        <v>97</v>
      </c>
      <c r="P897" s="2" t="s">
        <v>1166</v>
      </c>
      <c r="Q897" s="2" t="s">
        <v>99</v>
      </c>
      <c r="R897" s="2" t="s">
        <v>100</v>
      </c>
      <c r="S897" s="2" t="s">
        <v>1274</v>
      </c>
      <c r="T897" s="2" t="s">
        <v>184</v>
      </c>
      <c r="U897" s="2" t="s">
        <v>790</v>
      </c>
      <c r="V897" s="2" t="s">
        <v>1275</v>
      </c>
      <c r="W897" s="2" t="s">
        <v>759</v>
      </c>
      <c r="X897" s="2" t="s">
        <v>808</v>
      </c>
      <c r="Y897" s="2" t="s">
        <v>1279</v>
      </c>
      <c r="Z897" s="4">
        <v>53</v>
      </c>
      <c r="AA897" s="4">
        <f>=ROUNDDOWN(10.6,0)</f>
      </c>
      <c r="AB897" s="5">
        <v>5</v>
      </c>
      <c r="AC897" s="2" t="s">
        <v>100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69</v>
      </c>
      <c r="BK897" s="8">
        <v>2467.63</v>
      </c>
      <c r="BL897" s="2" t="s">
        <v>2187</v>
      </c>
      <c r="BM897" s="7"/>
      <c r="BN897" s="7"/>
      <c r="BO897" s="4"/>
      <c r="BP897" s="8"/>
      <c r="BQ897" s="4"/>
      <c r="BR897" s="8"/>
      <c r="BS897" s="7"/>
      <c r="BT897" s="7"/>
      <c r="BU897" s="2" t="s">
        <v>147</v>
      </c>
      <c r="BV897" s="2" t="s">
        <v>97</v>
      </c>
      <c r="BW897" s="2" t="s">
        <v>100</v>
      </c>
      <c r="BX897" s="2" t="s">
        <v>100</v>
      </c>
      <c r="BY897" s="2" t="s">
        <v>112</v>
      </c>
      <c r="BZ897" s="2" t="s">
        <v>100</v>
      </c>
    </row>
    <row r="898">
      <c r="A898" s="2" t="s">
        <v>3293</v>
      </c>
      <c r="B898" s="2" t="s">
        <v>87</v>
      </c>
      <c r="C898" s="2" t="s">
        <v>88</v>
      </c>
      <c r="D898" s="2" t="s">
        <v>3234</v>
      </c>
      <c r="E898" s="2" t="s">
        <v>3235</v>
      </c>
      <c r="F898" s="2" t="s">
        <v>785</v>
      </c>
      <c r="G898" s="2" t="s">
        <v>786</v>
      </c>
      <c r="H898" s="2" t="s">
        <v>787</v>
      </c>
      <c r="I898" s="2" t="s">
        <v>3294</v>
      </c>
      <c r="J898" s="2" t="s">
        <v>844</v>
      </c>
      <c r="K898" s="2" t="s">
        <v>666</v>
      </c>
      <c r="L898" s="3">
        <v>47</v>
      </c>
      <c r="M898" s="3">
        <v>49.35</v>
      </c>
      <c r="N898" s="3">
        <v>99.99</v>
      </c>
      <c r="O898" s="2" t="s">
        <v>97</v>
      </c>
      <c r="P898" s="2" t="s">
        <v>182</v>
      </c>
      <c r="Q898" s="2" t="s">
        <v>99</v>
      </c>
      <c r="R898" s="2" t="s">
        <v>100</v>
      </c>
      <c r="S898" s="2" t="s">
        <v>789</v>
      </c>
      <c r="T898" s="2" t="s">
        <v>100</v>
      </c>
      <c r="U898" s="2" t="s">
        <v>1482</v>
      </c>
      <c r="V898" s="2" t="s">
        <v>601</v>
      </c>
      <c r="W898" s="2" t="s">
        <v>733</v>
      </c>
      <c r="X898" s="2" t="s">
        <v>791</v>
      </c>
      <c r="Y898" s="2" t="s">
        <v>106</v>
      </c>
      <c r="Z898" s="4">
        <v>233</v>
      </c>
      <c r="AA898" s="4">
        <f>=ROUNDDOWN(21.1818181818182,0)</f>
      </c>
      <c r="AB898" s="5">
        <v>11</v>
      </c>
      <c r="AC898" s="2" t="s">
        <v>589</v>
      </c>
      <c r="AD898" s="4">
        <v>50</v>
      </c>
      <c r="AE898" s="4">
        <v>80</v>
      </c>
      <c r="AF898" s="6">
        <v>65</v>
      </c>
      <c r="AG898" s="6">
        <v>48</v>
      </c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183</v>
      </c>
      <c r="BK898" s="8">
        <v>8918.74</v>
      </c>
      <c r="BL898" s="2" t="s">
        <v>3295</v>
      </c>
      <c r="BM898" s="7"/>
      <c r="BN898" s="7"/>
      <c r="BO898" s="4"/>
      <c r="BP898" s="8"/>
      <c r="BQ898" s="4"/>
      <c r="BR898" s="8"/>
      <c r="BS898" s="7"/>
      <c r="BT898" s="7"/>
      <c r="BU898" s="2" t="s">
        <v>147</v>
      </c>
      <c r="BV898" s="2" t="s">
        <v>97</v>
      </c>
      <c r="BW898" s="2" t="s">
        <v>100</v>
      </c>
      <c r="BX898" s="2" t="s">
        <v>100</v>
      </c>
      <c r="BY898" s="2" t="s">
        <v>112</v>
      </c>
      <c r="BZ898" s="2" t="s">
        <v>100</v>
      </c>
    </row>
    <row r="899">
      <c r="A899" s="2" t="s">
        <v>3296</v>
      </c>
      <c r="B899" s="2" t="s">
        <v>87</v>
      </c>
      <c r="C899" s="2" t="s">
        <v>88</v>
      </c>
      <c r="D899" s="2" t="s">
        <v>3234</v>
      </c>
      <c r="E899" s="2" t="s">
        <v>3235</v>
      </c>
      <c r="F899" s="2" t="s">
        <v>785</v>
      </c>
      <c r="G899" s="2" t="s">
        <v>786</v>
      </c>
      <c r="H899" s="2" t="s">
        <v>787</v>
      </c>
      <c r="I899" s="2" t="s">
        <v>3294</v>
      </c>
      <c r="J899" s="2" t="s">
        <v>850</v>
      </c>
      <c r="K899" s="2" t="s">
        <v>666</v>
      </c>
      <c r="L899" s="3">
        <v>53.9</v>
      </c>
      <c r="M899" s="3">
        <v>56.59</v>
      </c>
      <c r="N899" s="3">
        <v>109.99</v>
      </c>
      <c r="O899" s="2" t="s">
        <v>97</v>
      </c>
      <c r="P899" s="2" t="s">
        <v>182</v>
      </c>
      <c r="Q899" s="2" t="s">
        <v>99</v>
      </c>
      <c r="R899" s="2" t="s">
        <v>100</v>
      </c>
      <c r="S899" s="2" t="s">
        <v>789</v>
      </c>
      <c r="T899" s="2" t="s">
        <v>100</v>
      </c>
      <c r="U899" s="2" t="s">
        <v>1482</v>
      </c>
      <c r="V899" s="2" t="s">
        <v>601</v>
      </c>
      <c r="W899" s="2" t="s">
        <v>733</v>
      </c>
      <c r="X899" s="2" t="s">
        <v>791</v>
      </c>
      <c r="Y899" s="2" t="s">
        <v>106</v>
      </c>
      <c r="Z899" s="4">
        <v>154</v>
      </c>
      <c r="AA899" s="4">
        <f>=ROUNDDOWN(25.6666666666667,0)</f>
      </c>
      <c r="AB899" s="5">
        <v>6</v>
      </c>
      <c r="AC899" s="2" t="s">
        <v>589</v>
      </c>
      <c r="AD899" s="4">
        <v>50</v>
      </c>
      <c r="AE899" s="4">
        <v>80</v>
      </c>
      <c r="AF899" s="6">
        <v>65</v>
      </c>
      <c r="AG899" s="6">
        <v>48</v>
      </c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113</v>
      </c>
      <c r="BK899" s="8">
        <v>6129.16</v>
      </c>
      <c r="BL899" s="2" t="s">
        <v>3297</v>
      </c>
      <c r="BM899" s="7"/>
      <c r="BN899" s="7"/>
      <c r="BO899" s="4"/>
      <c r="BP899" s="8"/>
      <c r="BQ899" s="4"/>
      <c r="BR899" s="8"/>
      <c r="BS899" s="7"/>
      <c r="BT899" s="7"/>
      <c r="BU899" s="2" t="s">
        <v>147</v>
      </c>
      <c r="BV899" s="2" t="s">
        <v>97</v>
      </c>
      <c r="BW899" s="2" t="s">
        <v>100</v>
      </c>
      <c r="BX899" s="2" t="s">
        <v>100</v>
      </c>
      <c r="BY899" s="2" t="s">
        <v>112</v>
      </c>
      <c r="BZ899" s="2" t="s">
        <v>100</v>
      </c>
    </row>
    <row r="900">
      <c r="A900" s="2" t="s">
        <v>3298</v>
      </c>
      <c r="B900" s="2" t="s">
        <v>87</v>
      </c>
      <c r="C900" s="2" t="s">
        <v>88</v>
      </c>
      <c r="D900" s="2" t="s">
        <v>3234</v>
      </c>
      <c r="E900" s="2" t="s">
        <v>3235</v>
      </c>
      <c r="F900" s="2" t="s">
        <v>2083</v>
      </c>
      <c r="G900" s="2" t="s">
        <v>3299</v>
      </c>
      <c r="H900" s="2" t="s">
        <v>3300</v>
      </c>
      <c r="I900" s="2" t="s">
        <v>3301</v>
      </c>
      <c r="J900" s="2" t="s">
        <v>844</v>
      </c>
      <c r="K900" s="2" t="s">
        <v>247</v>
      </c>
      <c r="L900" s="3">
        <v>54</v>
      </c>
      <c r="M900" s="3">
        <v>56.7</v>
      </c>
      <c r="N900" s="3">
        <v>119.99</v>
      </c>
      <c r="O900" s="2" t="s">
        <v>550</v>
      </c>
      <c r="P900" s="2" t="s">
        <v>198</v>
      </c>
      <c r="Q900" s="2" t="s">
        <v>99</v>
      </c>
      <c r="R900" s="2" t="s">
        <v>100</v>
      </c>
      <c r="S900" s="2" t="s">
        <v>3302</v>
      </c>
      <c r="T900" s="2" t="s">
        <v>100</v>
      </c>
      <c r="U900" s="2" t="s">
        <v>403</v>
      </c>
      <c r="V900" s="2" t="s">
        <v>455</v>
      </c>
      <c r="W900" s="2" t="s">
        <v>1530</v>
      </c>
      <c r="X900" s="2" t="s">
        <v>3303</v>
      </c>
      <c r="Y900" s="2" t="s">
        <v>106</v>
      </c>
      <c r="Z900" s="4"/>
      <c r="AA900" s="4">
        <f>=ROUNDDOWN({0},0)</f>
      </c>
      <c r="AB900" s="5"/>
      <c r="AC900" s="2" t="s">
        <v>100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100</v>
      </c>
      <c r="BM900" s="7"/>
      <c r="BN900" s="7"/>
      <c r="BO900" s="4"/>
      <c r="BP900" s="8"/>
      <c r="BQ900" s="4"/>
      <c r="BR900" s="8"/>
      <c r="BS900" s="7"/>
      <c r="BT900" s="7"/>
      <c r="BU900" s="2" t="s">
        <v>147</v>
      </c>
      <c r="BV900" s="2" t="s">
        <v>97</v>
      </c>
      <c r="BW900" s="2" t="s">
        <v>100</v>
      </c>
      <c r="BX900" s="2" t="s">
        <v>100</v>
      </c>
      <c r="BY900" s="2" t="s">
        <v>112</v>
      </c>
      <c r="BZ900" s="2" t="s">
        <v>100</v>
      </c>
    </row>
    <row r="901">
      <c r="A901" s="2" t="s">
        <v>3304</v>
      </c>
      <c r="B901" s="2" t="s">
        <v>87</v>
      </c>
      <c r="C901" s="2" t="s">
        <v>88</v>
      </c>
      <c r="D901" s="2" t="s">
        <v>3234</v>
      </c>
      <c r="E901" s="2" t="s">
        <v>3235</v>
      </c>
      <c r="F901" s="2" t="s">
        <v>1513</v>
      </c>
      <c r="G901" s="2" t="s">
        <v>786</v>
      </c>
      <c r="H901" s="2" t="s">
        <v>1514</v>
      </c>
      <c r="I901" s="2" t="s">
        <v>3305</v>
      </c>
      <c r="J901" s="2" t="s">
        <v>844</v>
      </c>
      <c r="K901" s="2" t="s">
        <v>1515</v>
      </c>
      <c r="L901" s="3">
        <v>55.2</v>
      </c>
      <c r="M901" s="3">
        <v>57.96</v>
      </c>
      <c r="N901" s="3">
        <v>119.99</v>
      </c>
      <c r="O901" s="2" t="s">
        <v>97</v>
      </c>
      <c r="P901" s="2" t="s">
        <v>182</v>
      </c>
      <c r="Q901" s="2" t="s">
        <v>99</v>
      </c>
      <c r="R901" s="2" t="s">
        <v>100</v>
      </c>
      <c r="S901" s="2" t="s">
        <v>1516</v>
      </c>
      <c r="T901" s="2" t="s">
        <v>100</v>
      </c>
      <c r="U901" s="2" t="s">
        <v>102</v>
      </c>
      <c r="V901" s="2" t="s">
        <v>491</v>
      </c>
      <c r="W901" s="2" t="s">
        <v>104</v>
      </c>
      <c r="X901" s="2" t="s">
        <v>201</v>
      </c>
      <c r="Y901" s="2" t="s">
        <v>106</v>
      </c>
      <c r="Z901" s="4">
        <v>190</v>
      </c>
      <c r="AA901" s="4">
        <f>=ROUNDDOWN(47.5,0)</f>
      </c>
      <c r="AB901" s="5">
        <v>4</v>
      </c>
      <c r="AC901" s="2" t="s">
        <v>100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81</v>
      </c>
      <c r="BK901" s="8">
        <v>4734.78</v>
      </c>
      <c r="BL901" s="2" t="s">
        <v>3306</v>
      </c>
      <c r="BM901" s="7"/>
      <c r="BN901" s="7"/>
      <c r="BO901" s="4"/>
      <c r="BP901" s="8"/>
      <c r="BQ901" s="4"/>
      <c r="BR901" s="8"/>
      <c r="BS901" s="7"/>
      <c r="BT901" s="7"/>
      <c r="BU901" s="2" t="s">
        <v>147</v>
      </c>
      <c r="BV901" s="2" t="s">
        <v>97</v>
      </c>
      <c r="BW901" s="2" t="s">
        <v>100</v>
      </c>
      <c r="BX901" s="2" t="s">
        <v>100</v>
      </c>
      <c r="BY901" s="2" t="s">
        <v>112</v>
      </c>
      <c r="BZ901" s="2" t="s">
        <v>100</v>
      </c>
    </row>
    <row r="902">
      <c r="A902" s="2" t="s">
        <v>3307</v>
      </c>
      <c r="B902" s="2" t="s">
        <v>87</v>
      </c>
      <c r="C902" s="2" t="s">
        <v>88</v>
      </c>
      <c r="D902" s="2" t="s">
        <v>3234</v>
      </c>
      <c r="E902" s="2" t="s">
        <v>3235</v>
      </c>
      <c r="F902" s="2" t="s">
        <v>1513</v>
      </c>
      <c r="G902" s="2" t="s">
        <v>786</v>
      </c>
      <c r="H902" s="2" t="s">
        <v>1514</v>
      </c>
      <c r="I902" s="2" t="s">
        <v>3305</v>
      </c>
      <c r="J902" s="2" t="s">
        <v>850</v>
      </c>
      <c r="K902" s="2" t="s">
        <v>1515</v>
      </c>
      <c r="L902" s="3">
        <v>59.8</v>
      </c>
      <c r="M902" s="3">
        <v>62.79</v>
      </c>
      <c r="N902" s="3">
        <v>129.99</v>
      </c>
      <c r="O902" s="2" t="s">
        <v>97</v>
      </c>
      <c r="P902" s="2" t="s">
        <v>182</v>
      </c>
      <c r="Q902" s="2" t="s">
        <v>99</v>
      </c>
      <c r="R902" s="2" t="s">
        <v>100</v>
      </c>
      <c r="S902" s="2" t="s">
        <v>1516</v>
      </c>
      <c r="T902" s="2" t="s">
        <v>100</v>
      </c>
      <c r="U902" s="2" t="s">
        <v>102</v>
      </c>
      <c r="V902" s="2" t="s">
        <v>491</v>
      </c>
      <c r="W902" s="2" t="s">
        <v>104</v>
      </c>
      <c r="X902" s="2" t="s">
        <v>201</v>
      </c>
      <c r="Y902" s="2" t="s">
        <v>106</v>
      </c>
      <c r="Z902" s="4">
        <v>202</v>
      </c>
      <c r="AA902" s="4">
        <f>=ROUNDDOWN(50.5,0)</f>
      </c>
      <c r="AB902" s="5">
        <v>4</v>
      </c>
      <c r="AC902" s="2" t="s">
        <v>100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63</v>
      </c>
      <c r="BK902" s="8">
        <v>3972.51</v>
      </c>
      <c r="BL902" s="2" t="s">
        <v>3308</v>
      </c>
      <c r="BM902" s="7"/>
      <c r="BN902" s="7"/>
      <c r="BO902" s="4"/>
      <c r="BP902" s="8"/>
      <c r="BQ902" s="4"/>
      <c r="BR902" s="8"/>
      <c r="BS902" s="7"/>
      <c r="BT902" s="7"/>
      <c r="BU902" s="2" t="s">
        <v>147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3309</v>
      </c>
      <c r="B903" s="2" t="s">
        <v>87</v>
      </c>
      <c r="C903" s="2" t="s">
        <v>88</v>
      </c>
      <c r="D903" s="2" t="s">
        <v>3234</v>
      </c>
      <c r="E903" s="2" t="s">
        <v>3235</v>
      </c>
      <c r="F903" s="2" t="s">
        <v>1524</v>
      </c>
      <c r="G903" s="2" t="s">
        <v>1525</v>
      </c>
      <c r="H903" s="2" t="s">
        <v>1526</v>
      </c>
      <c r="I903" s="2" t="s">
        <v>3310</v>
      </c>
      <c r="J903" s="2" t="s">
        <v>844</v>
      </c>
      <c r="K903" s="2" t="s">
        <v>1528</v>
      </c>
      <c r="L903" s="3">
        <v>22.85</v>
      </c>
      <c r="M903" s="3">
        <v>23.99</v>
      </c>
      <c r="N903" s="3">
        <v>49.99</v>
      </c>
      <c r="O903" s="2" t="s">
        <v>97</v>
      </c>
      <c r="P903" s="2" t="s">
        <v>182</v>
      </c>
      <c r="Q903" s="2" t="s">
        <v>99</v>
      </c>
      <c r="R903" s="2" t="s">
        <v>100</v>
      </c>
      <c r="S903" s="2" t="s">
        <v>1529</v>
      </c>
      <c r="T903" s="2" t="s">
        <v>184</v>
      </c>
      <c r="U903" s="2" t="s">
        <v>1482</v>
      </c>
      <c r="V903" s="2" t="s">
        <v>991</v>
      </c>
      <c r="W903" s="2" t="s">
        <v>1403</v>
      </c>
      <c r="X903" s="2" t="s">
        <v>1530</v>
      </c>
      <c r="Y903" s="2" t="s">
        <v>1534</v>
      </c>
      <c r="Z903" s="4">
        <v>46</v>
      </c>
      <c r="AA903" s="4">
        <f>=ROUNDDOWN(15.3333333333333,0)</f>
      </c>
      <c r="AB903" s="5">
        <v>3</v>
      </c>
      <c r="AC903" s="2" t="s">
        <v>1532</v>
      </c>
      <c r="AD903" s="4">
        <v>60</v>
      </c>
      <c r="AE903" s="4">
        <v>60</v>
      </c>
      <c r="AF903" s="6">
        <v>69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25</v>
      </c>
      <c r="BK903" s="8">
        <v>604.79</v>
      </c>
      <c r="BL903" s="2" t="s">
        <v>3311</v>
      </c>
      <c r="BM903" s="7"/>
      <c r="BN903" s="7"/>
      <c r="BO903" s="4"/>
      <c r="BP903" s="8"/>
      <c r="BQ903" s="4"/>
      <c r="BR903" s="8"/>
      <c r="BS903" s="7"/>
      <c r="BT903" s="7"/>
      <c r="BU903" s="2" t="s">
        <v>1171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3312</v>
      </c>
      <c r="B904" s="2" t="s">
        <v>87</v>
      </c>
      <c r="C904" s="2" t="s">
        <v>88</v>
      </c>
      <c r="D904" s="2" t="s">
        <v>3234</v>
      </c>
      <c r="E904" s="2" t="s">
        <v>3235</v>
      </c>
      <c r="F904" s="2" t="s">
        <v>1524</v>
      </c>
      <c r="G904" s="2" t="s">
        <v>1525</v>
      </c>
      <c r="H904" s="2" t="s">
        <v>1526</v>
      </c>
      <c r="I904" s="2" t="s">
        <v>3310</v>
      </c>
      <c r="J904" s="2" t="s">
        <v>850</v>
      </c>
      <c r="K904" s="2" t="s">
        <v>1528</v>
      </c>
      <c r="L904" s="3">
        <v>27.42</v>
      </c>
      <c r="M904" s="3">
        <v>28.79</v>
      </c>
      <c r="N904" s="3">
        <v>59.99</v>
      </c>
      <c r="O904" s="2" t="s">
        <v>97</v>
      </c>
      <c r="P904" s="2" t="s">
        <v>182</v>
      </c>
      <c r="Q904" s="2" t="s">
        <v>99</v>
      </c>
      <c r="R904" s="2" t="s">
        <v>100</v>
      </c>
      <c r="S904" s="2" t="s">
        <v>1529</v>
      </c>
      <c r="T904" s="2" t="s">
        <v>184</v>
      </c>
      <c r="U904" s="2" t="s">
        <v>1482</v>
      </c>
      <c r="V904" s="2" t="s">
        <v>991</v>
      </c>
      <c r="W904" s="2" t="s">
        <v>1403</v>
      </c>
      <c r="X904" s="2" t="s">
        <v>1530</v>
      </c>
      <c r="Y904" s="2" t="s">
        <v>1534</v>
      </c>
      <c r="Z904" s="4">
        <v>64</v>
      </c>
      <c r="AA904" s="4">
        <f>=ROUNDDOWN(16,0)</f>
      </c>
      <c r="AB904" s="5">
        <v>4</v>
      </c>
      <c r="AC904" s="2" t="s">
        <v>1532</v>
      </c>
      <c r="AD904" s="4">
        <v>90</v>
      </c>
      <c r="AE904" s="4">
        <v>90</v>
      </c>
      <c r="AF904" s="6">
        <v>69</v>
      </c>
      <c r="AG904" s="6"/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26</v>
      </c>
      <c r="BK904" s="8">
        <v>771.8</v>
      </c>
      <c r="BL904" s="2" t="s">
        <v>1577</v>
      </c>
      <c r="BM904" s="7"/>
      <c r="BN904" s="7"/>
      <c r="BO904" s="4"/>
      <c r="BP904" s="8"/>
      <c r="BQ904" s="4"/>
      <c r="BR904" s="8"/>
      <c r="BS904" s="7"/>
      <c r="BT904" s="7"/>
      <c r="BU904" s="2" t="s">
        <v>1171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3313</v>
      </c>
      <c r="B905" s="2" t="s">
        <v>87</v>
      </c>
      <c r="C905" s="2" t="s">
        <v>88</v>
      </c>
      <c r="D905" s="2" t="s">
        <v>3234</v>
      </c>
      <c r="E905" s="2" t="s">
        <v>3235</v>
      </c>
      <c r="F905" s="2" t="s">
        <v>483</v>
      </c>
      <c r="G905" s="2" t="s">
        <v>484</v>
      </c>
      <c r="H905" s="2" t="s">
        <v>485</v>
      </c>
      <c r="I905" s="2" t="s">
        <v>3258</v>
      </c>
      <c r="J905" s="2" t="s">
        <v>844</v>
      </c>
      <c r="K905" s="2" t="s">
        <v>488</v>
      </c>
      <c r="L905" s="3">
        <v>54.99</v>
      </c>
      <c r="M905" s="3">
        <v>57.74</v>
      </c>
      <c r="N905" s="3">
        <v>109.99</v>
      </c>
      <c r="O905" s="2" t="s">
        <v>97</v>
      </c>
      <c r="P905" s="2" t="s">
        <v>182</v>
      </c>
      <c r="Q905" s="2" t="s">
        <v>99</v>
      </c>
      <c r="R905" s="2" t="s">
        <v>100</v>
      </c>
      <c r="S905" s="2" t="s">
        <v>489</v>
      </c>
      <c r="T905" s="2" t="s">
        <v>100</v>
      </c>
      <c r="U905" s="2" t="s">
        <v>490</v>
      </c>
      <c r="V905" s="2" t="s">
        <v>491</v>
      </c>
      <c r="W905" s="2" t="s">
        <v>104</v>
      </c>
      <c r="X905" s="2" t="s">
        <v>492</v>
      </c>
      <c r="Y905" s="2" t="s">
        <v>498</v>
      </c>
      <c r="Z905" s="4">
        <v>216</v>
      </c>
      <c r="AA905" s="4">
        <f>=ROUNDDOWN(24,0)</f>
      </c>
      <c r="AB905" s="5">
        <v>9</v>
      </c>
      <c r="AC905" s="2" t="s">
        <v>138</v>
      </c>
      <c r="AD905" s="4">
        <v>60</v>
      </c>
      <c r="AE905" s="4">
        <v>120</v>
      </c>
      <c r="AF905" s="6">
        <v>65</v>
      </c>
      <c r="AG905" s="6">
        <v>73</v>
      </c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163</v>
      </c>
      <c r="BK905" s="8">
        <v>9544.48</v>
      </c>
      <c r="BL905" s="2" t="s">
        <v>3314</v>
      </c>
      <c r="BM905" s="7"/>
      <c r="BN905" s="7"/>
      <c r="BO905" s="4"/>
      <c r="BP905" s="8"/>
      <c r="BQ905" s="4"/>
      <c r="BR905" s="8"/>
      <c r="BS905" s="7"/>
      <c r="BT905" s="7"/>
      <c r="BU905" s="2" t="s">
        <v>147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3315</v>
      </c>
      <c r="B906" s="2" t="s">
        <v>87</v>
      </c>
      <c r="C906" s="2" t="s">
        <v>88</v>
      </c>
      <c r="D906" s="2" t="s">
        <v>3234</v>
      </c>
      <c r="E906" s="2" t="s">
        <v>3235</v>
      </c>
      <c r="F906" s="2" t="s">
        <v>483</v>
      </c>
      <c r="G906" s="2" t="s">
        <v>484</v>
      </c>
      <c r="H906" s="2" t="s">
        <v>485</v>
      </c>
      <c r="I906" s="2" t="s">
        <v>3258</v>
      </c>
      <c r="J906" s="2" t="s">
        <v>850</v>
      </c>
      <c r="K906" s="2" t="s">
        <v>488</v>
      </c>
      <c r="L906" s="3">
        <v>59.99</v>
      </c>
      <c r="M906" s="3">
        <v>62.99</v>
      </c>
      <c r="N906" s="3">
        <v>119.99</v>
      </c>
      <c r="O906" s="2" t="s">
        <v>97</v>
      </c>
      <c r="P906" s="2" t="s">
        <v>182</v>
      </c>
      <c r="Q906" s="2" t="s">
        <v>99</v>
      </c>
      <c r="R906" s="2" t="s">
        <v>100</v>
      </c>
      <c r="S906" s="2" t="s">
        <v>489</v>
      </c>
      <c r="T906" s="2" t="s">
        <v>100</v>
      </c>
      <c r="U906" s="2" t="s">
        <v>490</v>
      </c>
      <c r="V906" s="2" t="s">
        <v>491</v>
      </c>
      <c r="W906" s="2" t="s">
        <v>104</v>
      </c>
      <c r="X906" s="2" t="s">
        <v>492</v>
      </c>
      <c r="Y906" s="2" t="s">
        <v>502</v>
      </c>
      <c r="Z906" s="4">
        <v>164</v>
      </c>
      <c r="AA906" s="4">
        <f>=ROUNDDOWN(32.8,0)</f>
      </c>
      <c r="AB906" s="5">
        <v>5</v>
      </c>
      <c r="AC906" s="2" t="s">
        <v>138</v>
      </c>
      <c r="AD906" s="4">
        <v>30</v>
      </c>
      <c r="AE906" s="4">
        <v>90</v>
      </c>
      <c r="AF906" s="6">
        <v>65</v>
      </c>
      <c r="AG906" s="6">
        <v>73</v>
      </c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74</v>
      </c>
      <c r="BK906" s="8">
        <v>4670.01</v>
      </c>
      <c r="BL906" s="2" t="s">
        <v>3316</v>
      </c>
      <c r="BM906" s="7"/>
      <c r="BN906" s="7"/>
      <c r="BO906" s="4"/>
      <c r="BP906" s="8"/>
      <c r="BQ906" s="4"/>
      <c r="BR906" s="8"/>
      <c r="BS906" s="7"/>
      <c r="BT906" s="7"/>
      <c r="BU906" s="2" t="s">
        <v>147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3317</v>
      </c>
      <c r="B907" s="2" t="s">
        <v>87</v>
      </c>
      <c r="C907" s="2" t="s">
        <v>88</v>
      </c>
      <c r="D907" s="2" t="s">
        <v>3234</v>
      </c>
      <c r="E907" s="2" t="s">
        <v>3235</v>
      </c>
      <c r="F907" s="2" t="s">
        <v>483</v>
      </c>
      <c r="G907" s="2" t="s">
        <v>484</v>
      </c>
      <c r="H907" s="2" t="s">
        <v>485</v>
      </c>
      <c r="I907" s="2" t="s">
        <v>3258</v>
      </c>
      <c r="J907" s="2" t="s">
        <v>844</v>
      </c>
      <c r="K907" s="2" t="s">
        <v>536</v>
      </c>
      <c r="L907" s="3">
        <v>54.99</v>
      </c>
      <c r="M907" s="3">
        <v>57.74</v>
      </c>
      <c r="N907" s="3">
        <v>109.99</v>
      </c>
      <c r="O907" s="2" t="s">
        <v>97</v>
      </c>
      <c r="P907" s="2" t="s">
        <v>182</v>
      </c>
      <c r="Q907" s="2" t="s">
        <v>99</v>
      </c>
      <c r="R907" s="2" t="s">
        <v>100</v>
      </c>
      <c r="S907" s="2" t="s">
        <v>537</v>
      </c>
      <c r="T907" s="2" t="s">
        <v>100</v>
      </c>
      <c r="U907" s="2" t="s">
        <v>490</v>
      </c>
      <c r="V907" s="2" t="s">
        <v>491</v>
      </c>
      <c r="W907" s="2" t="s">
        <v>104</v>
      </c>
      <c r="X907" s="2" t="s">
        <v>492</v>
      </c>
      <c r="Y907" s="2" t="s">
        <v>106</v>
      </c>
      <c r="Z907" s="4">
        <v>54</v>
      </c>
      <c r="AA907" s="4">
        <f>=ROUNDDOWN(10.8,0)</f>
      </c>
      <c r="AB907" s="5">
        <v>5</v>
      </c>
      <c r="AC907" s="2" t="s">
        <v>494</v>
      </c>
      <c r="AD907" s="4">
        <v>30</v>
      </c>
      <c r="AE907" s="4">
        <v>200</v>
      </c>
      <c r="AF907" s="6">
        <v>65</v>
      </c>
      <c r="AG907" s="6"/>
      <c r="AH907" s="7">
        <v>0.9879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99</v>
      </c>
      <c r="BK907" s="8">
        <v>5578.78</v>
      </c>
      <c r="BL907" s="2" t="s">
        <v>3318</v>
      </c>
      <c r="BM907" s="7"/>
      <c r="BN907" s="7"/>
      <c r="BO907" s="4"/>
      <c r="BP907" s="8"/>
      <c r="BQ907" s="4"/>
      <c r="BR907" s="8"/>
      <c r="BS907" s="7"/>
      <c r="BT907" s="7"/>
      <c r="BU907" s="2" t="s">
        <v>147</v>
      </c>
      <c r="BV907" s="2" t="s">
        <v>97</v>
      </c>
      <c r="BW907" s="2" t="s">
        <v>100</v>
      </c>
      <c r="BX907" s="2" t="s">
        <v>100</v>
      </c>
      <c r="BY907" s="2" t="s">
        <v>112</v>
      </c>
      <c r="BZ907" s="2" t="s">
        <v>100</v>
      </c>
    </row>
    <row r="908">
      <c r="A908" s="2" t="s">
        <v>3319</v>
      </c>
      <c r="B908" s="2" t="s">
        <v>87</v>
      </c>
      <c r="C908" s="2" t="s">
        <v>88</v>
      </c>
      <c r="D908" s="2" t="s">
        <v>3234</v>
      </c>
      <c r="E908" s="2" t="s">
        <v>3235</v>
      </c>
      <c r="F908" s="2" t="s">
        <v>483</v>
      </c>
      <c r="G908" s="2" t="s">
        <v>484</v>
      </c>
      <c r="H908" s="2" t="s">
        <v>485</v>
      </c>
      <c r="I908" s="2" t="s">
        <v>3258</v>
      </c>
      <c r="J908" s="2" t="s">
        <v>850</v>
      </c>
      <c r="K908" s="2" t="s">
        <v>536</v>
      </c>
      <c r="L908" s="3">
        <v>59.99</v>
      </c>
      <c r="M908" s="3">
        <v>62.99</v>
      </c>
      <c r="N908" s="3">
        <v>119.99</v>
      </c>
      <c r="O908" s="2" t="s">
        <v>97</v>
      </c>
      <c r="P908" s="2" t="s">
        <v>182</v>
      </c>
      <c r="Q908" s="2" t="s">
        <v>99</v>
      </c>
      <c r="R908" s="2" t="s">
        <v>100</v>
      </c>
      <c r="S908" s="2" t="s">
        <v>537</v>
      </c>
      <c r="T908" s="2" t="s">
        <v>100</v>
      </c>
      <c r="U908" s="2" t="s">
        <v>490</v>
      </c>
      <c r="V908" s="2" t="s">
        <v>491</v>
      </c>
      <c r="W908" s="2" t="s">
        <v>104</v>
      </c>
      <c r="X908" s="2" t="s">
        <v>492</v>
      </c>
      <c r="Y908" s="2" t="s">
        <v>106</v>
      </c>
      <c r="Z908" s="4">
        <v>71</v>
      </c>
      <c r="AA908" s="4">
        <f>=ROUNDDOWN(11.8333333333333,0)</f>
      </c>
      <c r="AB908" s="5">
        <v>6</v>
      </c>
      <c r="AC908" s="2" t="s">
        <v>494</v>
      </c>
      <c r="AD908" s="4">
        <v>30</v>
      </c>
      <c r="AE908" s="4">
        <v>130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>
        <v>79</v>
      </c>
      <c r="BK908" s="8">
        <v>4988.78</v>
      </c>
      <c r="BL908" s="2" t="s">
        <v>2925</v>
      </c>
      <c r="BM908" s="7"/>
      <c r="BN908" s="7"/>
      <c r="BO908" s="4"/>
      <c r="BP908" s="8"/>
      <c r="BQ908" s="4"/>
      <c r="BR908" s="8"/>
      <c r="BS908" s="7"/>
      <c r="BT908" s="7"/>
      <c r="BU908" s="2" t="s">
        <v>147</v>
      </c>
      <c r="BV908" s="2" t="s">
        <v>97</v>
      </c>
      <c r="BW908" s="2" t="s">
        <v>100</v>
      </c>
      <c r="BX908" s="2" t="s">
        <v>100</v>
      </c>
      <c r="BY908" s="2" t="s">
        <v>112</v>
      </c>
      <c r="BZ908" s="2" t="s">
        <v>100</v>
      </c>
    </row>
    <row r="909">
      <c r="A909" s="2" t="s">
        <v>3320</v>
      </c>
      <c r="B909" s="2" t="s">
        <v>87</v>
      </c>
      <c r="C909" s="2" t="s">
        <v>88</v>
      </c>
      <c r="D909" s="2" t="s">
        <v>3234</v>
      </c>
      <c r="E909" s="2" t="s">
        <v>3235</v>
      </c>
      <c r="F909" s="2" t="s">
        <v>483</v>
      </c>
      <c r="G909" s="2" t="s">
        <v>484</v>
      </c>
      <c r="H909" s="2" t="s">
        <v>485</v>
      </c>
      <c r="I909" s="2" t="s">
        <v>3258</v>
      </c>
      <c r="J909" s="2" t="s">
        <v>844</v>
      </c>
      <c r="K909" s="2" t="s">
        <v>510</v>
      </c>
      <c r="L909" s="3">
        <v>54.99</v>
      </c>
      <c r="M909" s="3">
        <v>57.74</v>
      </c>
      <c r="N909" s="3">
        <v>109.99</v>
      </c>
      <c r="O909" s="2" t="s">
        <v>97</v>
      </c>
      <c r="P909" s="2" t="s">
        <v>182</v>
      </c>
      <c r="Q909" s="2" t="s">
        <v>99</v>
      </c>
      <c r="R909" s="2" t="s">
        <v>100</v>
      </c>
      <c r="S909" s="2" t="s">
        <v>511</v>
      </c>
      <c r="T909" s="2" t="s">
        <v>100</v>
      </c>
      <c r="U909" s="2" t="s">
        <v>490</v>
      </c>
      <c r="V909" s="2" t="s">
        <v>491</v>
      </c>
      <c r="W909" s="2" t="s">
        <v>104</v>
      </c>
      <c r="X909" s="2" t="s">
        <v>492</v>
      </c>
      <c r="Y909" s="2" t="s">
        <v>106</v>
      </c>
      <c r="Z909" s="4">
        <v>155</v>
      </c>
      <c r="AA909" s="4">
        <f>=ROUNDDOWN(25.8333333333333,0)</f>
      </c>
      <c r="AB909" s="5">
        <v>6</v>
      </c>
      <c r="AC909" s="2" t="s">
        <v>512</v>
      </c>
      <c r="AD909" s="4">
        <v>30</v>
      </c>
      <c r="AE909" s="4">
        <v>110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>
        <v>111</v>
      </c>
      <c r="BK909" s="8">
        <v>6355.3</v>
      </c>
      <c r="BL909" s="2" t="s">
        <v>3321</v>
      </c>
      <c r="BM909" s="7"/>
      <c r="BN909" s="7"/>
      <c r="BO909" s="4"/>
      <c r="BP909" s="8"/>
      <c r="BQ909" s="4"/>
      <c r="BR909" s="8"/>
      <c r="BS909" s="7"/>
      <c r="BT909" s="7"/>
      <c r="BU909" s="2" t="s">
        <v>147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3322</v>
      </c>
      <c r="B910" s="2" t="s">
        <v>87</v>
      </c>
      <c r="C910" s="2" t="s">
        <v>88</v>
      </c>
      <c r="D910" s="2" t="s">
        <v>3234</v>
      </c>
      <c r="E910" s="2" t="s">
        <v>3235</v>
      </c>
      <c r="F910" s="2" t="s">
        <v>483</v>
      </c>
      <c r="G910" s="2" t="s">
        <v>484</v>
      </c>
      <c r="H910" s="2" t="s">
        <v>485</v>
      </c>
      <c r="I910" s="2" t="s">
        <v>3258</v>
      </c>
      <c r="J910" s="2" t="s">
        <v>850</v>
      </c>
      <c r="K910" s="2" t="s">
        <v>510</v>
      </c>
      <c r="L910" s="3">
        <v>59.99</v>
      </c>
      <c r="M910" s="3">
        <v>62.99</v>
      </c>
      <c r="N910" s="3">
        <v>119.99</v>
      </c>
      <c r="O910" s="2" t="s">
        <v>97</v>
      </c>
      <c r="P910" s="2" t="s">
        <v>182</v>
      </c>
      <c r="Q910" s="2" t="s">
        <v>99</v>
      </c>
      <c r="R910" s="2" t="s">
        <v>100</v>
      </c>
      <c r="S910" s="2" t="s">
        <v>511</v>
      </c>
      <c r="T910" s="2" t="s">
        <v>100</v>
      </c>
      <c r="U910" s="2" t="s">
        <v>490</v>
      </c>
      <c r="V910" s="2" t="s">
        <v>491</v>
      </c>
      <c r="W910" s="2" t="s">
        <v>104</v>
      </c>
      <c r="X910" s="2" t="s">
        <v>492</v>
      </c>
      <c r="Y910" s="2" t="s">
        <v>106</v>
      </c>
      <c r="Z910" s="4">
        <v>37</v>
      </c>
      <c r="AA910" s="4">
        <f>=ROUNDDOWN(7.4,0)</f>
      </c>
      <c r="AB910" s="5">
        <v>5</v>
      </c>
      <c r="AC910" s="2" t="s">
        <v>512</v>
      </c>
      <c r="AD910" s="4">
        <v>70</v>
      </c>
      <c r="AE910" s="4">
        <v>140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91</v>
      </c>
      <c r="BK910" s="8">
        <v>5734.52</v>
      </c>
      <c r="BL910" s="2" t="s">
        <v>1138</v>
      </c>
      <c r="BM910" s="7"/>
      <c r="BN910" s="7"/>
      <c r="BO910" s="4"/>
      <c r="BP910" s="8"/>
      <c r="BQ910" s="4"/>
      <c r="BR910" s="8"/>
      <c r="BS910" s="7"/>
      <c r="BT910" s="7"/>
      <c r="BU910" s="2" t="s">
        <v>147</v>
      </c>
      <c r="BV910" s="2" t="s">
        <v>97</v>
      </c>
      <c r="BW910" s="2" t="s">
        <v>100</v>
      </c>
      <c r="BX910" s="2" t="s">
        <v>100</v>
      </c>
      <c r="BY910" s="2" t="s">
        <v>112</v>
      </c>
      <c r="BZ910" s="2" t="s">
        <v>100</v>
      </c>
    </row>
    <row r="911">
      <c r="A911" s="2" t="s">
        <v>3323</v>
      </c>
      <c r="B911" s="2" t="s">
        <v>87</v>
      </c>
      <c r="C911" s="2" t="s">
        <v>88</v>
      </c>
      <c r="D911" s="2" t="s">
        <v>3234</v>
      </c>
      <c r="E911" s="2" t="s">
        <v>3235</v>
      </c>
      <c r="F911" s="2" t="s">
        <v>1716</v>
      </c>
      <c r="G911" s="2" t="s">
        <v>1717</v>
      </c>
      <c r="H911" s="2" t="s">
        <v>1718</v>
      </c>
      <c r="I911" s="2" t="s">
        <v>3324</v>
      </c>
      <c r="J911" s="2" t="s">
        <v>95</v>
      </c>
      <c r="K911" s="2" t="s">
        <v>96</v>
      </c>
      <c r="L911" s="3">
        <v>65.8</v>
      </c>
      <c r="M911" s="3">
        <v>69.09</v>
      </c>
      <c r="N911" s="3">
        <v>139.99</v>
      </c>
      <c r="O911" s="2" t="s">
        <v>97</v>
      </c>
      <c r="P911" s="2" t="s">
        <v>198</v>
      </c>
      <c r="Q911" s="2" t="s">
        <v>99</v>
      </c>
      <c r="R911" s="2" t="s">
        <v>100</v>
      </c>
      <c r="S911" s="2" t="s">
        <v>1720</v>
      </c>
      <c r="T911" s="2" t="s">
        <v>100</v>
      </c>
      <c r="U911" s="2" t="s">
        <v>807</v>
      </c>
      <c r="V911" s="2" t="s">
        <v>491</v>
      </c>
      <c r="W911" s="2" t="s">
        <v>104</v>
      </c>
      <c r="X911" s="2" t="s">
        <v>791</v>
      </c>
      <c r="Y911" s="2" t="s">
        <v>106</v>
      </c>
      <c r="Z911" s="4">
        <v>120</v>
      </c>
      <c r="AA911" s="4">
        <f>=ROUNDDOWN(30,0)</f>
      </c>
      <c r="AB911" s="5">
        <v>4</v>
      </c>
      <c r="AC911" s="2" t="s">
        <v>130</v>
      </c>
      <c r="AD911" s="4">
        <v>40</v>
      </c>
      <c r="AE911" s="4">
        <v>40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68</v>
      </c>
      <c r="BK911" s="8">
        <v>4633.46</v>
      </c>
      <c r="BL911" s="2" t="s">
        <v>3325</v>
      </c>
      <c r="BM911" s="7"/>
      <c r="BN911" s="7"/>
      <c r="BO911" s="4"/>
      <c r="BP911" s="8"/>
      <c r="BQ911" s="4"/>
      <c r="BR911" s="8"/>
      <c r="BS911" s="7"/>
      <c r="BT911" s="7"/>
      <c r="BU911" s="2" t="s">
        <v>147</v>
      </c>
      <c r="BV911" s="2" t="s">
        <v>97</v>
      </c>
      <c r="BW911" s="2" t="s">
        <v>100</v>
      </c>
      <c r="BX911" s="2" t="s">
        <v>100</v>
      </c>
      <c r="BY911" s="2" t="s">
        <v>112</v>
      </c>
      <c r="BZ911" s="2" t="s">
        <v>100</v>
      </c>
    </row>
    <row r="912">
      <c r="A912" s="2" t="s">
        <v>3326</v>
      </c>
      <c r="B912" s="2" t="s">
        <v>87</v>
      </c>
      <c r="C912" s="2" t="s">
        <v>88</v>
      </c>
      <c r="D912" s="2" t="s">
        <v>3234</v>
      </c>
      <c r="E912" s="2" t="s">
        <v>3235</v>
      </c>
      <c r="F912" s="2" t="s">
        <v>1716</v>
      </c>
      <c r="G912" s="2" t="s">
        <v>1717</v>
      </c>
      <c r="H912" s="2" t="s">
        <v>1718</v>
      </c>
      <c r="I912" s="2" t="s">
        <v>3324</v>
      </c>
      <c r="J912" s="2" t="s">
        <v>114</v>
      </c>
      <c r="K912" s="2" t="s">
        <v>96</v>
      </c>
      <c r="L912" s="3">
        <v>75.2</v>
      </c>
      <c r="M912" s="3">
        <v>78.96</v>
      </c>
      <c r="N912" s="3">
        <v>159.99</v>
      </c>
      <c r="O912" s="2" t="s">
        <v>97</v>
      </c>
      <c r="P912" s="2" t="s">
        <v>198</v>
      </c>
      <c r="Q912" s="2" t="s">
        <v>99</v>
      </c>
      <c r="R912" s="2" t="s">
        <v>100</v>
      </c>
      <c r="S912" s="2" t="s">
        <v>1720</v>
      </c>
      <c r="T912" s="2" t="s">
        <v>100</v>
      </c>
      <c r="U912" s="2" t="s">
        <v>807</v>
      </c>
      <c r="V912" s="2" t="s">
        <v>491</v>
      </c>
      <c r="W912" s="2" t="s">
        <v>104</v>
      </c>
      <c r="X912" s="2" t="s">
        <v>791</v>
      </c>
      <c r="Y912" s="2" t="s">
        <v>3327</v>
      </c>
      <c r="Z912" s="4">
        <v>123</v>
      </c>
      <c r="AA912" s="4">
        <f>=ROUNDDOWN(41,0)</f>
      </c>
      <c r="AB912" s="5">
        <v>3</v>
      </c>
      <c r="AC912" s="2" t="s">
        <v>100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53</v>
      </c>
      <c r="BK912" s="8">
        <v>4052.24</v>
      </c>
      <c r="BL912" s="2" t="s">
        <v>3328</v>
      </c>
      <c r="BM912" s="7"/>
      <c r="BN912" s="7"/>
      <c r="BO912" s="4"/>
      <c r="BP912" s="8"/>
      <c r="BQ912" s="4"/>
      <c r="BR912" s="8"/>
      <c r="BS912" s="7"/>
      <c r="BT912" s="7"/>
      <c r="BU912" s="2" t="s">
        <v>147</v>
      </c>
      <c r="BV912" s="2" t="s">
        <v>97</v>
      </c>
      <c r="BW912" s="2" t="s">
        <v>100</v>
      </c>
      <c r="BX912" s="2" t="s">
        <v>100</v>
      </c>
      <c r="BY912" s="2" t="s">
        <v>112</v>
      </c>
      <c r="BZ912" s="2" t="s">
        <v>100</v>
      </c>
    </row>
    <row r="913">
      <c r="A913" s="2" t="s">
        <v>3329</v>
      </c>
      <c r="B913" s="2" t="s">
        <v>87</v>
      </c>
      <c r="C913" s="2" t="s">
        <v>88</v>
      </c>
      <c r="D913" s="2" t="s">
        <v>3234</v>
      </c>
      <c r="E913" s="2" t="s">
        <v>3235</v>
      </c>
      <c r="F913" s="2" t="s">
        <v>1716</v>
      </c>
      <c r="G913" s="2" t="s">
        <v>1717</v>
      </c>
      <c r="H913" s="2" t="s">
        <v>1718</v>
      </c>
      <c r="I913" s="2" t="s">
        <v>3324</v>
      </c>
      <c r="J913" s="2" t="s">
        <v>118</v>
      </c>
      <c r="K913" s="2" t="s">
        <v>96</v>
      </c>
      <c r="L913" s="3">
        <v>75.2</v>
      </c>
      <c r="M913" s="3">
        <v>78.96</v>
      </c>
      <c r="N913" s="3">
        <v>159.99</v>
      </c>
      <c r="O913" s="2" t="s">
        <v>97</v>
      </c>
      <c r="P913" s="2" t="s">
        <v>198</v>
      </c>
      <c r="Q913" s="2" t="s">
        <v>99</v>
      </c>
      <c r="R913" s="2" t="s">
        <v>100</v>
      </c>
      <c r="S913" s="2" t="s">
        <v>1720</v>
      </c>
      <c r="T913" s="2" t="s">
        <v>100</v>
      </c>
      <c r="U913" s="2" t="s">
        <v>807</v>
      </c>
      <c r="V913" s="2" t="s">
        <v>491</v>
      </c>
      <c r="W913" s="2" t="s">
        <v>104</v>
      </c>
      <c r="X913" s="2" t="s">
        <v>791</v>
      </c>
      <c r="Y913" s="2" t="s">
        <v>3330</v>
      </c>
      <c r="Z913" s="4">
        <v>57</v>
      </c>
      <c r="AA913" s="4">
        <f>=ROUNDDOWN(28.5,0)</f>
      </c>
      <c r="AB913" s="5">
        <v>2</v>
      </c>
      <c r="AC913" s="2" t="s">
        <v>100</v>
      </c>
      <c r="AD913" s="4"/>
      <c r="AE913" s="4"/>
      <c r="AF913" s="6">
        <v>65</v>
      </c>
      <c r="AG913" s="6"/>
      <c r="AH913" s="7">
        <v>0.8545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24</v>
      </c>
      <c r="BK913" s="8">
        <v>1844.85</v>
      </c>
      <c r="BL913" s="2" t="s">
        <v>3331</v>
      </c>
      <c r="BM913" s="7"/>
      <c r="BN913" s="7"/>
      <c r="BO913" s="4"/>
      <c r="BP913" s="8"/>
      <c r="BQ913" s="4"/>
      <c r="BR913" s="8"/>
      <c r="BS913" s="7"/>
      <c r="BT913" s="7"/>
      <c r="BU913" s="2" t="s">
        <v>147</v>
      </c>
      <c r="BV913" s="2" t="s">
        <v>97</v>
      </c>
      <c r="BW913" s="2" t="s">
        <v>100</v>
      </c>
      <c r="BX913" s="2" t="s">
        <v>100</v>
      </c>
      <c r="BY913" s="2" t="s">
        <v>112</v>
      </c>
      <c r="BZ913" s="2" t="s">
        <v>100</v>
      </c>
    </row>
    <row r="914">
      <c r="A914" s="2" t="s">
        <v>3332</v>
      </c>
      <c r="B914" s="2" t="s">
        <v>87</v>
      </c>
      <c r="C914" s="2" t="s">
        <v>88</v>
      </c>
      <c r="D914" s="2" t="s">
        <v>3234</v>
      </c>
      <c r="E914" s="2" t="s">
        <v>3235</v>
      </c>
      <c r="F914" s="2" t="s">
        <v>1728</v>
      </c>
      <c r="G914" s="2" t="s">
        <v>1729</v>
      </c>
      <c r="H914" s="2" t="s">
        <v>1031</v>
      </c>
      <c r="I914" s="2" t="s">
        <v>3333</v>
      </c>
      <c r="J914" s="2" t="s">
        <v>844</v>
      </c>
      <c r="K914" s="2" t="s">
        <v>635</v>
      </c>
      <c r="L914" s="3">
        <v>53.9</v>
      </c>
      <c r="M914" s="3">
        <v>56.59</v>
      </c>
      <c r="N914" s="3">
        <v>109.99</v>
      </c>
      <c r="O914" s="2" t="s">
        <v>97</v>
      </c>
      <c r="P914" s="2" t="s">
        <v>182</v>
      </c>
      <c r="Q914" s="2" t="s">
        <v>99</v>
      </c>
      <c r="R914" s="2" t="s">
        <v>100</v>
      </c>
      <c r="S914" s="2" t="s">
        <v>1731</v>
      </c>
      <c r="T914" s="2" t="s">
        <v>100</v>
      </c>
      <c r="U914" s="2" t="s">
        <v>1482</v>
      </c>
      <c r="V914" s="2" t="s">
        <v>601</v>
      </c>
      <c r="W914" s="2" t="s">
        <v>733</v>
      </c>
      <c r="X914" s="2" t="s">
        <v>1732</v>
      </c>
      <c r="Y914" s="2" t="s">
        <v>1733</v>
      </c>
      <c r="Z914" s="4">
        <v>330</v>
      </c>
      <c r="AA914" s="4">
        <f>=ROUNDDOWN(55,0)</f>
      </c>
      <c r="AB914" s="5">
        <v>6</v>
      </c>
      <c r="AC914" s="2" t="s">
        <v>659</v>
      </c>
      <c r="AD914" s="4">
        <v>100</v>
      </c>
      <c r="AE914" s="4">
        <v>100</v>
      </c>
      <c r="AF914" s="6">
        <v>66</v>
      </c>
      <c r="AG914" s="6">
        <v>49</v>
      </c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109</v>
      </c>
      <c r="BK914" s="8">
        <v>6280.59</v>
      </c>
      <c r="BL914" s="2" t="s">
        <v>3334</v>
      </c>
      <c r="BM914" s="7"/>
      <c r="BN914" s="7"/>
      <c r="BO914" s="4"/>
      <c r="BP914" s="8"/>
      <c r="BQ914" s="4"/>
      <c r="BR914" s="8"/>
      <c r="BS914" s="7"/>
      <c r="BT914" s="7"/>
      <c r="BU914" s="2" t="s">
        <v>147</v>
      </c>
      <c r="BV914" s="2" t="s">
        <v>97</v>
      </c>
      <c r="BW914" s="2" t="s">
        <v>100</v>
      </c>
      <c r="BX914" s="2" t="s">
        <v>100</v>
      </c>
      <c r="BY914" s="2" t="s">
        <v>112</v>
      </c>
      <c r="BZ914" s="2" t="s">
        <v>100</v>
      </c>
    </row>
    <row r="915">
      <c r="A915" s="2" t="s">
        <v>3335</v>
      </c>
      <c r="B915" s="2" t="s">
        <v>87</v>
      </c>
      <c r="C915" s="2" t="s">
        <v>88</v>
      </c>
      <c r="D915" s="2" t="s">
        <v>3234</v>
      </c>
      <c r="E915" s="2" t="s">
        <v>3235</v>
      </c>
      <c r="F915" s="2" t="s">
        <v>1728</v>
      </c>
      <c r="G915" s="2" t="s">
        <v>1729</v>
      </c>
      <c r="H915" s="2" t="s">
        <v>1031</v>
      </c>
      <c r="I915" s="2" t="s">
        <v>3333</v>
      </c>
      <c r="J915" s="2" t="s">
        <v>850</v>
      </c>
      <c r="K915" s="2" t="s">
        <v>635</v>
      </c>
      <c r="L915" s="3">
        <v>58.8</v>
      </c>
      <c r="M915" s="3">
        <v>61.73</v>
      </c>
      <c r="N915" s="3">
        <v>119.99</v>
      </c>
      <c r="O915" s="2" t="s">
        <v>97</v>
      </c>
      <c r="P915" s="2" t="s">
        <v>182</v>
      </c>
      <c r="Q915" s="2" t="s">
        <v>99</v>
      </c>
      <c r="R915" s="2" t="s">
        <v>100</v>
      </c>
      <c r="S915" s="2" t="s">
        <v>1731</v>
      </c>
      <c r="T915" s="2" t="s">
        <v>100</v>
      </c>
      <c r="U915" s="2" t="s">
        <v>1482</v>
      </c>
      <c r="V915" s="2" t="s">
        <v>601</v>
      </c>
      <c r="W915" s="2" t="s">
        <v>733</v>
      </c>
      <c r="X915" s="2" t="s">
        <v>1732</v>
      </c>
      <c r="Y915" s="2" t="s">
        <v>1733</v>
      </c>
      <c r="Z915" s="4">
        <v>383</v>
      </c>
      <c r="AA915" s="4">
        <f>=ROUNDDOWN(42.5555555555556,0)</f>
      </c>
      <c r="AB915" s="5">
        <v>9</v>
      </c>
      <c r="AC915" s="2" t="s">
        <v>659</v>
      </c>
      <c r="AD915" s="4">
        <v>170</v>
      </c>
      <c r="AE915" s="4">
        <v>170</v>
      </c>
      <c r="AF915" s="6">
        <v>66</v>
      </c>
      <c r="AG915" s="6">
        <v>49</v>
      </c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128</v>
      </c>
      <c r="BK915" s="8">
        <v>8082.12</v>
      </c>
      <c r="BL915" s="2" t="s">
        <v>3336</v>
      </c>
      <c r="BM915" s="7"/>
      <c r="BN915" s="7"/>
      <c r="BO915" s="4"/>
      <c r="BP915" s="8"/>
      <c r="BQ915" s="4"/>
      <c r="BR915" s="8"/>
      <c r="BS915" s="7"/>
      <c r="BT915" s="7"/>
      <c r="BU915" s="2" t="s">
        <v>147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100</v>
      </c>
    </row>
    <row r="916">
      <c r="A916" s="2" t="s">
        <v>3337</v>
      </c>
      <c r="B916" s="2" t="s">
        <v>87</v>
      </c>
      <c r="C916" s="2" t="s">
        <v>88</v>
      </c>
      <c r="D916" s="2" t="s">
        <v>3234</v>
      </c>
      <c r="E916" s="2" t="s">
        <v>3235</v>
      </c>
      <c r="F916" s="2" t="s">
        <v>1042</v>
      </c>
      <c r="G916" s="2" t="s">
        <v>1043</v>
      </c>
      <c r="H916" s="2" t="s">
        <v>1044</v>
      </c>
      <c r="I916" s="2" t="s">
        <v>3338</v>
      </c>
      <c r="J916" s="2" t="s">
        <v>844</v>
      </c>
      <c r="K916" s="2" t="s">
        <v>267</v>
      </c>
      <c r="L916" s="3">
        <v>58.8</v>
      </c>
      <c r="M916" s="3">
        <v>61.74</v>
      </c>
      <c r="N916" s="3">
        <v>119.99</v>
      </c>
      <c r="O916" s="2" t="s">
        <v>97</v>
      </c>
      <c r="P916" s="2" t="s">
        <v>182</v>
      </c>
      <c r="Q916" s="2" t="s">
        <v>99</v>
      </c>
      <c r="R916" s="2" t="s">
        <v>100</v>
      </c>
      <c r="S916" s="2" t="s">
        <v>3339</v>
      </c>
      <c r="T916" s="2" t="s">
        <v>732</v>
      </c>
      <c r="U916" s="2" t="s">
        <v>490</v>
      </c>
      <c r="V916" s="2" t="s">
        <v>906</v>
      </c>
      <c r="W916" s="2" t="s">
        <v>906</v>
      </c>
      <c r="X916" s="2" t="s">
        <v>185</v>
      </c>
      <c r="Y916" s="2" t="s">
        <v>1056</v>
      </c>
      <c r="Z916" s="4">
        <v>183</v>
      </c>
      <c r="AA916" s="4">
        <f>=ROUNDDOWN(36.6,0)</f>
      </c>
      <c r="AB916" s="5">
        <v>5</v>
      </c>
      <c r="AC916" s="2" t="s">
        <v>1060</v>
      </c>
      <c r="AD916" s="4">
        <v>30</v>
      </c>
      <c r="AE916" s="4">
        <v>30</v>
      </c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107</v>
      </c>
      <c r="BK916" s="8">
        <v>6597.42</v>
      </c>
      <c r="BL916" s="2" t="s">
        <v>3340</v>
      </c>
      <c r="BM916" s="7"/>
      <c r="BN916" s="7"/>
      <c r="BO916" s="4"/>
      <c r="BP916" s="8"/>
      <c r="BQ916" s="4"/>
      <c r="BR916" s="8"/>
      <c r="BS916" s="7"/>
      <c r="BT916" s="7"/>
      <c r="BU916" s="2" t="s">
        <v>147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100</v>
      </c>
    </row>
    <row r="917">
      <c r="A917" s="2" t="s">
        <v>3341</v>
      </c>
      <c r="B917" s="2" t="s">
        <v>87</v>
      </c>
      <c r="C917" s="2" t="s">
        <v>88</v>
      </c>
      <c r="D917" s="2" t="s">
        <v>3234</v>
      </c>
      <c r="E917" s="2" t="s">
        <v>3235</v>
      </c>
      <c r="F917" s="2" t="s">
        <v>1042</v>
      </c>
      <c r="G917" s="2" t="s">
        <v>1043</v>
      </c>
      <c r="H917" s="2" t="s">
        <v>1044</v>
      </c>
      <c r="I917" s="2" t="s">
        <v>3338</v>
      </c>
      <c r="J917" s="2" t="s">
        <v>850</v>
      </c>
      <c r="K917" s="2" t="s">
        <v>267</v>
      </c>
      <c r="L917" s="3">
        <v>63.7</v>
      </c>
      <c r="M917" s="3">
        <v>66.89</v>
      </c>
      <c r="N917" s="3">
        <v>129.99</v>
      </c>
      <c r="O917" s="2" t="s">
        <v>97</v>
      </c>
      <c r="P917" s="2" t="s">
        <v>182</v>
      </c>
      <c r="Q917" s="2" t="s">
        <v>99</v>
      </c>
      <c r="R917" s="2" t="s">
        <v>100</v>
      </c>
      <c r="S917" s="2" t="s">
        <v>3339</v>
      </c>
      <c r="T917" s="2" t="s">
        <v>732</v>
      </c>
      <c r="U917" s="2" t="s">
        <v>490</v>
      </c>
      <c r="V917" s="2" t="s">
        <v>906</v>
      </c>
      <c r="W917" s="2" t="s">
        <v>906</v>
      </c>
      <c r="X917" s="2" t="s">
        <v>185</v>
      </c>
      <c r="Y917" s="2" t="s">
        <v>1056</v>
      </c>
      <c r="Z917" s="4">
        <v>188</v>
      </c>
      <c r="AA917" s="4">
        <f>=ROUNDDOWN(37.6,0)</f>
      </c>
      <c r="AB917" s="5">
        <v>5</v>
      </c>
      <c r="AC917" s="2" t="s">
        <v>1057</v>
      </c>
      <c r="AD917" s="4">
        <v>30</v>
      </c>
      <c r="AE917" s="4">
        <v>30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82</v>
      </c>
      <c r="BK917" s="8">
        <v>5365.19</v>
      </c>
      <c r="BL917" s="2" t="s">
        <v>1946</v>
      </c>
      <c r="BM917" s="7"/>
      <c r="BN917" s="7"/>
      <c r="BO917" s="4"/>
      <c r="BP917" s="8"/>
      <c r="BQ917" s="4"/>
      <c r="BR917" s="8"/>
      <c r="BS917" s="7"/>
      <c r="BT917" s="7"/>
      <c r="BU917" s="2" t="s">
        <v>147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100</v>
      </c>
    </row>
    <row r="918">
      <c r="A918" s="2" t="s">
        <v>3342</v>
      </c>
      <c r="B918" s="2" t="s">
        <v>87</v>
      </c>
      <c r="C918" s="2" t="s">
        <v>88</v>
      </c>
      <c r="D918" s="2" t="s">
        <v>3234</v>
      </c>
      <c r="E918" s="2" t="s">
        <v>3235</v>
      </c>
      <c r="F918" s="2" t="s">
        <v>1042</v>
      </c>
      <c r="G918" s="2" t="s">
        <v>1043</v>
      </c>
      <c r="H918" s="2" t="s">
        <v>1044</v>
      </c>
      <c r="I918" s="2" t="s">
        <v>3338</v>
      </c>
      <c r="J918" s="2" t="s">
        <v>844</v>
      </c>
      <c r="K918" s="2" t="s">
        <v>247</v>
      </c>
      <c r="L918" s="3">
        <v>58.8</v>
      </c>
      <c r="M918" s="3">
        <v>61.73</v>
      </c>
      <c r="N918" s="3">
        <v>119.99</v>
      </c>
      <c r="O918" s="2" t="s">
        <v>97</v>
      </c>
      <c r="P918" s="2" t="s">
        <v>182</v>
      </c>
      <c r="Q918" s="2" t="s">
        <v>99</v>
      </c>
      <c r="R918" s="2" t="s">
        <v>100</v>
      </c>
      <c r="S918" s="2" t="s">
        <v>1045</v>
      </c>
      <c r="T918" s="2" t="s">
        <v>732</v>
      </c>
      <c r="U918" s="2" t="s">
        <v>490</v>
      </c>
      <c r="V918" s="2" t="s">
        <v>906</v>
      </c>
      <c r="W918" s="2" t="s">
        <v>906</v>
      </c>
      <c r="X918" s="2" t="s">
        <v>907</v>
      </c>
      <c r="Y918" s="2" t="s">
        <v>106</v>
      </c>
      <c r="Z918" s="4">
        <v>48</v>
      </c>
      <c r="AA918" s="4">
        <f>=ROUNDDOWN(6,0)</f>
      </c>
      <c r="AB918" s="5">
        <v>8</v>
      </c>
      <c r="AC918" s="2" t="s">
        <v>563</v>
      </c>
      <c r="AD918" s="4">
        <v>40</v>
      </c>
      <c r="AE918" s="4">
        <v>210</v>
      </c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131</v>
      </c>
      <c r="BK918" s="8">
        <v>8167.57</v>
      </c>
      <c r="BL918" s="2" t="s">
        <v>3343</v>
      </c>
      <c r="BM918" s="7"/>
      <c r="BN918" s="7"/>
      <c r="BO918" s="4"/>
      <c r="BP918" s="8"/>
      <c r="BQ918" s="4"/>
      <c r="BR918" s="8"/>
      <c r="BS918" s="7"/>
      <c r="BT918" s="7"/>
      <c r="BU918" s="2" t="s">
        <v>147</v>
      </c>
      <c r="BV918" s="2" t="s">
        <v>97</v>
      </c>
      <c r="BW918" s="2" t="s">
        <v>100</v>
      </c>
      <c r="BX918" s="2" t="s">
        <v>100</v>
      </c>
      <c r="BY918" s="2" t="s">
        <v>112</v>
      </c>
      <c r="BZ918" s="2" t="s">
        <v>100</v>
      </c>
    </row>
    <row r="919">
      <c r="A919" s="2" t="s">
        <v>3344</v>
      </c>
      <c r="B919" s="2" t="s">
        <v>87</v>
      </c>
      <c r="C919" s="2" t="s">
        <v>88</v>
      </c>
      <c r="D919" s="2" t="s">
        <v>3234</v>
      </c>
      <c r="E919" s="2" t="s">
        <v>3235</v>
      </c>
      <c r="F919" s="2" t="s">
        <v>1042</v>
      </c>
      <c r="G919" s="2" t="s">
        <v>1043</v>
      </c>
      <c r="H919" s="2" t="s">
        <v>1044</v>
      </c>
      <c r="I919" s="2" t="s">
        <v>3338</v>
      </c>
      <c r="J919" s="2" t="s">
        <v>850</v>
      </c>
      <c r="K919" s="2" t="s">
        <v>247</v>
      </c>
      <c r="L919" s="3">
        <v>63.7</v>
      </c>
      <c r="M919" s="3">
        <v>66.88</v>
      </c>
      <c r="N919" s="3">
        <v>129.99</v>
      </c>
      <c r="O919" s="2" t="s">
        <v>97</v>
      </c>
      <c r="P919" s="2" t="s">
        <v>182</v>
      </c>
      <c r="Q919" s="2" t="s">
        <v>99</v>
      </c>
      <c r="R919" s="2" t="s">
        <v>100</v>
      </c>
      <c r="S919" s="2" t="s">
        <v>1045</v>
      </c>
      <c r="T919" s="2" t="s">
        <v>732</v>
      </c>
      <c r="U919" s="2" t="s">
        <v>490</v>
      </c>
      <c r="V919" s="2" t="s">
        <v>906</v>
      </c>
      <c r="W919" s="2" t="s">
        <v>906</v>
      </c>
      <c r="X919" s="2" t="s">
        <v>907</v>
      </c>
      <c r="Y919" s="2" t="s">
        <v>106</v>
      </c>
      <c r="Z919" s="4">
        <v>129</v>
      </c>
      <c r="AA919" s="4">
        <f>=ROUNDDOWN(25.8,0)</f>
      </c>
      <c r="AB919" s="5">
        <v>5</v>
      </c>
      <c r="AC919" s="2" t="s">
        <v>1060</v>
      </c>
      <c r="AD919" s="4">
        <v>60</v>
      </c>
      <c r="AE919" s="4">
        <v>60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79</v>
      </c>
      <c r="BK919" s="8">
        <v>5421.61</v>
      </c>
      <c r="BL919" s="2" t="s">
        <v>3345</v>
      </c>
      <c r="BM919" s="7"/>
      <c r="BN919" s="7"/>
      <c r="BO919" s="4"/>
      <c r="BP919" s="8"/>
      <c r="BQ919" s="4"/>
      <c r="BR919" s="8"/>
      <c r="BS919" s="7"/>
      <c r="BT919" s="7"/>
      <c r="BU919" s="2" t="s">
        <v>147</v>
      </c>
      <c r="BV919" s="2" t="s">
        <v>97</v>
      </c>
      <c r="BW919" s="2" t="s">
        <v>100</v>
      </c>
      <c r="BX919" s="2" t="s">
        <v>100</v>
      </c>
      <c r="BY919" s="2" t="s">
        <v>112</v>
      </c>
      <c r="BZ919" s="2" t="s">
        <v>100</v>
      </c>
    </row>
    <row r="920">
      <c r="A920" s="2" t="s">
        <v>3346</v>
      </c>
      <c r="B920" s="2" t="s">
        <v>87</v>
      </c>
      <c r="C920" s="2" t="s">
        <v>88</v>
      </c>
      <c r="D920" s="2" t="s">
        <v>3234</v>
      </c>
      <c r="E920" s="2" t="s">
        <v>3235</v>
      </c>
      <c r="F920" s="2" t="s">
        <v>1906</v>
      </c>
      <c r="G920" s="2" t="s">
        <v>1907</v>
      </c>
      <c r="H920" s="2" t="s">
        <v>1561</v>
      </c>
      <c r="I920" s="2" t="s">
        <v>3347</v>
      </c>
      <c r="J920" s="2" t="s">
        <v>844</v>
      </c>
      <c r="K920" s="2" t="s">
        <v>1637</v>
      </c>
      <c r="L920" s="3">
        <v>53.9</v>
      </c>
      <c r="M920" s="3">
        <v>56.59</v>
      </c>
      <c r="N920" s="3">
        <v>109.99</v>
      </c>
      <c r="O920" s="2" t="s">
        <v>97</v>
      </c>
      <c r="P920" s="2" t="s">
        <v>182</v>
      </c>
      <c r="Q920" s="2" t="s">
        <v>99</v>
      </c>
      <c r="R920" s="2" t="s">
        <v>100</v>
      </c>
      <c r="S920" s="2" t="s">
        <v>3348</v>
      </c>
      <c r="T920" s="2" t="s">
        <v>100</v>
      </c>
      <c r="U920" s="2" t="s">
        <v>490</v>
      </c>
      <c r="V920" s="2" t="s">
        <v>1287</v>
      </c>
      <c r="W920" s="2" t="s">
        <v>312</v>
      </c>
      <c r="X920" s="2" t="s">
        <v>185</v>
      </c>
      <c r="Y920" s="2" t="s">
        <v>1917</v>
      </c>
      <c r="Z920" s="4">
        <v>279</v>
      </c>
      <c r="AA920" s="4">
        <f>=ROUNDDOWN(55.8,0)</f>
      </c>
      <c r="AB920" s="5">
        <v>5</v>
      </c>
      <c r="AC920" s="2" t="s">
        <v>847</v>
      </c>
      <c r="AD920" s="4">
        <v>100</v>
      </c>
      <c r="AE920" s="4">
        <v>150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94</v>
      </c>
      <c r="BK920" s="8">
        <v>5087.11</v>
      </c>
      <c r="BL920" s="2" t="s">
        <v>2946</v>
      </c>
      <c r="BM920" s="7"/>
      <c r="BN920" s="7"/>
      <c r="BO920" s="4"/>
      <c r="BP920" s="8"/>
      <c r="BQ920" s="4"/>
      <c r="BR920" s="8"/>
      <c r="BS920" s="7"/>
      <c r="BT920" s="7"/>
      <c r="BU920" s="2" t="s">
        <v>147</v>
      </c>
      <c r="BV920" s="2" t="s">
        <v>97</v>
      </c>
      <c r="BW920" s="2" t="s">
        <v>100</v>
      </c>
      <c r="BX920" s="2" t="s">
        <v>100</v>
      </c>
      <c r="BY920" s="2" t="s">
        <v>112</v>
      </c>
      <c r="BZ920" s="2" t="s">
        <v>100</v>
      </c>
    </row>
    <row r="921">
      <c r="A921" s="2" t="s">
        <v>3349</v>
      </c>
      <c r="B921" s="2" t="s">
        <v>87</v>
      </c>
      <c r="C921" s="2" t="s">
        <v>88</v>
      </c>
      <c r="D921" s="2" t="s">
        <v>3234</v>
      </c>
      <c r="E921" s="2" t="s">
        <v>3235</v>
      </c>
      <c r="F921" s="2" t="s">
        <v>1906</v>
      </c>
      <c r="G921" s="2" t="s">
        <v>1907</v>
      </c>
      <c r="H921" s="2" t="s">
        <v>1561</v>
      </c>
      <c r="I921" s="2" t="s">
        <v>3347</v>
      </c>
      <c r="J921" s="2" t="s">
        <v>850</v>
      </c>
      <c r="K921" s="2" t="s">
        <v>1637</v>
      </c>
      <c r="L921" s="3">
        <v>58.8</v>
      </c>
      <c r="M921" s="3">
        <v>61.73</v>
      </c>
      <c r="N921" s="3">
        <v>119.99</v>
      </c>
      <c r="O921" s="2" t="s">
        <v>97</v>
      </c>
      <c r="P921" s="2" t="s">
        <v>182</v>
      </c>
      <c r="Q921" s="2" t="s">
        <v>99</v>
      </c>
      <c r="R921" s="2" t="s">
        <v>100</v>
      </c>
      <c r="S921" s="2" t="s">
        <v>3348</v>
      </c>
      <c r="T921" s="2" t="s">
        <v>100</v>
      </c>
      <c r="U921" s="2" t="s">
        <v>490</v>
      </c>
      <c r="V921" s="2" t="s">
        <v>1287</v>
      </c>
      <c r="W921" s="2" t="s">
        <v>312</v>
      </c>
      <c r="X921" s="2" t="s">
        <v>185</v>
      </c>
      <c r="Y921" s="2" t="s">
        <v>1917</v>
      </c>
      <c r="Z921" s="4">
        <v>354</v>
      </c>
      <c r="AA921" s="4">
        <f>=ROUNDDOWN(50.5714285714286,0)</f>
      </c>
      <c r="AB921" s="5">
        <v>7</v>
      </c>
      <c r="AC921" s="2" t="s">
        <v>847</v>
      </c>
      <c r="AD921" s="4">
        <v>100</v>
      </c>
      <c r="AE921" s="4">
        <v>300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134</v>
      </c>
      <c r="BK921" s="8">
        <v>8002.41</v>
      </c>
      <c r="BL921" s="2" t="s">
        <v>3350</v>
      </c>
      <c r="BM921" s="7"/>
      <c r="BN921" s="7"/>
      <c r="BO921" s="4"/>
      <c r="BP921" s="8"/>
      <c r="BQ921" s="4"/>
      <c r="BR921" s="8"/>
      <c r="BS921" s="7"/>
      <c r="BT921" s="7"/>
      <c r="BU921" s="2" t="s">
        <v>147</v>
      </c>
      <c r="BV921" s="2" t="s">
        <v>97</v>
      </c>
      <c r="BW921" s="2" t="s">
        <v>100</v>
      </c>
      <c r="BX921" s="2" t="s">
        <v>100</v>
      </c>
      <c r="BY921" s="2" t="s">
        <v>112</v>
      </c>
      <c r="BZ921" s="2" t="s">
        <v>100</v>
      </c>
    </row>
    <row r="922">
      <c r="A922" s="2" t="s">
        <v>3351</v>
      </c>
      <c r="B922" s="2" t="s">
        <v>87</v>
      </c>
      <c r="C922" s="2" t="s">
        <v>88</v>
      </c>
      <c r="D922" s="2" t="s">
        <v>3234</v>
      </c>
      <c r="E922" s="2" t="s">
        <v>3235</v>
      </c>
      <c r="F922" s="2" t="s">
        <v>1906</v>
      </c>
      <c r="G922" s="2" t="s">
        <v>1907</v>
      </c>
      <c r="H922" s="2" t="s">
        <v>1561</v>
      </c>
      <c r="I922" s="2" t="s">
        <v>3347</v>
      </c>
      <c r="J922" s="2" t="s">
        <v>844</v>
      </c>
      <c r="K922" s="2" t="s">
        <v>96</v>
      </c>
      <c r="L922" s="3">
        <v>53.9</v>
      </c>
      <c r="M922" s="3">
        <v>56.59</v>
      </c>
      <c r="N922" s="3">
        <v>109.99</v>
      </c>
      <c r="O922" s="2" t="s">
        <v>97</v>
      </c>
      <c r="P922" s="2" t="s">
        <v>182</v>
      </c>
      <c r="Q922" s="2" t="s">
        <v>99</v>
      </c>
      <c r="R922" s="2" t="s">
        <v>100</v>
      </c>
      <c r="S922" s="2" t="s">
        <v>100</v>
      </c>
      <c r="T922" s="2" t="s">
        <v>100</v>
      </c>
      <c r="U922" s="2" t="s">
        <v>490</v>
      </c>
      <c r="V922" s="2" t="s">
        <v>1287</v>
      </c>
      <c r="W922" s="2" t="s">
        <v>312</v>
      </c>
      <c r="X922" s="2" t="s">
        <v>185</v>
      </c>
      <c r="Y922" s="2" t="s">
        <v>1909</v>
      </c>
      <c r="Z922" s="4">
        <v>113</v>
      </c>
      <c r="AA922" s="4">
        <f>=ROUNDDOWN(28.25,0)</f>
      </c>
      <c r="AB922" s="5">
        <v>4</v>
      </c>
      <c r="AC922" s="2" t="s">
        <v>847</v>
      </c>
      <c r="AD922" s="4">
        <v>50</v>
      </c>
      <c r="AE922" s="4">
        <v>50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69</v>
      </c>
      <c r="BK922" s="8">
        <v>3575.55</v>
      </c>
      <c r="BL922" s="2" t="s">
        <v>3352</v>
      </c>
      <c r="BM922" s="7"/>
      <c r="BN922" s="7"/>
      <c r="BO922" s="4"/>
      <c r="BP922" s="8"/>
      <c r="BQ922" s="4"/>
      <c r="BR922" s="8"/>
      <c r="BS922" s="7"/>
      <c r="BT922" s="7"/>
      <c r="BU922" s="2" t="s">
        <v>147</v>
      </c>
      <c r="BV922" s="2" t="s">
        <v>97</v>
      </c>
      <c r="BW922" s="2" t="s">
        <v>100</v>
      </c>
      <c r="BX922" s="2" t="s">
        <v>100</v>
      </c>
      <c r="BY922" s="2" t="s">
        <v>112</v>
      </c>
      <c r="BZ922" s="2" t="s">
        <v>100</v>
      </c>
    </row>
    <row r="923">
      <c r="A923" s="2" t="s">
        <v>3353</v>
      </c>
      <c r="B923" s="2" t="s">
        <v>87</v>
      </c>
      <c r="C923" s="2" t="s">
        <v>88</v>
      </c>
      <c r="D923" s="2" t="s">
        <v>3234</v>
      </c>
      <c r="E923" s="2" t="s">
        <v>3235</v>
      </c>
      <c r="F923" s="2" t="s">
        <v>1906</v>
      </c>
      <c r="G923" s="2" t="s">
        <v>1907</v>
      </c>
      <c r="H923" s="2" t="s">
        <v>1561</v>
      </c>
      <c r="I923" s="2" t="s">
        <v>3347</v>
      </c>
      <c r="J923" s="2" t="s">
        <v>850</v>
      </c>
      <c r="K923" s="2" t="s">
        <v>96</v>
      </c>
      <c r="L923" s="3">
        <v>58.8</v>
      </c>
      <c r="M923" s="3">
        <v>61.73</v>
      </c>
      <c r="N923" s="3">
        <v>119.99</v>
      </c>
      <c r="O923" s="2" t="s">
        <v>97</v>
      </c>
      <c r="P923" s="2" t="s">
        <v>182</v>
      </c>
      <c r="Q923" s="2" t="s">
        <v>99</v>
      </c>
      <c r="R923" s="2" t="s">
        <v>100</v>
      </c>
      <c r="S923" s="2" t="s">
        <v>100</v>
      </c>
      <c r="T923" s="2" t="s">
        <v>100</v>
      </c>
      <c r="U923" s="2" t="s">
        <v>490</v>
      </c>
      <c r="V923" s="2" t="s">
        <v>1287</v>
      </c>
      <c r="W923" s="2" t="s">
        <v>312</v>
      </c>
      <c r="X923" s="2" t="s">
        <v>185</v>
      </c>
      <c r="Y923" s="2" t="s">
        <v>1909</v>
      </c>
      <c r="Z923" s="4">
        <v>150</v>
      </c>
      <c r="AA923" s="4">
        <f>=ROUNDDOWN(50,0)</f>
      </c>
      <c r="AB923" s="5">
        <v>3</v>
      </c>
      <c r="AC923" s="2" t="s">
        <v>847</v>
      </c>
      <c r="AD923" s="4">
        <v>70</v>
      </c>
      <c r="AE923" s="4">
        <v>70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58</v>
      </c>
      <c r="BK923" s="8">
        <v>3355.86</v>
      </c>
      <c r="BL923" s="2" t="s">
        <v>3354</v>
      </c>
      <c r="BM923" s="7"/>
      <c r="BN923" s="7"/>
      <c r="BO923" s="4"/>
      <c r="BP923" s="8"/>
      <c r="BQ923" s="4"/>
      <c r="BR923" s="8"/>
      <c r="BS923" s="7"/>
      <c r="BT923" s="7"/>
      <c r="BU923" s="2" t="s">
        <v>147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100</v>
      </c>
    </row>
    <row r="924">
      <c r="A924" s="2" t="s">
        <v>3355</v>
      </c>
      <c r="B924" s="2" t="s">
        <v>87</v>
      </c>
      <c r="C924" s="2" t="s">
        <v>88</v>
      </c>
      <c r="D924" s="2" t="s">
        <v>3234</v>
      </c>
      <c r="E924" s="2" t="s">
        <v>3235</v>
      </c>
      <c r="F924" s="2" t="s">
        <v>1030</v>
      </c>
      <c r="G924" s="2" t="s">
        <v>1031</v>
      </c>
      <c r="H924" s="2" t="s">
        <v>1032</v>
      </c>
      <c r="I924" s="2" t="s">
        <v>3258</v>
      </c>
      <c r="J924" s="2" t="s">
        <v>95</v>
      </c>
      <c r="K924" s="2" t="s">
        <v>333</v>
      </c>
      <c r="L924" s="3">
        <v>54.99</v>
      </c>
      <c r="M924" s="3">
        <v>57.74</v>
      </c>
      <c r="N924" s="3">
        <v>109.99</v>
      </c>
      <c r="O924" s="2" t="s">
        <v>97</v>
      </c>
      <c r="P924" s="2" t="s">
        <v>198</v>
      </c>
      <c r="Q924" s="2" t="s">
        <v>99</v>
      </c>
      <c r="R924" s="2" t="s">
        <v>100</v>
      </c>
      <c r="S924" s="2" t="s">
        <v>1033</v>
      </c>
      <c r="T924" s="2" t="s">
        <v>100</v>
      </c>
      <c r="U924" s="2" t="s">
        <v>490</v>
      </c>
      <c r="V924" s="2" t="s">
        <v>491</v>
      </c>
      <c r="W924" s="2" t="s">
        <v>104</v>
      </c>
      <c r="X924" s="2" t="s">
        <v>201</v>
      </c>
      <c r="Y924" s="2" t="s">
        <v>106</v>
      </c>
      <c r="Z924" s="4">
        <v>77</v>
      </c>
      <c r="AA924" s="4">
        <f>=ROUNDDOWN(59.2307692307692,0)</f>
      </c>
      <c r="AB924" s="5">
        <v>1.3</v>
      </c>
      <c r="AC924" s="2" t="s">
        <v>100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62</v>
      </c>
      <c r="BK924" s="8">
        <v>3519.02</v>
      </c>
      <c r="BL924" s="2" t="s">
        <v>3356</v>
      </c>
      <c r="BM924" s="7"/>
      <c r="BN924" s="7"/>
      <c r="BO924" s="4"/>
      <c r="BP924" s="8"/>
      <c r="BQ924" s="4"/>
      <c r="BR924" s="8"/>
      <c r="BS924" s="7"/>
      <c r="BT924" s="7"/>
      <c r="BU924" s="2" t="s">
        <v>147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100</v>
      </c>
    </row>
    <row r="925">
      <c r="A925" s="2" t="s">
        <v>3357</v>
      </c>
      <c r="B925" s="2" t="s">
        <v>87</v>
      </c>
      <c r="C925" s="2" t="s">
        <v>88</v>
      </c>
      <c r="D925" s="2" t="s">
        <v>3234</v>
      </c>
      <c r="E925" s="2" t="s">
        <v>3235</v>
      </c>
      <c r="F925" s="2" t="s">
        <v>1030</v>
      </c>
      <c r="G925" s="2" t="s">
        <v>1031</v>
      </c>
      <c r="H925" s="2" t="s">
        <v>1032</v>
      </c>
      <c r="I925" s="2" t="s">
        <v>3258</v>
      </c>
      <c r="J925" s="2" t="s">
        <v>114</v>
      </c>
      <c r="K925" s="2" t="s">
        <v>333</v>
      </c>
      <c r="L925" s="3">
        <v>59.99</v>
      </c>
      <c r="M925" s="3">
        <v>62.99</v>
      </c>
      <c r="N925" s="3">
        <v>119.99</v>
      </c>
      <c r="O925" s="2" t="s">
        <v>97</v>
      </c>
      <c r="P925" s="2" t="s">
        <v>198</v>
      </c>
      <c r="Q925" s="2" t="s">
        <v>99</v>
      </c>
      <c r="R925" s="2" t="s">
        <v>100</v>
      </c>
      <c r="S925" s="2" t="s">
        <v>1033</v>
      </c>
      <c r="T925" s="2" t="s">
        <v>100</v>
      </c>
      <c r="U925" s="2" t="s">
        <v>490</v>
      </c>
      <c r="V925" s="2" t="s">
        <v>491</v>
      </c>
      <c r="W925" s="2" t="s">
        <v>104</v>
      </c>
      <c r="X925" s="2" t="s">
        <v>201</v>
      </c>
      <c r="Y925" s="2" t="s">
        <v>106</v>
      </c>
      <c r="Z925" s="4">
        <v>48</v>
      </c>
      <c r="AA925" s="4">
        <f>=ROUNDDOWN(24,0)</f>
      </c>
      <c r="AB925" s="5">
        <v>2</v>
      </c>
      <c r="AC925" s="2" t="s">
        <v>100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79</v>
      </c>
      <c r="BK925" s="8">
        <v>4908.85</v>
      </c>
      <c r="BL925" s="2" t="s">
        <v>3358</v>
      </c>
      <c r="BM925" s="7"/>
      <c r="BN925" s="7"/>
      <c r="BO925" s="4"/>
      <c r="BP925" s="8"/>
      <c r="BQ925" s="4"/>
      <c r="BR925" s="8"/>
      <c r="BS925" s="7"/>
      <c r="BT925" s="7"/>
      <c r="BU925" s="2" t="s">
        <v>147</v>
      </c>
      <c r="BV925" s="2" t="s">
        <v>97</v>
      </c>
      <c r="BW925" s="2" t="s">
        <v>100</v>
      </c>
      <c r="BX925" s="2" t="s">
        <v>100</v>
      </c>
      <c r="BY925" s="2" t="s">
        <v>112</v>
      </c>
      <c r="BZ925" s="2" t="s">
        <v>100</v>
      </c>
    </row>
    <row r="926">
      <c r="A926" s="2" t="s">
        <v>3359</v>
      </c>
      <c r="B926" s="2" t="s">
        <v>87</v>
      </c>
      <c r="C926" s="2" t="s">
        <v>88</v>
      </c>
      <c r="D926" s="2" t="s">
        <v>3234</v>
      </c>
      <c r="E926" s="2" t="s">
        <v>3360</v>
      </c>
      <c r="F926" s="2" t="s">
        <v>2269</v>
      </c>
      <c r="G926" s="2" t="s">
        <v>2270</v>
      </c>
      <c r="H926" s="2" t="s">
        <v>2271</v>
      </c>
      <c r="I926" s="2" t="s">
        <v>3361</v>
      </c>
      <c r="J926" s="2" t="s">
        <v>844</v>
      </c>
      <c r="K926" s="2" t="s">
        <v>1935</v>
      </c>
      <c r="L926" s="3">
        <v>53.9</v>
      </c>
      <c r="M926" s="3">
        <v>56.59</v>
      </c>
      <c r="N926" s="3">
        <v>109.99</v>
      </c>
      <c r="O926" s="2" t="s">
        <v>97</v>
      </c>
      <c r="P926" s="2" t="s">
        <v>182</v>
      </c>
      <c r="Q926" s="2" t="s">
        <v>99</v>
      </c>
      <c r="R926" s="2" t="s">
        <v>100</v>
      </c>
      <c r="S926" s="2" t="s">
        <v>2273</v>
      </c>
      <c r="T926" s="2" t="s">
        <v>100</v>
      </c>
      <c r="U926" s="2" t="s">
        <v>1610</v>
      </c>
      <c r="V926" s="2" t="s">
        <v>991</v>
      </c>
      <c r="W926" s="2" t="s">
        <v>733</v>
      </c>
      <c r="X926" s="2" t="s">
        <v>791</v>
      </c>
      <c r="Y926" s="2" t="s">
        <v>2274</v>
      </c>
      <c r="Z926" s="4">
        <v>216</v>
      </c>
      <c r="AA926" s="4">
        <f>=ROUNDDOWN(19.6363636363636,0)</f>
      </c>
      <c r="AB926" s="5">
        <v>11</v>
      </c>
      <c r="AC926" s="2" t="s">
        <v>130</v>
      </c>
      <c r="AD926" s="4">
        <v>100</v>
      </c>
      <c r="AE926" s="4">
        <v>100</v>
      </c>
      <c r="AF926" s="6">
        <v>69</v>
      </c>
      <c r="AG926" s="6">
        <v>77</v>
      </c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>
        <v>0</v>
      </c>
      <c r="AP926" s="4">
        <v>2</v>
      </c>
      <c r="AQ926" s="8">
        <v>113.2</v>
      </c>
      <c r="AR926" s="4">
        <v>3</v>
      </c>
      <c r="AS926" s="8">
        <v>169.8</v>
      </c>
      <c r="AT926" s="7">
        <v>-0.3333</v>
      </c>
      <c r="AU926" s="7">
        <v>-0.3333</v>
      </c>
      <c r="AV926" s="4">
        <v>4</v>
      </c>
      <c r="AW926" s="8">
        <v>246.96</v>
      </c>
      <c r="AX926" s="4">
        <v>8</v>
      </c>
      <c r="AY926" s="8">
        <v>504.2</v>
      </c>
      <c r="AZ926" s="7">
        <v>-0.5</v>
      </c>
      <c r="BA926" s="7">
        <v>-0.5102</v>
      </c>
      <c r="BB926" s="7">
        <v>0.4584</v>
      </c>
      <c r="BC926" s="4">
        <v>4</v>
      </c>
      <c r="BD926" s="8">
        <v>246.96</v>
      </c>
      <c r="BE926" s="4">
        <v>8</v>
      </c>
      <c r="BF926" s="8">
        <v>504.2</v>
      </c>
      <c r="BG926" s="7">
        <v>-0.5</v>
      </c>
      <c r="BH926" s="7">
        <v>-0.5102</v>
      </c>
      <c r="BI926" s="7">
        <v>1</v>
      </c>
      <c r="BJ926" s="4">
        <v>221</v>
      </c>
      <c r="BK926" s="8">
        <v>12636.96</v>
      </c>
      <c r="BL926" s="2" t="s">
        <v>3362</v>
      </c>
      <c r="BM926" s="7">
        <v>0.009</v>
      </c>
      <c r="BN926" s="7">
        <v>0.009</v>
      </c>
      <c r="BO926" s="4">
        <v>2</v>
      </c>
      <c r="BP926" s="8">
        <v>113.2</v>
      </c>
      <c r="BQ926" s="4">
        <v>3</v>
      </c>
      <c r="BR926" s="8">
        <v>169.8</v>
      </c>
      <c r="BS926" s="7">
        <v>-0.3333</v>
      </c>
      <c r="BT926" s="7">
        <v>-0.3333</v>
      </c>
      <c r="BU926" s="2" t="s">
        <v>109</v>
      </c>
      <c r="BV926" s="2" t="s">
        <v>97</v>
      </c>
      <c r="BW926" s="2" t="s">
        <v>606</v>
      </c>
      <c r="BX926" s="2" t="s">
        <v>435</v>
      </c>
      <c r="BY926" s="2" t="s">
        <v>112</v>
      </c>
      <c r="BZ926" s="2" t="s">
        <v>100</v>
      </c>
    </row>
    <row r="927">
      <c r="A927" s="2" t="s">
        <v>3363</v>
      </c>
      <c r="B927" s="2" t="s">
        <v>87</v>
      </c>
      <c r="C927" s="2" t="s">
        <v>88</v>
      </c>
      <c r="D927" s="2" t="s">
        <v>3234</v>
      </c>
      <c r="E927" s="2" t="s">
        <v>3360</v>
      </c>
      <c r="F927" s="2" t="s">
        <v>2269</v>
      </c>
      <c r="G927" s="2" t="s">
        <v>2270</v>
      </c>
      <c r="H927" s="2" t="s">
        <v>2271</v>
      </c>
      <c r="I927" s="2" t="s">
        <v>3361</v>
      </c>
      <c r="J927" s="2" t="s">
        <v>850</v>
      </c>
      <c r="K927" s="2" t="s">
        <v>1935</v>
      </c>
      <c r="L927" s="3">
        <v>63.7</v>
      </c>
      <c r="M927" s="3">
        <v>66.88</v>
      </c>
      <c r="N927" s="3">
        <v>129.99</v>
      </c>
      <c r="O927" s="2" t="s">
        <v>97</v>
      </c>
      <c r="P927" s="2" t="s">
        <v>182</v>
      </c>
      <c r="Q927" s="2" t="s">
        <v>99</v>
      </c>
      <c r="R927" s="2" t="s">
        <v>100</v>
      </c>
      <c r="S927" s="2" t="s">
        <v>2273</v>
      </c>
      <c r="T927" s="2" t="s">
        <v>100</v>
      </c>
      <c r="U927" s="2" t="s">
        <v>1610</v>
      </c>
      <c r="V927" s="2" t="s">
        <v>991</v>
      </c>
      <c r="W927" s="2" t="s">
        <v>733</v>
      </c>
      <c r="X927" s="2" t="s">
        <v>791</v>
      </c>
      <c r="Y927" s="2" t="s">
        <v>2274</v>
      </c>
      <c r="Z927" s="4">
        <v>278</v>
      </c>
      <c r="AA927" s="4">
        <f>=ROUNDDOWN(34.75,0)</f>
      </c>
      <c r="AB927" s="5">
        <v>8</v>
      </c>
      <c r="AC927" s="2" t="s">
        <v>100</v>
      </c>
      <c r="AD927" s="4"/>
      <c r="AE927" s="4"/>
      <c r="AF927" s="6">
        <v>69</v>
      </c>
      <c r="AG927" s="6">
        <v>77</v>
      </c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>
        <v>0</v>
      </c>
      <c r="AP927" s="4">
        <v>2</v>
      </c>
      <c r="AQ927" s="8">
        <v>133.76</v>
      </c>
      <c r="AR927" s="4">
        <v>5</v>
      </c>
      <c r="AS927" s="8">
        <v>334.4</v>
      </c>
      <c r="AT927" s="7">
        <v>-0.6</v>
      </c>
      <c r="AU927" s="7">
        <v>-0.6</v>
      </c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>
        <v>0.5416</v>
      </c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 t="s">
        <v>100</v>
      </c>
      <c r="BJ927" s="4">
        <v>121</v>
      </c>
      <c r="BK927" s="8">
        <v>8354.36</v>
      </c>
      <c r="BL927" s="2" t="s">
        <v>3364</v>
      </c>
      <c r="BM927" s="7">
        <v>0.0165</v>
      </c>
      <c r="BN927" s="7">
        <v>0.016</v>
      </c>
      <c r="BO927" s="4">
        <v>2</v>
      </c>
      <c r="BP927" s="8">
        <v>133.76</v>
      </c>
      <c r="BQ927" s="4">
        <v>5</v>
      </c>
      <c r="BR927" s="8">
        <v>334.4</v>
      </c>
      <c r="BS927" s="7">
        <v>-0.6</v>
      </c>
      <c r="BT927" s="7">
        <v>-0.6</v>
      </c>
      <c r="BU927" s="2" t="s">
        <v>109</v>
      </c>
      <c r="BV927" s="2" t="s">
        <v>97</v>
      </c>
      <c r="BW927" s="2" t="s">
        <v>606</v>
      </c>
      <c r="BX927" s="2" t="s">
        <v>3365</v>
      </c>
      <c r="BY927" s="2" t="s">
        <v>112</v>
      </c>
      <c r="BZ927" s="2" t="s">
        <v>100</v>
      </c>
    </row>
    <row r="928">
      <c r="A928" s="2" t="s">
        <v>3366</v>
      </c>
      <c r="B928" s="2" t="s">
        <v>87</v>
      </c>
      <c r="C928" s="2" t="s">
        <v>88</v>
      </c>
      <c r="D928" s="2" t="s">
        <v>3234</v>
      </c>
      <c r="E928" s="2" t="s">
        <v>3360</v>
      </c>
      <c r="F928" s="2" t="s">
        <v>2137</v>
      </c>
      <c r="G928" s="2" t="s">
        <v>2138</v>
      </c>
      <c r="H928" s="2" t="s">
        <v>2139</v>
      </c>
      <c r="I928" s="2" t="s">
        <v>3367</v>
      </c>
      <c r="J928" s="2" t="s">
        <v>844</v>
      </c>
      <c r="K928" s="2" t="s">
        <v>1935</v>
      </c>
      <c r="L928" s="3">
        <v>51.2</v>
      </c>
      <c r="M928" s="3">
        <v>53.76</v>
      </c>
      <c r="N928" s="3">
        <v>99.99</v>
      </c>
      <c r="O928" s="2" t="s">
        <v>97</v>
      </c>
      <c r="P928" s="2" t="s">
        <v>805</v>
      </c>
      <c r="Q928" s="2" t="s">
        <v>99</v>
      </c>
      <c r="R928" s="2" t="s">
        <v>100</v>
      </c>
      <c r="S928" s="2" t="s">
        <v>2141</v>
      </c>
      <c r="T928" s="2" t="s">
        <v>732</v>
      </c>
      <c r="U928" s="2" t="s">
        <v>1610</v>
      </c>
      <c r="V928" s="2" t="s">
        <v>404</v>
      </c>
      <c r="W928" s="2" t="s">
        <v>733</v>
      </c>
      <c r="X928" s="2" t="s">
        <v>791</v>
      </c>
      <c r="Y928" s="2" t="s">
        <v>3368</v>
      </c>
      <c r="Z928" s="4">
        <v>1141</v>
      </c>
      <c r="AA928" s="4">
        <f>=ROUNDDOWN(35.65625,0)</f>
      </c>
      <c r="AB928" s="5">
        <v>32</v>
      </c>
      <c r="AC928" s="2" t="s">
        <v>2538</v>
      </c>
      <c r="AD928" s="4">
        <v>665</v>
      </c>
      <c r="AE928" s="4">
        <v>1305</v>
      </c>
      <c r="AF928" s="6">
        <v>71</v>
      </c>
      <c r="AG928" s="6">
        <v>79</v>
      </c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>
        <v>0</v>
      </c>
      <c r="AP928" s="4">
        <v>1</v>
      </c>
      <c r="AQ928" s="8">
        <v>53.76</v>
      </c>
      <c r="AR928" s="4">
        <v>3</v>
      </c>
      <c r="AS928" s="8">
        <v>166.96</v>
      </c>
      <c r="AT928" s="7">
        <v>-0.6667</v>
      </c>
      <c r="AU928" s="7">
        <v>-0.678</v>
      </c>
      <c r="AV928" s="4">
        <v>2</v>
      </c>
      <c r="AW928" s="8">
        <v>117.29</v>
      </c>
      <c r="AX928" s="4">
        <v>10</v>
      </c>
      <c r="AY928" s="8">
        <v>631.77</v>
      </c>
      <c r="AZ928" s="7">
        <v>-0.8</v>
      </c>
      <c r="BA928" s="7">
        <v>-0.8143</v>
      </c>
      <c r="BB928" s="7">
        <v>0.4584</v>
      </c>
      <c r="BC928" s="4">
        <v>2</v>
      </c>
      <c r="BD928" s="8">
        <v>117.29</v>
      </c>
      <c r="BE928" s="4">
        <v>10</v>
      </c>
      <c r="BF928" s="8">
        <v>631.77</v>
      </c>
      <c r="BG928" s="7">
        <v>-0.8</v>
      </c>
      <c r="BH928" s="7">
        <v>-0.8143</v>
      </c>
      <c r="BI928" s="7">
        <v>1</v>
      </c>
      <c r="BJ928" s="4">
        <v>787</v>
      </c>
      <c r="BK928" s="8">
        <v>43602.24</v>
      </c>
      <c r="BL928" s="2" t="s">
        <v>3369</v>
      </c>
      <c r="BM928" s="7">
        <v>0.0013</v>
      </c>
      <c r="BN928" s="7">
        <v>0.0012</v>
      </c>
      <c r="BO928" s="4">
        <v>1</v>
      </c>
      <c r="BP928" s="8">
        <v>53.76</v>
      </c>
      <c r="BQ928" s="4">
        <v>3</v>
      </c>
      <c r="BR928" s="8">
        <v>166.96</v>
      </c>
      <c r="BS928" s="7">
        <v>-0.6667</v>
      </c>
      <c r="BT928" s="7">
        <v>-0.678</v>
      </c>
      <c r="BU928" s="2" t="s">
        <v>109</v>
      </c>
      <c r="BV928" s="2" t="s">
        <v>97</v>
      </c>
      <c r="BW928" s="2" t="s">
        <v>606</v>
      </c>
      <c r="BX928" s="2" t="s">
        <v>3370</v>
      </c>
      <c r="BY928" s="2" t="s">
        <v>112</v>
      </c>
      <c r="BZ928" s="2" t="s">
        <v>100</v>
      </c>
    </row>
    <row r="929">
      <c r="A929" s="2" t="s">
        <v>3371</v>
      </c>
      <c r="B929" s="2" t="s">
        <v>87</v>
      </c>
      <c r="C929" s="2" t="s">
        <v>88</v>
      </c>
      <c r="D929" s="2" t="s">
        <v>3234</v>
      </c>
      <c r="E929" s="2" t="s">
        <v>3360</v>
      </c>
      <c r="F929" s="2" t="s">
        <v>2137</v>
      </c>
      <c r="G929" s="2" t="s">
        <v>2138</v>
      </c>
      <c r="H929" s="2" t="s">
        <v>2139</v>
      </c>
      <c r="I929" s="2" t="s">
        <v>3367</v>
      </c>
      <c r="J929" s="2" t="s">
        <v>850</v>
      </c>
      <c r="K929" s="2" t="s">
        <v>1935</v>
      </c>
      <c r="L929" s="3">
        <v>60.51</v>
      </c>
      <c r="M929" s="3">
        <v>63.54</v>
      </c>
      <c r="N929" s="3">
        <v>119.99</v>
      </c>
      <c r="O929" s="2" t="s">
        <v>97</v>
      </c>
      <c r="P929" s="2" t="s">
        <v>805</v>
      </c>
      <c r="Q929" s="2" t="s">
        <v>99</v>
      </c>
      <c r="R929" s="2" t="s">
        <v>100</v>
      </c>
      <c r="S929" s="2" t="s">
        <v>2141</v>
      </c>
      <c r="T929" s="2" t="s">
        <v>732</v>
      </c>
      <c r="U929" s="2" t="s">
        <v>1610</v>
      </c>
      <c r="V929" s="2" t="s">
        <v>404</v>
      </c>
      <c r="W929" s="2" t="s">
        <v>733</v>
      </c>
      <c r="X929" s="2" t="s">
        <v>791</v>
      </c>
      <c r="Y929" s="2" t="s">
        <v>3368</v>
      </c>
      <c r="Z929" s="4">
        <v>2014</v>
      </c>
      <c r="AA929" s="4">
        <f>=ROUNDDOWN(54.4324324324324,0)</f>
      </c>
      <c r="AB929" s="5">
        <v>37</v>
      </c>
      <c r="AC929" s="2" t="s">
        <v>2143</v>
      </c>
      <c r="AD929" s="4">
        <v>480</v>
      </c>
      <c r="AE929" s="4">
        <v>1550</v>
      </c>
      <c r="AF929" s="6">
        <v>71</v>
      </c>
      <c r="AG929" s="6">
        <v>79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>
        <v>0</v>
      </c>
      <c r="AP929" s="4">
        <v>1</v>
      </c>
      <c r="AQ929" s="8">
        <v>63.53</v>
      </c>
      <c r="AR929" s="4">
        <v>7</v>
      </c>
      <c r="AS929" s="8">
        <v>464.81</v>
      </c>
      <c r="AT929" s="7">
        <v>-0.8571</v>
      </c>
      <c r="AU929" s="7">
        <v>-0.8633</v>
      </c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>
        <v>0.5416</v>
      </c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 t="s">
        <v>100</v>
      </c>
      <c r="BJ929" s="4">
        <v>867</v>
      </c>
      <c r="BK929" s="8">
        <v>59270.23</v>
      </c>
      <c r="BL929" s="2" t="s">
        <v>3372</v>
      </c>
      <c r="BM929" s="7">
        <v>0.0012</v>
      </c>
      <c r="BN929" s="7">
        <v>0.0011</v>
      </c>
      <c r="BO929" s="4">
        <v>1</v>
      </c>
      <c r="BP929" s="8">
        <v>63.53</v>
      </c>
      <c r="BQ929" s="4">
        <v>7</v>
      </c>
      <c r="BR929" s="8">
        <v>464.81</v>
      </c>
      <c r="BS929" s="7">
        <v>-0.8571</v>
      </c>
      <c r="BT929" s="7">
        <v>-0.8633</v>
      </c>
      <c r="BU929" s="2" t="s">
        <v>109</v>
      </c>
      <c r="BV929" s="2" t="s">
        <v>97</v>
      </c>
      <c r="BW929" s="2" t="s">
        <v>606</v>
      </c>
      <c r="BX929" s="2" t="s">
        <v>3373</v>
      </c>
      <c r="BY929" s="2" t="s">
        <v>112</v>
      </c>
      <c r="BZ929" s="2" t="s">
        <v>100</v>
      </c>
    </row>
    <row r="930">
      <c r="A930" s="2" t="s">
        <v>3374</v>
      </c>
      <c r="B930" s="2" t="s">
        <v>87</v>
      </c>
      <c r="C930" s="2" t="s">
        <v>88</v>
      </c>
      <c r="D930" s="2" t="s">
        <v>3234</v>
      </c>
      <c r="E930" s="2" t="s">
        <v>3360</v>
      </c>
      <c r="F930" s="2" t="s">
        <v>2137</v>
      </c>
      <c r="G930" s="2" t="s">
        <v>2138</v>
      </c>
      <c r="H930" s="2" t="s">
        <v>2139</v>
      </c>
      <c r="I930" s="2" t="s">
        <v>3375</v>
      </c>
      <c r="J930" s="2" t="s">
        <v>844</v>
      </c>
      <c r="K930" s="2" t="s">
        <v>622</v>
      </c>
      <c r="L930" s="3">
        <v>51.2</v>
      </c>
      <c r="M930" s="3">
        <v>53.76</v>
      </c>
      <c r="N930" s="3">
        <v>99.99</v>
      </c>
      <c r="O930" s="2" t="s">
        <v>97</v>
      </c>
      <c r="P930" s="2" t="s">
        <v>182</v>
      </c>
      <c r="Q930" s="2" t="s">
        <v>99</v>
      </c>
      <c r="R930" s="2" t="s">
        <v>100</v>
      </c>
      <c r="S930" s="2" t="s">
        <v>2150</v>
      </c>
      <c r="T930" s="2" t="s">
        <v>100</v>
      </c>
      <c r="U930" s="2" t="s">
        <v>1610</v>
      </c>
      <c r="V930" s="2" t="s">
        <v>404</v>
      </c>
      <c r="W930" s="2" t="s">
        <v>733</v>
      </c>
      <c r="X930" s="2" t="s">
        <v>791</v>
      </c>
      <c r="Y930" s="2" t="s">
        <v>3376</v>
      </c>
      <c r="Z930" s="4">
        <v>373</v>
      </c>
      <c r="AA930" s="4">
        <f>=ROUNDDOWN(37.3,0)</f>
      </c>
      <c r="AB930" s="5">
        <v>10</v>
      </c>
      <c r="AC930" s="2" t="s">
        <v>2155</v>
      </c>
      <c r="AD930" s="4">
        <v>290</v>
      </c>
      <c r="AE930" s="4">
        <v>580</v>
      </c>
      <c r="AF930" s="6">
        <v>71</v>
      </c>
      <c r="AG930" s="6">
        <v>79</v>
      </c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 t="s">
        <v>100</v>
      </c>
      <c r="BJ930" s="4">
        <v>161</v>
      </c>
      <c r="BK930" s="8">
        <v>9163.73</v>
      </c>
      <c r="BL930" s="2" t="s">
        <v>3377</v>
      </c>
      <c r="BM930" s="7"/>
      <c r="BN930" s="7"/>
      <c r="BO930" s="4"/>
      <c r="BP930" s="8"/>
      <c r="BQ930" s="4"/>
      <c r="BR930" s="8"/>
      <c r="BS930" s="7"/>
      <c r="BT930" s="7"/>
      <c r="BU930" s="2" t="s">
        <v>147</v>
      </c>
      <c r="BV930" s="2" t="s">
        <v>97</v>
      </c>
      <c r="BW930" s="2" t="s">
        <v>100</v>
      </c>
      <c r="BX930" s="2" t="s">
        <v>100</v>
      </c>
      <c r="BY930" s="2" t="s">
        <v>112</v>
      </c>
      <c r="BZ930" s="2" t="s">
        <v>100</v>
      </c>
    </row>
    <row r="931">
      <c r="A931" s="2" t="s">
        <v>3378</v>
      </c>
      <c r="B931" s="2" t="s">
        <v>87</v>
      </c>
      <c r="C931" s="2" t="s">
        <v>88</v>
      </c>
      <c r="D931" s="2" t="s">
        <v>3234</v>
      </c>
      <c r="E931" s="2" t="s">
        <v>3360</v>
      </c>
      <c r="F931" s="2" t="s">
        <v>2137</v>
      </c>
      <c r="G931" s="2" t="s">
        <v>2138</v>
      </c>
      <c r="H931" s="2" t="s">
        <v>2139</v>
      </c>
      <c r="I931" s="2" t="s">
        <v>3375</v>
      </c>
      <c r="J931" s="2" t="s">
        <v>850</v>
      </c>
      <c r="K931" s="2" t="s">
        <v>622</v>
      </c>
      <c r="L931" s="3">
        <v>60.51</v>
      </c>
      <c r="M931" s="3">
        <v>63.54</v>
      </c>
      <c r="N931" s="3">
        <v>119.99</v>
      </c>
      <c r="O931" s="2" t="s">
        <v>97</v>
      </c>
      <c r="P931" s="2" t="s">
        <v>182</v>
      </c>
      <c r="Q931" s="2" t="s">
        <v>99</v>
      </c>
      <c r="R931" s="2" t="s">
        <v>100</v>
      </c>
      <c r="S931" s="2" t="s">
        <v>2150</v>
      </c>
      <c r="T931" s="2" t="s">
        <v>100</v>
      </c>
      <c r="U931" s="2" t="s">
        <v>1610</v>
      </c>
      <c r="V931" s="2" t="s">
        <v>404</v>
      </c>
      <c r="W931" s="2" t="s">
        <v>733</v>
      </c>
      <c r="X931" s="2" t="s">
        <v>791</v>
      </c>
      <c r="Y931" s="2" t="s">
        <v>3376</v>
      </c>
      <c r="Z931" s="4">
        <v>544</v>
      </c>
      <c r="AA931" s="4">
        <f>=ROUNDDOWN(36.2666666666667,0)</f>
      </c>
      <c r="AB931" s="5">
        <v>15</v>
      </c>
      <c r="AC931" s="2" t="s">
        <v>2155</v>
      </c>
      <c r="AD931" s="4">
        <v>330</v>
      </c>
      <c r="AE931" s="4">
        <v>930</v>
      </c>
      <c r="AF931" s="6">
        <v>71</v>
      </c>
      <c r="AG931" s="6">
        <v>79</v>
      </c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 t="s">
        <v>100</v>
      </c>
      <c r="BJ931" s="4">
        <v>333</v>
      </c>
      <c r="BK931" s="8">
        <v>23156.73</v>
      </c>
      <c r="BL931" s="2" t="s">
        <v>3379</v>
      </c>
      <c r="BM931" s="7"/>
      <c r="BN931" s="7"/>
      <c r="BO931" s="4"/>
      <c r="BP931" s="8"/>
      <c r="BQ931" s="4"/>
      <c r="BR931" s="8"/>
      <c r="BS931" s="7"/>
      <c r="BT931" s="7"/>
      <c r="BU931" s="2" t="s">
        <v>147</v>
      </c>
      <c r="BV931" s="2" t="s">
        <v>97</v>
      </c>
      <c r="BW931" s="2" t="s">
        <v>100</v>
      </c>
      <c r="BX931" s="2" t="s">
        <v>100</v>
      </c>
      <c r="BY931" s="2" t="s">
        <v>112</v>
      </c>
      <c r="BZ931" s="2" t="s">
        <v>100</v>
      </c>
    </row>
    <row r="932">
      <c r="A932" s="2" t="s">
        <v>3380</v>
      </c>
      <c r="B932" s="2" t="s">
        <v>87</v>
      </c>
      <c r="C932" s="2" t="s">
        <v>88</v>
      </c>
      <c r="D932" s="2" t="s">
        <v>3234</v>
      </c>
      <c r="E932" s="2" t="s">
        <v>3360</v>
      </c>
      <c r="F932" s="2" t="s">
        <v>2279</v>
      </c>
      <c r="G932" s="2" t="s">
        <v>2280</v>
      </c>
      <c r="H932" s="2" t="s">
        <v>2281</v>
      </c>
      <c r="I932" s="2" t="s">
        <v>3381</v>
      </c>
      <c r="J932" s="2" t="s">
        <v>844</v>
      </c>
      <c r="K932" s="2" t="s">
        <v>2290</v>
      </c>
      <c r="L932" s="3">
        <v>53.9</v>
      </c>
      <c r="M932" s="3">
        <v>56.59</v>
      </c>
      <c r="N932" s="3">
        <v>109.99</v>
      </c>
      <c r="O932" s="2" t="s">
        <v>97</v>
      </c>
      <c r="P932" s="2" t="s">
        <v>182</v>
      </c>
      <c r="Q932" s="2" t="s">
        <v>99</v>
      </c>
      <c r="R932" s="2" t="s">
        <v>100</v>
      </c>
      <c r="S932" s="2" t="s">
        <v>2291</v>
      </c>
      <c r="T932" s="2" t="s">
        <v>732</v>
      </c>
      <c r="U932" s="2" t="s">
        <v>1610</v>
      </c>
      <c r="V932" s="2" t="s">
        <v>491</v>
      </c>
      <c r="W932" s="2" t="s">
        <v>733</v>
      </c>
      <c r="X932" s="2" t="s">
        <v>2284</v>
      </c>
      <c r="Y932" s="2" t="s">
        <v>2292</v>
      </c>
      <c r="Z932" s="4">
        <v>271</v>
      </c>
      <c r="AA932" s="4">
        <f>=ROUNDDOWN(38.7142857142857,0)</f>
      </c>
      <c r="AB932" s="5">
        <v>7</v>
      </c>
      <c r="AC932" s="2" t="s">
        <v>100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>
        <v>0</v>
      </c>
      <c r="AP932" s="4"/>
      <c r="AQ932" s="8"/>
      <c r="AR932" s="4">
        <v>1</v>
      </c>
      <c r="AS932" s="8">
        <v>56.6</v>
      </c>
      <c r="AT932" s="7">
        <v>-1</v>
      </c>
      <c r="AU932" s="7">
        <v>-1</v>
      </c>
      <c r="AV932" s="4">
        <v>1</v>
      </c>
      <c r="AW932" s="8">
        <v>66.88</v>
      </c>
      <c r="AX932" s="4">
        <v>3</v>
      </c>
      <c r="AY932" s="8">
        <v>190.36</v>
      </c>
      <c r="AZ932" s="7">
        <v>-0.6667</v>
      </c>
      <c r="BA932" s="7">
        <v>-0.6487</v>
      </c>
      <c r="BB932" s="7"/>
      <c r="BC932" s="4">
        <v>1</v>
      </c>
      <c r="BD932" s="8">
        <v>66.88</v>
      </c>
      <c r="BE932" s="4">
        <v>3</v>
      </c>
      <c r="BF932" s="8">
        <v>190.36</v>
      </c>
      <c r="BG932" s="7">
        <v>-0.6667</v>
      </c>
      <c r="BH932" s="7">
        <v>-0.6487</v>
      </c>
      <c r="BI932" s="7">
        <v>1</v>
      </c>
      <c r="BJ932" s="4">
        <v>166</v>
      </c>
      <c r="BK932" s="8">
        <v>9235.09</v>
      </c>
      <c r="BL932" s="2" t="s">
        <v>3382</v>
      </c>
      <c r="BM932" s="7"/>
      <c r="BN932" s="7"/>
      <c r="BO932" s="4"/>
      <c r="BP932" s="8"/>
      <c r="BQ932" s="4">
        <v>1</v>
      </c>
      <c r="BR932" s="8">
        <v>56.6</v>
      </c>
      <c r="BS932" s="7">
        <v>-1</v>
      </c>
      <c r="BT932" s="7">
        <v>-1</v>
      </c>
      <c r="BU932" s="2" t="s">
        <v>109</v>
      </c>
      <c r="BV932" s="2" t="s">
        <v>97</v>
      </c>
      <c r="BW932" s="2" t="s">
        <v>606</v>
      </c>
      <c r="BX932" s="2" t="s">
        <v>3383</v>
      </c>
      <c r="BY932" s="2" t="s">
        <v>112</v>
      </c>
      <c r="BZ932" s="2" t="s">
        <v>100</v>
      </c>
    </row>
    <row r="933">
      <c r="A933" s="2" t="s">
        <v>3384</v>
      </c>
      <c r="B933" s="2" t="s">
        <v>87</v>
      </c>
      <c r="C933" s="2" t="s">
        <v>88</v>
      </c>
      <c r="D933" s="2" t="s">
        <v>3234</v>
      </c>
      <c r="E933" s="2" t="s">
        <v>3360</v>
      </c>
      <c r="F933" s="2" t="s">
        <v>2279</v>
      </c>
      <c r="G933" s="2" t="s">
        <v>2280</v>
      </c>
      <c r="H933" s="2" t="s">
        <v>2281</v>
      </c>
      <c r="I933" s="2" t="s">
        <v>3381</v>
      </c>
      <c r="J933" s="2" t="s">
        <v>850</v>
      </c>
      <c r="K933" s="2" t="s">
        <v>2290</v>
      </c>
      <c r="L933" s="3">
        <v>63.7</v>
      </c>
      <c r="M933" s="3">
        <v>66.88</v>
      </c>
      <c r="N933" s="3">
        <v>129.99</v>
      </c>
      <c r="O933" s="2" t="s">
        <v>97</v>
      </c>
      <c r="P933" s="2" t="s">
        <v>182</v>
      </c>
      <c r="Q933" s="2" t="s">
        <v>99</v>
      </c>
      <c r="R933" s="2" t="s">
        <v>100</v>
      </c>
      <c r="S933" s="2" t="s">
        <v>2291</v>
      </c>
      <c r="T933" s="2" t="s">
        <v>732</v>
      </c>
      <c r="U933" s="2" t="s">
        <v>1610</v>
      </c>
      <c r="V933" s="2" t="s">
        <v>491</v>
      </c>
      <c r="W933" s="2" t="s">
        <v>733</v>
      </c>
      <c r="X933" s="2" t="s">
        <v>2284</v>
      </c>
      <c r="Y933" s="2" t="s">
        <v>2292</v>
      </c>
      <c r="Z933" s="4">
        <v>161</v>
      </c>
      <c r="AA933" s="4">
        <f>=ROUNDDOWN(17.8888888888889,0)</f>
      </c>
      <c r="AB933" s="5">
        <v>9</v>
      </c>
      <c r="AC933" s="2" t="s">
        <v>1248</v>
      </c>
      <c r="AD933" s="4">
        <v>200</v>
      </c>
      <c r="AE933" s="4">
        <v>200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>
        <v>0</v>
      </c>
      <c r="AP933" s="4">
        <v>1</v>
      </c>
      <c r="AQ933" s="8">
        <v>66.88</v>
      </c>
      <c r="AR933" s="4">
        <v>2</v>
      </c>
      <c r="AS933" s="8">
        <v>133.76</v>
      </c>
      <c r="AT933" s="7">
        <v>-0.5</v>
      </c>
      <c r="AU933" s="7">
        <v>-0.5</v>
      </c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>
        <v>1</v>
      </c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 t="s">
        <v>100</v>
      </c>
      <c r="BJ933" s="4">
        <v>193</v>
      </c>
      <c r="BK933" s="8">
        <v>12648.6</v>
      </c>
      <c r="BL933" s="2" t="s">
        <v>3385</v>
      </c>
      <c r="BM933" s="7">
        <v>0.0052</v>
      </c>
      <c r="BN933" s="7">
        <v>0.0053</v>
      </c>
      <c r="BO933" s="4">
        <v>1</v>
      </c>
      <c r="BP933" s="8">
        <v>66.88</v>
      </c>
      <c r="BQ933" s="4">
        <v>2</v>
      </c>
      <c r="BR933" s="8">
        <v>133.76</v>
      </c>
      <c r="BS933" s="7">
        <v>-0.5</v>
      </c>
      <c r="BT933" s="7">
        <v>-0.5</v>
      </c>
      <c r="BU933" s="2" t="s">
        <v>109</v>
      </c>
      <c r="BV933" s="2" t="s">
        <v>97</v>
      </c>
      <c r="BW933" s="2" t="s">
        <v>606</v>
      </c>
      <c r="BX933" s="2" t="s">
        <v>3386</v>
      </c>
      <c r="BY933" s="2" t="s">
        <v>112</v>
      </c>
      <c r="BZ933" s="2" t="s">
        <v>100</v>
      </c>
    </row>
    <row r="934">
      <c r="A934" s="2" t="s">
        <v>3387</v>
      </c>
      <c r="B934" s="2" t="s">
        <v>87</v>
      </c>
      <c r="C934" s="2" t="s">
        <v>88</v>
      </c>
      <c r="D934" s="2" t="s">
        <v>3234</v>
      </c>
      <c r="E934" s="2" t="s">
        <v>3360</v>
      </c>
      <c r="F934" s="2" t="s">
        <v>2279</v>
      </c>
      <c r="G934" s="2" t="s">
        <v>2280</v>
      </c>
      <c r="H934" s="2" t="s">
        <v>2281</v>
      </c>
      <c r="I934" s="2" t="s">
        <v>3381</v>
      </c>
      <c r="J934" s="2" t="s">
        <v>844</v>
      </c>
      <c r="K934" s="2" t="s">
        <v>1935</v>
      </c>
      <c r="L934" s="3">
        <v>53.9</v>
      </c>
      <c r="M934" s="3">
        <v>56.6</v>
      </c>
      <c r="N934" s="3">
        <v>109.99</v>
      </c>
      <c r="O934" s="2" t="s">
        <v>97</v>
      </c>
      <c r="P934" s="2" t="s">
        <v>182</v>
      </c>
      <c r="Q934" s="2" t="s">
        <v>99</v>
      </c>
      <c r="R934" s="2" t="s">
        <v>100</v>
      </c>
      <c r="S934" s="2" t="s">
        <v>3388</v>
      </c>
      <c r="T934" s="2" t="s">
        <v>732</v>
      </c>
      <c r="U934" s="2" t="s">
        <v>1610</v>
      </c>
      <c r="V934" s="2" t="s">
        <v>491</v>
      </c>
      <c r="W934" s="2" t="s">
        <v>733</v>
      </c>
      <c r="X934" s="2" t="s">
        <v>2284</v>
      </c>
      <c r="Y934" s="2" t="s">
        <v>2285</v>
      </c>
      <c r="Z934" s="4">
        <v>91</v>
      </c>
      <c r="AA934" s="4">
        <f>=ROUNDDOWN(11.375,0)</f>
      </c>
      <c r="AB934" s="5">
        <v>8</v>
      </c>
      <c r="AC934" s="2" t="s">
        <v>1248</v>
      </c>
      <c r="AD934" s="4">
        <v>240</v>
      </c>
      <c r="AE934" s="4">
        <v>240</v>
      </c>
      <c r="AF934" s="6">
        <v>65</v>
      </c>
      <c r="AG934" s="6"/>
      <c r="AH934" s="7">
        <v>0.9515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 t="s">
        <v>100</v>
      </c>
      <c r="BJ934" s="4">
        <v>202</v>
      </c>
      <c r="BK934" s="8">
        <v>11591.36</v>
      </c>
      <c r="BL934" s="2" t="s">
        <v>3389</v>
      </c>
      <c r="BM934" s="7"/>
      <c r="BN934" s="7"/>
      <c r="BO934" s="4"/>
      <c r="BP934" s="8"/>
      <c r="BQ934" s="4"/>
      <c r="BR934" s="8"/>
      <c r="BS934" s="7"/>
      <c r="BT934" s="7"/>
      <c r="BU934" s="2" t="s">
        <v>147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100</v>
      </c>
    </row>
    <row r="935">
      <c r="A935" s="2" t="s">
        <v>3390</v>
      </c>
      <c r="B935" s="2" t="s">
        <v>87</v>
      </c>
      <c r="C935" s="2" t="s">
        <v>88</v>
      </c>
      <c r="D935" s="2" t="s">
        <v>3234</v>
      </c>
      <c r="E935" s="2" t="s">
        <v>3360</v>
      </c>
      <c r="F935" s="2" t="s">
        <v>2279</v>
      </c>
      <c r="G935" s="2" t="s">
        <v>2280</v>
      </c>
      <c r="H935" s="2" t="s">
        <v>2281</v>
      </c>
      <c r="I935" s="2" t="s">
        <v>3381</v>
      </c>
      <c r="J935" s="2" t="s">
        <v>850</v>
      </c>
      <c r="K935" s="2" t="s">
        <v>1935</v>
      </c>
      <c r="L935" s="3">
        <v>63.7</v>
      </c>
      <c r="M935" s="3">
        <v>66.89</v>
      </c>
      <c r="N935" s="3">
        <v>129.99</v>
      </c>
      <c r="O935" s="2" t="s">
        <v>97</v>
      </c>
      <c r="P935" s="2" t="s">
        <v>182</v>
      </c>
      <c r="Q935" s="2" t="s">
        <v>99</v>
      </c>
      <c r="R935" s="2" t="s">
        <v>100</v>
      </c>
      <c r="S935" s="2" t="s">
        <v>3388</v>
      </c>
      <c r="T935" s="2" t="s">
        <v>732</v>
      </c>
      <c r="U935" s="2" t="s">
        <v>1610</v>
      </c>
      <c r="V935" s="2" t="s">
        <v>491</v>
      </c>
      <c r="W935" s="2" t="s">
        <v>733</v>
      </c>
      <c r="X935" s="2" t="s">
        <v>2284</v>
      </c>
      <c r="Y935" s="2" t="s">
        <v>2285</v>
      </c>
      <c r="Z935" s="4">
        <v>115</v>
      </c>
      <c r="AA935" s="4">
        <f>=ROUNDDOWN(14.375,0)</f>
      </c>
      <c r="AB935" s="5">
        <v>8</v>
      </c>
      <c r="AC935" s="2" t="s">
        <v>1248</v>
      </c>
      <c r="AD935" s="4">
        <v>180</v>
      </c>
      <c r="AE935" s="4">
        <v>180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 t="s">
        <v>100</v>
      </c>
      <c r="BJ935" s="4">
        <v>161</v>
      </c>
      <c r="BK935" s="8">
        <v>11049.84</v>
      </c>
      <c r="BL935" s="2" t="s">
        <v>3389</v>
      </c>
      <c r="BM935" s="7"/>
      <c r="BN935" s="7"/>
      <c r="BO935" s="4"/>
      <c r="BP935" s="8"/>
      <c r="BQ935" s="4"/>
      <c r="BR935" s="8"/>
      <c r="BS935" s="7"/>
      <c r="BT935" s="7"/>
      <c r="BU935" s="2" t="s">
        <v>147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100</v>
      </c>
    </row>
    <row r="936">
      <c r="A936" s="2" t="s">
        <v>3391</v>
      </c>
      <c r="B936" s="2" t="s">
        <v>87</v>
      </c>
      <c r="C936" s="2" t="s">
        <v>88</v>
      </c>
      <c r="D936" s="2" t="s">
        <v>3234</v>
      </c>
      <c r="E936" s="2" t="s">
        <v>3360</v>
      </c>
      <c r="F936" s="2" t="s">
        <v>1152</v>
      </c>
      <c r="G936" s="2" t="s">
        <v>1153</v>
      </c>
      <c r="H936" s="2" t="s">
        <v>1154</v>
      </c>
      <c r="I936" s="2" t="s">
        <v>3392</v>
      </c>
      <c r="J936" s="2" t="s">
        <v>844</v>
      </c>
      <c r="K936" s="2" t="s">
        <v>158</v>
      </c>
      <c r="L936" s="3">
        <v>42.85</v>
      </c>
      <c r="M936" s="3">
        <v>44.99</v>
      </c>
      <c r="N936" s="3">
        <v>89.99</v>
      </c>
      <c r="O936" s="2" t="s">
        <v>97</v>
      </c>
      <c r="P936" s="2" t="s">
        <v>198</v>
      </c>
      <c r="Q936" s="2" t="s">
        <v>99</v>
      </c>
      <c r="R936" s="2" t="s">
        <v>100</v>
      </c>
      <c r="S936" s="2" t="s">
        <v>3393</v>
      </c>
      <c r="T936" s="2" t="s">
        <v>100</v>
      </c>
      <c r="U936" s="2" t="s">
        <v>1610</v>
      </c>
      <c r="V936" s="2" t="s">
        <v>561</v>
      </c>
      <c r="W936" s="2" t="s">
        <v>759</v>
      </c>
      <c r="X936" s="2" t="s">
        <v>1157</v>
      </c>
      <c r="Y936" s="2" t="s">
        <v>1158</v>
      </c>
      <c r="Z936" s="4">
        <v>123</v>
      </c>
      <c r="AA936" s="4">
        <f>=ROUNDDOWN(14.6428571428571,0)</f>
      </c>
      <c r="AB936" s="5">
        <v>8.4</v>
      </c>
      <c r="AC936" s="2" t="s">
        <v>100</v>
      </c>
      <c r="AD936" s="4"/>
      <c r="AE936" s="4"/>
      <c r="AF936" s="6">
        <v>66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106</v>
      </c>
      <c r="BK936" s="8">
        <v>3834.82</v>
      </c>
      <c r="BL936" s="2" t="s">
        <v>3394</v>
      </c>
      <c r="BM936" s="7"/>
      <c r="BN936" s="7"/>
      <c r="BO936" s="4"/>
      <c r="BP936" s="8"/>
      <c r="BQ936" s="4"/>
      <c r="BR936" s="8"/>
      <c r="BS936" s="7"/>
      <c r="BT936" s="7"/>
      <c r="BU936" s="2" t="s">
        <v>147</v>
      </c>
      <c r="BV936" s="2" t="s">
        <v>97</v>
      </c>
      <c r="BW936" s="2" t="s">
        <v>100</v>
      </c>
      <c r="BX936" s="2" t="s">
        <v>100</v>
      </c>
      <c r="BY936" s="2" t="s">
        <v>112</v>
      </c>
      <c r="BZ936" s="2" t="s">
        <v>100</v>
      </c>
    </row>
    <row r="937">
      <c r="A937" s="2" t="s">
        <v>3395</v>
      </c>
      <c r="B937" s="2" t="s">
        <v>87</v>
      </c>
      <c r="C937" s="2" t="s">
        <v>88</v>
      </c>
      <c r="D937" s="2" t="s">
        <v>3234</v>
      </c>
      <c r="E937" s="2" t="s">
        <v>3360</v>
      </c>
      <c r="F937" s="2" t="s">
        <v>1152</v>
      </c>
      <c r="G937" s="2" t="s">
        <v>1153</v>
      </c>
      <c r="H937" s="2" t="s">
        <v>1154</v>
      </c>
      <c r="I937" s="2" t="s">
        <v>3392</v>
      </c>
      <c r="J937" s="2" t="s">
        <v>850</v>
      </c>
      <c r="K937" s="2" t="s">
        <v>158</v>
      </c>
      <c r="L937" s="3">
        <v>47.61</v>
      </c>
      <c r="M937" s="3">
        <v>49.99</v>
      </c>
      <c r="N937" s="3">
        <v>99.99</v>
      </c>
      <c r="O937" s="2" t="s">
        <v>97</v>
      </c>
      <c r="P937" s="2" t="s">
        <v>198</v>
      </c>
      <c r="Q937" s="2" t="s">
        <v>99</v>
      </c>
      <c r="R937" s="2" t="s">
        <v>100</v>
      </c>
      <c r="S937" s="2" t="s">
        <v>3393</v>
      </c>
      <c r="T937" s="2" t="s">
        <v>100</v>
      </c>
      <c r="U937" s="2" t="s">
        <v>1610</v>
      </c>
      <c r="V937" s="2" t="s">
        <v>561</v>
      </c>
      <c r="W937" s="2" t="s">
        <v>759</v>
      </c>
      <c r="X937" s="2" t="s">
        <v>1157</v>
      </c>
      <c r="Y937" s="2" t="s">
        <v>1158</v>
      </c>
      <c r="Z937" s="4">
        <v>150</v>
      </c>
      <c r="AA937" s="4">
        <f>=ROUNDDOWN(37.5,0)</f>
      </c>
      <c r="AB937" s="5">
        <v>4</v>
      </c>
      <c r="AC937" s="2" t="s">
        <v>100</v>
      </c>
      <c r="AD937" s="4"/>
      <c r="AE937" s="4"/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92</v>
      </c>
      <c r="BK937" s="8">
        <v>3536.77</v>
      </c>
      <c r="BL937" s="2" t="s">
        <v>3394</v>
      </c>
      <c r="BM937" s="7"/>
      <c r="BN937" s="7"/>
      <c r="BO937" s="4"/>
      <c r="BP937" s="8"/>
      <c r="BQ937" s="4"/>
      <c r="BR937" s="8"/>
      <c r="BS937" s="7"/>
      <c r="BT937" s="7"/>
      <c r="BU937" s="2" t="s">
        <v>147</v>
      </c>
      <c r="BV937" s="2" t="s">
        <v>97</v>
      </c>
      <c r="BW937" s="2" t="s">
        <v>100</v>
      </c>
      <c r="BX937" s="2" t="s">
        <v>100</v>
      </c>
      <c r="BY937" s="2" t="s">
        <v>112</v>
      </c>
      <c r="BZ937" s="2" t="s">
        <v>100</v>
      </c>
    </row>
    <row r="938">
      <c r="A938" s="2" t="s">
        <v>3396</v>
      </c>
      <c r="B938" s="2" t="s">
        <v>87</v>
      </c>
      <c r="C938" s="2" t="s">
        <v>88</v>
      </c>
      <c r="D938" s="2" t="s">
        <v>3234</v>
      </c>
      <c r="E938" s="2" t="s">
        <v>3360</v>
      </c>
      <c r="F938" s="2" t="s">
        <v>2158</v>
      </c>
      <c r="G938" s="2" t="s">
        <v>2159</v>
      </c>
      <c r="H938" s="2" t="s">
        <v>2160</v>
      </c>
      <c r="I938" s="2" t="s">
        <v>3397</v>
      </c>
      <c r="J938" s="2" t="s">
        <v>844</v>
      </c>
      <c r="K938" s="2" t="s">
        <v>635</v>
      </c>
      <c r="L938" s="3">
        <v>48</v>
      </c>
      <c r="M938" s="3">
        <v>50.39</v>
      </c>
      <c r="N938" s="3">
        <v>99.99</v>
      </c>
      <c r="O938" s="2" t="s">
        <v>97</v>
      </c>
      <c r="P938" s="2" t="s">
        <v>182</v>
      </c>
      <c r="Q938" s="2" t="s">
        <v>99</v>
      </c>
      <c r="R938" s="2" t="s">
        <v>100</v>
      </c>
      <c r="S938" s="2" t="s">
        <v>2162</v>
      </c>
      <c r="T938" s="2" t="s">
        <v>100</v>
      </c>
      <c r="U938" s="2" t="s">
        <v>1610</v>
      </c>
      <c r="V938" s="2" t="s">
        <v>601</v>
      </c>
      <c r="W938" s="2" t="s">
        <v>759</v>
      </c>
      <c r="X938" s="2" t="s">
        <v>1542</v>
      </c>
      <c r="Y938" s="2" t="s">
        <v>3398</v>
      </c>
      <c r="Z938" s="4">
        <v>320</v>
      </c>
      <c r="AA938" s="4">
        <f>=ROUNDDOWN(60.377358490566,0)</f>
      </c>
      <c r="AB938" s="5">
        <v>5.3</v>
      </c>
      <c r="AC938" s="2" t="s">
        <v>100</v>
      </c>
      <c r="AD938" s="4"/>
      <c r="AE938" s="4"/>
      <c r="AF938" s="6">
        <v>65</v>
      </c>
      <c r="AG938" s="6">
        <v>73</v>
      </c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87</v>
      </c>
      <c r="BK938" s="8">
        <v>4470.02</v>
      </c>
      <c r="BL938" s="2" t="s">
        <v>3399</v>
      </c>
      <c r="BM938" s="7"/>
      <c r="BN938" s="7"/>
      <c r="BO938" s="4"/>
      <c r="BP938" s="8"/>
      <c r="BQ938" s="4"/>
      <c r="BR938" s="8"/>
      <c r="BS938" s="7"/>
      <c r="BT938" s="7"/>
      <c r="BU938" s="2" t="s">
        <v>147</v>
      </c>
      <c r="BV938" s="2" t="s">
        <v>97</v>
      </c>
      <c r="BW938" s="2" t="s">
        <v>100</v>
      </c>
      <c r="BX938" s="2" t="s">
        <v>100</v>
      </c>
      <c r="BY938" s="2" t="s">
        <v>112</v>
      </c>
      <c r="BZ938" s="2" t="s">
        <v>100</v>
      </c>
    </row>
    <row r="939">
      <c r="A939" s="2" t="s">
        <v>3400</v>
      </c>
      <c r="B939" s="2" t="s">
        <v>87</v>
      </c>
      <c r="C939" s="2" t="s">
        <v>88</v>
      </c>
      <c r="D939" s="2" t="s">
        <v>3234</v>
      </c>
      <c r="E939" s="2" t="s">
        <v>3360</v>
      </c>
      <c r="F939" s="2" t="s">
        <v>2158</v>
      </c>
      <c r="G939" s="2" t="s">
        <v>2159</v>
      </c>
      <c r="H939" s="2" t="s">
        <v>2160</v>
      </c>
      <c r="I939" s="2" t="s">
        <v>3397</v>
      </c>
      <c r="J939" s="2" t="s">
        <v>850</v>
      </c>
      <c r="K939" s="2" t="s">
        <v>635</v>
      </c>
      <c r="L939" s="3">
        <v>53.9</v>
      </c>
      <c r="M939" s="3">
        <v>56.59</v>
      </c>
      <c r="N939" s="3">
        <v>109.99</v>
      </c>
      <c r="O939" s="2" t="s">
        <v>97</v>
      </c>
      <c r="P939" s="2" t="s">
        <v>182</v>
      </c>
      <c r="Q939" s="2" t="s">
        <v>99</v>
      </c>
      <c r="R939" s="2" t="s">
        <v>100</v>
      </c>
      <c r="S939" s="2" t="s">
        <v>2162</v>
      </c>
      <c r="T939" s="2" t="s">
        <v>100</v>
      </c>
      <c r="U939" s="2" t="s">
        <v>1610</v>
      </c>
      <c r="V939" s="2" t="s">
        <v>601</v>
      </c>
      <c r="W939" s="2" t="s">
        <v>759</v>
      </c>
      <c r="X939" s="2" t="s">
        <v>1542</v>
      </c>
      <c r="Y939" s="2" t="s">
        <v>3398</v>
      </c>
      <c r="Z939" s="4">
        <v>171</v>
      </c>
      <c r="AA939" s="4">
        <f>=ROUNDDOWN(34.2,0)</f>
      </c>
      <c r="AB939" s="5">
        <v>5</v>
      </c>
      <c r="AC939" s="2" t="s">
        <v>100</v>
      </c>
      <c r="AD939" s="4"/>
      <c r="AE939" s="4"/>
      <c r="AF939" s="6">
        <v>65</v>
      </c>
      <c r="AG939" s="6">
        <v>73</v>
      </c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>
        <v>80</v>
      </c>
      <c r="BK939" s="8">
        <v>4599.55</v>
      </c>
      <c r="BL939" s="2" t="s">
        <v>3401</v>
      </c>
      <c r="BM939" s="7"/>
      <c r="BN939" s="7"/>
      <c r="BO939" s="4"/>
      <c r="BP939" s="8"/>
      <c r="BQ939" s="4"/>
      <c r="BR939" s="8"/>
      <c r="BS939" s="7"/>
      <c r="BT939" s="7"/>
      <c r="BU939" s="2" t="s">
        <v>147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100</v>
      </c>
    </row>
    <row r="940">
      <c r="A940" s="2" t="s">
        <v>3402</v>
      </c>
      <c r="B940" s="2" t="s">
        <v>87</v>
      </c>
      <c r="C940" s="2" t="s">
        <v>88</v>
      </c>
      <c r="D940" s="2" t="s">
        <v>3234</v>
      </c>
      <c r="E940" s="2" t="s">
        <v>3360</v>
      </c>
      <c r="F940" s="2" t="s">
        <v>1175</v>
      </c>
      <c r="G940" s="2" t="s">
        <v>1176</v>
      </c>
      <c r="H940" s="2" t="s">
        <v>1177</v>
      </c>
      <c r="I940" s="2" t="s">
        <v>3403</v>
      </c>
      <c r="J940" s="2" t="s">
        <v>844</v>
      </c>
      <c r="K940" s="2" t="s">
        <v>310</v>
      </c>
      <c r="L940" s="3">
        <v>33.33</v>
      </c>
      <c r="M940" s="3">
        <v>35</v>
      </c>
      <c r="N940" s="3">
        <v>69.99</v>
      </c>
      <c r="O940" s="2" t="s">
        <v>97</v>
      </c>
      <c r="P940" s="2" t="s">
        <v>182</v>
      </c>
      <c r="Q940" s="2" t="s">
        <v>99</v>
      </c>
      <c r="R940" s="2" t="s">
        <v>100</v>
      </c>
      <c r="S940" s="2" t="s">
        <v>3404</v>
      </c>
      <c r="T940" s="2" t="s">
        <v>100</v>
      </c>
      <c r="U940" s="2" t="s">
        <v>1610</v>
      </c>
      <c r="V940" s="2" t="s">
        <v>601</v>
      </c>
      <c r="W940" s="2" t="s">
        <v>104</v>
      </c>
      <c r="X940" s="2" t="s">
        <v>808</v>
      </c>
      <c r="Y940" s="2" t="s">
        <v>1180</v>
      </c>
      <c r="Z940" s="4">
        <v>261</v>
      </c>
      <c r="AA940" s="4">
        <f>=ROUNDDOWN(32.625,0)</f>
      </c>
      <c r="AB940" s="5">
        <v>8</v>
      </c>
      <c r="AC940" s="2" t="s">
        <v>356</v>
      </c>
      <c r="AD940" s="4">
        <v>130</v>
      </c>
      <c r="AE940" s="4">
        <v>130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197</v>
      </c>
      <c r="BK940" s="8">
        <v>6480.24</v>
      </c>
      <c r="BL940" s="2" t="s">
        <v>3405</v>
      </c>
      <c r="BM940" s="7"/>
      <c r="BN940" s="7"/>
      <c r="BO940" s="4"/>
      <c r="BP940" s="8"/>
      <c r="BQ940" s="4"/>
      <c r="BR940" s="8"/>
      <c r="BS940" s="7"/>
      <c r="BT940" s="7"/>
      <c r="BU940" s="2" t="s">
        <v>147</v>
      </c>
      <c r="BV940" s="2" t="s">
        <v>97</v>
      </c>
      <c r="BW940" s="2" t="s">
        <v>100</v>
      </c>
      <c r="BX940" s="2" t="s">
        <v>100</v>
      </c>
      <c r="BY940" s="2" t="s">
        <v>112</v>
      </c>
      <c r="BZ940" s="2" t="s">
        <v>100</v>
      </c>
    </row>
    <row r="941">
      <c r="A941" s="2" t="s">
        <v>3406</v>
      </c>
      <c r="B941" s="2" t="s">
        <v>87</v>
      </c>
      <c r="C941" s="2" t="s">
        <v>88</v>
      </c>
      <c r="D941" s="2" t="s">
        <v>3234</v>
      </c>
      <c r="E941" s="2" t="s">
        <v>3360</v>
      </c>
      <c r="F941" s="2" t="s">
        <v>1175</v>
      </c>
      <c r="G941" s="2" t="s">
        <v>1176</v>
      </c>
      <c r="H941" s="2" t="s">
        <v>1177</v>
      </c>
      <c r="I941" s="2" t="s">
        <v>3403</v>
      </c>
      <c r="J941" s="2" t="s">
        <v>850</v>
      </c>
      <c r="K941" s="2" t="s">
        <v>310</v>
      </c>
      <c r="L941" s="3">
        <v>38.09</v>
      </c>
      <c r="M941" s="3">
        <v>39.99</v>
      </c>
      <c r="N941" s="3">
        <v>79.99</v>
      </c>
      <c r="O941" s="2" t="s">
        <v>97</v>
      </c>
      <c r="P941" s="2" t="s">
        <v>182</v>
      </c>
      <c r="Q941" s="2" t="s">
        <v>99</v>
      </c>
      <c r="R941" s="2" t="s">
        <v>100</v>
      </c>
      <c r="S941" s="2" t="s">
        <v>3404</v>
      </c>
      <c r="T941" s="2" t="s">
        <v>100</v>
      </c>
      <c r="U941" s="2" t="s">
        <v>1610</v>
      </c>
      <c r="V941" s="2" t="s">
        <v>601</v>
      </c>
      <c r="W941" s="2" t="s">
        <v>104</v>
      </c>
      <c r="X941" s="2" t="s">
        <v>808</v>
      </c>
      <c r="Y941" s="2" t="s">
        <v>1180</v>
      </c>
      <c r="Z941" s="4">
        <v>117</v>
      </c>
      <c r="AA941" s="4">
        <f>=ROUNDDOWN(10.6363636363636,0)</f>
      </c>
      <c r="AB941" s="5">
        <v>11</v>
      </c>
      <c r="AC941" s="2" t="s">
        <v>356</v>
      </c>
      <c r="AD941" s="4">
        <v>370</v>
      </c>
      <c r="AE941" s="4">
        <v>370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249</v>
      </c>
      <c r="BK941" s="8">
        <v>9334.81</v>
      </c>
      <c r="BL941" s="2" t="s">
        <v>3407</v>
      </c>
      <c r="BM941" s="7"/>
      <c r="BN941" s="7"/>
      <c r="BO941" s="4"/>
      <c r="BP941" s="8"/>
      <c r="BQ941" s="4"/>
      <c r="BR941" s="8"/>
      <c r="BS941" s="7"/>
      <c r="BT941" s="7"/>
      <c r="BU941" s="2" t="s">
        <v>147</v>
      </c>
      <c r="BV941" s="2" t="s">
        <v>97</v>
      </c>
      <c r="BW941" s="2" t="s">
        <v>100</v>
      </c>
      <c r="BX941" s="2" t="s">
        <v>100</v>
      </c>
      <c r="BY941" s="2" t="s">
        <v>112</v>
      </c>
      <c r="BZ941" s="2" t="s">
        <v>100</v>
      </c>
    </row>
    <row r="942">
      <c r="A942" s="2" t="s">
        <v>3408</v>
      </c>
      <c r="B942" s="2" t="s">
        <v>87</v>
      </c>
      <c r="C942" s="2" t="s">
        <v>88</v>
      </c>
      <c r="D942" s="2" t="s">
        <v>3234</v>
      </c>
      <c r="E942" s="2" t="s">
        <v>3360</v>
      </c>
      <c r="F942" s="2" t="s">
        <v>2168</v>
      </c>
      <c r="G942" s="2" t="s">
        <v>2169</v>
      </c>
      <c r="H942" s="2" t="s">
        <v>2170</v>
      </c>
      <c r="I942" s="2" t="s">
        <v>3409</v>
      </c>
      <c r="J942" s="2" t="s">
        <v>844</v>
      </c>
      <c r="K942" s="2" t="s">
        <v>1935</v>
      </c>
      <c r="L942" s="3">
        <v>53.9</v>
      </c>
      <c r="M942" s="3">
        <v>56.59</v>
      </c>
      <c r="N942" s="3">
        <v>109.99</v>
      </c>
      <c r="O942" s="2" t="s">
        <v>97</v>
      </c>
      <c r="P942" s="2" t="s">
        <v>182</v>
      </c>
      <c r="Q942" s="2" t="s">
        <v>99</v>
      </c>
      <c r="R942" s="2" t="s">
        <v>100</v>
      </c>
      <c r="S942" s="2" t="s">
        <v>2172</v>
      </c>
      <c r="T942" s="2" t="s">
        <v>100</v>
      </c>
      <c r="U942" s="2" t="s">
        <v>1610</v>
      </c>
      <c r="V942" s="2" t="s">
        <v>906</v>
      </c>
      <c r="W942" s="2" t="s">
        <v>906</v>
      </c>
      <c r="X942" s="2" t="s">
        <v>185</v>
      </c>
      <c r="Y942" s="2" t="s">
        <v>2173</v>
      </c>
      <c r="Z942" s="4">
        <v>196</v>
      </c>
      <c r="AA942" s="4">
        <f>=ROUNDDOWN(15.0769230769231,0)</f>
      </c>
      <c r="AB942" s="5">
        <v>13</v>
      </c>
      <c r="AC942" s="2" t="s">
        <v>1328</v>
      </c>
      <c r="AD942" s="4">
        <v>20</v>
      </c>
      <c r="AE942" s="4">
        <v>190</v>
      </c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222</v>
      </c>
      <c r="BK942" s="8">
        <v>12312.29</v>
      </c>
      <c r="BL942" s="2" t="s">
        <v>2834</v>
      </c>
      <c r="BM942" s="7"/>
      <c r="BN942" s="7"/>
      <c r="BO942" s="4"/>
      <c r="BP942" s="8"/>
      <c r="BQ942" s="4"/>
      <c r="BR942" s="8"/>
      <c r="BS942" s="7"/>
      <c r="BT942" s="7"/>
      <c r="BU942" s="2" t="s">
        <v>147</v>
      </c>
      <c r="BV942" s="2" t="s">
        <v>97</v>
      </c>
      <c r="BW942" s="2" t="s">
        <v>100</v>
      </c>
      <c r="BX942" s="2" t="s">
        <v>100</v>
      </c>
      <c r="BY942" s="2" t="s">
        <v>112</v>
      </c>
      <c r="BZ942" s="2" t="s">
        <v>100</v>
      </c>
    </row>
    <row r="943">
      <c r="A943" s="2" t="s">
        <v>3410</v>
      </c>
      <c r="B943" s="2" t="s">
        <v>87</v>
      </c>
      <c r="C943" s="2" t="s">
        <v>88</v>
      </c>
      <c r="D943" s="2" t="s">
        <v>3234</v>
      </c>
      <c r="E943" s="2" t="s">
        <v>3360</v>
      </c>
      <c r="F943" s="2" t="s">
        <v>2168</v>
      </c>
      <c r="G943" s="2" t="s">
        <v>2169</v>
      </c>
      <c r="H943" s="2" t="s">
        <v>2170</v>
      </c>
      <c r="I943" s="2" t="s">
        <v>3409</v>
      </c>
      <c r="J943" s="2" t="s">
        <v>850</v>
      </c>
      <c r="K943" s="2" t="s">
        <v>1935</v>
      </c>
      <c r="L943" s="3">
        <v>63.7</v>
      </c>
      <c r="M943" s="3">
        <v>66.88</v>
      </c>
      <c r="N943" s="3">
        <v>129.99</v>
      </c>
      <c r="O943" s="2" t="s">
        <v>97</v>
      </c>
      <c r="P943" s="2" t="s">
        <v>182</v>
      </c>
      <c r="Q943" s="2" t="s">
        <v>99</v>
      </c>
      <c r="R943" s="2" t="s">
        <v>100</v>
      </c>
      <c r="S943" s="2" t="s">
        <v>2172</v>
      </c>
      <c r="T943" s="2" t="s">
        <v>100</v>
      </c>
      <c r="U943" s="2" t="s">
        <v>1610</v>
      </c>
      <c r="V943" s="2" t="s">
        <v>906</v>
      </c>
      <c r="W943" s="2" t="s">
        <v>906</v>
      </c>
      <c r="X943" s="2" t="s">
        <v>185</v>
      </c>
      <c r="Y943" s="2" t="s">
        <v>2173</v>
      </c>
      <c r="Z943" s="4">
        <v>271</v>
      </c>
      <c r="AA943" s="4">
        <f>=ROUNDDOWN(19.3571428571429,0)</f>
      </c>
      <c r="AB943" s="5">
        <v>14</v>
      </c>
      <c r="AC943" s="2" t="s">
        <v>2152</v>
      </c>
      <c r="AD943" s="4">
        <v>50</v>
      </c>
      <c r="AE943" s="4">
        <v>270</v>
      </c>
      <c r="AF943" s="6">
        <v>69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223</v>
      </c>
      <c r="BK943" s="8">
        <v>14774.78</v>
      </c>
      <c r="BL943" s="2" t="s">
        <v>3411</v>
      </c>
      <c r="BM943" s="7"/>
      <c r="BN943" s="7"/>
      <c r="BO943" s="4"/>
      <c r="BP943" s="8"/>
      <c r="BQ943" s="4"/>
      <c r="BR943" s="8"/>
      <c r="BS943" s="7"/>
      <c r="BT943" s="7"/>
      <c r="BU943" s="2" t="s">
        <v>147</v>
      </c>
      <c r="BV943" s="2" t="s">
        <v>97</v>
      </c>
      <c r="BW943" s="2" t="s">
        <v>100</v>
      </c>
      <c r="BX943" s="2" t="s">
        <v>100</v>
      </c>
      <c r="BY943" s="2" t="s">
        <v>112</v>
      </c>
      <c r="BZ943" s="2" t="s">
        <v>100</v>
      </c>
    </row>
    <row r="944">
      <c r="A944" s="2" t="s">
        <v>3412</v>
      </c>
      <c r="B944" s="2" t="s">
        <v>87</v>
      </c>
      <c r="C944" s="2" t="s">
        <v>88</v>
      </c>
      <c r="D944" s="2" t="s">
        <v>3234</v>
      </c>
      <c r="E944" s="2" t="s">
        <v>3360</v>
      </c>
      <c r="F944" s="2" t="s">
        <v>2178</v>
      </c>
      <c r="G944" s="2" t="s">
        <v>2179</v>
      </c>
      <c r="H944" s="2" t="s">
        <v>2180</v>
      </c>
      <c r="I944" s="2" t="s">
        <v>3413</v>
      </c>
      <c r="J944" s="2" t="s">
        <v>844</v>
      </c>
      <c r="K944" s="2" t="s">
        <v>158</v>
      </c>
      <c r="L944" s="3">
        <v>32</v>
      </c>
      <c r="M944" s="3">
        <v>33.6</v>
      </c>
      <c r="N944" s="3">
        <v>69.99</v>
      </c>
      <c r="O944" s="2" t="s">
        <v>97</v>
      </c>
      <c r="P944" s="2" t="s">
        <v>1166</v>
      </c>
      <c r="Q944" s="2" t="s">
        <v>99</v>
      </c>
      <c r="R944" s="2" t="s">
        <v>100</v>
      </c>
      <c r="S944" s="2" t="s">
        <v>2182</v>
      </c>
      <c r="T944" s="2" t="s">
        <v>732</v>
      </c>
      <c r="U944" s="2" t="s">
        <v>1610</v>
      </c>
      <c r="V944" s="2" t="s">
        <v>491</v>
      </c>
      <c r="W944" s="2" t="s">
        <v>759</v>
      </c>
      <c r="X944" s="2" t="s">
        <v>1288</v>
      </c>
      <c r="Y944" s="2" t="s">
        <v>2183</v>
      </c>
      <c r="Z944" s="4">
        <v>150</v>
      </c>
      <c r="AA944" s="4">
        <f>=ROUNDDOWN(214.285714285714,0)</f>
      </c>
      <c r="AB944" s="5">
        <v>0.7</v>
      </c>
      <c r="AC944" s="2" t="s">
        <v>100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9</v>
      </c>
      <c r="BK944" s="8">
        <v>317.2</v>
      </c>
      <c r="BL944" s="2" t="s">
        <v>1577</v>
      </c>
      <c r="BM944" s="7"/>
      <c r="BN944" s="7"/>
      <c r="BO944" s="4"/>
      <c r="BP944" s="8"/>
      <c r="BQ944" s="4"/>
      <c r="BR944" s="8"/>
      <c r="BS944" s="7"/>
      <c r="BT944" s="7"/>
      <c r="BU944" s="2" t="s">
        <v>1171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100</v>
      </c>
    </row>
    <row r="945">
      <c r="A945" s="2" t="s">
        <v>3414</v>
      </c>
      <c r="B945" s="2" t="s">
        <v>87</v>
      </c>
      <c r="C945" s="2" t="s">
        <v>88</v>
      </c>
      <c r="D945" s="2" t="s">
        <v>3234</v>
      </c>
      <c r="E945" s="2" t="s">
        <v>3360</v>
      </c>
      <c r="F945" s="2" t="s">
        <v>2178</v>
      </c>
      <c r="G945" s="2" t="s">
        <v>2179</v>
      </c>
      <c r="H945" s="2" t="s">
        <v>2180</v>
      </c>
      <c r="I945" s="2" t="s">
        <v>3413</v>
      </c>
      <c r="J945" s="2" t="s">
        <v>850</v>
      </c>
      <c r="K945" s="2" t="s">
        <v>158</v>
      </c>
      <c r="L945" s="3">
        <v>36.57</v>
      </c>
      <c r="M945" s="3">
        <v>38.4</v>
      </c>
      <c r="N945" s="3">
        <v>79.99</v>
      </c>
      <c r="O945" s="2" t="s">
        <v>97</v>
      </c>
      <c r="P945" s="2" t="s">
        <v>1166</v>
      </c>
      <c r="Q945" s="2" t="s">
        <v>99</v>
      </c>
      <c r="R945" s="2" t="s">
        <v>100</v>
      </c>
      <c r="S945" s="2" t="s">
        <v>2182</v>
      </c>
      <c r="T945" s="2" t="s">
        <v>732</v>
      </c>
      <c r="U945" s="2" t="s">
        <v>1610</v>
      </c>
      <c r="V945" s="2" t="s">
        <v>491</v>
      </c>
      <c r="W945" s="2" t="s">
        <v>759</v>
      </c>
      <c r="X945" s="2" t="s">
        <v>1288</v>
      </c>
      <c r="Y945" s="2" t="s">
        <v>2183</v>
      </c>
      <c r="Z945" s="4">
        <v>179</v>
      </c>
      <c r="AA945" s="4">
        <f>=ROUNDDOWN(149.166666666667,0)</f>
      </c>
      <c r="AB945" s="5">
        <v>1.2</v>
      </c>
      <c r="AC945" s="2" t="s">
        <v>100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11</v>
      </c>
      <c r="BK945" s="8">
        <v>482.79</v>
      </c>
      <c r="BL945" s="2" t="s">
        <v>2184</v>
      </c>
      <c r="BM945" s="7"/>
      <c r="BN945" s="7"/>
      <c r="BO945" s="4"/>
      <c r="BP945" s="8"/>
      <c r="BQ945" s="4"/>
      <c r="BR945" s="8"/>
      <c r="BS945" s="7"/>
      <c r="BT945" s="7"/>
      <c r="BU945" s="2" t="s">
        <v>1171</v>
      </c>
      <c r="BV945" s="2" t="s">
        <v>97</v>
      </c>
      <c r="BW945" s="2" t="s">
        <v>100</v>
      </c>
      <c r="BX945" s="2" t="s">
        <v>100</v>
      </c>
      <c r="BY945" s="2" t="s">
        <v>112</v>
      </c>
      <c r="BZ945" s="2" t="s">
        <v>100</v>
      </c>
    </row>
    <row r="946">
      <c r="A946" s="2" t="s">
        <v>3415</v>
      </c>
      <c r="B946" s="2" t="s">
        <v>87</v>
      </c>
      <c r="C946" s="2" t="s">
        <v>88</v>
      </c>
      <c r="D946" s="2" t="s">
        <v>3234</v>
      </c>
      <c r="E946" s="2" t="s">
        <v>3360</v>
      </c>
      <c r="F946" s="2" t="s">
        <v>1305</v>
      </c>
      <c r="G946" s="2" t="s">
        <v>1306</v>
      </c>
      <c r="H946" s="2" t="s">
        <v>1307</v>
      </c>
      <c r="I946" s="2" t="s">
        <v>3416</v>
      </c>
      <c r="J946" s="2" t="s">
        <v>844</v>
      </c>
      <c r="K946" s="2" t="s">
        <v>197</v>
      </c>
      <c r="L946" s="3">
        <v>32.2</v>
      </c>
      <c r="M946" s="3">
        <v>33.81</v>
      </c>
      <c r="N946" s="3">
        <v>69.99</v>
      </c>
      <c r="O946" s="2" t="s">
        <v>97</v>
      </c>
      <c r="P946" s="2" t="s">
        <v>182</v>
      </c>
      <c r="Q946" s="2" t="s">
        <v>99</v>
      </c>
      <c r="R946" s="2" t="s">
        <v>100</v>
      </c>
      <c r="S946" s="2" t="s">
        <v>3417</v>
      </c>
      <c r="T946" s="2" t="s">
        <v>732</v>
      </c>
      <c r="U946" s="2" t="s">
        <v>1610</v>
      </c>
      <c r="V946" s="2" t="s">
        <v>491</v>
      </c>
      <c r="W946" s="2" t="s">
        <v>733</v>
      </c>
      <c r="X946" s="2" t="s">
        <v>1310</v>
      </c>
      <c r="Y946" s="2" t="s">
        <v>1311</v>
      </c>
      <c r="Z946" s="4">
        <v>285</v>
      </c>
      <c r="AA946" s="4">
        <f>=ROUNDDOWN(28.5,0)</f>
      </c>
      <c r="AB946" s="5">
        <v>10</v>
      </c>
      <c r="AC946" s="2" t="s">
        <v>1328</v>
      </c>
      <c r="AD946" s="4">
        <v>30</v>
      </c>
      <c r="AE946" s="4">
        <v>30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164</v>
      </c>
      <c r="BK946" s="8">
        <v>5604.53</v>
      </c>
      <c r="BL946" s="2" t="s">
        <v>3418</v>
      </c>
      <c r="BM946" s="7"/>
      <c r="BN946" s="7"/>
      <c r="BO946" s="4"/>
      <c r="BP946" s="8"/>
      <c r="BQ946" s="4"/>
      <c r="BR946" s="8"/>
      <c r="BS946" s="7"/>
      <c r="BT946" s="7"/>
      <c r="BU946" s="2" t="s">
        <v>147</v>
      </c>
      <c r="BV946" s="2" t="s">
        <v>97</v>
      </c>
      <c r="BW946" s="2" t="s">
        <v>100</v>
      </c>
      <c r="BX946" s="2" t="s">
        <v>100</v>
      </c>
      <c r="BY946" s="2" t="s">
        <v>112</v>
      </c>
      <c r="BZ946" s="2" t="s">
        <v>100</v>
      </c>
    </row>
    <row r="947">
      <c r="A947" s="2" t="s">
        <v>3419</v>
      </c>
      <c r="B947" s="2" t="s">
        <v>87</v>
      </c>
      <c r="C947" s="2" t="s">
        <v>88</v>
      </c>
      <c r="D947" s="2" t="s">
        <v>3234</v>
      </c>
      <c r="E947" s="2" t="s">
        <v>3360</v>
      </c>
      <c r="F947" s="2" t="s">
        <v>1305</v>
      </c>
      <c r="G947" s="2" t="s">
        <v>1306</v>
      </c>
      <c r="H947" s="2" t="s">
        <v>1307</v>
      </c>
      <c r="I947" s="2" t="s">
        <v>3416</v>
      </c>
      <c r="J947" s="2" t="s">
        <v>850</v>
      </c>
      <c r="K947" s="2" t="s">
        <v>197</v>
      </c>
      <c r="L947" s="3">
        <v>36.8</v>
      </c>
      <c r="M947" s="3">
        <v>38.64</v>
      </c>
      <c r="N947" s="3">
        <v>79.99</v>
      </c>
      <c r="O947" s="2" t="s">
        <v>97</v>
      </c>
      <c r="P947" s="2" t="s">
        <v>182</v>
      </c>
      <c r="Q947" s="2" t="s">
        <v>99</v>
      </c>
      <c r="R947" s="2" t="s">
        <v>100</v>
      </c>
      <c r="S947" s="2" t="s">
        <v>3417</v>
      </c>
      <c r="T947" s="2" t="s">
        <v>732</v>
      </c>
      <c r="U947" s="2" t="s">
        <v>1610</v>
      </c>
      <c r="V947" s="2" t="s">
        <v>491</v>
      </c>
      <c r="W947" s="2" t="s">
        <v>733</v>
      </c>
      <c r="X947" s="2" t="s">
        <v>1310</v>
      </c>
      <c r="Y947" s="2" t="s">
        <v>1311</v>
      </c>
      <c r="Z947" s="4">
        <v>224</v>
      </c>
      <c r="AA947" s="4">
        <f>=ROUNDDOWN(24.8888888888889,0)</f>
      </c>
      <c r="AB947" s="5">
        <v>9</v>
      </c>
      <c r="AC947" s="2" t="s">
        <v>518</v>
      </c>
      <c r="AD947" s="4">
        <v>60</v>
      </c>
      <c r="AE947" s="4">
        <v>60</v>
      </c>
      <c r="AF947" s="6">
        <v>65</v>
      </c>
      <c r="AG947" s="6">
        <v>73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175</v>
      </c>
      <c r="BK947" s="8">
        <v>6710.06</v>
      </c>
      <c r="BL947" s="2" t="s">
        <v>3420</v>
      </c>
      <c r="BM947" s="7"/>
      <c r="BN947" s="7"/>
      <c r="BO947" s="4"/>
      <c r="BP947" s="8"/>
      <c r="BQ947" s="4"/>
      <c r="BR947" s="8"/>
      <c r="BS947" s="7"/>
      <c r="BT947" s="7"/>
      <c r="BU947" s="2" t="s">
        <v>147</v>
      </c>
      <c r="BV947" s="2" t="s">
        <v>97</v>
      </c>
      <c r="BW947" s="2" t="s">
        <v>100</v>
      </c>
      <c r="BX947" s="2" t="s">
        <v>100</v>
      </c>
      <c r="BY947" s="2" t="s">
        <v>112</v>
      </c>
      <c r="BZ947" s="2" t="s">
        <v>100</v>
      </c>
    </row>
    <row r="948">
      <c r="A948" s="2" t="s">
        <v>3421</v>
      </c>
      <c r="B948" s="2" t="s">
        <v>87</v>
      </c>
      <c r="C948" s="2" t="s">
        <v>88</v>
      </c>
      <c r="D948" s="2" t="s">
        <v>3234</v>
      </c>
      <c r="E948" s="2" t="s">
        <v>3360</v>
      </c>
      <c r="F948" s="2" t="s">
        <v>727</v>
      </c>
      <c r="G948" s="2" t="s">
        <v>728</v>
      </c>
      <c r="H948" s="2" t="s">
        <v>729</v>
      </c>
      <c r="I948" s="2" t="s">
        <v>3422</v>
      </c>
      <c r="J948" s="2" t="s">
        <v>844</v>
      </c>
      <c r="K948" s="2" t="s">
        <v>158</v>
      </c>
      <c r="L948" s="3">
        <v>32.2</v>
      </c>
      <c r="M948" s="3">
        <v>33.81</v>
      </c>
      <c r="N948" s="3">
        <v>69.99</v>
      </c>
      <c r="O948" s="2" t="s">
        <v>97</v>
      </c>
      <c r="P948" s="2" t="s">
        <v>182</v>
      </c>
      <c r="Q948" s="2" t="s">
        <v>99</v>
      </c>
      <c r="R948" s="2" t="s">
        <v>100</v>
      </c>
      <c r="S948" s="2" t="s">
        <v>3423</v>
      </c>
      <c r="T948" s="2" t="s">
        <v>732</v>
      </c>
      <c r="U948" s="2" t="s">
        <v>1610</v>
      </c>
      <c r="V948" s="2" t="s">
        <v>491</v>
      </c>
      <c r="W948" s="2" t="s">
        <v>733</v>
      </c>
      <c r="X948" s="2" t="s">
        <v>284</v>
      </c>
      <c r="Y948" s="2" t="s">
        <v>3424</v>
      </c>
      <c r="Z948" s="4">
        <v>140</v>
      </c>
      <c r="AA948" s="4">
        <f>=ROUNDDOWN(14,0)</f>
      </c>
      <c r="AB948" s="5">
        <v>10</v>
      </c>
      <c r="AC948" s="2" t="s">
        <v>746</v>
      </c>
      <c r="AD948" s="4">
        <v>79</v>
      </c>
      <c r="AE948" s="4">
        <v>239</v>
      </c>
      <c r="AF948" s="6">
        <v>65</v>
      </c>
      <c r="AG948" s="6">
        <v>73</v>
      </c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100</v>
      </c>
      <c r="AW948" s="8" t="s">
        <v>100</v>
      </c>
      <c r="AX948" s="4" t="s">
        <v>100</v>
      </c>
      <c r="AY948" s="8" t="s">
        <v>100</v>
      </c>
      <c r="AZ948" s="7" t="s">
        <v>100</v>
      </c>
      <c r="BA948" s="7" t="s">
        <v>100</v>
      </c>
      <c r="BB948" s="7"/>
      <c r="BC948" s="4" t="s">
        <v>100</v>
      </c>
      <c r="BD948" s="8" t="s">
        <v>100</v>
      </c>
      <c r="BE948" s="4" t="s">
        <v>100</v>
      </c>
      <c r="BF948" s="8" t="s">
        <v>100</v>
      </c>
      <c r="BG948" s="7" t="s">
        <v>100</v>
      </c>
      <c r="BH948" s="7" t="s">
        <v>100</v>
      </c>
      <c r="BI948" s="7"/>
      <c r="BJ948" s="4">
        <v>154</v>
      </c>
      <c r="BK948" s="8">
        <v>5153</v>
      </c>
      <c r="BL948" s="2" t="s">
        <v>3425</v>
      </c>
      <c r="BM948" s="7"/>
      <c r="BN948" s="7"/>
      <c r="BO948" s="4"/>
      <c r="BP948" s="8"/>
      <c r="BQ948" s="4"/>
      <c r="BR948" s="8"/>
      <c r="BS948" s="7"/>
      <c r="BT948" s="7"/>
      <c r="BU948" s="2" t="s">
        <v>147</v>
      </c>
      <c r="BV948" s="2" t="s">
        <v>97</v>
      </c>
      <c r="BW948" s="2" t="s">
        <v>100</v>
      </c>
      <c r="BX948" s="2" t="s">
        <v>100</v>
      </c>
      <c r="BY948" s="2" t="s">
        <v>112</v>
      </c>
      <c r="BZ948" s="2" t="s">
        <v>100</v>
      </c>
    </row>
    <row r="949">
      <c r="A949" s="2" t="s">
        <v>3426</v>
      </c>
      <c r="B949" s="2" t="s">
        <v>87</v>
      </c>
      <c r="C949" s="2" t="s">
        <v>88</v>
      </c>
      <c r="D949" s="2" t="s">
        <v>3234</v>
      </c>
      <c r="E949" s="2" t="s">
        <v>3360</v>
      </c>
      <c r="F949" s="2" t="s">
        <v>727</v>
      </c>
      <c r="G949" s="2" t="s">
        <v>728</v>
      </c>
      <c r="H949" s="2" t="s">
        <v>729</v>
      </c>
      <c r="I949" s="2" t="s">
        <v>3422</v>
      </c>
      <c r="J949" s="2" t="s">
        <v>850</v>
      </c>
      <c r="K949" s="2" t="s">
        <v>158</v>
      </c>
      <c r="L949" s="3">
        <v>36.8</v>
      </c>
      <c r="M949" s="3">
        <v>38.64</v>
      </c>
      <c r="N949" s="3">
        <v>79.99</v>
      </c>
      <c r="O949" s="2" t="s">
        <v>97</v>
      </c>
      <c r="P949" s="2" t="s">
        <v>182</v>
      </c>
      <c r="Q949" s="2" t="s">
        <v>99</v>
      </c>
      <c r="R949" s="2" t="s">
        <v>100</v>
      </c>
      <c r="S949" s="2" t="s">
        <v>3423</v>
      </c>
      <c r="T949" s="2" t="s">
        <v>732</v>
      </c>
      <c r="U949" s="2" t="s">
        <v>1610</v>
      </c>
      <c r="V949" s="2" t="s">
        <v>491</v>
      </c>
      <c r="W949" s="2" t="s">
        <v>733</v>
      </c>
      <c r="X949" s="2" t="s">
        <v>284</v>
      </c>
      <c r="Y949" s="2" t="s">
        <v>3424</v>
      </c>
      <c r="Z949" s="4">
        <v>98</v>
      </c>
      <c r="AA949" s="4">
        <f>=ROUNDDOWN(12.25,0)</f>
      </c>
      <c r="AB949" s="5">
        <v>8</v>
      </c>
      <c r="AC949" s="2" t="s">
        <v>746</v>
      </c>
      <c r="AD949" s="4">
        <v>50</v>
      </c>
      <c r="AE949" s="4">
        <v>240</v>
      </c>
      <c r="AF949" s="6">
        <v>65</v>
      </c>
      <c r="AG949" s="6">
        <v>73</v>
      </c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100</v>
      </c>
      <c r="AW949" s="8" t="s">
        <v>100</v>
      </c>
      <c r="AX949" s="4" t="s">
        <v>100</v>
      </c>
      <c r="AY949" s="8" t="s">
        <v>100</v>
      </c>
      <c r="AZ949" s="7" t="s">
        <v>100</v>
      </c>
      <c r="BA949" s="7" t="s">
        <v>100</v>
      </c>
      <c r="BB949" s="7"/>
      <c r="BC949" s="4" t="s">
        <v>100</v>
      </c>
      <c r="BD949" s="8" t="s">
        <v>100</v>
      </c>
      <c r="BE949" s="4" t="s">
        <v>100</v>
      </c>
      <c r="BF949" s="8" t="s">
        <v>100</v>
      </c>
      <c r="BG949" s="7" t="s">
        <v>100</v>
      </c>
      <c r="BH949" s="7" t="s">
        <v>100</v>
      </c>
      <c r="BI949" s="7"/>
      <c r="BJ949" s="4">
        <v>138</v>
      </c>
      <c r="BK949" s="8">
        <v>5414.03</v>
      </c>
      <c r="BL949" s="2" t="s">
        <v>3427</v>
      </c>
      <c r="BM949" s="7"/>
      <c r="BN949" s="7"/>
      <c r="BO949" s="4"/>
      <c r="BP949" s="8"/>
      <c r="BQ949" s="4"/>
      <c r="BR949" s="8"/>
      <c r="BS949" s="7"/>
      <c r="BT949" s="7"/>
      <c r="BU949" s="2" t="s">
        <v>147</v>
      </c>
      <c r="BV949" s="2" t="s">
        <v>97</v>
      </c>
      <c r="BW949" s="2" t="s">
        <v>100</v>
      </c>
      <c r="BX949" s="2" t="s">
        <v>100</v>
      </c>
      <c r="BY949" s="2" t="s">
        <v>112</v>
      </c>
      <c r="BZ949" s="2" t="s">
        <v>100</v>
      </c>
    </row>
    <row r="950">
      <c r="A950" s="2" t="s">
        <v>3428</v>
      </c>
      <c r="B950" s="2" t="s">
        <v>87</v>
      </c>
      <c r="C950" s="2" t="s">
        <v>88</v>
      </c>
      <c r="D950" s="2" t="s">
        <v>3234</v>
      </c>
      <c r="E950" s="2" t="s">
        <v>3360</v>
      </c>
      <c r="F950" s="2" t="s">
        <v>727</v>
      </c>
      <c r="G950" s="2" t="s">
        <v>728</v>
      </c>
      <c r="H950" s="2" t="s">
        <v>729</v>
      </c>
      <c r="I950" s="2" t="s">
        <v>3422</v>
      </c>
      <c r="J950" s="2" t="s">
        <v>844</v>
      </c>
      <c r="K950" s="2" t="s">
        <v>650</v>
      </c>
      <c r="L950" s="3">
        <v>32.2</v>
      </c>
      <c r="M950" s="3">
        <v>33.81</v>
      </c>
      <c r="N950" s="3">
        <v>69.99</v>
      </c>
      <c r="O950" s="2" t="s">
        <v>97</v>
      </c>
      <c r="P950" s="2" t="s">
        <v>182</v>
      </c>
      <c r="Q950" s="2" t="s">
        <v>99</v>
      </c>
      <c r="R950" s="2" t="s">
        <v>100</v>
      </c>
      <c r="S950" s="2" t="s">
        <v>731</v>
      </c>
      <c r="T950" s="2" t="s">
        <v>732</v>
      </c>
      <c r="U950" s="2" t="s">
        <v>1610</v>
      </c>
      <c r="V950" s="2" t="s">
        <v>491</v>
      </c>
      <c r="W950" s="2" t="s">
        <v>733</v>
      </c>
      <c r="X950" s="2" t="s">
        <v>284</v>
      </c>
      <c r="Y950" s="2" t="s">
        <v>2173</v>
      </c>
      <c r="Z950" s="4">
        <v>460</v>
      </c>
      <c r="AA950" s="4">
        <f>=ROUNDDOWN(17.6923076923077,0)</f>
      </c>
      <c r="AB950" s="5">
        <v>26</v>
      </c>
      <c r="AC950" s="2" t="s">
        <v>735</v>
      </c>
      <c r="AD950" s="4">
        <v>100</v>
      </c>
      <c r="AE950" s="4">
        <v>540</v>
      </c>
      <c r="AF950" s="6">
        <v>65</v>
      </c>
      <c r="AG950" s="6">
        <v>73</v>
      </c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100</v>
      </c>
      <c r="AW950" s="8" t="s">
        <v>100</v>
      </c>
      <c r="AX950" s="4" t="s">
        <v>100</v>
      </c>
      <c r="AY950" s="8" t="s">
        <v>100</v>
      </c>
      <c r="AZ950" s="7" t="s">
        <v>100</v>
      </c>
      <c r="BA950" s="7" t="s">
        <v>100</v>
      </c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488</v>
      </c>
      <c r="BK950" s="8">
        <v>16524.91</v>
      </c>
      <c r="BL950" s="2" t="s">
        <v>3429</v>
      </c>
      <c r="BM950" s="7"/>
      <c r="BN950" s="7"/>
      <c r="BO950" s="4"/>
      <c r="BP950" s="8"/>
      <c r="BQ950" s="4"/>
      <c r="BR950" s="8"/>
      <c r="BS950" s="7"/>
      <c r="BT950" s="7"/>
      <c r="BU950" s="2" t="s">
        <v>147</v>
      </c>
      <c r="BV950" s="2" t="s">
        <v>97</v>
      </c>
      <c r="BW950" s="2" t="s">
        <v>100</v>
      </c>
      <c r="BX950" s="2" t="s">
        <v>100</v>
      </c>
      <c r="BY950" s="2" t="s">
        <v>112</v>
      </c>
      <c r="BZ950" s="2" t="s">
        <v>100</v>
      </c>
    </row>
    <row r="951">
      <c r="A951" s="2" t="s">
        <v>3430</v>
      </c>
      <c r="B951" s="2" t="s">
        <v>87</v>
      </c>
      <c r="C951" s="2" t="s">
        <v>88</v>
      </c>
      <c r="D951" s="2" t="s">
        <v>3234</v>
      </c>
      <c r="E951" s="2" t="s">
        <v>3360</v>
      </c>
      <c r="F951" s="2" t="s">
        <v>727</v>
      </c>
      <c r="G951" s="2" t="s">
        <v>728</v>
      </c>
      <c r="H951" s="2" t="s">
        <v>729</v>
      </c>
      <c r="I951" s="2" t="s">
        <v>3422</v>
      </c>
      <c r="J951" s="2" t="s">
        <v>850</v>
      </c>
      <c r="K951" s="2" t="s">
        <v>650</v>
      </c>
      <c r="L951" s="3">
        <v>36.8</v>
      </c>
      <c r="M951" s="3">
        <v>38.64</v>
      </c>
      <c r="N951" s="3">
        <v>79.99</v>
      </c>
      <c r="O951" s="2" t="s">
        <v>97</v>
      </c>
      <c r="P951" s="2" t="s">
        <v>182</v>
      </c>
      <c r="Q951" s="2" t="s">
        <v>99</v>
      </c>
      <c r="R951" s="2" t="s">
        <v>100</v>
      </c>
      <c r="S951" s="2" t="s">
        <v>731</v>
      </c>
      <c r="T951" s="2" t="s">
        <v>732</v>
      </c>
      <c r="U951" s="2" t="s">
        <v>1610</v>
      </c>
      <c r="V951" s="2" t="s">
        <v>491</v>
      </c>
      <c r="W951" s="2" t="s">
        <v>733</v>
      </c>
      <c r="X951" s="2" t="s">
        <v>284</v>
      </c>
      <c r="Y951" s="2" t="s">
        <v>2173</v>
      </c>
      <c r="Z951" s="4">
        <v>328</v>
      </c>
      <c r="AA951" s="4">
        <f>=ROUNDDOWN(14.2608695652174,0)</f>
      </c>
      <c r="AB951" s="5">
        <v>23</v>
      </c>
      <c r="AC951" s="2" t="s">
        <v>735</v>
      </c>
      <c r="AD951" s="4">
        <v>30</v>
      </c>
      <c r="AE951" s="4">
        <v>570</v>
      </c>
      <c r="AF951" s="6">
        <v>65</v>
      </c>
      <c r="AG951" s="6">
        <v>73</v>
      </c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100</v>
      </c>
      <c r="AW951" s="8" t="s">
        <v>100</v>
      </c>
      <c r="AX951" s="4" t="s">
        <v>100</v>
      </c>
      <c r="AY951" s="8" t="s">
        <v>100</v>
      </c>
      <c r="AZ951" s="7" t="s">
        <v>100</v>
      </c>
      <c r="BA951" s="7" t="s">
        <v>100</v>
      </c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405</v>
      </c>
      <c r="BK951" s="8">
        <v>16021.08</v>
      </c>
      <c r="BL951" s="2" t="s">
        <v>3431</v>
      </c>
      <c r="BM951" s="7"/>
      <c r="BN951" s="7"/>
      <c r="BO951" s="4"/>
      <c r="BP951" s="8"/>
      <c r="BQ951" s="4"/>
      <c r="BR951" s="8"/>
      <c r="BS951" s="7"/>
      <c r="BT951" s="7"/>
      <c r="BU951" s="2" t="s">
        <v>147</v>
      </c>
      <c r="BV951" s="2" t="s">
        <v>97</v>
      </c>
      <c r="BW951" s="2" t="s">
        <v>100</v>
      </c>
      <c r="BX951" s="2" t="s">
        <v>100</v>
      </c>
      <c r="BY951" s="2" t="s">
        <v>112</v>
      </c>
      <c r="BZ951" s="2" t="s">
        <v>100</v>
      </c>
    </row>
    <row r="952">
      <c r="A952" s="2" t="s">
        <v>3432</v>
      </c>
      <c r="B952" s="2" t="s">
        <v>87</v>
      </c>
      <c r="C952" s="2" t="s">
        <v>88</v>
      </c>
      <c r="D952" s="2" t="s">
        <v>3234</v>
      </c>
      <c r="E952" s="2" t="s">
        <v>3360</v>
      </c>
      <c r="F952" s="2" t="s">
        <v>2189</v>
      </c>
      <c r="G952" s="2" t="s">
        <v>2190</v>
      </c>
      <c r="H952" s="2" t="s">
        <v>2191</v>
      </c>
      <c r="I952" s="2" t="s">
        <v>3433</v>
      </c>
      <c r="J952" s="2" t="s">
        <v>844</v>
      </c>
      <c r="K952" s="2" t="s">
        <v>2193</v>
      </c>
      <c r="L952" s="3">
        <v>32</v>
      </c>
      <c r="M952" s="3">
        <v>33.6</v>
      </c>
      <c r="N952" s="3">
        <v>69.99</v>
      </c>
      <c r="O952" s="2" t="s">
        <v>97</v>
      </c>
      <c r="P952" s="2" t="s">
        <v>1166</v>
      </c>
      <c r="Q952" s="2" t="s">
        <v>99</v>
      </c>
      <c r="R952" s="2" t="s">
        <v>100</v>
      </c>
      <c r="S952" s="2" t="s">
        <v>2194</v>
      </c>
      <c r="T952" s="2" t="s">
        <v>732</v>
      </c>
      <c r="U952" s="2" t="s">
        <v>1610</v>
      </c>
      <c r="V952" s="2" t="s">
        <v>491</v>
      </c>
      <c r="W952" s="2" t="s">
        <v>2195</v>
      </c>
      <c r="X952" s="2" t="s">
        <v>602</v>
      </c>
      <c r="Y952" s="2" t="s">
        <v>2196</v>
      </c>
      <c r="Z952" s="4">
        <v>171</v>
      </c>
      <c r="AA952" s="4">
        <f>=ROUNDDOWN(34.2,0)</f>
      </c>
      <c r="AB952" s="5">
        <v>5</v>
      </c>
      <c r="AC952" s="2" t="s">
        <v>100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100</v>
      </c>
      <c r="AW952" s="8" t="s">
        <v>100</v>
      </c>
      <c r="AX952" s="4" t="s">
        <v>100</v>
      </c>
      <c r="AY952" s="8" t="s">
        <v>100</v>
      </c>
      <c r="AZ952" s="7" t="s">
        <v>100</v>
      </c>
      <c r="BA952" s="7" t="s">
        <v>100</v>
      </c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19</v>
      </c>
      <c r="BK952" s="8">
        <v>672.69</v>
      </c>
      <c r="BL952" s="2" t="s">
        <v>2187</v>
      </c>
      <c r="BM952" s="7"/>
      <c r="BN952" s="7"/>
      <c r="BO952" s="4"/>
      <c r="BP952" s="8"/>
      <c r="BQ952" s="4"/>
      <c r="BR952" s="8"/>
      <c r="BS952" s="7"/>
      <c r="BT952" s="7"/>
      <c r="BU952" s="2" t="s">
        <v>1171</v>
      </c>
      <c r="BV952" s="2" t="s">
        <v>97</v>
      </c>
      <c r="BW952" s="2" t="s">
        <v>100</v>
      </c>
      <c r="BX952" s="2" t="s">
        <v>100</v>
      </c>
      <c r="BY952" s="2" t="s">
        <v>112</v>
      </c>
      <c r="BZ952" s="2" t="s">
        <v>100</v>
      </c>
    </row>
    <row r="953">
      <c r="A953" s="2" t="s">
        <v>3434</v>
      </c>
      <c r="B953" s="2" t="s">
        <v>87</v>
      </c>
      <c r="C953" s="2" t="s">
        <v>88</v>
      </c>
      <c r="D953" s="2" t="s">
        <v>3234</v>
      </c>
      <c r="E953" s="2" t="s">
        <v>3360</v>
      </c>
      <c r="F953" s="2" t="s">
        <v>2189</v>
      </c>
      <c r="G953" s="2" t="s">
        <v>2190</v>
      </c>
      <c r="H953" s="2" t="s">
        <v>2191</v>
      </c>
      <c r="I953" s="2" t="s">
        <v>3433</v>
      </c>
      <c r="J953" s="2" t="s">
        <v>850</v>
      </c>
      <c r="K953" s="2" t="s">
        <v>2193</v>
      </c>
      <c r="L953" s="3">
        <v>36.57</v>
      </c>
      <c r="M953" s="3">
        <v>38.4</v>
      </c>
      <c r="N953" s="3">
        <v>79.99</v>
      </c>
      <c r="O953" s="2" t="s">
        <v>97</v>
      </c>
      <c r="P953" s="2" t="s">
        <v>1166</v>
      </c>
      <c r="Q953" s="2" t="s">
        <v>99</v>
      </c>
      <c r="R953" s="2" t="s">
        <v>100</v>
      </c>
      <c r="S953" s="2" t="s">
        <v>2194</v>
      </c>
      <c r="T953" s="2" t="s">
        <v>732</v>
      </c>
      <c r="U953" s="2" t="s">
        <v>1610</v>
      </c>
      <c r="V953" s="2" t="s">
        <v>491</v>
      </c>
      <c r="W953" s="2" t="s">
        <v>2195</v>
      </c>
      <c r="X953" s="2" t="s">
        <v>602</v>
      </c>
      <c r="Y953" s="2" t="s">
        <v>2196</v>
      </c>
      <c r="Z953" s="4">
        <v>190</v>
      </c>
      <c r="AA953" s="4">
        <f>=ROUNDDOWN(38,0)</f>
      </c>
      <c r="AB953" s="5">
        <v>5</v>
      </c>
      <c r="AC953" s="2" t="s">
        <v>100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100</v>
      </c>
      <c r="AW953" s="8" t="s">
        <v>100</v>
      </c>
      <c r="AX953" s="4" t="s">
        <v>100</v>
      </c>
      <c r="AY953" s="8" t="s">
        <v>100</v>
      </c>
      <c r="AZ953" s="7" t="s">
        <v>100</v>
      </c>
      <c r="BA953" s="7" t="s">
        <v>100</v>
      </c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20</v>
      </c>
      <c r="BK953" s="8">
        <v>822.5</v>
      </c>
      <c r="BL953" s="2" t="s">
        <v>1170</v>
      </c>
      <c r="BM953" s="7"/>
      <c r="BN953" s="7"/>
      <c r="BO953" s="4"/>
      <c r="BP953" s="8"/>
      <c r="BQ953" s="4"/>
      <c r="BR953" s="8"/>
      <c r="BS953" s="7"/>
      <c r="BT953" s="7"/>
      <c r="BU953" s="2" t="s">
        <v>1171</v>
      </c>
      <c r="BV953" s="2" t="s">
        <v>97</v>
      </c>
      <c r="BW953" s="2" t="s">
        <v>100</v>
      </c>
      <c r="BX953" s="2" t="s">
        <v>100</v>
      </c>
      <c r="BY953" s="2" t="s">
        <v>112</v>
      </c>
      <c r="BZ953" s="2" t="s">
        <v>100</v>
      </c>
    </row>
    <row r="954">
      <c r="A954" s="2" t="s">
        <v>3435</v>
      </c>
      <c r="B954" s="2" t="s">
        <v>87</v>
      </c>
      <c r="C954" s="2" t="s">
        <v>88</v>
      </c>
      <c r="D954" s="2" t="s">
        <v>3234</v>
      </c>
      <c r="E954" s="2" t="s">
        <v>3360</v>
      </c>
      <c r="F954" s="2" t="s">
        <v>1398</v>
      </c>
      <c r="G954" s="2" t="s">
        <v>1399</v>
      </c>
      <c r="H954" s="2" t="s">
        <v>1400</v>
      </c>
      <c r="I954" s="2" t="s">
        <v>3436</v>
      </c>
      <c r="J954" s="2" t="s">
        <v>844</v>
      </c>
      <c r="K954" s="2" t="s">
        <v>1204</v>
      </c>
      <c r="L954" s="3">
        <v>33.33</v>
      </c>
      <c r="M954" s="3">
        <v>35</v>
      </c>
      <c r="N954" s="3">
        <v>69.99</v>
      </c>
      <c r="O954" s="2" t="s">
        <v>97</v>
      </c>
      <c r="P954" s="2" t="s">
        <v>198</v>
      </c>
      <c r="Q954" s="2" t="s">
        <v>99</v>
      </c>
      <c r="R954" s="2" t="s">
        <v>100</v>
      </c>
      <c r="S954" s="2" t="s">
        <v>3437</v>
      </c>
      <c r="T954" s="2" t="s">
        <v>184</v>
      </c>
      <c r="U954" s="2" t="s">
        <v>1610</v>
      </c>
      <c r="V954" s="2" t="s">
        <v>561</v>
      </c>
      <c r="W954" s="2" t="s">
        <v>1403</v>
      </c>
      <c r="X954" s="2" t="s">
        <v>759</v>
      </c>
      <c r="Y954" s="2" t="s">
        <v>1404</v>
      </c>
      <c r="Z954" s="4">
        <v>151</v>
      </c>
      <c r="AA954" s="4">
        <f>=ROUNDDOWN(50.3333333333333,0)</f>
      </c>
      <c r="AB954" s="5">
        <v>3</v>
      </c>
      <c r="AC954" s="2" t="s">
        <v>100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100</v>
      </c>
      <c r="AW954" s="8" t="s">
        <v>100</v>
      </c>
      <c r="AX954" s="4" t="s">
        <v>100</v>
      </c>
      <c r="AY954" s="8" t="s">
        <v>100</v>
      </c>
      <c r="AZ954" s="7" t="s">
        <v>100</v>
      </c>
      <c r="BA954" s="7" t="s">
        <v>100</v>
      </c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48</v>
      </c>
      <c r="BK954" s="8">
        <v>1415.4</v>
      </c>
      <c r="BL954" s="2" t="s">
        <v>3438</v>
      </c>
      <c r="BM954" s="7"/>
      <c r="BN954" s="7"/>
      <c r="BO954" s="4"/>
      <c r="BP954" s="8"/>
      <c r="BQ954" s="4"/>
      <c r="BR954" s="8"/>
      <c r="BS954" s="7"/>
      <c r="BT954" s="7"/>
      <c r="BU954" s="2" t="s">
        <v>147</v>
      </c>
      <c r="BV954" s="2" t="s">
        <v>97</v>
      </c>
      <c r="BW954" s="2" t="s">
        <v>100</v>
      </c>
      <c r="BX954" s="2" t="s">
        <v>100</v>
      </c>
      <c r="BY954" s="2" t="s">
        <v>112</v>
      </c>
      <c r="BZ954" s="2" t="s">
        <v>100</v>
      </c>
    </row>
    <row r="955">
      <c r="A955" s="2" t="s">
        <v>3439</v>
      </c>
      <c r="B955" s="2" t="s">
        <v>87</v>
      </c>
      <c r="C955" s="2" t="s">
        <v>88</v>
      </c>
      <c r="D955" s="2" t="s">
        <v>3234</v>
      </c>
      <c r="E955" s="2" t="s">
        <v>3360</v>
      </c>
      <c r="F955" s="2" t="s">
        <v>1398</v>
      </c>
      <c r="G955" s="2" t="s">
        <v>1399</v>
      </c>
      <c r="H955" s="2" t="s">
        <v>1400</v>
      </c>
      <c r="I955" s="2" t="s">
        <v>3436</v>
      </c>
      <c r="J955" s="2" t="s">
        <v>850</v>
      </c>
      <c r="K955" s="2" t="s">
        <v>1204</v>
      </c>
      <c r="L955" s="3">
        <v>38.09</v>
      </c>
      <c r="M955" s="3">
        <v>39.99</v>
      </c>
      <c r="N955" s="3">
        <v>79.99</v>
      </c>
      <c r="O955" s="2" t="s">
        <v>97</v>
      </c>
      <c r="P955" s="2" t="s">
        <v>198</v>
      </c>
      <c r="Q955" s="2" t="s">
        <v>99</v>
      </c>
      <c r="R955" s="2" t="s">
        <v>100</v>
      </c>
      <c r="S955" s="2" t="s">
        <v>3437</v>
      </c>
      <c r="T955" s="2" t="s">
        <v>184</v>
      </c>
      <c r="U955" s="2" t="s">
        <v>1610</v>
      </c>
      <c r="V955" s="2" t="s">
        <v>561</v>
      </c>
      <c r="W955" s="2" t="s">
        <v>1403</v>
      </c>
      <c r="X955" s="2" t="s">
        <v>759</v>
      </c>
      <c r="Y955" s="2" t="s">
        <v>1404</v>
      </c>
      <c r="Z955" s="4">
        <v>130</v>
      </c>
      <c r="AA955" s="4">
        <f>=ROUNDDOWN(32.5,0)</f>
      </c>
      <c r="AB955" s="5">
        <v>4</v>
      </c>
      <c r="AC955" s="2" t="s">
        <v>100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100</v>
      </c>
      <c r="AW955" s="8" t="s">
        <v>100</v>
      </c>
      <c r="AX955" s="4" t="s">
        <v>100</v>
      </c>
      <c r="AY955" s="8" t="s">
        <v>100</v>
      </c>
      <c r="AZ955" s="7" t="s">
        <v>100</v>
      </c>
      <c r="BA955" s="7" t="s">
        <v>100</v>
      </c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36</v>
      </c>
      <c r="BK955" s="8">
        <v>1244.98</v>
      </c>
      <c r="BL955" s="2" t="s">
        <v>3440</v>
      </c>
      <c r="BM955" s="7"/>
      <c r="BN955" s="7"/>
      <c r="BO955" s="4"/>
      <c r="BP955" s="8"/>
      <c r="BQ955" s="4"/>
      <c r="BR955" s="8"/>
      <c r="BS955" s="7"/>
      <c r="BT955" s="7"/>
      <c r="BU955" s="2" t="s">
        <v>147</v>
      </c>
      <c r="BV955" s="2" t="s">
        <v>97</v>
      </c>
      <c r="BW955" s="2" t="s">
        <v>100</v>
      </c>
      <c r="BX955" s="2" t="s">
        <v>100</v>
      </c>
      <c r="BY955" s="2" t="s">
        <v>112</v>
      </c>
      <c r="BZ955" s="2" t="s">
        <v>100</v>
      </c>
    </row>
    <row r="956">
      <c r="A956" s="2" t="s">
        <v>3441</v>
      </c>
      <c r="B956" s="2" t="s">
        <v>87</v>
      </c>
      <c r="C956" s="2" t="s">
        <v>88</v>
      </c>
      <c r="D956" s="2" t="s">
        <v>3234</v>
      </c>
      <c r="E956" s="2" t="s">
        <v>3360</v>
      </c>
      <c r="F956" s="2" t="s">
        <v>1590</v>
      </c>
      <c r="G956" s="2" t="s">
        <v>2212</v>
      </c>
      <c r="H956" s="2" t="s">
        <v>2213</v>
      </c>
      <c r="I956" s="2" t="s">
        <v>3442</v>
      </c>
      <c r="J956" s="2" t="s">
        <v>844</v>
      </c>
      <c r="K956" s="2" t="s">
        <v>2215</v>
      </c>
      <c r="L956" s="3">
        <v>27.42</v>
      </c>
      <c r="M956" s="3">
        <v>28.79</v>
      </c>
      <c r="N956" s="3">
        <v>59.99</v>
      </c>
      <c r="O956" s="2" t="s">
        <v>97</v>
      </c>
      <c r="P956" s="2" t="s">
        <v>1166</v>
      </c>
      <c r="Q956" s="2" t="s">
        <v>99</v>
      </c>
      <c r="R956" s="2" t="s">
        <v>100</v>
      </c>
      <c r="S956" s="2" t="s">
        <v>2216</v>
      </c>
      <c r="T956" s="2" t="s">
        <v>1168</v>
      </c>
      <c r="U956" s="2" t="s">
        <v>1610</v>
      </c>
      <c r="V956" s="2" t="s">
        <v>455</v>
      </c>
      <c r="W956" s="2" t="s">
        <v>733</v>
      </c>
      <c r="X956" s="2" t="s">
        <v>1288</v>
      </c>
      <c r="Y956" s="2" t="s">
        <v>2217</v>
      </c>
      <c r="Z956" s="4">
        <v>97</v>
      </c>
      <c r="AA956" s="4">
        <f>=ROUNDDOWN(48.5,0)</f>
      </c>
      <c r="AB956" s="5">
        <v>2</v>
      </c>
      <c r="AC956" s="2" t="s">
        <v>100</v>
      </c>
      <c r="AD956" s="4"/>
      <c r="AE956" s="4"/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100</v>
      </c>
      <c r="AW956" s="8" t="s">
        <v>100</v>
      </c>
      <c r="AX956" s="4" t="s">
        <v>100</v>
      </c>
      <c r="AY956" s="8" t="s">
        <v>100</v>
      </c>
      <c r="AZ956" s="7" t="s">
        <v>100</v>
      </c>
      <c r="BA956" s="7" t="s">
        <v>100</v>
      </c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16</v>
      </c>
      <c r="BK956" s="8">
        <v>491.98</v>
      </c>
      <c r="BL956" s="2" t="s">
        <v>2187</v>
      </c>
      <c r="BM956" s="7"/>
      <c r="BN956" s="7"/>
      <c r="BO956" s="4"/>
      <c r="BP956" s="8"/>
      <c r="BQ956" s="4"/>
      <c r="BR956" s="8"/>
      <c r="BS956" s="7"/>
      <c r="BT956" s="7"/>
      <c r="BU956" s="2" t="s">
        <v>147</v>
      </c>
      <c r="BV956" s="2" t="s">
        <v>97</v>
      </c>
      <c r="BW956" s="2" t="s">
        <v>100</v>
      </c>
      <c r="BX956" s="2" t="s">
        <v>100</v>
      </c>
      <c r="BY956" s="2" t="s">
        <v>112</v>
      </c>
      <c r="BZ956" s="2" t="s">
        <v>100</v>
      </c>
    </row>
    <row r="957">
      <c r="A957" s="2" t="s">
        <v>3443</v>
      </c>
      <c r="B957" s="2" t="s">
        <v>87</v>
      </c>
      <c r="C957" s="2" t="s">
        <v>88</v>
      </c>
      <c r="D957" s="2" t="s">
        <v>3234</v>
      </c>
      <c r="E957" s="2" t="s">
        <v>3360</v>
      </c>
      <c r="F957" s="2" t="s">
        <v>1590</v>
      </c>
      <c r="G957" s="2" t="s">
        <v>2212</v>
      </c>
      <c r="H957" s="2" t="s">
        <v>2213</v>
      </c>
      <c r="I957" s="2" t="s">
        <v>3442</v>
      </c>
      <c r="J957" s="2" t="s">
        <v>850</v>
      </c>
      <c r="K957" s="2" t="s">
        <v>2215</v>
      </c>
      <c r="L957" s="3">
        <v>32</v>
      </c>
      <c r="M957" s="3">
        <v>33.6</v>
      </c>
      <c r="N957" s="3">
        <v>69.99</v>
      </c>
      <c r="O957" s="2" t="s">
        <v>97</v>
      </c>
      <c r="P957" s="2" t="s">
        <v>1166</v>
      </c>
      <c r="Q957" s="2" t="s">
        <v>99</v>
      </c>
      <c r="R957" s="2" t="s">
        <v>100</v>
      </c>
      <c r="S957" s="2" t="s">
        <v>2216</v>
      </c>
      <c r="T957" s="2" t="s">
        <v>1168</v>
      </c>
      <c r="U957" s="2" t="s">
        <v>1610</v>
      </c>
      <c r="V957" s="2" t="s">
        <v>455</v>
      </c>
      <c r="W957" s="2" t="s">
        <v>733</v>
      </c>
      <c r="X957" s="2" t="s">
        <v>1288</v>
      </c>
      <c r="Y957" s="2" t="s">
        <v>2220</v>
      </c>
      <c r="Z957" s="4">
        <v>168</v>
      </c>
      <c r="AA957" s="4">
        <f>=ROUNDDOWN(84,0)</f>
      </c>
      <c r="AB957" s="5">
        <v>2</v>
      </c>
      <c r="AC957" s="2" t="s">
        <v>100</v>
      </c>
      <c r="AD957" s="4"/>
      <c r="AE957" s="4"/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100</v>
      </c>
      <c r="AW957" s="8" t="s">
        <v>100</v>
      </c>
      <c r="AX957" s="4" t="s">
        <v>100</v>
      </c>
      <c r="AY957" s="8" t="s">
        <v>100</v>
      </c>
      <c r="AZ957" s="7" t="s">
        <v>100</v>
      </c>
      <c r="BA957" s="7" t="s">
        <v>100</v>
      </c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25</v>
      </c>
      <c r="BK957" s="8">
        <v>864.22</v>
      </c>
      <c r="BL957" s="2" t="s">
        <v>2187</v>
      </c>
      <c r="BM957" s="7"/>
      <c r="BN957" s="7"/>
      <c r="BO957" s="4"/>
      <c r="BP957" s="8"/>
      <c r="BQ957" s="4"/>
      <c r="BR957" s="8"/>
      <c r="BS957" s="7"/>
      <c r="BT957" s="7"/>
      <c r="BU957" s="2" t="s">
        <v>147</v>
      </c>
      <c r="BV957" s="2" t="s">
        <v>97</v>
      </c>
      <c r="BW957" s="2" t="s">
        <v>100</v>
      </c>
      <c r="BX957" s="2" t="s">
        <v>100</v>
      </c>
      <c r="BY957" s="2" t="s">
        <v>112</v>
      </c>
      <c r="BZ957" s="2" t="s">
        <v>100</v>
      </c>
    </row>
    <row r="958">
      <c r="A958" s="2" t="s">
        <v>3444</v>
      </c>
      <c r="B958" s="2" t="s">
        <v>87</v>
      </c>
      <c r="C958" s="2" t="s">
        <v>88</v>
      </c>
      <c r="D958" s="2" t="s">
        <v>3234</v>
      </c>
      <c r="E958" s="2" t="s">
        <v>3360</v>
      </c>
      <c r="F958" s="2" t="s">
        <v>2223</v>
      </c>
      <c r="G958" s="2" t="s">
        <v>2224</v>
      </c>
      <c r="H958" s="2" t="s">
        <v>2225</v>
      </c>
      <c r="I958" s="2" t="s">
        <v>3445</v>
      </c>
      <c r="J958" s="2" t="s">
        <v>844</v>
      </c>
      <c r="K958" s="2" t="s">
        <v>666</v>
      </c>
      <c r="L958" s="3">
        <v>58.8</v>
      </c>
      <c r="M958" s="3">
        <v>61.73</v>
      </c>
      <c r="N958" s="3">
        <v>119.99</v>
      </c>
      <c r="O958" s="2" t="s">
        <v>97</v>
      </c>
      <c r="P958" s="2" t="s">
        <v>182</v>
      </c>
      <c r="Q958" s="2" t="s">
        <v>99</v>
      </c>
      <c r="R958" s="2" t="s">
        <v>100</v>
      </c>
      <c r="S958" s="2" t="s">
        <v>2227</v>
      </c>
      <c r="T958" s="2" t="s">
        <v>100</v>
      </c>
      <c r="U958" s="2" t="s">
        <v>1610</v>
      </c>
      <c r="V958" s="2" t="s">
        <v>601</v>
      </c>
      <c r="W958" s="2" t="s">
        <v>759</v>
      </c>
      <c r="X958" s="2" t="s">
        <v>1157</v>
      </c>
      <c r="Y958" s="2" t="s">
        <v>2228</v>
      </c>
      <c r="Z958" s="4">
        <v>212</v>
      </c>
      <c r="AA958" s="4">
        <f>=ROUNDDOWN(42.4,0)</f>
      </c>
      <c r="AB958" s="5">
        <v>5</v>
      </c>
      <c r="AC958" s="2" t="s">
        <v>100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100</v>
      </c>
      <c r="AW958" s="8" t="s">
        <v>100</v>
      </c>
      <c r="AX958" s="4" t="s">
        <v>100</v>
      </c>
      <c r="AY958" s="8" t="s">
        <v>100</v>
      </c>
      <c r="AZ958" s="7" t="s">
        <v>100</v>
      </c>
      <c r="BA958" s="7" t="s">
        <v>100</v>
      </c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95</v>
      </c>
      <c r="BK958" s="8">
        <v>5488.13</v>
      </c>
      <c r="BL958" s="2" t="s">
        <v>3446</v>
      </c>
      <c r="BM958" s="7"/>
      <c r="BN958" s="7"/>
      <c r="BO958" s="4"/>
      <c r="BP958" s="8"/>
      <c r="BQ958" s="4"/>
      <c r="BR958" s="8"/>
      <c r="BS958" s="7"/>
      <c r="BT958" s="7"/>
      <c r="BU958" s="2" t="s">
        <v>147</v>
      </c>
      <c r="BV958" s="2" t="s">
        <v>97</v>
      </c>
      <c r="BW958" s="2" t="s">
        <v>100</v>
      </c>
      <c r="BX958" s="2" t="s">
        <v>100</v>
      </c>
      <c r="BY958" s="2" t="s">
        <v>112</v>
      </c>
      <c r="BZ958" s="2" t="s">
        <v>100</v>
      </c>
    </row>
    <row r="959">
      <c r="A959" s="2" t="s">
        <v>3447</v>
      </c>
      <c r="B959" s="2" t="s">
        <v>87</v>
      </c>
      <c r="C959" s="2" t="s">
        <v>88</v>
      </c>
      <c r="D959" s="2" t="s">
        <v>3234</v>
      </c>
      <c r="E959" s="2" t="s">
        <v>3360</v>
      </c>
      <c r="F959" s="2" t="s">
        <v>2223</v>
      </c>
      <c r="G959" s="2" t="s">
        <v>2224</v>
      </c>
      <c r="H959" s="2" t="s">
        <v>2225</v>
      </c>
      <c r="I959" s="2" t="s">
        <v>3445</v>
      </c>
      <c r="J959" s="2" t="s">
        <v>850</v>
      </c>
      <c r="K959" s="2" t="s">
        <v>666</v>
      </c>
      <c r="L959" s="3">
        <v>68.6</v>
      </c>
      <c r="M959" s="3">
        <v>72.02</v>
      </c>
      <c r="N959" s="3">
        <v>139.99</v>
      </c>
      <c r="O959" s="2" t="s">
        <v>97</v>
      </c>
      <c r="P959" s="2" t="s">
        <v>182</v>
      </c>
      <c r="Q959" s="2" t="s">
        <v>99</v>
      </c>
      <c r="R959" s="2" t="s">
        <v>100</v>
      </c>
      <c r="S959" s="2" t="s">
        <v>2227</v>
      </c>
      <c r="T959" s="2" t="s">
        <v>100</v>
      </c>
      <c r="U959" s="2" t="s">
        <v>1610</v>
      </c>
      <c r="V959" s="2" t="s">
        <v>601</v>
      </c>
      <c r="W959" s="2" t="s">
        <v>759</v>
      </c>
      <c r="X959" s="2" t="s">
        <v>1157</v>
      </c>
      <c r="Y959" s="2" t="s">
        <v>2228</v>
      </c>
      <c r="Z959" s="4">
        <v>166</v>
      </c>
      <c r="AA959" s="4">
        <f>=ROUNDDOWN(33.2,0)</f>
      </c>
      <c r="AB959" s="5">
        <v>5</v>
      </c>
      <c r="AC959" s="2" t="s">
        <v>100</v>
      </c>
      <c r="AD959" s="4"/>
      <c r="AE959" s="4"/>
      <c r="AF959" s="6">
        <v>65</v>
      </c>
      <c r="AG959" s="6"/>
      <c r="AH959" s="7">
        <v>0.8788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100</v>
      </c>
      <c r="AW959" s="8" t="s">
        <v>100</v>
      </c>
      <c r="AX959" s="4" t="s">
        <v>100</v>
      </c>
      <c r="AY959" s="8" t="s">
        <v>100</v>
      </c>
      <c r="AZ959" s="7" t="s">
        <v>100</v>
      </c>
      <c r="BA959" s="7" t="s">
        <v>100</v>
      </c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109</v>
      </c>
      <c r="BK959" s="8">
        <v>7653.12</v>
      </c>
      <c r="BL959" s="2" t="s">
        <v>3448</v>
      </c>
      <c r="BM959" s="7"/>
      <c r="BN959" s="7"/>
      <c r="BO959" s="4"/>
      <c r="BP959" s="8"/>
      <c r="BQ959" s="4"/>
      <c r="BR959" s="8"/>
      <c r="BS959" s="7"/>
      <c r="BT959" s="7"/>
      <c r="BU959" s="2" t="s">
        <v>147</v>
      </c>
      <c r="BV959" s="2" t="s">
        <v>97</v>
      </c>
      <c r="BW959" s="2" t="s">
        <v>100</v>
      </c>
      <c r="BX959" s="2" t="s">
        <v>100</v>
      </c>
      <c r="BY959" s="2" t="s">
        <v>112</v>
      </c>
      <c r="BZ959" s="2" t="s">
        <v>100</v>
      </c>
    </row>
    <row r="960">
      <c r="A960" s="2" t="s">
        <v>3449</v>
      </c>
      <c r="B960" s="2" t="s">
        <v>87</v>
      </c>
      <c r="C960" s="2" t="s">
        <v>88</v>
      </c>
      <c r="D960" s="2" t="s">
        <v>3234</v>
      </c>
      <c r="E960" s="2" t="s">
        <v>3360</v>
      </c>
      <c r="F960" s="2" t="s">
        <v>1476</v>
      </c>
      <c r="G960" s="2" t="s">
        <v>1477</v>
      </c>
      <c r="H960" s="2" t="s">
        <v>1478</v>
      </c>
      <c r="I960" s="2" t="s">
        <v>3450</v>
      </c>
      <c r="J960" s="2" t="s">
        <v>844</v>
      </c>
      <c r="K960" s="2" t="s">
        <v>1480</v>
      </c>
      <c r="L960" s="3">
        <v>33.33</v>
      </c>
      <c r="M960" s="3">
        <v>35</v>
      </c>
      <c r="N960" s="3">
        <v>69.99</v>
      </c>
      <c r="O960" s="2" t="s">
        <v>97</v>
      </c>
      <c r="P960" s="2" t="s">
        <v>1166</v>
      </c>
      <c r="Q960" s="2" t="s">
        <v>99</v>
      </c>
      <c r="R960" s="2" t="s">
        <v>100</v>
      </c>
      <c r="S960" s="2" t="s">
        <v>1481</v>
      </c>
      <c r="T960" s="2" t="s">
        <v>100</v>
      </c>
      <c r="U960" s="2" t="s">
        <v>1610</v>
      </c>
      <c r="V960" s="2" t="s">
        <v>491</v>
      </c>
      <c r="W960" s="2" t="s">
        <v>808</v>
      </c>
      <c r="X960" s="2" t="s">
        <v>1288</v>
      </c>
      <c r="Y960" s="2" t="s">
        <v>3451</v>
      </c>
      <c r="Z960" s="4">
        <v>21</v>
      </c>
      <c r="AA960" s="4">
        <f>=ROUNDDOWN(7,0)</f>
      </c>
      <c r="AB960" s="5">
        <v>3</v>
      </c>
      <c r="AC960" s="2" t="s">
        <v>100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100</v>
      </c>
      <c r="AW960" s="8" t="s">
        <v>100</v>
      </c>
      <c r="AX960" s="4" t="s">
        <v>100</v>
      </c>
      <c r="AY960" s="8" t="s">
        <v>100</v>
      </c>
      <c r="AZ960" s="7" t="s">
        <v>100</v>
      </c>
      <c r="BA960" s="7" t="s">
        <v>100</v>
      </c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40</v>
      </c>
      <c r="BK960" s="8">
        <v>1439.85</v>
      </c>
      <c r="BL960" s="2" t="s">
        <v>3452</v>
      </c>
      <c r="BM960" s="7"/>
      <c r="BN960" s="7"/>
      <c r="BO960" s="4"/>
      <c r="BP960" s="8"/>
      <c r="BQ960" s="4"/>
      <c r="BR960" s="8"/>
      <c r="BS960" s="7"/>
      <c r="BT960" s="7"/>
      <c r="BU960" s="2" t="s">
        <v>147</v>
      </c>
      <c r="BV960" s="2" t="s">
        <v>97</v>
      </c>
      <c r="BW960" s="2" t="s">
        <v>100</v>
      </c>
      <c r="BX960" s="2" t="s">
        <v>100</v>
      </c>
      <c r="BY960" s="2" t="s">
        <v>112</v>
      </c>
      <c r="BZ960" s="2" t="s">
        <v>100</v>
      </c>
    </row>
    <row r="961">
      <c r="A961" s="2" t="s">
        <v>3453</v>
      </c>
      <c r="B961" s="2" t="s">
        <v>87</v>
      </c>
      <c r="C961" s="2" t="s">
        <v>88</v>
      </c>
      <c r="D961" s="2" t="s">
        <v>3234</v>
      </c>
      <c r="E961" s="2" t="s">
        <v>3360</v>
      </c>
      <c r="F961" s="2" t="s">
        <v>1476</v>
      </c>
      <c r="G961" s="2" t="s">
        <v>1477</v>
      </c>
      <c r="H961" s="2" t="s">
        <v>1478</v>
      </c>
      <c r="I961" s="2" t="s">
        <v>3450</v>
      </c>
      <c r="J961" s="2" t="s">
        <v>850</v>
      </c>
      <c r="K961" s="2" t="s">
        <v>1480</v>
      </c>
      <c r="L961" s="3">
        <v>38.09</v>
      </c>
      <c r="M961" s="3">
        <v>39.99</v>
      </c>
      <c r="N961" s="3">
        <v>79.99</v>
      </c>
      <c r="O961" s="2" t="s">
        <v>97</v>
      </c>
      <c r="P961" s="2" t="s">
        <v>1166</v>
      </c>
      <c r="Q961" s="2" t="s">
        <v>99</v>
      </c>
      <c r="R961" s="2" t="s">
        <v>100</v>
      </c>
      <c r="S961" s="2" t="s">
        <v>1481</v>
      </c>
      <c r="T961" s="2" t="s">
        <v>100</v>
      </c>
      <c r="U961" s="2" t="s">
        <v>1610</v>
      </c>
      <c r="V961" s="2" t="s">
        <v>491</v>
      </c>
      <c r="W961" s="2" t="s">
        <v>808</v>
      </c>
      <c r="X961" s="2" t="s">
        <v>1288</v>
      </c>
      <c r="Y961" s="2" t="s">
        <v>3451</v>
      </c>
      <c r="Z961" s="4">
        <v>36</v>
      </c>
      <c r="AA961" s="4">
        <f>=ROUNDDOWN(18,0)</f>
      </c>
      <c r="AB961" s="5">
        <v>2</v>
      </c>
      <c r="AC961" s="2" t="s">
        <v>100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100</v>
      </c>
      <c r="AW961" s="8" t="s">
        <v>100</v>
      </c>
      <c r="AX961" s="4" t="s">
        <v>100</v>
      </c>
      <c r="AY961" s="8" t="s">
        <v>100</v>
      </c>
      <c r="AZ961" s="7" t="s">
        <v>100</v>
      </c>
      <c r="BA961" s="7" t="s">
        <v>100</v>
      </c>
      <c r="BB961" s="7"/>
      <c r="BC961" s="4" t="s">
        <v>100</v>
      </c>
      <c r="BD961" s="8" t="s">
        <v>100</v>
      </c>
      <c r="BE961" s="4" t="s">
        <v>100</v>
      </c>
      <c r="BF961" s="8" t="s">
        <v>100</v>
      </c>
      <c r="BG961" s="7" t="s">
        <v>100</v>
      </c>
      <c r="BH961" s="7" t="s">
        <v>100</v>
      </c>
      <c r="BI961" s="7"/>
      <c r="BJ961" s="4">
        <v>33</v>
      </c>
      <c r="BK961" s="8">
        <v>1374.07</v>
      </c>
      <c r="BL961" s="2" t="s">
        <v>3452</v>
      </c>
      <c r="BM961" s="7"/>
      <c r="BN961" s="7"/>
      <c r="BO961" s="4"/>
      <c r="BP961" s="8"/>
      <c r="BQ961" s="4"/>
      <c r="BR961" s="8"/>
      <c r="BS961" s="7"/>
      <c r="BT961" s="7"/>
      <c r="BU961" s="2" t="s">
        <v>147</v>
      </c>
      <c r="BV961" s="2" t="s">
        <v>97</v>
      </c>
      <c r="BW961" s="2" t="s">
        <v>100</v>
      </c>
      <c r="BX961" s="2" t="s">
        <v>100</v>
      </c>
      <c r="BY961" s="2" t="s">
        <v>112</v>
      </c>
      <c r="BZ961" s="2" t="s">
        <v>100</v>
      </c>
    </row>
    <row r="962">
      <c r="A962" s="2" t="s">
        <v>3454</v>
      </c>
      <c r="B962" s="2" t="s">
        <v>87</v>
      </c>
      <c r="C962" s="2" t="s">
        <v>88</v>
      </c>
      <c r="D962" s="2" t="s">
        <v>3234</v>
      </c>
      <c r="E962" s="2" t="s">
        <v>3360</v>
      </c>
      <c r="F962" s="2" t="s">
        <v>1537</v>
      </c>
      <c r="G962" s="2" t="s">
        <v>1538</v>
      </c>
      <c r="H962" s="2" t="s">
        <v>1539</v>
      </c>
      <c r="I962" s="2" t="s">
        <v>3455</v>
      </c>
      <c r="J962" s="2" t="s">
        <v>844</v>
      </c>
      <c r="K962" s="2" t="s">
        <v>158</v>
      </c>
      <c r="L962" s="3">
        <v>32.2</v>
      </c>
      <c r="M962" s="3">
        <v>33.81</v>
      </c>
      <c r="N962" s="3">
        <v>69.99</v>
      </c>
      <c r="O962" s="2" t="s">
        <v>97</v>
      </c>
      <c r="P962" s="2" t="s">
        <v>182</v>
      </c>
      <c r="Q962" s="2" t="s">
        <v>99</v>
      </c>
      <c r="R962" s="2" t="s">
        <v>100</v>
      </c>
      <c r="S962" s="2" t="s">
        <v>1541</v>
      </c>
      <c r="T962" s="2" t="s">
        <v>100</v>
      </c>
      <c r="U962" s="2" t="s">
        <v>1610</v>
      </c>
      <c r="V962" s="2" t="s">
        <v>491</v>
      </c>
      <c r="W962" s="2" t="s">
        <v>1530</v>
      </c>
      <c r="X962" s="2" t="s">
        <v>1542</v>
      </c>
      <c r="Y962" s="2" t="s">
        <v>1543</v>
      </c>
      <c r="Z962" s="4">
        <v>397</v>
      </c>
      <c r="AA962" s="4">
        <f>=ROUNDDOWN(26.4666666666667,0)</f>
      </c>
      <c r="AB962" s="5">
        <v>15</v>
      </c>
      <c r="AC962" s="2" t="s">
        <v>527</v>
      </c>
      <c r="AD962" s="4">
        <v>30</v>
      </c>
      <c r="AE962" s="4">
        <v>260</v>
      </c>
      <c r="AF962" s="6">
        <v>65</v>
      </c>
      <c r="AG962" s="6">
        <v>73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/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/>
      <c r="BJ962" s="4">
        <v>251</v>
      </c>
      <c r="BK962" s="8">
        <v>8476.5</v>
      </c>
      <c r="BL962" s="2" t="s">
        <v>3456</v>
      </c>
      <c r="BM962" s="7"/>
      <c r="BN962" s="7"/>
      <c r="BO962" s="4"/>
      <c r="BP962" s="8"/>
      <c r="BQ962" s="4"/>
      <c r="BR962" s="8"/>
      <c r="BS962" s="7"/>
      <c r="BT962" s="7"/>
      <c r="BU962" s="2" t="s">
        <v>147</v>
      </c>
      <c r="BV962" s="2" t="s">
        <v>97</v>
      </c>
      <c r="BW962" s="2" t="s">
        <v>100</v>
      </c>
      <c r="BX962" s="2" t="s">
        <v>100</v>
      </c>
      <c r="BY962" s="2" t="s">
        <v>112</v>
      </c>
      <c r="BZ962" s="2" t="s">
        <v>100</v>
      </c>
    </row>
    <row r="963">
      <c r="A963" s="2" t="s">
        <v>3457</v>
      </c>
      <c r="B963" s="2" t="s">
        <v>87</v>
      </c>
      <c r="C963" s="2" t="s">
        <v>88</v>
      </c>
      <c r="D963" s="2" t="s">
        <v>3234</v>
      </c>
      <c r="E963" s="2" t="s">
        <v>3360</v>
      </c>
      <c r="F963" s="2" t="s">
        <v>1537</v>
      </c>
      <c r="G963" s="2" t="s">
        <v>1538</v>
      </c>
      <c r="H963" s="2" t="s">
        <v>1539</v>
      </c>
      <c r="I963" s="2" t="s">
        <v>3455</v>
      </c>
      <c r="J963" s="2" t="s">
        <v>850</v>
      </c>
      <c r="K963" s="2" t="s">
        <v>158</v>
      </c>
      <c r="L963" s="3">
        <v>36.8</v>
      </c>
      <c r="M963" s="3">
        <v>38.64</v>
      </c>
      <c r="N963" s="3">
        <v>79.99</v>
      </c>
      <c r="O963" s="2" t="s">
        <v>97</v>
      </c>
      <c r="P963" s="2" t="s">
        <v>182</v>
      </c>
      <c r="Q963" s="2" t="s">
        <v>99</v>
      </c>
      <c r="R963" s="2" t="s">
        <v>100</v>
      </c>
      <c r="S963" s="2" t="s">
        <v>1541</v>
      </c>
      <c r="T963" s="2" t="s">
        <v>100</v>
      </c>
      <c r="U963" s="2" t="s">
        <v>1610</v>
      </c>
      <c r="V963" s="2" t="s">
        <v>491</v>
      </c>
      <c r="W963" s="2" t="s">
        <v>1530</v>
      </c>
      <c r="X963" s="2" t="s">
        <v>1542</v>
      </c>
      <c r="Y963" s="2" t="s">
        <v>1543</v>
      </c>
      <c r="Z963" s="4">
        <v>284</v>
      </c>
      <c r="AA963" s="4">
        <f>=ROUNDDOWN(17.75,0)</f>
      </c>
      <c r="AB963" s="5">
        <v>16</v>
      </c>
      <c r="AC963" s="2" t="s">
        <v>527</v>
      </c>
      <c r="AD963" s="4">
        <v>30</v>
      </c>
      <c r="AE963" s="4">
        <v>520</v>
      </c>
      <c r="AF963" s="6">
        <v>65</v>
      </c>
      <c r="AG963" s="6">
        <v>73</v>
      </c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/>
      <c r="BJ963" s="4">
        <v>328</v>
      </c>
      <c r="BK963" s="8">
        <v>12726.83</v>
      </c>
      <c r="BL963" s="2" t="s">
        <v>3456</v>
      </c>
      <c r="BM963" s="7"/>
      <c r="BN963" s="7"/>
      <c r="BO963" s="4"/>
      <c r="BP963" s="8"/>
      <c r="BQ963" s="4"/>
      <c r="BR963" s="8"/>
      <c r="BS963" s="7"/>
      <c r="BT963" s="7"/>
      <c r="BU963" s="2" t="s">
        <v>147</v>
      </c>
      <c r="BV963" s="2" t="s">
        <v>97</v>
      </c>
      <c r="BW963" s="2" t="s">
        <v>100</v>
      </c>
      <c r="BX963" s="2" t="s">
        <v>100</v>
      </c>
      <c r="BY963" s="2" t="s">
        <v>112</v>
      </c>
      <c r="BZ963" s="2" t="s">
        <v>100</v>
      </c>
    </row>
    <row r="964">
      <c r="A964" s="2" t="s">
        <v>3458</v>
      </c>
      <c r="B964" s="2" t="s">
        <v>87</v>
      </c>
      <c r="C964" s="2" t="s">
        <v>88</v>
      </c>
      <c r="D964" s="2" t="s">
        <v>3234</v>
      </c>
      <c r="E964" s="2" t="s">
        <v>3360</v>
      </c>
      <c r="F964" s="2" t="s">
        <v>1537</v>
      </c>
      <c r="G964" s="2" t="s">
        <v>1538</v>
      </c>
      <c r="H964" s="2" t="s">
        <v>1539</v>
      </c>
      <c r="I964" s="2" t="s">
        <v>3455</v>
      </c>
      <c r="J964" s="2" t="s">
        <v>844</v>
      </c>
      <c r="K964" s="2" t="s">
        <v>298</v>
      </c>
      <c r="L964" s="3">
        <v>32.2</v>
      </c>
      <c r="M964" s="3">
        <v>33.81</v>
      </c>
      <c r="N964" s="3">
        <v>69.99</v>
      </c>
      <c r="O964" s="2" t="s">
        <v>97</v>
      </c>
      <c r="P964" s="2" t="s">
        <v>1265</v>
      </c>
      <c r="Q964" s="2" t="s">
        <v>99</v>
      </c>
      <c r="R964" s="2" t="s">
        <v>100</v>
      </c>
      <c r="S964" s="2" t="s">
        <v>3459</v>
      </c>
      <c r="T964" s="2" t="s">
        <v>100</v>
      </c>
      <c r="U964" s="2" t="s">
        <v>1610</v>
      </c>
      <c r="V964" s="2" t="s">
        <v>491</v>
      </c>
      <c r="W964" s="2" t="s">
        <v>1530</v>
      </c>
      <c r="X964" s="2" t="s">
        <v>733</v>
      </c>
      <c r="Y964" s="2" t="s">
        <v>1552</v>
      </c>
      <c r="Z964" s="4">
        <v>142</v>
      </c>
      <c r="AA964" s="4">
        <f>=ROUNDDOWN(20.2857142857143,0)</f>
      </c>
      <c r="AB964" s="5">
        <v>7</v>
      </c>
      <c r="AC964" s="2" t="s">
        <v>100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/>
      <c r="BJ964" s="4">
        <v>132</v>
      </c>
      <c r="BK964" s="8">
        <v>4525.1</v>
      </c>
      <c r="BL964" s="2" t="s">
        <v>3460</v>
      </c>
      <c r="BM964" s="7"/>
      <c r="BN964" s="7"/>
      <c r="BO964" s="4"/>
      <c r="BP964" s="8"/>
      <c r="BQ964" s="4"/>
      <c r="BR964" s="8"/>
      <c r="BS964" s="7"/>
      <c r="BT964" s="7"/>
      <c r="BU964" s="2" t="s">
        <v>147</v>
      </c>
      <c r="BV964" s="2" t="s">
        <v>97</v>
      </c>
      <c r="BW964" s="2" t="s">
        <v>100</v>
      </c>
      <c r="BX964" s="2" t="s">
        <v>100</v>
      </c>
      <c r="BY964" s="2" t="s">
        <v>112</v>
      </c>
      <c r="BZ964" s="2" t="s">
        <v>100</v>
      </c>
    </row>
    <row r="965">
      <c r="A965" s="2" t="s">
        <v>3461</v>
      </c>
      <c r="B965" s="2" t="s">
        <v>87</v>
      </c>
      <c r="C965" s="2" t="s">
        <v>88</v>
      </c>
      <c r="D965" s="2" t="s">
        <v>3234</v>
      </c>
      <c r="E965" s="2" t="s">
        <v>3360</v>
      </c>
      <c r="F965" s="2" t="s">
        <v>1537</v>
      </c>
      <c r="G965" s="2" t="s">
        <v>1538</v>
      </c>
      <c r="H965" s="2" t="s">
        <v>1539</v>
      </c>
      <c r="I965" s="2" t="s">
        <v>3455</v>
      </c>
      <c r="J965" s="2" t="s">
        <v>850</v>
      </c>
      <c r="K965" s="2" t="s">
        <v>298</v>
      </c>
      <c r="L965" s="3">
        <v>36.8</v>
      </c>
      <c r="M965" s="3">
        <v>38.64</v>
      </c>
      <c r="N965" s="3">
        <v>79.99</v>
      </c>
      <c r="O965" s="2" t="s">
        <v>97</v>
      </c>
      <c r="P965" s="2" t="s">
        <v>1265</v>
      </c>
      <c r="Q965" s="2" t="s">
        <v>99</v>
      </c>
      <c r="R965" s="2" t="s">
        <v>100</v>
      </c>
      <c r="S965" s="2" t="s">
        <v>3459</v>
      </c>
      <c r="T965" s="2" t="s">
        <v>100</v>
      </c>
      <c r="U965" s="2" t="s">
        <v>1610</v>
      </c>
      <c r="V965" s="2" t="s">
        <v>491</v>
      </c>
      <c r="W965" s="2" t="s">
        <v>1530</v>
      </c>
      <c r="X965" s="2" t="s">
        <v>733</v>
      </c>
      <c r="Y965" s="2" t="s">
        <v>1552</v>
      </c>
      <c r="Z965" s="4">
        <v>148</v>
      </c>
      <c r="AA965" s="4">
        <f>=ROUNDDOWN(24.6666666666667,0)</f>
      </c>
      <c r="AB965" s="5">
        <v>6</v>
      </c>
      <c r="AC965" s="2" t="s">
        <v>100</v>
      </c>
      <c r="AD965" s="4"/>
      <c r="AE965" s="4"/>
      <c r="AF965" s="6">
        <v>65</v>
      </c>
      <c r="AG965" s="6"/>
      <c r="AH965" s="7">
        <v>0.9394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/>
      <c r="BJ965" s="4">
        <v>143</v>
      </c>
      <c r="BK965" s="8">
        <v>5707.63</v>
      </c>
      <c r="BL965" s="2" t="s">
        <v>3462</v>
      </c>
      <c r="BM965" s="7"/>
      <c r="BN965" s="7"/>
      <c r="BO965" s="4"/>
      <c r="BP965" s="8"/>
      <c r="BQ965" s="4"/>
      <c r="BR965" s="8"/>
      <c r="BS965" s="7"/>
      <c r="BT965" s="7"/>
      <c r="BU965" s="2" t="s">
        <v>147</v>
      </c>
      <c r="BV965" s="2" t="s">
        <v>97</v>
      </c>
      <c r="BW965" s="2" t="s">
        <v>100</v>
      </c>
      <c r="BX965" s="2" t="s">
        <v>100</v>
      </c>
      <c r="BY965" s="2" t="s">
        <v>112</v>
      </c>
      <c r="BZ965" s="2" t="s">
        <v>100</v>
      </c>
    </row>
    <row r="966">
      <c r="A966" s="2" t="s">
        <v>3463</v>
      </c>
      <c r="B966" s="2" t="s">
        <v>87</v>
      </c>
      <c r="C966" s="2" t="s">
        <v>88</v>
      </c>
      <c r="D966" s="2" t="s">
        <v>3234</v>
      </c>
      <c r="E966" s="2" t="s">
        <v>3360</v>
      </c>
      <c r="F966" s="2" t="s">
        <v>2099</v>
      </c>
      <c r="G966" s="2" t="s">
        <v>2100</v>
      </c>
      <c r="H966" s="2" t="s">
        <v>2101</v>
      </c>
      <c r="I966" s="2" t="s">
        <v>3464</v>
      </c>
      <c r="J966" s="2" t="s">
        <v>844</v>
      </c>
      <c r="K966" s="2" t="s">
        <v>650</v>
      </c>
      <c r="L966" s="3">
        <v>53.9</v>
      </c>
      <c r="M966" s="3">
        <v>56.59</v>
      </c>
      <c r="N966" s="3">
        <v>109.99</v>
      </c>
      <c r="O966" s="2" t="s">
        <v>97</v>
      </c>
      <c r="P966" s="2" t="s">
        <v>182</v>
      </c>
      <c r="Q966" s="2" t="s">
        <v>99</v>
      </c>
      <c r="R966" s="2" t="s">
        <v>100</v>
      </c>
      <c r="S966" s="2" t="s">
        <v>2119</v>
      </c>
      <c r="T966" s="2" t="s">
        <v>732</v>
      </c>
      <c r="U966" s="2" t="s">
        <v>1610</v>
      </c>
      <c r="V966" s="2" t="s">
        <v>455</v>
      </c>
      <c r="W966" s="2" t="s">
        <v>733</v>
      </c>
      <c r="X966" s="2" t="s">
        <v>2105</v>
      </c>
      <c r="Y966" s="2" t="s">
        <v>2112</v>
      </c>
      <c r="Z966" s="4">
        <v>276</v>
      </c>
      <c r="AA966" s="4">
        <f>=ROUNDDOWN(34.5,0)</f>
      </c>
      <c r="AB966" s="5">
        <v>8</v>
      </c>
      <c r="AC966" s="2" t="s">
        <v>2120</v>
      </c>
      <c r="AD966" s="4">
        <v>50</v>
      </c>
      <c r="AE966" s="4">
        <v>160</v>
      </c>
      <c r="AF966" s="6">
        <v>71</v>
      </c>
      <c r="AG966" s="6">
        <v>79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>
        <v>4</v>
      </c>
      <c r="BF966" s="8">
        <v>246.96</v>
      </c>
      <c r="BG966" s="7" t="s">
        <v>100</v>
      </c>
      <c r="BH966" s="7" t="s">
        <v>100</v>
      </c>
      <c r="BI966" s="7"/>
      <c r="BJ966" s="4">
        <v>169</v>
      </c>
      <c r="BK966" s="8">
        <v>9347.3</v>
      </c>
      <c r="BL966" s="2" t="s">
        <v>3465</v>
      </c>
      <c r="BM966" s="7"/>
      <c r="BN966" s="7"/>
      <c r="BO966" s="4"/>
      <c r="BP966" s="8"/>
      <c r="BQ966" s="4"/>
      <c r="BR966" s="8"/>
      <c r="BS966" s="7"/>
      <c r="BT966" s="7"/>
      <c r="BU966" s="2" t="s">
        <v>147</v>
      </c>
      <c r="BV966" s="2" t="s">
        <v>97</v>
      </c>
      <c r="BW966" s="2" t="s">
        <v>100</v>
      </c>
      <c r="BX966" s="2" t="s">
        <v>100</v>
      </c>
      <c r="BY966" s="2" t="s">
        <v>112</v>
      </c>
      <c r="BZ966" s="2" t="s">
        <v>100</v>
      </c>
    </row>
    <row r="967">
      <c r="A967" s="2" t="s">
        <v>3466</v>
      </c>
      <c r="B967" s="2" t="s">
        <v>87</v>
      </c>
      <c r="C967" s="2" t="s">
        <v>88</v>
      </c>
      <c r="D967" s="2" t="s">
        <v>3234</v>
      </c>
      <c r="E967" s="2" t="s">
        <v>3360</v>
      </c>
      <c r="F967" s="2" t="s">
        <v>2099</v>
      </c>
      <c r="G967" s="2" t="s">
        <v>2100</v>
      </c>
      <c r="H967" s="2" t="s">
        <v>2101</v>
      </c>
      <c r="I967" s="2" t="s">
        <v>3464</v>
      </c>
      <c r="J967" s="2" t="s">
        <v>850</v>
      </c>
      <c r="K967" s="2" t="s">
        <v>650</v>
      </c>
      <c r="L967" s="3">
        <v>63.7</v>
      </c>
      <c r="M967" s="3">
        <v>66.88</v>
      </c>
      <c r="N967" s="3">
        <v>129.99</v>
      </c>
      <c r="O967" s="2" t="s">
        <v>97</v>
      </c>
      <c r="P967" s="2" t="s">
        <v>182</v>
      </c>
      <c r="Q967" s="2" t="s">
        <v>99</v>
      </c>
      <c r="R967" s="2" t="s">
        <v>100</v>
      </c>
      <c r="S967" s="2" t="s">
        <v>2119</v>
      </c>
      <c r="T967" s="2" t="s">
        <v>732</v>
      </c>
      <c r="U967" s="2" t="s">
        <v>1610</v>
      </c>
      <c r="V967" s="2" t="s">
        <v>455</v>
      </c>
      <c r="W967" s="2" t="s">
        <v>733</v>
      </c>
      <c r="X967" s="2" t="s">
        <v>2105</v>
      </c>
      <c r="Y967" s="2" t="s">
        <v>2112</v>
      </c>
      <c r="Z967" s="4">
        <v>299</v>
      </c>
      <c r="AA967" s="4">
        <f>=ROUNDDOWN(59.8,0)</f>
      </c>
      <c r="AB967" s="5">
        <v>5</v>
      </c>
      <c r="AC967" s="2" t="s">
        <v>100</v>
      </c>
      <c r="AD967" s="4"/>
      <c r="AE967" s="4"/>
      <c r="AF967" s="6">
        <v>71</v>
      </c>
      <c r="AG967" s="6">
        <v>79</v>
      </c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/>
      <c r="BJ967" s="4">
        <v>88</v>
      </c>
      <c r="BK967" s="8">
        <v>5957.28</v>
      </c>
      <c r="BL967" s="2" t="s">
        <v>3467</v>
      </c>
      <c r="BM967" s="7"/>
      <c r="BN967" s="7"/>
      <c r="BO967" s="4"/>
      <c r="BP967" s="8"/>
      <c r="BQ967" s="4"/>
      <c r="BR967" s="8"/>
      <c r="BS967" s="7"/>
      <c r="BT967" s="7"/>
      <c r="BU967" s="2" t="s">
        <v>147</v>
      </c>
      <c r="BV967" s="2" t="s">
        <v>97</v>
      </c>
      <c r="BW967" s="2" t="s">
        <v>100</v>
      </c>
      <c r="BX967" s="2" t="s">
        <v>100</v>
      </c>
      <c r="BY967" s="2" t="s">
        <v>112</v>
      </c>
      <c r="BZ967" s="2" t="s">
        <v>100</v>
      </c>
    </row>
    <row r="968">
      <c r="A968" s="2" t="s">
        <v>3468</v>
      </c>
      <c r="B968" s="2" t="s">
        <v>87</v>
      </c>
      <c r="C968" s="2" t="s">
        <v>88</v>
      </c>
      <c r="D968" s="2" t="s">
        <v>3234</v>
      </c>
      <c r="E968" s="2" t="s">
        <v>3360</v>
      </c>
      <c r="F968" s="2" t="s">
        <v>2099</v>
      </c>
      <c r="G968" s="2" t="s">
        <v>2100</v>
      </c>
      <c r="H968" s="2" t="s">
        <v>2101</v>
      </c>
      <c r="I968" s="2" t="s">
        <v>3464</v>
      </c>
      <c r="J968" s="2" t="s">
        <v>844</v>
      </c>
      <c r="K968" s="2" t="s">
        <v>333</v>
      </c>
      <c r="L968" s="3">
        <v>53.9</v>
      </c>
      <c r="M968" s="3">
        <v>56.59</v>
      </c>
      <c r="N968" s="3">
        <v>109.99</v>
      </c>
      <c r="O968" s="2" t="s">
        <v>97</v>
      </c>
      <c r="P968" s="2" t="s">
        <v>182</v>
      </c>
      <c r="Q968" s="2" t="s">
        <v>99</v>
      </c>
      <c r="R968" s="2" t="s">
        <v>100</v>
      </c>
      <c r="S968" s="2" t="s">
        <v>2125</v>
      </c>
      <c r="T968" s="2" t="s">
        <v>732</v>
      </c>
      <c r="U968" s="2" t="s">
        <v>1610</v>
      </c>
      <c r="V968" s="2" t="s">
        <v>455</v>
      </c>
      <c r="W968" s="2" t="s">
        <v>733</v>
      </c>
      <c r="X968" s="2" t="s">
        <v>2105</v>
      </c>
      <c r="Y968" s="2" t="s">
        <v>2112</v>
      </c>
      <c r="Z968" s="4">
        <v>311</v>
      </c>
      <c r="AA968" s="4">
        <f>=ROUNDDOWN(62.2,0)</f>
      </c>
      <c r="AB968" s="5">
        <v>5</v>
      </c>
      <c r="AC968" s="2" t="s">
        <v>100</v>
      </c>
      <c r="AD968" s="4"/>
      <c r="AE968" s="4"/>
      <c r="AF968" s="6">
        <v>71</v>
      </c>
      <c r="AG968" s="6">
        <v>79</v>
      </c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/>
      <c r="BJ968" s="4">
        <v>62</v>
      </c>
      <c r="BK968" s="8">
        <v>3464.51</v>
      </c>
      <c r="BL968" s="2" t="s">
        <v>3328</v>
      </c>
      <c r="BM968" s="7"/>
      <c r="BN968" s="7"/>
      <c r="BO968" s="4"/>
      <c r="BP968" s="8"/>
      <c r="BQ968" s="4"/>
      <c r="BR968" s="8"/>
      <c r="BS968" s="7"/>
      <c r="BT968" s="7"/>
      <c r="BU968" s="2" t="s">
        <v>147</v>
      </c>
      <c r="BV968" s="2" t="s">
        <v>97</v>
      </c>
      <c r="BW968" s="2" t="s">
        <v>100</v>
      </c>
      <c r="BX968" s="2" t="s">
        <v>100</v>
      </c>
      <c r="BY968" s="2" t="s">
        <v>112</v>
      </c>
      <c r="BZ968" s="2" t="s">
        <v>100</v>
      </c>
    </row>
    <row r="969">
      <c r="A969" s="2" t="s">
        <v>3469</v>
      </c>
      <c r="B969" s="2" t="s">
        <v>87</v>
      </c>
      <c r="C969" s="2" t="s">
        <v>88</v>
      </c>
      <c r="D969" s="2" t="s">
        <v>3234</v>
      </c>
      <c r="E969" s="2" t="s">
        <v>3360</v>
      </c>
      <c r="F969" s="2" t="s">
        <v>2099</v>
      </c>
      <c r="G969" s="2" t="s">
        <v>2100</v>
      </c>
      <c r="H969" s="2" t="s">
        <v>2101</v>
      </c>
      <c r="I969" s="2" t="s">
        <v>3464</v>
      </c>
      <c r="J969" s="2" t="s">
        <v>850</v>
      </c>
      <c r="K969" s="2" t="s">
        <v>333</v>
      </c>
      <c r="L969" s="3">
        <v>63.7</v>
      </c>
      <c r="M969" s="3">
        <v>66.88</v>
      </c>
      <c r="N969" s="3">
        <v>129.99</v>
      </c>
      <c r="O969" s="2" t="s">
        <v>97</v>
      </c>
      <c r="P969" s="2" t="s">
        <v>182</v>
      </c>
      <c r="Q969" s="2" t="s">
        <v>99</v>
      </c>
      <c r="R969" s="2" t="s">
        <v>100</v>
      </c>
      <c r="S969" s="2" t="s">
        <v>2125</v>
      </c>
      <c r="T969" s="2" t="s">
        <v>732</v>
      </c>
      <c r="U969" s="2" t="s">
        <v>1610</v>
      </c>
      <c r="V969" s="2" t="s">
        <v>455</v>
      </c>
      <c r="W969" s="2" t="s">
        <v>733</v>
      </c>
      <c r="X969" s="2" t="s">
        <v>2105</v>
      </c>
      <c r="Y969" s="2" t="s">
        <v>2112</v>
      </c>
      <c r="Z969" s="4">
        <v>467</v>
      </c>
      <c r="AA969" s="4">
        <f>=ROUNDDOWN(58.375,0)</f>
      </c>
      <c r="AB969" s="5">
        <v>8</v>
      </c>
      <c r="AC969" s="2" t="s">
        <v>2120</v>
      </c>
      <c r="AD969" s="4">
        <v>30</v>
      </c>
      <c r="AE969" s="4">
        <v>30</v>
      </c>
      <c r="AF969" s="6">
        <v>71</v>
      </c>
      <c r="AG969" s="6">
        <v>79</v>
      </c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100</v>
      </c>
      <c r="AW969" s="8" t="s">
        <v>100</v>
      </c>
      <c r="AX969" s="4" t="s">
        <v>100</v>
      </c>
      <c r="AY969" s="8" t="s">
        <v>100</v>
      </c>
      <c r="AZ969" s="7" t="s">
        <v>100</v>
      </c>
      <c r="BA969" s="7" t="s">
        <v>100</v>
      </c>
      <c r="BB969" s="7"/>
      <c r="BC969" s="4" t="s">
        <v>100</v>
      </c>
      <c r="BD969" s="8" t="s">
        <v>100</v>
      </c>
      <c r="BE969" s="4" t="s">
        <v>100</v>
      </c>
      <c r="BF969" s="8" t="s">
        <v>100</v>
      </c>
      <c r="BG969" s="7" t="s">
        <v>100</v>
      </c>
      <c r="BH969" s="7" t="s">
        <v>100</v>
      </c>
      <c r="BI969" s="7"/>
      <c r="BJ969" s="4">
        <v>106</v>
      </c>
      <c r="BK969" s="8">
        <v>7112.37</v>
      </c>
      <c r="BL969" s="2" t="s">
        <v>3470</v>
      </c>
      <c r="BM969" s="7"/>
      <c r="BN969" s="7"/>
      <c r="BO969" s="4"/>
      <c r="BP969" s="8"/>
      <c r="BQ969" s="4"/>
      <c r="BR969" s="8"/>
      <c r="BS969" s="7"/>
      <c r="BT969" s="7"/>
      <c r="BU969" s="2" t="s">
        <v>147</v>
      </c>
      <c r="BV969" s="2" t="s">
        <v>97</v>
      </c>
      <c r="BW969" s="2" t="s">
        <v>100</v>
      </c>
      <c r="BX969" s="2" t="s">
        <v>100</v>
      </c>
      <c r="BY969" s="2" t="s">
        <v>112</v>
      </c>
      <c r="BZ969" s="2" t="s">
        <v>100</v>
      </c>
    </row>
    <row r="970">
      <c r="A970" s="2" t="s">
        <v>3471</v>
      </c>
      <c r="B970" s="2" t="s">
        <v>87</v>
      </c>
      <c r="C970" s="2" t="s">
        <v>88</v>
      </c>
      <c r="D970" s="2" t="s">
        <v>3234</v>
      </c>
      <c r="E970" s="2" t="s">
        <v>3360</v>
      </c>
      <c r="F970" s="2" t="s">
        <v>2099</v>
      </c>
      <c r="G970" s="2" t="s">
        <v>2100</v>
      </c>
      <c r="H970" s="2" t="s">
        <v>2101</v>
      </c>
      <c r="I970" s="2" t="s">
        <v>3464</v>
      </c>
      <c r="J970" s="2" t="s">
        <v>844</v>
      </c>
      <c r="K970" s="2" t="s">
        <v>1935</v>
      </c>
      <c r="L970" s="3">
        <v>53.9</v>
      </c>
      <c r="M970" s="3">
        <v>56.59</v>
      </c>
      <c r="N970" s="3">
        <v>109.99</v>
      </c>
      <c r="O970" s="2" t="s">
        <v>97</v>
      </c>
      <c r="P970" s="2" t="s">
        <v>182</v>
      </c>
      <c r="Q970" s="2" t="s">
        <v>99</v>
      </c>
      <c r="R970" s="2" t="s">
        <v>100</v>
      </c>
      <c r="S970" s="2" t="s">
        <v>2103</v>
      </c>
      <c r="T970" s="2" t="s">
        <v>732</v>
      </c>
      <c r="U970" s="2" t="s">
        <v>1610</v>
      </c>
      <c r="V970" s="2" t="s">
        <v>455</v>
      </c>
      <c r="W970" s="2" t="s">
        <v>733</v>
      </c>
      <c r="X970" s="2" t="s">
        <v>2105</v>
      </c>
      <c r="Y970" s="2" t="s">
        <v>2112</v>
      </c>
      <c r="Z970" s="4">
        <v>808</v>
      </c>
      <c r="AA970" s="4">
        <f>=ROUNDDOWN(73.4545454545455,0)</f>
      </c>
      <c r="AB970" s="5">
        <v>11</v>
      </c>
      <c r="AC970" s="2" t="s">
        <v>100</v>
      </c>
      <c r="AD970" s="4"/>
      <c r="AE970" s="4"/>
      <c r="AF970" s="6">
        <v>71</v>
      </c>
      <c r="AG970" s="6">
        <v>79</v>
      </c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>
        <v>0</v>
      </c>
      <c r="AP970" s="4"/>
      <c r="AQ970" s="8"/>
      <c r="AR970" s="4">
        <v>2</v>
      </c>
      <c r="AS970" s="8">
        <v>113.2</v>
      </c>
      <c r="AT970" s="7">
        <v>-1</v>
      </c>
      <c r="AU970" s="7">
        <v>-1</v>
      </c>
      <c r="AV970" s="4" t="s">
        <v>100</v>
      </c>
      <c r="AW970" s="8" t="s">
        <v>100</v>
      </c>
      <c r="AX970" s="4">
        <v>4</v>
      </c>
      <c r="AY970" s="8">
        <v>246.96</v>
      </c>
      <c r="AZ970" s="7" t="s">
        <v>100</v>
      </c>
      <c r="BA970" s="7" t="s">
        <v>100</v>
      </c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/>
      <c r="BJ970" s="4">
        <v>145</v>
      </c>
      <c r="BK970" s="8">
        <v>8149.66</v>
      </c>
      <c r="BL970" s="2" t="s">
        <v>3472</v>
      </c>
      <c r="BM970" s="7"/>
      <c r="BN970" s="7"/>
      <c r="BO970" s="4"/>
      <c r="BP970" s="8"/>
      <c r="BQ970" s="4">
        <v>2</v>
      </c>
      <c r="BR970" s="8">
        <v>113.2</v>
      </c>
      <c r="BS970" s="7">
        <v>-1</v>
      </c>
      <c r="BT970" s="7">
        <v>-1</v>
      </c>
      <c r="BU970" s="2" t="s">
        <v>109</v>
      </c>
      <c r="BV970" s="2" t="s">
        <v>97</v>
      </c>
      <c r="BW970" s="2" t="s">
        <v>606</v>
      </c>
      <c r="BX970" s="2" t="s">
        <v>1008</v>
      </c>
      <c r="BY970" s="2" t="s">
        <v>112</v>
      </c>
      <c r="BZ970" s="2" t="s">
        <v>100</v>
      </c>
    </row>
    <row r="971">
      <c r="A971" s="2" t="s">
        <v>3473</v>
      </c>
      <c r="B971" s="2" t="s">
        <v>87</v>
      </c>
      <c r="C971" s="2" t="s">
        <v>88</v>
      </c>
      <c r="D971" s="2" t="s">
        <v>3234</v>
      </c>
      <c r="E971" s="2" t="s">
        <v>3360</v>
      </c>
      <c r="F971" s="2" t="s">
        <v>2099</v>
      </c>
      <c r="G971" s="2" t="s">
        <v>2100</v>
      </c>
      <c r="H971" s="2" t="s">
        <v>2101</v>
      </c>
      <c r="I971" s="2" t="s">
        <v>3464</v>
      </c>
      <c r="J971" s="2" t="s">
        <v>850</v>
      </c>
      <c r="K971" s="2" t="s">
        <v>1935</v>
      </c>
      <c r="L971" s="3">
        <v>63.7</v>
      </c>
      <c r="M971" s="3">
        <v>66.88</v>
      </c>
      <c r="N971" s="3">
        <v>129.99</v>
      </c>
      <c r="O971" s="2" t="s">
        <v>97</v>
      </c>
      <c r="P971" s="2" t="s">
        <v>182</v>
      </c>
      <c r="Q971" s="2" t="s">
        <v>99</v>
      </c>
      <c r="R971" s="2" t="s">
        <v>100</v>
      </c>
      <c r="S971" s="2" t="s">
        <v>2103</v>
      </c>
      <c r="T971" s="2" t="s">
        <v>732</v>
      </c>
      <c r="U971" s="2" t="s">
        <v>1610</v>
      </c>
      <c r="V971" s="2" t="s">
        <v>455</v>
      </c>
      <c r="W971" s="2" t="s">
        <v>733</v>
      </c>
      <c r="X971" s="2" t="s">
        <v>2105</v>
      </c>
      <c r="Y971" s="2" t="s">
        <v>2112</v>
      </c>
      <c r="Z971" s="4">
        <v>900</v>
      </c>
      <c r="AA971" s="4">
        <f>=ROUNDDOWN(81.8181818181818,0)</f>
      </c>
      <c r="AB971" s="5">
        <v>11</v>
      </c>
      <c r="AC971" s="2" t="s">
        <v>100</v>
      </c>
      <c r="AD971" s="4"/>
      <c r="AE971" s="4"/>
      <c r="AF971" s="6">
        <v>71</v>
      </c>
      <c r="AG971" s="6">
        <v>79</v>
      </c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>
        <v>0</v>
      </c>
      <c r="AP971" s="4"/>
      <c r="AQ971" s="8"/>
      <c r="AR971" s="4">
        <v>2</v>
      </c>
      <c r="AS971" s="8">
        <v>133.76</v>
      </c>
      <c r="AT971" s="7">
        <v>-1</v>
      </c>
      <c r="AU971" s="7">
        <v>-1</v>
      </c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/>
      <c r="BJ971" s="4">
        <v>188</v>
      </c>
      <c r="BK971" s="8">
        <v>12457.63</v>
      </c>
      <c r="BL971" s="2" t="s">
        <v>3474</v>
      </c>
      <c r="BM971" s="7"/>
      <c r="BN971" s="7"/>
      <c r="BO971" s="4"/>
      <c r="BP971" s="8"/>
      <c r="BQ971" s="4">
        <v>2</v>
      </c>
      <c r="BR971" s="8">
        <v>133.76</v>
      </c>
      <c r="BS971" s="7">
        <v>-1</v>
      </c>
      <c r="BT971" s="7">
        <v>-1</v>
      </c>
      <c r="BU971" s="2" t="s">
        <v>109</v>
      </c>
      <c r="BV971" s="2" t="s">
        <v>97</v>
      </c>
      <c r="BW971" s="2" t="s">
        <v>606</v>
      </c>
      <c r="BX971" s="2" t="s">
        <v>3475</v>
      </c>
      <c r="BY971" s="2" t="s">
        <v>112</v>
      </c>
      <c r="BZ971" s="2" t="s">
        <v>100</v>
      </c>
    </row>
    <row r="972">
      <c r="A972" s="2" t="s">
        <v>3476</v>
      </c>
      <c r="B972" s="2" t="s">
        <v>87</v>
      </c>
      <c r="C972" s="2" t="s">
        <v>88</v>
      </c>
      <c r="D972" s="2" t="s">
        <v>3234</v>
      </c>
      <c r="E972" s="2" t="s">
        <v>3360</v>
      </c>
      <c r="F972" s="2" t="s">
        <v>2099</v>
      </c>
      <c r="G972" s="2" t="s">
        <v>2100</v>
      </c>
      <c r="H972" s="2" t="s">
        <v>2101</v>
      </c>
      <c r="I972" s="2" t="s">
        <v>3477</v>
      </c>
      <c r="J972" s="2" t="s">
        <v>844</v>
      </c>
      <c r="K972" s="2" t="s">
        <v>622</v>
      </c>
      <c r="L972" s="3">
        <v>53.9</v>
      </c>
      <c r="M972" s="3">
        <v>56.59</v>
      </c>
      <c r="N972" s="3">
        <v>109.99</v>
      </c>
      <c r="O972" s="2" t="s">
        <v>97</v>
      </c>
      <c r="P972" s="2" t="s">
        <v>182</v>
      </c>
      <c r="Q972" s="2" t="s">
        <v>99</v>
      </c>
      <c r="R972" s="2" t="s">
        <v>100</v>
      </c>
      <c r="S972" s="2" t="s">
        <v>2131</v>
      </c>
      <c r="T972" s="2" t="s">
        <v>100</v>
      </c>
      <c r="U972" s="2" t="s">
        <v>1610</v>
      </c>
      <c r="V972" s="2" t="s">
        <v>455</v>
      </c>
      <c r="W972" s="2" t="s">
        <v>733</v>
      </c>
      <c r="X972" s="2" t="s">
        <v>2105</v>
      </c>
      <c r="Y972" s="2" t="s">
        <v>2151</v>
      </c>
      <c r="Z972" s="4">
        <v>244</v>
      </c>
      <c r="AA972" s="4">
        <f>=ROUNDDOWN(34.8571428571429,0)</f>
      </c>
      <c r="AB972" s="5">
        <v>7</v>
      </c>
      <c r="AC972" s="2" t="s">
        <v>1328</v>
      </c>
      <c r="AD972" s="4">
        <v>120</v>
      </c>
      <c r="AE972" s="4">
        <v>120</v>
      </c>
      <c r="AF972" s="6">
        <v>71</v>
      </c>
      <c r="AG972" s="6">
        <v>79</v>
      </c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/>
      <c r="BJ972" s="4">
        <v>104</v>
      </c>
      <c r="BK972" s="8">
        <v>5896.54</v>
      </c>
      <c r="BL972" s="2" t="s">
        <v>3478</v>
      </c>
      <c r="BM972" s="7"/>
      <c r="BN972" s="7"/>
      <c r="BO972" s="4"/>
      <c r="BP972" s="8"/>
      <c r="BQ972" s="4"/>
      <c r="BR972" s="8"/>
      <c r="BS972" s="7"/>
      <c r="BT972" s="7"/>
      <c r="BU972" s="2" t="s">
        <v>147</v>
      </c>
      <c r="BV972" s="2" t="s">
        <v>97</v>
      </c>
      <c r="BW972" s="2" t="s">
        <v>100</v>
      </c>
      <c r="BX972" s="2" t="s">
        <v>100</v>
      </c>
      <c r="BY972" s="2" t="s">
        <v>112</v>
      </c>
      <c r="BZ972" s="2" t="s">
        <v>100</v>
      </c>
    </row>
    <row r="973">
      <c r="A973" s="2" t="s">
        <v>3479</v>
      </c>
      <c r="B973" s="2" t="s">
        <v>87</v>
      </c>
      <c r="C973" s="2" t="s">
        <v>88</v>
      </c>
      <c r="D973" s="2" t="s">
        <v>3234</v>
      </c>
      <c r="E973" s="2" t="s">
        <v>3360</v>
      </c>
      <c r="F973" s="2" t="s">
        <v>2099</v>
      </c>
      <c r="G973" s="2" t="s">
        <v>2100</v>
      </c>
      <c r="H973" s="2" t="s">
        <v>2101</v>
      </c>
      <c r="I973" s="2" t="s">
        <v>3477</v>
      </c>
      <c r="J973" s="2" t="s">
        <v>850</v>
      </c>
      <c r="K973" s="2" t="s">
        <v>622</v>
      </c>
      <c r="L973" s="3">
        <v>63.7</v>
      </c>
      <c r="M973" s="3">
        <v>66.88</v>
      </c>
      <c r="N973" s="3">
        <v>129.99</v>
      </c>
      <c r="O973" s="2" t="s">
        <v>97</v>
      </c>
      <c r="P973" s="2" t="s">
        <v>182</v>
      </c>
      <c r="Q973" s="2" t="s">
        <v>99</v>
      </c>
      <c r="R973" s="2" t="s">
        <v>100</v>
      </c>
      <c r="S973" s="2" t="s">
        <v>2131</v>
      </c>
      <c r="T973" s="2" t="s">
        <v>100</v>
      </c>
      <c r="U973" s="2" t="s">
        <v>1610</v>
      </c>
      <c r="V973" s="2" t="s">
        <v>455</v>
      </c>
      <c r="W973" s="2" t="s">
        <v>733</v>
      </c>
      <c r="X973" s="2" t="s">
        <v>2105</v>
      </c>
      <c r="Y973" s="2" t="s">
        <v>2537</v>
      </c>
      <c r="Z973" s="4">
        <v>435</v>
      </c>
      <c r="AA973" s="4">
        <f>=ROUNDDOWN(48.3333333333333,0)</f>
      </c>
      <c r="AB973" s="5">
        <v>9</v>
      </c>
      <c r="AC973" s="2" t="s">
        <v>1328</v>
      </c>
      <c r="AD973" s="4">
        <v>30</v>
      </c>
      <c r="AE973" s="4">
        <v>120</v>
      </c>
      <c r="AF973" s="6">
        <v>71</v>
      </c>
      <c r="AG973" s="6">
        <v>79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/>
      <c r="BJ973" s="4">
        <v>144</v>
      </c>
      <c r="BK973" s="8">
        <v>9760.46</v>
      </c>
      <c r="BL973" s="2" t="s">
        <v>3480</v>
      </c>
      <c r="BM973" s="7"/>
      <c r="BN973" s="7"/>
      <c r="BO973" s="4"/>
      <c r="BP973" s="8"/>
      <c r="BQ973" s="4"/>
      <c r="BR973" s="8"/>
      <c r="BS973" s="7"/>
      <c r="BT973" s="7"/>
      <c r="BU973" s="2" t="s">
        <v>147</v>
      </c>
      <c r="BV973" s="2" t="s">
        <v>97</v>
      </c>
      <c r="BW973" s="2" t="s">
        <v>100</v>
      </c>
      <c r="BX973" s="2" t="s">
        <v>100</v>
      </c>
      <c r="BY973" s="2" t="s">
        <v>112</v>
      </c>
      <c r="BZ973" s="2" t="s">
        <v>100</v>
      </c>
    </row>
    <row r="974">
      <c r="A974" s="2" t="s">
        <v>3481</v>
      </c>
      <c r="B974" s="2" t="s">
        <v>87</v>
      </c>
      <c r="C974" s="2" t="s">
        <v>88</v>
      </c>
      <c r="D974" s="2" t="s">
        <v>3234</v>
      </c>
      <c r="E974" s="2" t="s">
        <v>3360</v>
      </c>
      <c r="F974" s="2" t="s">
        <v>1634</v>
      </c>
      <c r="G974" s="2" t="s">
        <v>1634</v>
      </c>
      <c r="H974" s="2" t="s">
        <v>1635</v>
      </c>
      <c r="I974" s="2" t="s">
        <v>3482</v>
      </c>
      <c r="J974" s="2" t="s">
        <v>844</v>
      </c>
      <c r="K974" s="2" t="s">
        <v>1637</v>
      </c>
      <c r="L974" s="3">
        <v>33.33</v>
      </c>
      <c r="M974" s="3">
        <v>35</v>
      </c>
      <c r="N974" s="3">
        <v>69.99</v>
      </c>
      <c r="O974" s="2" t="s">
        <v>229</v>
      </c>
      <c r="P974" s="2" t="s">
        <v>198</v>
      </c>
      <c r="Q974" s="2" t="s">
        <v>99</v>
      </c>
      <c r="R974" s="2" t="s">
        <v>100</v>
      </c>
      <c r="S974" s="2" t="s">
        <v>3483</v>
      </c>
      <c r="T974" s="2" t="s">
        <v>184</v>
      </c>
      <c r="U974" s="2" t="s">
        <v>1610</v>
      </c>
      <c r="V974" s="2" t="s">
        <v>561</v>
      </c>
      <c r="W974" s="2" t="s">
        <v>1530</v>
      </c>
      <c r="X974" s="2" t="s">
        <v>759</v>
      </c>
      <c r="Y974" s="2" t="s">
        <v>915</v>
      </c>
      <c r="Z974" s="4">
        <v>61</v>
      </c>
      <c r="AA974" s="4">
        <f>=ROUNDDOWN(25.4166666666667,0)</f>
      </c>
      <c r="AB974" s="5">
        <v>2.4</v>
      </c>
      <c r="AC974" s="2" t="s">
        <v>100</v>
      </c>
      <c r="AD974" s="4"/>
      <c r="AE974" s="4"/>
      <c r="AF974" s="6">
        <v>68</v>
      </c>
      <c r="AG974" s="6"/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/>
      <c r="BJ974" s="4">
        <v>79</v>
      </c>
      <c r="BK974" s="8">
        <v>1729.98</v>
      </c>
      <c r="BL974" s="2" t="s">
        <v>3484</v>
      </c>
      <c r="BM974" s="7"/>
      <c r="BN974" s="7"/>
      <c r="BO974" s="4"/>
      <c r="BP974" s="8"/>
      <c r="BQ974" s="4"/>
      <c r="BR974" s="8"/>
      <c r="BS974" s="7"/>
      <c r="BT974" s="7"/>
      <c r="BU974" s="2" t="s">
        <v>147</v>
      </c>
      <c r="BV974" s="2" t="s">
        <v>97</v>
      </c>
      <c r="BW974" s="2" t="s">
        <v>100</v>
      </c>
      <c r="BX974" s="2" t="s">
        <v>100</v>
      </c>
      <c r="BY974" s="2" t="s">
        <v>112</v>
      </c>
      <c r="BZ974" s="2" t="s">
        <v>100</v>
      </c>
    </row>
    <row r="975">
      <c r="A975" s="2" t="s">
        <v>3485</v>
      </c>
      <c r="B975" s="2" t="s">
        <v>87</v>
      </c>
      <c r="C975" s="2" t="s">
        <v>88</v>
      </c>
      <c r="D975" s="2" t="s">
        <v>3234</v>
      </c>
      <c r="E975" s="2" t="s">
        <v>3360</v>
      </c>
      <c r="F975" s="2" t="s">
        <v>1634</v>
      </c>
      <c r="G975" s="2" t="s">
        <v>1634</v>
      </c>
      <c r="H975" s="2" t="s">
        <v>1635</v>
      </c>
      <c r="I975" s="2" t="s">
        <v>3482</v>
      </c>
      <c r="J975" s="2" t="s">
        <v>850</v>
      </c>
      <c r="K975" s="2" t="s">
        <v>1637</v>
      </c>
      <c r="L975" s="3">
        <v>38.09</v>
      </c>
      <c r="M975" s="3">
        <v>39.99</v>
      </c>
      <c r="N975" s="3">
        <v>79.99</v>
      </c>
      <c r="O975" s="2" t="s">
        <v>229</v>
      </c>
      <c r="P975" s="2" t="s">
        <v>198</v>
      </c>
      <c r="Q975" s="2" t="s">
        <v>99</v>
      </c>
      <c r="R975" s="2" t="s">
        <v>100</v>
      </c>
      <c r="S975" s="2" t="s">
        <v>3483</v>
      </c>
      <c r="T975" s="2" t="s">
        <v>184</v>
      </c>
      <c r="U975" s="2" t="s">
        <v>1610</v>
      </c>
      <c r="V975" s="2" t="s">
        <v>561</v>
      </c>
      <c r="W975" s="2" t="s">
        <v>1530</v>
      </c>
      <c r="X975" s="2" t="s">
        <v>759</v>
      </c>
      <c r="Y975" s="2" t="s">
        <v>915</v>
      </c>
      <c r="Z975" s="4">
        <v>154</v>
      </c>
      <c r="AA975" s="4">
        <f>=ROUNDDOWN(110,0)</f>
      </c>
      <c r="AB975" s="5">
        <v>1.4</v>
      </c>
      <c r="AC975" s="2" t="s">
        <v>100</v>
      </c>
      <c r="AD975" s="4"/>
      <c r="AE975" s="4"/>
      <c r="AF975" s="6">
        <v>68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100</v>
      </c>
      <c r="AW975" s="8" t="s">
        <v>100</v>
      </c>
      <c r="AX975" s="4" t="s">
        <v>100</v>
      </c>
      <c r="AY975" s="8" t="s">
        <v>100</v>
      </c>
      <c r="AZ975" s="7" t="s">
        <v>100</v>
      </c>
      <c r="BA975" s="7" t="s">
        <v>100</v>
      </c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/>
      <c r="BJ975" s="4">
        <v>37</v>
      </c>
      <c r="BK975" s="8">
        <v>1105.22</v>
      </c>
      <c r="BL975" s="2" t="s">
        <v>3484</v>
      </c>
      <c r="BM975" s="7"/>
      <c r="BN975" s="7"/>
      <c r="BO975" s="4"/>
      <c r="BP975" s="8"/>
      <c r="BQ975" s="4"/>
      <c r="BR975" s="8"/>
      <c r="BS975" s="7"/>
      <c r="BT975" s="7"/>
      <c r="BU975" s="2" t="s">
        <v>147</v>
      </c>
      <c r="BV975" s="2" t="s">
        <v>97</v>
      </c>
      <c r="BW975" s="2" t="s">
        <v>100</v>
      </c>
      <c r="BX975" s="2" t="s">
        <v>100</v>
      </c>
      <c r="BY975" s="2" t="s">
        <v>112</v>
      </c>
      <c r="BZ975" s="2" t="s">
        <v>100</v>
      </c>
    </row>
    <row r="976">
      <c r="A976" s="2" t="s">
        <v>3486</v>
      </c>
      <c r="B976" s="2" t="s">
        <v>87</v>
      </c>
      <c r="C976" s="2" t="s">
        <v>88</v>
      </c>
      <c r="D976" s="2" t="s">
        <v>3234</v>
      </c>
      <c r="E976" s="2" t="s">
        <v>3360</v>
      </c>
      <c r="F976" s="2" t="s">
        <v>1295</v>
      </c>
      <c r="G976" s="2" t="s">
        <v>2233</v>
      </c>
      <c r="H976" s="2" t="s">
        <v>2234</v>
      </c>
      <c r="I976" s="2" t="s">
        <v>3487</v>
      </c>
      <c r="J976" s="2" t="s">
        <v>844</v>
      </c>
      <c r="K976" s="2" t="s">
        <v>635</v>
      </c>
      <c r="L976" s="3">
        <v>49.35</v>
      </c>
      <c r="M976" s="3">
        <v>51.81</v>
      </c>
      <c r="N976" s="3">
        <v>104.99</v>
      </c>
      <c r="O976" s="2" t="s">
        <v>229</v>
      </c>
      <c r="P976" s="2" t="s">
        <v>198</v>
      </c>
      <c r="Q976" s="2" t="s">
        <v>99</v>
      </c>
      <c r="R976" s="2" t="s">
        <v>100</v>
      </c>
      <c r="S976" s="2" t="s">
        <v>2236</v>
      </c>
      <c r="T976" s="2" t="s">
        <v>100</v>
      </c>
      <c r="U976" s="2" t="s">
        <v>1610</v>
      </c>
      <c r="V976" s="2" t="s">
        <v>601</v>
      </c>
      <c r="W976" s="2" t="s">
        <v>759</v>
      </c>
      <c r="X976" s="2" t="s">
        <v>1542</v>
      </c>
      <c r="Y976" s="2" t="s">
        <v>2228</v>
      </c>
      <c r="Z976" s="4">
        <v>1299</v>
      </c>
      <c r="AA976" s="4">
        <f>=ROUNDDOWN(138.191489361702,0)</f>
      </c>
      <c r="AB976" s="5">
        <v>9.4</v>
      </c>
      <c r="AC976" s="2" t="s">
        <v>100</v>
      </c>
      <c r="AD976" s="4"/>
      <c r="AE976" s="4"/>
      <c r="AF976" s="6">
        <v>64</v>
      </c>
      <c r="AG976" s="6"/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>
        <v>352</v>
      </c>
      <c r="BK976" s="8">
        <v>10296.13</v>
      </c>
      <c r="BL976" s="2" t="s">
        <v>3488</v>
      </c>
      <c r="BM976" s="7"/>
      <c r="BN976" s="7"/>
      <c r="BO976" s="4"/>
      <c r="BP976" s="8"/>
      <c r="BQ976" s="4"/>
      <c r="BR976" s="8"/>
      <c r="BS976" s="7"/>
      <c r="BT976" s="7"/>
      <c r="BU976" s="2" t="s">
        <v>147</v>
      </c>
      <c r="BV976" s="2" t="s">
        <v>97</v>
      </c>
      <c r="BW976" s="2" t="s">
        <v>100</v>
      </c>
      <c r="BX976" s="2" t="s">
        <v>100</v>
      </c>
      <c r="BY976" s="2" t="s">
        <v>112</v>
      </c>
      <c r="BZ976" s="2" t="s">
        <v>100</v>
      </c>
    </row>
    <row r="977">
      <c r="A977" s="2" t="s">
        <v>3489</v>
      </c>
      <c r="B977" s="2" t="s">
        <v>87</v>
      </c>
      <c r="C977" s="2" t="s">
        <v>88</v>
      </c>
      <c r="D977" s="2" t="s">
        <v>3234</v>
      </c>
      <c r="E977" s="2" t="s">
        <v>3360</v>
      </c>
      <c r="F977" s="2" t="s">
        <v>1756</v>
      </c>
      <c r="G977" s="2" t="s">
        <v>1757</v>
      </c>
      <c r="H977" s="2" t="s">
        <v>1758</v>
      </c>
      <c r="I977" s="2" t="s">
        <v>3490</v>
      </c>
      <c r="J977" s="2" t="s">
        <v>844</v>
      </c>
      <c r="K977" s="2" t="s">
        <v>197</v>
      </c>
      <c r="L977" s="3">
        <v>22.85</v>
      </c>
      <c r="M977" s="3">
        <v>23.99</v>
      </c>
      <c r="N977" s="3">
        <v>49.99</v>
      </c>
      <c r="O977" s="2" t="s">
        <v>97</v>
      </c>
      <c r="P977" s="2" t="s">
        <v>1166</v>
      </c>
      <c r="Q977" s="2" t="s">
        <v>99</v>
      </c>
      <c r="R977" s="2" t="s">
        <v>100</v>
      </c>
      <c r="S977" s="2" t="s">
        <v>1760</v>
      </c>
      <c r="T977" s="2" t="s">
        <v>184</v>
      </c>
      <c r="U977" s="2" t="s">
        <v>1610</v>
      </c>
      <c r="V977" s="2" t="s">
        <v>491</v>
      </c>
      <c r="W977" s="2" t="s">
        <v>1288</v>
      </c>
      <c r="X977" s="2" t="s">
        <v>759</v>
      </c>
      <c r="Y977" s="2" t="s">
        <v>1761</v>
      </c>
      <c r="Z977" s="4">
        <v>69</v>
      </c>
      <c r="AA977" s="4">
        <f>=ROUNDDOWN(69,0)</f>
      </c>
      <c r="AB977" s="5">
        <v>1</v>
      </c>
      <c r="AC977" s="2" t="s">
        <v>659</v>
      </c>
      <c r="AD977" s="4">
        <v>60</v>
      </c>
      <c r="AE977" s="4">
        <v>60</v>
      </c>
      <c r="AF977" s="6">
        <v>64</v>
      </c>
      <c r="AG977" s="6"/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/>
      <c r="BJ977" s="4">
        <v>1</v>
      </c>
      <c r="BK977" s="8">
        <v>25.91</v>
      </c>
      <c r="BL977" s="2" t="s">
        <v>1678</v>
      </c>
      <c r="BM977" s="7"/>
      <c r="BN977" s="7"/>
      <c r="BO977" s="4"/>
      <c r="BP977" s="8"/>
      <c r="BQ977" s="4"/>
      <c r="BR977" s="8"/>
      <c r="BS977" s="7"/>
      <c r="BT977" s="7"/>
      <c r="BU977" s="2" t="s">
        <v>1171</v>
      </c>
      <c r="BV977" s="2" t="s">
        <v>97</v>
      </c>
      <c r="BW977" s="2" t="s">
        <v>100</v>
      </c>
      <c r="BX977" s="2" t="s">
        <v>100</v>
      </c>
      <c r="BY977" s="2" t="s">
        <v>112</v>
      </c>
      <c r="BZ977" s="2" t="s">
        <v>100</v>
      </c>
    </row>
    <row r="978">
      <c r="A978" s="2" t="s">
        <v>3491</v>
      </c>
      <c r="B978" s="2" t="s">
        <v>87</v>
      </c>
      <c r="C978" s="2" t="s">
        <v>88</v>
      </c>
      <c r="D978" s="2" t="s">
        <v>3234</v>
      </c>
      <c r="E978" s="2" t="s">
        <v>3360</v>
      </c>
      <c r="F978" s="2" t="s">
        <v>1756</v>
      </c>
      <c r="G978" s="2" t="s">
        <v>1757</v>
      </c>
      <c r="H978" s="2" t="s">
        <v>1758</v>
      </c>
      <c r="I978" s="2" t="s">
        <v>3490</v>
      </c>
      <c r="J978" s="2" t="s">
        <v>850</v>
      </c>
      <c r="K978" s="2" t="s">
        <v>197</v>
      </c>
      <c r="L978" s="3">
        <v>27.42</v>
      </c>
      <c r="M978" s="3">
        <v>28.79</v>
      </c>
      <c r="N978" s="3">
        <v>59.99</v>
      </c>
      <c r="O978" s="2" t="s">
        <v>97</v>
      </c>
      <c r="P978" s="2" t="s">
        <v>1166</v>
      </c>
      <c r="Q978" s="2" t="s">
        <v>99</v>
      </c>
      <c r="R978" s="2" t="s">
        <v>100</v>
      </c>
      <c r="S978" s="2" t="s">
        <v>1760</v>
      </c>
      <c r="T978" s="2" t="s">
        <v>184</v>
      </c>
      <c r="U978" s="2" t="s">
        <v>1610</v>
      </c>
      <c r="V978" s="2" t="s">
        <v>491</v>
      </c>
      <c r="W978" s="2" t="s">
        <v>1288</v>
      </c>
      <c r="X978" s="2" t="s">
        <v>759</v>
      </c>
      <c r="Y978" s="2" t="s">
        <v>1761</v>
      </c>
      <c r="Z978" s="4">
        <v>69</v>
      </c>
      <c r="AA978" s="4">
        <f>=ROUNDDOWN(345,0)</f>
      </c>
      <c r="AB978" s="5">
        <v>0.2</v>
      </c>
      <c r="AC978" s="2" t="s">
        <v>659</v>
      </c>
      <c r="AD978" s="4">
        <v>60</v>
      </c>
      <c r="AE978" s="4">
        <v>60</v>
      </c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/>
      <c r="BJ978" s="4">
        <v>1</v>
      </c>
      <c r="BK978" s="8">
        <v>29.99</v>
      </c>
      <c r="BL978" s="2" t="s">
        <v>3492</v>
      </c>
      <c r="BM978" s="7"/>
      <c r="BN978" s="7"/>
      <c r="BO978" s="4"/>
      <c r="BP978" s="8"/>
      <c r="BQ978" s="4"/>
      <c r="BR978" s="8"/>
      <c r="BS978" s="7"/>
      <c r="BT978" s="7"/>
      <c r="BU978" s="2" t="s">
        <v>1171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100</v>
      </c>
    </row>
    <row r="979">
      <c r="A979" s="2" t="s">
        <v>3493</v>
      </c>
      <c r="B979" s="2" t="s">
        <v>87</v>
      </c>
      <c r="C979" s="2" t="s">
        <v>88</v>
      </c>
      <c r="D979" s="2" t="s">
        <v>3234</v>
      </c>
      <c r="E979" s="2" t="s">
        <v>3360</v>
      </c>
      <c r="F979" s="2" t="s">
        <v>2239</v>
      </c>
      <c r="G979" s="2" t="s">
        <v>2240</v>
      </c>
      <c r="H979" s="2" t="s">
        <v>483</v>
      </c>
      <c r="I979" s="2" t="s">
        <v>3416</v>
      </c>
      <c r="J979" s="2" t="s">
        <v>844</v>
      </c>
      <c r="K979" s="2" t="s">
        <v>1935</v>
      </c>
      <c r="L979" s="3">
        <v>55.78</v>
      </c>
      <c r="M979" s="3">
        <v>58.57</v>
      </c>
      <c r="N979" s="3">
        <v>124.99</v>
      </c>
      <c r="O979" s="2" t="s">
        <v>229</v>
      </c>
      <c r="P979" s="2" t="s">
        <v>198</v>
      </c>
      <c r="Q979" s="2" t="s">
        <v>99</v>
      </c>
      <c r="R979" s="2" t="s">
        <v>100</v>
      </c>
      <c r="S979" s="2" t="s">
        <v>3494</v>
      </c>
      <c r="T979" s="2" t="s">
        <v>732</v>
      </c>
      <c r="U979" s="2" t="s">
        <v>1610</v>
      </c>
      <c r="V979" s="2" t="s">
        <v>601</v>
      </c>
      <c r="W979" s="2" t="s">
        <v>733</v>
      </c>
      <c r="X979" s="2" t="s">
        <v>1310</v>
      </c>
      <c r="Y979" s="2" t="s">
        <v>2243</v>
      </c>
      <c r="Z979" s="4">
        <v>202</v>
      </c>
      <c r="AA979" s="4">
        <f>=ROUNDDOWN(65.1612903225806,0)</f>
      </c>
      <c r="AB979" s="5">
        <v>3.1</v>
      </c>
      <c r="AC979" s="2" t="s">
        <v>100</v>
      </c>
      <c r="AD979" s="4"/>
      <c r="AE979" s="4"/>
      <c r="AF979" s="6">
        <v>69</v>
      </c>
      <c r="AG979" s="6"/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/>
      <c r="BJ979" s="4">
        <v>74</v>
      </c>
      <c r="BK979" s="8">
        <v>4037.65</v>
      </c>
      <c r="BL979" s="2" t="s">
        <v>3495</v>
      </c>
      <c r="BM979" s="7"/>
      <c r="BN979" s="7"/>
      <c r="BO979" s="4"/>
      <c r="BP979" s="8"/>
      <c r="BQ979" s="4"/>
      <c r="BR979" s="8"/>
      <c r="BS979" s="7"/>
      <c r="BT979" s="7"/>
      <c r="BU979" s="2" t="s">
        <v>147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3496</v>
      </c>
      <c r="B980" s="2" t="s">
        <v>87</v>
      </c>
      <c r="C980" s="2" t="s">
        <v>88</v>
      </c>
      <c r="D980" s="2" t="s">
        <v>3234</v>
      </c>
      <c r="E980" s="2" t="s">
        <v>3360</v>
      </c>
      <c r="F980" s="2" t="s">
        <v>2239</v>
      </c>
      <c r="G980" s="2" t="s">
        <v>2240</v>
      </c>
      <c r="H980" s="2" t="s">
        <v>483</v>
      </c>
      <c r="I980" s="2" t="s">
        <v>3416</v>
      </c>
      <c r="J980" s="2" t="s">
        <v>850</v>
      </c>
      <c r="K980" s="2" t="s">
        <v>1935</v>
      </c>
      <c r="L980" s="3">
        <v>60.85</v>
      </c>
      <c r="M980" s="3">
        <v>63.9</v>
      </c>
      <c r="N980" s="3">
        <v>134.99</v>
      </c>
      <c r="O980" s="2" t="s">
        <v>97</v>
      </c>
      <c r="P980" s="2" t="s">
        <v>198</v>
      </c>
      <c r="Q980" s="2" t="s">
        <v>99</v>
      </c>
      <c r="R980" s="2" t="s">
        <v>100</v>
      </c>
      <c r="S980" s="2" t="s">
        <v>3494</v>
      </c>
      <c r="T980" s="2" t="s">
        <v>732</v>
      </c>
      <c r="U980" s="2" t="s">
        <v>1610</v>
      </c>
      <c r="V980" s="2" t="s">
        <v>601</v>
      </c>
      <c r="W980" s="2" t="s">
        <v>733</v>
      </c>
      <c r="X980" s="2" t="s">
        <v>1310</v>
      </c>
      <c r="Y980" s="2" t="s">
        <v>2243</v>
      </c>
      <c r="Z980" s="4">
        <v>141</v>
      </c>
      <c r="AA980" s="4">
        <f>=ROUNDDOWN(37.1052631578947,0)</f>
      </c>
      <c r="AB980" s="5">
        <v>3.8</v>
      </c>
      <c r="AC980" s="2" t="s">
        <v>100</v>
      </c>
      <c r="AD980" s="4"/>
      <c r="AE980" s="4"/>
      <c r="AF980" s="6">
        <v>69</v>
      </c>
      <c r="AG980" s="6"/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/>
      <c r="BJ980" s="4">
        <v>71</v>
      </c>
      <c r="BK980" s="8">
        <v>4373.42</v>
      </c>
      <c r="BL980" s="2" t="s">
        <v>3497</v>
      </c>
      <c r="BM980" s="7"/>
      <c r="BN980" s="7"/>
      <c r="BO980" s="4"/>
      <c r="BP980" s="8"/>
      <c r="BQ980" s="4"/>
      <c r="BR980" s="8"/>
      <c r="BS980" s="7"/>
      <c r="BT980" s="7"/>
      <c r="BU980" s="2" t="s">
        <v>147</v>
      </c>
      <c r="BV980" s="2" t="s">
        <v>97</v>
      </c>
      <c r="BW980" s="2" t="s">
        <v>100</v>
      </c>
      <c r="BX980" s="2" t="s">
        <v>100</v>
      </c>
      <c r="BY980" s="2" t="s">
        <v>112</v>
      </c>
      <c r="BZ980" s="2" t="s">
        <v>100</v>
      </c>
    </row>
    <row r="981">
      <c r="A981" s="2" t="s">
        <v>3498</v>
      </c>
      <c r="B981" s="2" t="s">
        <v>87</v>
      </c>
      <c r="C981" s="2" t="s">
        <v>88</v>
      </c>
      <c r="D981" s="2" t="s">
        <v>3234</v>
      </c>
      <c r="E981" s="2" t="s">
        <v>3360</v>
      </c>
      <c r="F981" s="2" t="s">
        <v>1764</v>
      </c>
      <c r="G981" s="2" t="s">
        <v>1765</v>
      </c>
      <c r="H981" s="2" t="s">
        <v>1766</v>
      </c>
      <c r="I981" s="2" t="s">
        <v>3499</v>
      </c>
      <c r="J981" s="2" t="s">
        <v>844</v>
      </c>
      <c r="K981" s="2" t="s">
        <v>1767</v>
      </c>
      <c r="L981" s="3">
        <v>32.2</v>
      </c>
      <c r="M981" s="3">
        <v>33.81</v>
      </c>
      <c r="N981" s="3">
        <v>69.99</v>
      </c>
      <c r="O981" s="2" t="s">
        <v>97</v>
      </c>
      <c r="P981" s="2" t="s">
        <v>182</v>
      </c>
      <c r="Q981" s="2" t="s">
        <v>99</v>
      </c>
      <c r="R981" s="2" t="s">
        <v>100</v>
      </c>
      <c r="S981" s="2" t="s">
        <v>1768</v>
      </c>
      <c r="T981" s="2" t="s">
        <v>100</v>
      </c>
      <c r="U981" s="2" t="s">
        <v>1610</v>
      </c>
      <c r="V981" s="2" t="s">
        <v>491</v>
      </c>
      <c r="W981" s="2" t="s">
        <v>104</v>
      </c>
      <c r="X981" s="2" t="s">
        <v>284</v>
      </c>
      <c r="Y981" s="2" t="s">
        <v>1769</v>
      </c>
      <c r="Z981" s="4">
        <v>266</v>
      </c>
      <c r="AA981" s="4">
        <f>=ROUNDDOWN(26.8686868686869,0)</f>
      </c>
      <c r="AB981" s="5">
        <v>9.9</v>
      </c>
      <c r="AC981" s="2" t="s">
        <v>1328</v>
      </c>
      <c r="AD981" s="4">
        <v>110</v>
      </c>
      <c r="AE981" s="4">
        <v>110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/>
      <c r="BJ981" s="4">
        <v>243</v>
      </c>
      <c r="BK981" s="8">
        <v>8513.83</v>
      </c>
      <c r="BL981" s="2" t="s">
        <v>3500</v>
      </c>
      <c r="BM981" s="7"/>
      <c r="BN981" s="7"/>
      <c r="BO981" s="4"/>
      <c r="BP981" s="8"/>
      <c r="BQ981" s="4"/>
      <c r="BR981" s="8"/>
      <c r="BS981" s="7"/>
      <c r="BT981" s="7"/>
      <c r="BU981" s="2" t="s">
        <v>147</v>
      </c>
      <c r="BV981" s="2" t="s">
        <v>97</v>
      </c>
      <c r="BW981" s="2" t="s">
        <v>100</v>
      </c>
      <c r="BX981" s="2" t="s">
        <v>100</v>
      </c>
      <c r="BY981" s="2" t="s">
        <v>112</v>
      </c>
      <c r="BZ981" s="2" t="s">
        <v>100</v>
      </c>
    </row>
    <row r="982">
      <c r="A982" s="2" t="s">
        <v>3501</v>
      </c>
      <c r="B982" s="2" t="s">
        <v>87</v>
      </c>
      <c r="C982" s="2" t="s">
        <v>88</v>
      </c>
      <c r="D982" s="2" t="s">
        <v>3234</v>
      </c>
      <c r="E982" s="2" t="s">
        <v>3360</v>
      </c>
      <c r="F982" s="2" t="s">
        <v>1764</v>
      </c>
      <c r="G982" s="2" t="s">
        <v>1765</v>
      </c>
      <c r="H982" s="2" t="s">
        <v>1766</v>
      </c>
      <c r="I982" s="2" t="s">
        <v>3499</v>
      </c>
      <c r="J982" s="2" t="s">
        <v>850</v>
      </c>
      <c r="K982" s="2" t="s">
        <v>1767</v>
      </c>
      <c r="L982" s="3">
        <v>36.8</v>
      </c>
      <c r="M982" s="3">
        <v>38.64</v>
      </c>
      <c r="N982" s="3">
        <v>79.99</v>
      </c>
      <c r="O982" s="2" t="s">
        <v>97</v>
      </c>
      <c r="P982" s="2" t="s">
        <v>182</v>
      </c>
      <c r="Q982" s="2" t="s">
        <v>99</v>
      </c>
      <c r="R982" s="2" t="s">
        <v>100</v>
      </c>
      <c r="S982" s="2" t="s">
        <v>1768</v>
      </c>
      <c r="T982" s="2" t="s">
        <v>100</v>
      </c>
      <c r="U982" s="2" t="s">
        <v>1610</v>
      </c>
      <c r="V982" s="2" t="s">
        <v>491</v>
      </c>
      <c r="W982" s="2" t="s">
        <v>104</v>
      </c>
      <c r="X982" s="2" t="s">
        <v>284</v>
      </c>
      <c r="Y982" s="2" t="s">
        <v>1769</v>
      </c>
      <c r="Z982" s="4">
        <v>375</v>
      </c>
      <c r="AA982" s="4">
        <f>=ROUNDDOWN(46.875,0)</f>
      </c>
      <c r="AB982" s="5">
        <v>8</v>
      </c>
      <c r="AC982" s="2" t="s">
        <v>1328</v>
      </c>
      <c r="AD982" s="4">
        <v>130</v>
      </c>
      <c r="AE982" s="4">
        <v>130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/>
      <c r="BJ982" s="4">
        <v>194</v>
      </c>
      <c r="BK982" s="8">
        <v>7816.9</v>
      </c>
      <c r="BL982" s="2" t="s">
        <v>3502</v>
      </c>
      <c r="BM982" s="7"/>
      <c r="BN982" s="7"/>
      <c r="BO982" s="4"/>
      <c r="BP982" s="8"/>
      <c r="BQ982" s="4"/>
      <c r="BR982" s="8"/>
      <c r="BS982" s="7"/>
      <c r="BT982" s="7"/>
      <c r="BU982" s="2" t="s">
        <v>147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3503</v>
      </c>
      <c r="B983" s="2" t="s">
        <v>87</v>
      </c>
      <c r="C983" s="2" t="s">
        <v>88</v>
      </c>
      <c r="D983" s="2" t="s">
        <v>3234</v>
      </c>
      <c r="E983" s="2" t="s">
        <v>3360</v>
      </c>
      <c r="F983" s="2" t="s">
        <v>2248</v>
      </c>
      <c r="G983" s="2" t="s">
        <v>2249</v>
      </c>
      <c r="H983" s="2" t="s">
        <v>2250</v>
      </c>
      <c r="I983" s="2" t="s">
        <v>3504</v>
      </c>
      <c r="J983" s="2" t="s">
        <v>844</v>
      </c>
      <c r="K983" s="2" t="s">
        <v>2252</v>
      </c>
      <c r="L983" s="3">
        <v>27.42</v>
      </c>
      <c r="M983" s="3">
        <v>28.79</v>
      </c>
      <c r="N983" s="3">
        <v>59.99</v>
      </c>
      <c r="O983" s="2" t="s">
        <v>97</v>
      </c>
      <c r="P983" s="2" t="s">
        <v>1166</v>
      </c>
      <c r="Q983" s="2" t="s">
        <v>99</v>
      </c>
      <c r="R983" s="2" t="s">
        <v>100</v>
      </c>
      <c r="S983" s="2" t="s">
        <v>2253</v>
      </c>
      <c r="T983" s="2" t="s">
        <v>732</v>
      </c>
      <c r="U983" s="2" t="s">
        <v>1610</v>
      </c>
      <c r="V983" s="2" t="s">
        <v>491</v>
      </c>
      <c r="W983" s="2" t="s">
        <v>733</v>
      </c>
      <c r="X983" s="2" t="s">
        <v>602</v>
      </c>
      <c r="Y983" s="2" t="s">
        <v>2257</v>
      </c>
      <c r="Z983" s="4">
        <v>164</v>
      </c>
      <c r="AA983" s="4">
        <f>=ROUNDDOWN(54.6666666666667,0)</f>
      </c>
      <c r="AB983" s="5">
        <v>3</v>
      </c>
      <c r="AC983" s="2" t="s">
        <v>100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/>
      <c r="BJ983" s="4">
        <v>16</v>
      </c>
      <c r="BK983" s="8">
        <v>497.44</v>
      </c>
      <c r="BL983" s="2" t="s">
        <v>3505</v>
      </c>
      <c r="BM983" s="7"/>
      <c r="BN983" s="7"/>
      <c r="BO983" s="4"/>
      <c r="BP983" s="8"/>
      <c r="BQ983" s="4"/>
      <c r="BR983" s="8"/>
      <c r="BS983" s="7"/>
      <c r="BT983" s="7"/>
      <c r="BU983" s="2" t="s">
        <v>1171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3506</v>
      </c>
      <c r="B984" s="2" t="s">
        <v>87</v>
      </c>
      <c r="C984" s="2" t="s">
        <v>88</v>
      </c>
      <c r="D984" s="2" t="s">
        <v>3234</v>
      </c>
      <c r="E984" s="2" t="s">
        <v>3360</v>
      </c>
      <c r="F984" s="2" t="s">
        <v>2248</v>
      </c>
      <c r="G984" s="2" t="s">
        <v>2249</v>
      </c>
      <c r="H984" s="2" t="s">
        <v>2250</v>
      </c>
      <c r="I984" s="2" t="s">
        <v>3504</v>
      </c>
      <c r="J984" s="2" t="s">
        <v>850</v>
      </c>
      <c r="K984" s="2" t="s">
        <v>2252</v>
      </c>
      <c r="L984" s="3">
        <v>32</v>
      </c>
      <c r="M984" s="3">
        <v>33.6</v>
      </c>
      <c r="N984" s="3">
        <v>69.99</v>
      </c>
      <c r="O984" s="2" t="s">
        <v>97</v>
      </c>
      <c r="P984" s="2" t="s">
        <v>1166</v>
      </c>
      <c r="Q984" s="2" t="s">
        <v>99</v>
      </c>
      <c r="R984" s="2" t="s">
        <v>100</v>
      </c>
      <c r="S984" s="2" t="s">
        <v>2253</v>
      </c>
      <c r="T984" s="2" t="s">
        <v>732</v>
      </c>
      <c r="U984" s="2" t="s">
        <v>1610</v>
      </c>
      <c r="V984" s="2" t="s">
        <v>491</v>
      </c>
      <c r="W984" s="2" t="s">
        <v>733</v>
      </c>
      <c r="X984" s="2" t="s">
        <v>602</v>
      </c>
      <c r="Y984" s="2" t="s">
        <v>2257</v>
      </c>
      <c r="Z984" s="4">
        <v>135</v>
      </c>
      <c r="AA984" s="4">
        <f>=ROUNDDOWN(67.5,0)</f>
      </c>
      <c r="AB984" s="5">
        <v>2</v>
      </c>
      <c r="AC984" s="2" t="s">
        <v>100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 t="s">
        <v>100</v>
      </c>
      <c r="BF984" s="8" t="s">
        <v>100</v>
      </c>
      <c r="BG984" s="7" t="s">
        <v>100</v>
      </c>
      <c r="BH984" s="7" t="s">
        <v>100</v>
      </c>
      <c r="BI984" s="7"/>
      <c r="BJ984" s="4">
        <v>15</v>
      </c>
      <c r="BK984" s="8">
        <v>540.3</v>
      </c>
      <c r="BL984" s="2" t="s">
        <v>3505</v>
      </c>
      <c r="BM984" s="7"/>
      <c r="BN984" s="7"/>
      <c r="BO984" s="4"/>
      <c r="BP984" s="8"/>
      <c r="BQ984" s="4"/>
      <c r="BR984" s="8"/>
      <c r="BS984" s="7"/>
      <c r="BT984" s="7"/>
      <c r="BU984" s="2" t="s">
        <v>1171</v>
      </c>
      <c r="BV984" s="2" t="s">
        <v>97</v>
      </c>
      <c r="BW984" s="2" t="s">
        <v>100</v>
      </c>
      <c r="BX984" s="2" t="s">
        <v>100</v>
      </c>
      <c r="BY984" s="2" t="s">
        <v>112</v>
      </c>
      <c r="BZ984" s="2" t="s">
        <v>100</v>
      </c>
    </row>
    <row r="985">
      <c r="A985" s="2" t="s">
        <v>3507</v>
      </c>
      <c r="B985" s="2" t="s">
        <v>87</v>
      </c>
      <c r="C985" s="2" t="s">
        <v>88</v>
      </c>
      <c r="D985" s="2" t="s">
        <v>3234</v>
      </c>
      <c r="E985" s="2" t="s">
        <v>3360</v>
      </c>
      <c r="F985" s="2" t="s">
        <v>1895</v>
      </c>
      <c r="G985" s="2" t="s">
        <v>1896</v>
      </c>
      <c r="H985" s="2" t="s">
        <v>1897</v>
      </c>
      <c r="I985" s="2" t="s">
        <v>3508</v>
      </c>
      <c r="J985" s="2" t="s">
        <v>844</v>
      </c>
      <c r="K985" s="2" t="s">
        <v>1899</v>
      </c>
      <c r="L985" s="3">
        <v>27.42</v>
      </c>
      <c r="M985" s="3">
        <v>28.79</v>
      </c>
      <c r="N985" s="3">
        <v>59.99</v>
      </c>
      <c r="O985" s="2" t="s">
        <v>97</v>
      </c>
      <c r="P985" s="2" t="s">
        <v>1166</v>
      </c>
      <c r="Q985" s="2" t="s">
        <v>99</v>
      </c>
      <c r="R985" s="2" t="s">
        <v>100</v>
      </c>
      <c r="S985" s="2" t="s">
        <v>1900</v>
      </c>
      <c r="T985" s="2" t="s">
        <v>732</v>
      </c>
      <c r="U985" s="2" t="s">
        <v>1610</v>
      </c>
      <c r="V985" s="2" t="s">
        <v>561</v>
      </c>
      <c r="W985" s="2" t="s">
        <v>1288</v>
      </c>
      <c r="X985" s="2" t="s">
        <v>602</v>
      </c>
      <c r="Y985" s="2" t="s">
        <v>1901</v>
      </c>
      <c r="Z985" s="4">
        <v>96</v>
      </c>
      <c r="AA985" s="4">
        <f>=ROUNDDOWN(32,0)</f>
      </c>
      <c r="AB985" s="5">
        <v>3</v>
      </c>
      <c r="AC985" s="2" t="s">
        <v>100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/>
      <c r="BJ985" s="4">
        <v>13</v>
      </c>
      <c r="BK985" s="8">
        <v>399.57</v>
      </c>
      <c r="BL985" s="2" t="s">
        <v>3505</v>
      </c>
      <c r="BM985" s="7"/>
      <c r="BN985" s="7"/>
      <c r="BO985" s="4"/>
      <c r="BP985" s="8"/>
      <c r="BQ985" s="4"/>
      <c r="BR985" s="8"/>
      <c r="BS985" s="7"/>
      <c r="BT985" s="7"/>
      <c r="BU985" s="2" t="s">
        <v>1171</v>
      </c>
      <c r="BV985" s="2" t="s">
        <v>97</v>
      </c>
      <c r="BW985" s="2" t="s">
        <v>100</v>
      </c>
      <c r="BX985" s="2" t="s">
        <v>100</v>
      </c>
      <c r="BY985" s="2" t="s">
        <v>112</v>
      </c>
      <c r="BZ985" s="2" t="s">
        <v>100</v>
      </c>
    </row>
    <row r="986">
      <c r="A986" s="2" t="s">
        <v>3509</v>
      </c>
      <c r="B986" s="2" t="s">
        <v>87</v>
      </c>
      <c r="C986" s="2" t="s">
        <v>88</v>
      </c>
      <c r="D986" s="2" t="s">
        <v>3234</v>
      </c>
      <c r="E986" s="2" t="s">
        <v>3360</v>
      </c>
      <c r="F986" s="2" t="s">
        <v>1895</v>
      </c>
      <c r="G986" s="2" t="s">
        <v>1896</v>
      </c>
      <c r="H986" s="2" t="s">
        <v>1897</v>
      </c>
      <c r="I986" s="2" t="s">
        <v>3508</v>
      </c>
      <c r="J986" s="2" t="s">
        <v>850</v>
      </c>
      <c r="K986" s="2" t="s">
        <v>1899</v>
      </c>
      <c r="L986" s="3">
        <v>32</v>
      </c>
      <c r="M986" s="3">
        <v>33.6</v>
      </c>
      <c r="N986" s="3">
        <v>69.99</v>
      </c>
      <c r="O986" s="2" t="s">
        <v>97</v>
      </c>
      <c r="P986" s="2" t="s">
        <v>1166</v>
      </c>
      <c r="Q986" s="2" t="s">
        <v>99</v>
      </c>
      <c r="R986" s="2" t="s">
        <v>100</v>
      </c>
      <c r="S986" s="2" t="s">
        <v>1900</v>
      </c>
      <c r="T986" s="2" t="s">
        <v>732</v>
      </c>
      <c r="U986" s="2" t="s">
        <v>1610</v>
      </c>
      <c r="V986" s="2" t="s">
        <v>561</v>
      </c>
      <c r="W986" s="2" t="s">
        <v>1288</v>
      </c>
      <c r="X986" s="2" t="s">
        <v>602</v>
      </c>
      <c r="Y986" s="2" t="s">
        <v>1901</v>
      </c>
      <c r="Z986" s="4">
        <v>92</v>
      </c>
      <c r="AA986" s="4">
        <f>=ROUNDDOWN(30.6666666666667,0)</f>
      </c>
      <c r="AB986" s="5">
        <v>3</v>
      </c>
      <c r="AC986" s="2" t="s">
        <v>100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100</v>
      </c>
      <c r="AW986" s="8" t="s">
        <v>100</v>
      </c>
      <c r="AX986" s="4" t="s">
        <v>100</v>
      </c>
      <c r="AY986" s="8" t="s">
        <v>100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/>
      <c r="BJ986" s="4">
        <v>8</v>
      </c>
      <c r="BK986" s="8">
        <v>280.9</v>
      </c>
      <c r="BL986" s="2" t="s">
        <v>3510</v>
      </c>
      <c r="BM986" s="7"/>
      <c r="BN986" s="7"/>
      <c r="BO986" s="4"/>
      <c r="BP986" s="8"/>
      <c r="BQ986" s="4"/>
      <c r="BR986" s="8"/>
      <c r="BS986" s="7"/>
      <c r="BT986" s="7"/>
      <c r="BU986" s="2" t="s">
        <v>1171</v>
      </c>
      <c r="BV986" s="2" t="s">
        <v>97</v>
      </c>
      <c r="BW986" s="2" t="s">
        <v>100</v>
      </c>
      <c r="BX986" s="2" t="s">
        <v>100</v>
      </c>
      <c r="BY986" s="2" t="s">
        <v>112</v>
      </c>
      <c r="BZ986" s="2" t="s">
        <v>100</v>
      </c>
    </row>
    <row r="987">
      <c r="A987" s="2" t="s">
        <v>3511</v>
      </c>
      <c r="B987" s="2" t="s">
        <v>87</v>
      </c>
      <c r="C987" s="2" t="s">
        <v>88</v>
      </c>
      <c r="D987" s="2" t="s">
        <v>3234</v>
      </c>
      <c r="E987" s="2" t="s">
        <v>3360</v>
      </c>
      <c r="F987" s="2" t="s">
        <v>1931</v>
      </c>
      <c r="G987" s="2" t="s">
        <v>1932</v>
      </c>
      <c r="H987" s="2" t="s">
        <v>1933</v>
      </c>
      <c r="I987" s="2" t="s">
        <v>3512</v>
      </c>
      <c r="J987" s="2" t="s">
        <v>844</v>
      </c>
      <c r="K987" s="2" t="s">
        <v>1935</v>
      </c>
      <c r="L987" s="3">
        <v>53.9</v>
      </c>
      <c r="M987" s="3">
        <v>56.59</v>
      </c>
      <c r="N987" s="3">
        <v>109.99</v>
      </c>
      <c r="O987" s="2" t="s">
        <v>97</v>
      </c>
      <c r="P987" s="2" t="s">
        <v>182</v>
      </c>
      <c r="Q987" s="2" t="s">
        <v>99</v>
      </c>
      <c r="R987" s="2" t="s">
        <v>100</v>
      </c>
      <c r="S987" s="2" t="s">
        <v>2982</v>
      </c>
      <c r="T987" s="2" t="s">
        <v>100</v>
      </c>
      <c r="U987" s="2" t="s">
        <v>1610</v>
      </c>
      <c r="V987" s="2" t="s">
        <v>455</v>
      </c>
      <c r="W987" s="2" t="s">
        <v>733</v>
      </c>
      <c r="X987" s="2" t="s">
        <v>791</v>
      </c>
      <c r="Y987" s="2" t="s">
        <v>3513</v>
      </c>
      <c r="Z987" s="4">
        <v>131</v>
      </c>
      <c r="AA987" s="4">
        <f>=ROUNDDOWN(43.6666666666667,0)</f>
      </c>
      <c r="AB987" s="5">
        <v>3</v>
      </c>
      <c r="AC987" s="2" t="s">
        <v>2403</v>
      </c>
      <c r="AD987" s="4">
        <v>30</v>
      </c>
      <c r="AE987" s="4">
        <v>30</v>
      </c>
      <c r="AF987" s="6">
        <v>69</v>
      </c>
      <c r="AG987" s="6"/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/>
      <c r="BJ987" s="4">
        <v>51</v>
      </c>
      <c r="BK987" s="8">
        <v>2873.6</v>
      </c>
      <c r="BL987" s="2" t="s">
        <v>3336</v>
      </c>
      <c r="BM987" s="7"/>
      <c r="BN987" s="7"/>
      <c r="BO987" s="4"/>
      <c r="BP987" s="8"/>
      <c r="BQ987" s="4"/>
      <c r="BR987" s="8"/>
      <c r="BS987" s="7"/>
      <c r="BT987" s="7"/>
      <c r="BU987" s="2" t="s">
        <v>147</v>
      </c>
      <c r="BV987" s="2" t="s">
        <v>97</v>
      </c>
      <c r="BW987" s="2" t="s">
        <v>100</v>
      </c>
      <c r="BX987" s="2" t="s">
        <v>100</v>
      </c>
      <c r="BY987" s="2" t="s">
        <v>112</v>
      </c>
      <c r="BZ987" s="2" t="s">
        <v>100</v>
      </c>
    </row>
    <row r="988">
      <c r="A988" s="2" t="s">
        <v>3514</v>
      </c>
      <c r="B988" s="2" t="s">
        <v>87</v>
      </c>
      <c r="C988" s="2" t="s">
        <v>88</v>
      </c>
      <c r="D988" s="2" t="s">
        <v>3234</v>
      </c>
      <c r="E988" s="2" t="s">
        <v>3360</v>
      </c>
      <c r="F988" s="2" t="s">
        <v>1931</v>
      </c>
      <c r="G988" s="2" t="s">
        <v>1932</v>
      </c>
      <c r="H988" s="2" t="s">
        <v>1933</v>
      </c>
      <c r="I988" s="2" t="s">
        <v>3512</v>
      </c>
      <c r="J988" s="2" t="s">
        <v>850</v>
      </c>
      <c r="K988" s="2" t="s">
        <v>1935</v>
      </c>
      <c r="L988" s="3">
        <v>63.7</v>
      </c>
      <c r="M988" s="3">
        <v>66.88</v>
      </c>
      <c r="N988" s="3">
        <v>129.99</v>
      </c>
      <c r="O988" s="2" t="s">
        <v>97</v>
      </c>
      <c r="P988" s="2" t="s">
        <v>182</v>
      </c>
      <c r="Q988" s="2" t="s">
        <v>99</v>
      </c>
      <c r="R988" s="2" t="s">
        <v>100</v>
      </c>
      <c r="S988" s="2" t="s">
        <v>2982</v>
      </c>
      <c r="T988" s="2" t="s">
        <v>100</v>
      </c>
      <c r="U988" s="2" t="s">
        <v>1610</v>
      </c>
      <c r="V988" s="2" t="s">
        <v>455</v>
      </c>
      <c r="W988" s="2" t="s">
        <v>733</v>
      </c>
      <c r="X988" s="2" t="s">
        <v>791</v>
      </c>
      <c r="Y988" s="2" t="s">
        <v>3513</v>
      </c>
      <c r="Z988" s="4">
        <v>99</v>
      </c>
      <c r="AA988" s="4">
        <f>=ROUNDDOWN(33,0)</f>
      </c>
      <c r="AB988" s="5">
        <v>3</v>
      </c>
      <c r="AC988" s="2" t="s">
        <v>792</v>
      </c>
      <c r="AD988" s="4">
        <v>30</v>
      </c>
      <c r="AE988" s="4">
        <v>60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/>
      <c r="BJ988" s="4">
        <v>55</v>
      </c>
      <c r="BK988" s="8">
        <v>3657.05</v>
      </c>
      <c r="BL988" s="2" t="s">
        <v>3515</v>
      </c>
      <c r="BM988" s="7"/>
      <c r="BN988" s="7"/>
      <c r="BO988" s="4"/>
      <c r="BP988" s="8"/>
      <c r="BQ988" s="4"/>
      <c r="BR988" s="8"/>
      <c r="BS988" s="7"/>
      <c r="BT988" s="7"/>
      <c r="BU988" s="2" t="s">
        <v>147</v>
      </c>
      <c r="BV988" s="2" t="s">
        <v>97</v>
      </c>
      <c r="BW988" s="2" t="s">
        <v>100</v>
      </c>
      <c r="BX988" s="2" t="s">
        <v>100</v>
      </c>
      <c r="BY988" s="2" t="s">
        <v>112</v>
      </c>
      <c r="BZ988" s="2" t="s">
        <v>100</v>
      </c>
    </row>
    <row r="989">
      <c r="A989" s="2" t="s">
        <v>3516</v>
      </c>
      <c r="B989" s="2" t="s">
        <v>87</v>
      </c>
      <c r="C989" s="2" t="s">
        <v>88</v>
      </c>
      <c r="D989" s="2" t="s">
        <v>3234</v>
      </c>
      <c r="E989" s="2" t="s">
        <v>3360</v>
      </c>
      <c r="F989" s="2" t="s">
        <v>1963</v>
      </c>
      <c r="G989" s="2" t="s">
        <v>1964</v>
      </c>
      <c r="H989" s="2" t="s">
        <v>1965</v>
      </c>
      <c r="I989" s="2" t="s">
        <v>3436</v>
      </c>
      <c r="J989" s="2" t="s">
        <v>844</v>
      </c>
      <c r="K989" s="2" t="s">
        <v>123</v>
      </c>
      <c r="L989" s="3">
        <v>23.8</v>
      </c>
      <c r="M989" s="3">
        <v>24.99</v>
      </c>
      <c r="N989" s="3">
        <v>49.99</v>
      </c>
      <c r="O989" s="2" t="s">
        <v>97</v>
      </c>
      <c r="P989" s="2" t="s">
        <v>1265</v>
      </c>
      <c r="Q989" s="2" t="s">
        <v>99</v>
      </c>
      <c r="R989" s="2" t="s">
        <v>100</v>
      </c>
      <c r="S989" s="2" t="s">
        <v>3517</v>
      </c>
      <c r="T989" s="2" t="s">
        <v>100</v>
      </c>
      <c r="U989" s="2" t="s">
        <v>1610</v>
      </c>
      <c r="V989" s="2" t="s">
        <v>561</v>
      </c>
      <c r="W989" s="2" t="s">
        <v>1288</v>
      </c>
      <c r="X989" s="2" t="s">
        <v>759</v>
      </c>
      <c r="Y989" s="2" t="s">
        <v>1967</v>
      </c>
      <c r="Z989" s="4">
        <v>146</v>
      </c>
      <c r="AA989" s="4">
        <f>=ROUNDDOWN(36.5,0)</f>
      </c>
      <c r="AB989" s="5">
        <v>4</v>
      </c>
      <c r="AC989" s="2" t="s">
        <v>100</v>
      </c>
      <c r="AD989" s="4"/>
      <c r="AE989" s="4"/>
      <c r="AF989" s="6">
        <v>66</v>
      </c>
      <c r="AG989" s="6"/>
      <c r="AH989" s="7">
        <v>0.9091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/>
      <c r="BJ989" s="4">
        <v>57</v>
      </c>
      <c r="BK989" s="8">
        <v>1533.43</v>
      </c>
      <c r="BL989" s="2" t="s">
        <v>3518</v>
      </c>
      <c r="BM989" s="7"/>
      <c r="BN989" s="7"/>
      <c r="BO989" s="4"/>
      <c r="BP989" s="8"/>
      <c r="BQ989" s="4"/>
      <c r="BR989" s="8"/>
      <c r="BS989" s="7"/>
      <c r="BT989" s="7"/>
      <c r="BU989" s="2" t="s">
        <v>147</v>
      </c>
      <c r="BV989" s="2" t="s">
        <v>97</v>
      </c>
      <c r="BW989" s="2" t="s">
        <v>100</v>
      </c>
      <c r="BX989" s="2" t="s">
        <v>100</v>
      </c>
      <c r="BY989" s="2" t="s">
        <v>112</v>
      </c>
      <c r="BZ989" s="2" t="s">
        <v>100</v>
      </c>
    </row>
    <row r="990">
      <c r="A990" s="2" t="s">
        <v>3519</v>
      </c>
      <c r="B990" s="2" t="s">
        <v>87</v>
      </c>
      <c r="C990" s="2" t="s">
        <v>88</v>
      </c>
      <c r="D990" s="2" t="s">
        <v>3234</v>
      </c>
      <c r="E990" s="2" t="s">
        <v>3360</v>
      </c>
      <c r="F990" s="2" t="s">
        <v>1963</v>
      </c>
      <c r="G990" s="2" t="s">
        <v>1964</v>
      </c>
      <c r="H990" s="2" t="s">
        <v>1965</v>
      </c>
      <c r="I990" s="2" t="s">
        <v>3436</v>
      </c>
      <c r="J990" s="2" t="s">
        <v>850</v>
      </c>
      <c r="K990" s="2" t="s">
        <v>123</v>
      </c>
      <c r="L990" s="3">
        <v>28.57</v>
      </c>
      <c r="M990" s="3">
        <v>30</v>
      </c>
      <c r="N990" s="3">
        <v>59.99</v>
      </c>
      <c r="O990" s="2" t="s">
        <v>97</v>
      </c>
      <c r="P990" s="2" t="s">
        <v>1265</v>
      </c>
      <c r="Q990" s="2" t="s">
        <v>99</v>
      </c>
      <c r="R990" s="2" t="s">
        <v>100</v>
      </c>
      <c r="S990" s="2" t="s">
        <v>3517</v>
      </c>
      <c r="T990" s="2" t="s">
        <v>100</v>
      </c>
      <c r="U990" s="2" t="s">
        <v>1610</v>
      </c>
      <c r="V990" s="2" t="s">
        <v>561</v>
      </c>
      <c r="W990" s="2" t="s">
        <v>1288</v>
      </c>
      <c r="X990" s="2" t="s">
        <v>759</v>
      </c>
      <c r="Y990" s="2" t="s">
        <v>1967</v>
      </c>
      <c r="Z990" s="4">
        <v>220</v>
      </c>
      <c r="AA990" s="4">
        <f>=ROUNDDOWN(55,0)</f>
      </c>
      <c r="AB990" s="5">
        <v>4</v>
      </c>
      <c r="AC990" s="2" t="s">
        <v>100</v>
      </c>
      <c r="AD990" s="4"/>
      <c r="AE990" s="4"/>
      <c r="AF990" s="6">
        <v>66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/>
      <c r="BJ990" s="4">
        <v>75</v>
      </c>
      <c r="BK990" s="8">
        <v>2352.6</v>
      </c>
      <c r="BL990" s="2" t="s">
        <v>3520</v>
      </c>
      <c r="BM990" s="7"/>
      <c r="BN990" s="7"/>
      <c r="BO990" s="4"/>
      <c r="BP990" s="8"/>
      <c r="BQ990" s="4"/>
      <c r="BR990" s="8"/>
      <c r="BS990" s="7"/>
      <c r="BT990" s="7"/>
      <c r="BU990" s="2" t="s">
        <v>147</v>
      </c>
      <c r="BV990" s="2" t="s">
        <v>97</v>
      </c>
      <c r="BW990" s="2" t="s">
        <v>100</v>
      </c>
      <c r="BX990" s="2" t="s">
        <v>100</v>
      </c>
      <c r="BY990" s="2" t="s">
        <v>112</v>
      </c>
      <c r="BZ990" s="2" t="s">
        <v>100</v>
      </c>
    </row>
    <row r="991">
      <c r="A991" s="2" t="s">
        <v>3521</v>
      </c>
      <c r="B991" s="2" t="s">
        <v>87</v>
      </c>
      <c r="C991" s="2" t="s">
        <v>88</v>
      </c>
      <c r="D991" s="2" t="s">
        <v>3234</v>
      </c>
      <c r="E991" s="2" t="s">
        <v>3360</v>
      </c>
      <c r="F991" s="2" t="s">
        <v>2297</v>
      </c>
      <c r="G991" s="2" t="s">
        <v>1106</v>
      </c>
      <c r="H991" s="2" t="s">
        <v>2298</v>
      </c>
      <c r="I991" s="2" t="s">
        <v>3512</v>
      </c>
      <c r="J991" s="2" t="s">
        <v>844</v>
      </c>
      <c r="K991" s="2" t="s">
        <v>2300</v>
      </c>
      <c r="L991" s="3">
        <v>53.9</v>
      </c>
      <c r="M991" s="3">
        <v>56.59</v>
      </c>
      <c r="N991" s="3">
        <v>109.99</v>
      </c>
      <c r="O991" s="2" t="s">
        <v>97</v>
      </c>
      <c r="P991" s="2" t="s">
        <v>182</v>
      </c>
      <c r="Q991" s="2" t="s">
        <v>99</v>
      </c>
      <c r="R991" s="2" t="s">
        <v>100</v>
      </c>
      <c r="S991" s="2" t="s">
        <v>3522</v>
      </c>
      <c r="T991" s="2" t="s">
        <v>732</v>
      </c>
      <c r="U991" s="2" t="s">
        <v>1610</v>
      </c>
      <c r="V991" s="2" t="s">
        <v>455</v>
      </c>
      <c r="W991" s="2" t="s">
        <v>1530</v>
      </c>
      <c r="X991" s="2" t="s">
        <v>185</v>
      </c>
      <c r="Y991" s="2" t="s">
        <v>2636</v>
      </c>
      <c r="Z991" s="4">
        <v>165</v>
      </c>
      <c r="AA991" s="4">
        <f>=ROUNDDOWN(23.5714285714286,0)</f>
      </c>
      <c r="AB991" s="5">
        <v>7</v>
      </c>
      <c r="AC991" s="2" t="s">
        <v>2305</v>
      </c>
      <c r="AD991" s="4">
        <v>30</v>
      </c>
      <c r="AE991" s="4">
        <v>60</v>
      </c>
      <c r="AF991" s="6">
        <v>69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/>
      <c r="BJ991" s="4">
        <v>129</v>
      </c>
      <c r="BK991" s="8">
        <v>7570.23</v>
      </c>
      <c r="BL991" s="2" t="s">
        <v>3523</v>
      </c>
      <c r="BM991" s="7"/>
      <c r="BN991" s="7"/>
      <c r="BO991" s="4"/>
      <c r="BP991" s="8"/>
      <c r="BQ991" s="4"/>
      <c r="BR991" s="8"/>
      <c r="BS991" s="7"/>
      <c r="BT991" s="7"/>
      <c r="BU991" s="2" t="s">
        <v>147</v>
      </c>
      <c r="BV991" s="2" t="s">
        <v>97</v>
      </c>
      <c r="BW991" s="2" t="s">
        <v>100</v>
      </c>
      <c r="BX991" s="2" t="s">
        <v>100</v>
      </c>
      <c r="BY991" s="2" t="s">
        <v>112</v>
      </c>
      <c r="BZ991" s="2" t="s">
        <v>100</v>
      </c>
    </row>
    <row r="992">
      <c r="A992" s="2" t="s">
        <v>3524</v>
      </c>
      <c r="B992" s="2" t="s">
        <v>87</v>
      </c>
      <c r="C992" s="2" t="s">
        <v>88</v>
      </c>
      <c r="D992" s="2" t="s">
        <v>3234</v>
      </c>
      <c r="E992" s="2" t="s">
        <v>3360</v>
      </c>
      <c r="F992" s="2" t="s">
        <v>2297</v>
      </c>
      <c r="G992" s="2" t="s">
        <v>1106</v>
      </c>
      <c r="H992" s="2" t="s">
        <v>2298</v>
      </c>
      <c r="I992" s="2" t="s">
        <v>3512</v>
      </c>
      <c r="J992" s="2" t="s">
        <v>850</v>
      </c>
      <c r="K992" s="2" t="s">
        <v>2300</v>
      </c>
      <c r="L992" s="3">
        <v>63.7</v>
      </c>
      <c r="M992" s="3">
        <v>66.88</v>
      </c>
      <c r="N992" s="3">
        <v>129.99</v>
      </c>
      <c r="O992" s="2" t="s">
        <v>97</v>
      </c>
      <c r="P992" s="2" t="s">
        <v>182</v>
      </c>
      <c r="Q992" s="2" t="s">
        <v>99</v>
      </c>
      <c r="R992" s="2" t="s">
        <v>100</v>
      </c>
      <c r="S992" s="2" t="s">
        <v>3522</v>
      </c>
      <c r="T992" s="2" t="s">
        <v>732</v>
      </c>
      <c r="U992" s="2" t="s">
        <v>1610</v>
      </c>
      <c r="V992" s="2" t="s">
        <v>455</v>
      </c>
      <c r="W992" s="2" t="s">
        <v>1530</v>
      </c>
      <c r="X992" s="2" t="s">
        <v>185</v>
      </c>
      <c r="Y992" s="2" t="s">
        <v>2636</v>
      </c>
      <c r="Z992" s="4">
        <v>258</v>
      </c>
      <c r="AA992" s="4">
        <f>=ROUNDDOWN(28.6666666666667,0)</f>
      </c>
      <c r="AB992" s="5">
        <v>9</v>
      </c>
      <c r="AC992" s="2" t="s">
        <v>2143</v>
      </c>
      <c r="AD992" s="4">
        <v>30</v>
      </c>
      <c r="AE992" s="4">
        <v>100</v>
      </c>
      <c r="AF992" s="6">
        <v>69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/>
      <c r="BJ992" s="4">
        <v>166</v>
      </c>
      <c r="BK992" s="8">
        <v>11669.72</v>
      </c>
      <c r="BL992" s="2" t="s">
        <v>3525</v>
      </c>
      <c r="BM992" s="7"/>
      <c r="BN992" s="7"/>
      <c r="BO992" s="4"/>
      <c r="BP992" s="8"/>
      <c r="BQ992" s="4"/>
      <c r="BR992" s="8"/>
      <c r="BS992" s="7"/>
      <c r="BT992" s="7"/>
      <c r="BU992" s="2" t="s">
        <v>147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3526</v>
      </c>
      <c r="B993" s="2" t="s">
        <v>87</v>
      </c>
      <c r="C993" s="2" t="s">
        <v>88</v>
      </c>
      <c r="D993" s="2" t="s">
        <v>3527</v>
      </c>
      <c r="E993" s="2" t="s">
        <v>3528</v>
      </c>
      <c r="F993" s="2" t="s">
        <v>2415</v>
      </c>
      <c r="G993" s="2" t="s">
        <v>2416</v>
      </c>
      <c r="H993" s="2" t="s">
        <v>2417</v>
      </c>
      <c r="I993" s="2" t="s">
        <v>3529</v>
      </c>
      <c r="J993" s="2" t="s">
        <v>3530</v>
      </c>
      <c r="K993" s="2" t="s">
        <v>2367</v>
      </c>
      <c r="L993" s="3">
        <v>19.2</v>
      </c>
      <c r="M993" s="3">
        <v>20.15</v>
      </c>
      <c r="N993" s="3">
        <v>39.99</v>
      </c>
      <c r="O993" s="2" t="s">
        <v>97</v>
      </c>
      <c r="P993" s="2" t="s">
        <v>182</v>
      </c>
      <c r="Q993" s="2" t="s">
        <v>99</v>
      </c>
      <c r="R993" s="2" t="s">
        <v>100</v>
      </c>
      <c r="S993" s="2" t="s">
        <v>2425</v>
      </c>
      <c r="T993" s="2" t="s">
        <v>184</v>
      </c>
      <c r="U993" s="2" t="s">
        <v>3531</v>
      </c>
      <c r="V993" s="2" t="s">
        <v>601</v>
      </c>
      <c r="W993" s="2" t="s">
        <v>808</v>
      </c>
      <c r="X993" s="2" t="s">
        <v>759</v>
      </c>
      <c r="Y993" s="2" t="s">
        <v>106</v>
      </c>
      <c r="Z993" s="4">
        <v>141</v>
      </c>
      <c r="AA993" s="4">
        <f>=ROUNDDOWN(2.82,0)</f>
      </c>
      <c r="AB993" s="5">
        <v>50</v>
      </c>
      <c r="AC993" s="2" t="s">
        <v>659</v>
      </c>
      <c r="AD993" s="4">
        <v>450</v>
      </c>
      <c r="AE993" s="4">
        <v>1650</v>
      </c>
      <c r="AF993" s="6">
        <v>64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>
        <v>0</v>
      </c>
      <c r="AP993" s="4">
        <v>3</v>
      </c>
      <c r="AQ993" s="8">
        <v>60.48</v>
      </c>
      <c r="AR993" s="4">
        <v>15</v>
      </c>
      <c r="AS993" s="8">
        <v>302.4</v>
      </c>
      <c r="AT993" s="7">
        <v>-0.8</v>
      </c>
      <c r="AU993" s="7">
        <v>-0.8</v>
      </c>
      <c r="AV993" s="4">
        <v>3</v>
      </c>
      <c r="AW993" s="8">
        <v>60.48</v>
      </c>
      <c r="AX993" s="4">
        <v>15</v>
      </c>
      <c r="AY993" s="8">
        <v>302.4</v>
      </c>
      <c r="AZ993" s="7">
        <v>-0.8</v>
      </c>
      <c r="BA993" s="7">
        <v>-0.8</v>
      </c>
      <c r="BB993" s="7">
        <v>1</v>
      </c>
      <c r="BC993" s="4">
        <v>8</v>
      </c>
      <c r="BD993" s="8">
        <v>161.26</v>
      </c>
      <c r="BE993" s="4">
        <v>39</v>
      </c>
      <c r="BF993" s="8">
        <v>786.13</v>
      </c>
      <c r="BG993" s="7">
        <v>-0.7949</v>
      </c>
      <c r="BH993" s="7">
        <v>-0.7949</v>
      </c>
      <c r="BI993" s="7">
        <v>0.375</v>
      </c>
      <c r="BJ993" s="4">
        <v>1059</v>
      </c>
      <c r="BK993" s="8">
        <v>22388.77</v>
      </c>
      <c r="BL993" s="2" t="s">
        <v>3532</v>
      </c>
      <c r="BM993" s="7">
        <v>0.0028</v>
      </c>
      <c r="BN993" s="7">
        <v>0.0027</v>
      </c>
      <c r="BO993" s="4">
        <v>3</v>
      </c>
      <c r="BP993" s="8">
        <v>60.48</v>
      </c>
      <c r="BQ993" s="4">
        <v>15</v>
      </c>
      <c r="BR993" s="8">
        <v>302.4</v>
      </c>
      <c r="BS993" s="7">
        <v>-0.8</v>
      </c>
      <c r="BT993" s="7">
        <v>-0.8</v>
      </c>
      <c r="BU993" s="2" t="s">
        <v>109</v>
      </c>
      <c r="BV993" s="2" t="s">
        <v>97</v>
      </c>
      <c r="BW993" s="2" t="s">
        <v>606</v>
      </c>
      <c r="BX993" s="2" t="s">
        <v>2026</v>
      </c>
      <c r="BY993" s="2" t="s">
        <v>112</v>
      </c>
      <c r="BZ993" s="2" t="s">
        <v>100</v>
      </c>
    </row>
    <row r="994">
      <c r="A994" s="2" t="s">
        <v>3533</v>
      </c>
      <c r="B994" s="2" t="s">
        <v>87</v>
      </c>
      <c r="C994" s="2" t="s">
        <v>88</v>
      </c>
      <c r="D994" s="2" t="s">
        <v>3527</v>
      </c>
      <c r="E994" s="2" t="s">
        <v>3528</v>
      </c>
      <c r="F994" s="2" t="s">
        <v>2415</v>
      </c>
      <c r="G994" s="2" t="s">
        <v>2416</v>
      </c>
      <c r="H994" s="2" t="s">
        <v>2417</v>
      </c>
      <c r="I994" s="2" t="s">
        <v>3529</v>
      </c>
      <c r="J994" s="2" t="s">
        <v>3530</v>
      </c>
      <c r="K994" s="2" t="s">
        <v>713</v>
      </c>
      <c r="L994" s="3">
        <v>19.2</v>
      </c>
      <c r="M994" s="3">
        <v>20.15</v>
      </c>
      <c r="N994" s="3">
        <v>39.99</v>
      </c>
      <c r="O994" s="2" t="s">
        <v>97</v>
      </c>
      <c r="P994" s="2" t="s">
        <v>182</v>
      </c>
      <c r="Q994" s="2" t="s">
        <v>99</v>
      </c>
      <c r="R994" s="2" t="s">
        <v>100</v>
      </c>
      <c r="S994" s="2" t="s">
        <v>3534</v>
      </c>
      <c r="T994" s="2" t="s">
        <v>184</v>
      </c>
      <c r="U994" s="2" t="s">
        <v>3531</v>
      </c>
      <c r="V994" s="2" t="s">
        <v>491</v>
      </c>
      <c r="W994" s="2" t="s">
        <v>808</v>
      </c>
      <c r="X994" s="2" t="s">
        <v>759</v>
      </c>
      <c r="Y994" s="2" t="s">
        <v>106</v>
      </c>
      <c r="Z994" s="4">
        <v>123</v>
      </c>
      <c r="AA994" s="4">
        <f>=ROUNDDOWN(2.15789473684211,0)</f>
      </c>
      <c r="AB994" s="5">
        <v>57</v>
      </c>
      <c r="AC994" s="2" t="s">
        <v>1221</v>
      </c>
      <c r="AD994" s="4">
        <v>450</v>
      </c>
      <c r="AE994" s="4">
        <v>1750</v>
      </c>
      <c r="AF994" s="6">
        <v>64</v>
      </c>
      <c r="AG994" s="6"/>
      <c r="AH994" s="7">
        <v>0.9879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>
        <v>0</v>
      </c>
      <c r="AP994" s="4">
        <v>3</v>
      </c>
      <c r="AQ994" s="8">
        <v>60.48</v>
      </c>
      <c r="AR994" s="4">
        <v>13</v>
      </c>
      <c r="AS994" s="8">
        <v>262.08</v>
      </c>
      <c r="AT994" s="7">
        <v>-0.7692</v>
      </c>
      <c r="AU994" s="7">
        <v>-0.7692</v>
      </c>
      <c r="AV994" s="4">
        <v>3</v>
      </c>
      <c r="AW994" s="8">
        <v>60.48</v>
      </c>
      <c r="AX994" s="4">
        <v>13</v>
      </c>
      <c r="AY994" s="8">
        <v>262.08</v>
      </c>
      <c r="AZ994" s="7">
        <v>-0.7692</v>
      </c>
      <c r="BA994" s="7">
        <v>-0.7692</v>
      </c>
      <c r="BB994" s="7">
        <v>1</v>
      </c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>
        <v>0.375</v>
      </c>
      <c r="BJ994" s="4">
        <v>1097</v>
      </c>
      <c r="BK994" s="8">
        <v>22244.3</v>
      </c>
      <c r="BL994" s="2" t="s">
        <v>3535</v>
      </c>
      <c r="BM994" s="7">
        <v>0.0027</v>
      </c>
      <c r="BN994" s="7">
        <v>0.0027</v>
      </c>
      <c r="BO994" s="4">
        <v>3</v>
      </c>
      <c r="BP994" s="8">
        <v>60.48</v>
      </c>
      <c r="BQ994" s="4">
        <v>13</v>
      </c>
      <c r="BR994" s="8">
        <v>262.08</v>
      </c>
      <c r="BS994" s="7">
        <v>-0.7692</v>
      </c>
      <c r="BT994" s="7">
        <v>-0.7692</v>
      </c>
      <c r="BU994" s="2" t="s">
        <v>109</v>
      </c>
      <c r="BV994" s="2" t="s">
        <v>97</v>
      </c>
      <c r="BW994" s="2" t="s">
        <v>606</v>
      </c>
      <c r="BX994" s="2" t="s">
        <v>3536</v>
      </c>
      <c r="BY994" s="2" t="s">
        <v>112</v>
      </c>
      <c r="BZ994" s="2" t="s">
        <v>100</v>
      </c>
    </row>
    <row r="995">
      <c r="A995" s="2" t="s">
        <v>3537</v>
      </c>
      <c r="B995" s="2" t="s">
        <v>87</v>
      </c>
      <c r="C995" s="2" t="s">
        <v>88</v>
      </c>
      <c r="D995" s="2" t="s">
        <v>3527</v>
      </c>
      <c r="E995" s="2" t="s">
        <v>3528</v>
      </c>
      <c r="F995" s="2" t="s">
        <v>2415</v>
      </c>
      <c r="G995" s="2" t="s">
        <v>2416</v>
      </c>
      <c r="H995" s="2" t="s">
        <v>2417</v>
      </c>
      <c r="I995" s="2" t="s">
        <v>3529</v>
      </c>
      <c r="J995" s="2" t="s">
        <v>3530</v>
      </c>
      <c r="K995" s="2" t="s">
        <v>666</v>
      </c>
      <c r="L995" s="3">
        <v>19.2</v>
      </c>
      <c r="M995" s="3">
        <v>20.15</v>
      </c>
      <c r="N995" s="3">
        <v>39.99</v>
      </c>
      <c r="O995" s="2" t="s">
        <v>97</v>
      </c>
      <c r="P995" s="2" t="s">
        <v>182</v>
      </c>
      <c r="Q995" s="2" t="s">
        <v>99</v>
      </c>
      <c r="R995" s="2" t="s">
        <v>100</v>
      </c>
      <c r="S995" s="2" t="s">
        <v>2419</v>
      </c>
      <c r="T995" s="2" t="s">
        <v>184</v>
      </c>
      <c r="U995" s="2" t="s">
        <v>3531</v>
      </c>
      <c r="V995" s="2" t="s">
        <v>601</v>
      </c>
      <c r="W995" s="2" t="s">
        <v>808</v>
      </c>
      <c r="X995" s="2" t="s">
        <v>759</v>
      </c>
      <c r="Y995" s="2" t="s">
        <v>106</v>
      </c>
      <c r="Z995" s="4">
        <v>496</v>
      </c>
      <c r="AA995" s="4">
        <f>=ROUNDDOWN(20.6666666666667,0)</f>
      </c>
      <c r="AB995" s="5">
        <v>24</v>
      </c>
      <c r="AC995" s="2" t="s">
        <v>356</v>
      </c>
      <c r="AD995" s="4">
        <v>450</v>
      </c>
      <c r="AE995" s="4">
        <v>450</v>
      </c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>
        <v>0</v>
      </c>
      <c r="AP995" s="4">
        <v>2</v>
      </c>
      <c r="AQ995" s="8">
        <v>40.3</v>
      </c>
      <c r="AR995" s="4">
        <v>11</v>
      </c>
      <c r="AS995" s="8">
        <v>221.65</v>
      </c>
      <c r="AT995" s="7">
        <v>-0.8182</v>
      </c>
      <c r="AU995" s="7">
        <v>-0.8182</v>
      </c>
      <c r="AV995" s="4">
        <v>2</v>
      </c>
      <c r="AW995" s="8">
        <v>40.3</v>
      </c>
      <c r="AX995" s="4">
        <v>11</v>
      </c>
      <c r="AY995" s="8">
        <v>221.65</v>
      </c>
      <c r="AZ995" s="7">
        <v>-0.8182</v>
      </c>
      <c r="BA995" s="7">
        <v>-0.8182</v>
      </c>
      <c r="BB995" s="7">
        <v>1</v>
      </c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>
        <v>0.2499</v>
      </c>
      <c r="BJ995" s="4">
        <v>474</v>
      </c>
      <c r="BK995" s="8">
        <v>9832.47</v>
      </c>
      <c r="BL995" s="2" t="s">
        <v>3538</v>
      </c>
      <c r="BM995" s="7">
        <v>0.0042</v>
      </c>
      <c r="BN995" s="7">
        <v>0.0041</v>
      </c>
      <c r="BO995" s="4">
        <v>2</v>
      </c>
      <c r="BP995" s="8">
        <v>40.3</v>
      </c>
      <c r="BQ995" s="4">
        <v>11</v>
      </c>
      <c r="BR995" s="8">
        <v>221.65</v>
      </c>
      <c r="BS995" s="7">
        <v>-0.8182</v>
      </c>
      <c r="BT995" s="7">
        <v>-0.8182</v>
      </c>
      <c r="BU995" s="2" t="s">
        <v>109</v>
      </c>
      <c r="BV995" s="2" t="s">
        <v>97</v>
      </c>
      <c r="BW995" s="2" t="s">
        <v>3539</v>
      </c>
      <c r="BX995" s="2" t="s">
        <v>3540</v>
      </c>
      <c r="BY995" s="2" t="s">
        <v>112</v>
      </c>
      <c r="BZ995" s="2" t="s">
        <v>100</v>
      </c>
    </row>
    <row r="996">
      <c r="A996" s="2" t="s">
        <v>3541</v>
      </c>
      <c r="B996" s="2" t="s">
        <v>87</v>
      </c>
      <c r="C996" s="2" t="s">
        <v>88</v>
      </c>
      <c r="D996" s="2" t="s">
        <v>3527</v>
      </c>
      <c r="E996" s="2" t="s">
        <v>3528</v>
      </c>
      <c r="F996" s="2" t="s">
        <v>2415</v>
      </c>
      <c r="G996" s="2" t="s">
        <v>2416</v>
      </c>
      <c r="H996" s="2" t="s">
        <v>2417</v>
      </c>
      <c r="I996" s="2" t="s">
        <v>3529</v>
      </c>
      <c r="J996" s="2" t="s">
        <v>3530</v>
      </c>
      <c r="K996" s="2" t="s">
        <v>158</v>
      </c>
      <c r="L996" s="3">
        <v>19.2</v>
      </c>
      <c r="M996" s="3">
        <v>20.15</v>
      </c>
      <c r="N996" s="3">
        <v>39.99</v>
      </c>
      <c r="O996" s="2" t="s">
        <v>97</v>
      </c>
      <c r="P996" s="2" t="s">
        <v>1166</v>
      </c>
      <c r="Q996" s="2" t="s">
        <v>99</v>
      </c>
      <c r="R996" s="2" t="s">
        <v>100</v>
      </c>
      <c r="S996" s="2" t="s">
        <v>2431</v>
      </c>
      <c r="T996" s="2" t="s">
        <v>184</v>
      </c>
      <c r="U996" s="2" t="s">
        <v>3531</v>
      </c>
      <c r="V996" s="2" t="s">
        <v>601</v>
      </c>
      <c r="W996" s="2" t="s">
        <v>808</v>
      </c>
      <c r="X996" s="2" t="s">
        <v>759</v>
      </c>
      <c r="Y996" s="2" t="s">
        <v>3189</v>
      </c>
      <c r="Z996" s="4">
        <v>539</v>
      </c>
      <c r="AA996" s="4">
        <f>=ROUNDDOWN(18.5862068965517,0)</f>
      </c>
      <c r="AB996" s="5">
        <v>29</v>
      </c>
      <c r="AC996" s="2" t="s">
        <v>847</v>
      </c>
      <c r="AD996" s="4">
        <v>450</v>
      </c>
      <c r="AE996" s="4">
        <v>450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/>
      <c r="BJ996" s="4">
        <v>55</v>
      </c>
      <c r="BK996" s="8">
        <v>1066.73</v>
      </c>
      <c r="BL996" s="2" t="s">
        <v>3542</v>
      </c>
      <c r="BM996" s="7"/>
      <c r="BN996" s="7"/>
      <c r="BO996" s="4"/>
      <c r="BP996" s="8"/>
      <c r="BQ996" s="4"/>
      <c r="BR996" s="8"/>
      <c r="BS996" s="7"/>
      <c r="BT996" s="7"/>
      <c r="BU996" s="2" t="s">
        <v>1171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3543</v>
      </c>
      <c r="B997" s="2" t="s">
        <v>87</v>
      </c>
      <c r="C997" s="2" t="s">
        <v>88</v>
      </c>
      <c r="D997" s="2" t="s">
        <v>3527</v>
      </c>
      <c r="E997" s="2" t="s">
        <v>3528</v>
      </c>
      <c r="F997" s="2" t="s">
        <v>2415</v>
      </c>
      <c r="G997" s="2" t="s">
        <v>2416</v>
      </c>
      <c r="H997" s="2" t="s">
        <v>2417</v>
      </c>
      <c r="I997" s="2" t="s">
        <v>3529</v>
      </c>
      <c r="J997" s="2" t="s">
        <v>3530</v>
      </c>
      <c r="K997" s="2" t="s">
        <v>650</v>
      </c>
      <c r="L997" s="3">
        <v>19.2</v>
      </c>
      <c r="M997" s="3">
        <v>20.15</v>
      </c>
      <c r="N997" s="3">
        <v>39.99</v>
      </c>
      <c r="O997" s="2" t="s">
        <v>97</v>
      </c>
      <c r="P997" s="2" t="s">
        <v>182</v>
      </c>
      <c r="Q997" s="2" t="s">
        <v>99</v>
      </c>
      <c r="R997" s="2" t="s">
        <v>100</v>
      </c>
      <c r="S997" s="2" t="s">
        <v>2442</v>
      </c>
      <c r="T997" s="2" t="s">
        <v>184</v>
      </c>
      <c r="U997" s="2" t="s">
        <v>3531</v>
      </c>
      <c r="V997" s="2" t="s">
        <v>601</v>
      </c>
      <c r="W997" s="2" t="s">
        <v>808</v>
      </c>
      <c r="X997" s="2" t="s">
        <v>759</v>
      </c>
      <c r="Y997" s="2" t="s">
        <v>2408</v>
      </c>
      <c r="Z997" s="4">
        <v>336</v>
      </c>
      <c r="AA997" s="4">
        <f>=ROUNDDOWN(10.1818181818182,0)</f>
      </c>
      <c r="AB997" s="5"/>
      <c r="AC997" s="2" t="s">
        <v>589</v>
      </c>
      <c r="AD997" s="4">
        <v>450</v>
      </c>
      <c r="AE997" s="4">
        <v>900</v>
      </c>
      <c r="AF997" s="6">
        <v>64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/>
      <c r="BJ997" s="4">
        <v>683</v>
      </c>
      <c r="BK997" s="8">
        <v>14134.09</v>
      </c>
      <c r="BL997" s="2" t="s">
        <v>3544</v>
      </c>
      <c r="BM997" s="7"/>
      <c r="BN997" s="7"/>
      <c r="BO997" s="4"/>
      <c r="BP997" s="8"/>
      <c r="BQ997" s="4"/>
      <c r="BR997" s="8"/>
      <c r="BS997" s="7"/>
      <c r="BT997" s="7"/>
      <c r="BU997" s="2" t="s">
        <v>147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3545</v>
      </c>
      <c r="B998" s="2" t="s">
        <v>87</v>
      </c>
      <c r="C998" s="2" t="s">
        <v>88</v>
      </c>
      <c r="D998" s="2" t="s">
        <v>3527</v>
      </c>
      <c r="E998" s="2" t="s">
        <v>3528</v>
      </c>
      <c r="F998" s="2" t="s">
        <v>2415</v>
      </c>
      <c r="G998" s="2" t="s">
        <v>2416</v>
      </c>
      <c r="H998" s="2" t="s">
        <v>2417</v>
      </c>
      <c r="I998" s="2" t="s">
        <v>3529</v>
      </c>
      <c r="J998" s="2" t="s">
        <v>3530</v>
      </c>
      <c r="K998" s="2" t="s">
        <v>1018</v>
      </c>
      <c r="L998" s="3">
        <v>19.2</v>
      </c>
      <c r="M998" s="3">
        <v>20.15</v>
      </c>
      <c r="N998" s="3">
        <v>39.99</v>
      </c>
      <c r="O998" s="2" t="s">
        <v>97</v>
      </c>
      <c r="P998" s="2" t="s">
        <v>182</v>
      </c>
      <c r="Q998" s="2" t="s">
        <v>99</v>
      </c>
      <c r="R998" s="2" t="s">
        <v>100</v>
      </c>
      <c r="S998" s="2" t="s">
        <v>3546</v>
      </c>
      <c r="T998" s="2" t="s">
        <v>184</v>
      </c>
      <c r="U998" s="2" t="s">
        <v>3531</v>
      </c>
      <c r="V998" s="2" t="s">
        <v>491</v>
      </c>
      <c r="W998" s="2" t="s">
        <v>808</v>
      </c>
      <c r="X998" s="2" t="s">
        <v>759</v>
      </c>
      <c r="Y998" s="2" t="s">
        <v>106</v>
      </c>
      <c r="Z998" s="4">
        <v>545</v>
      </c>
      <c r="AA998" s="4">
        <f>=ROUNDDOWN(20.1851851851852,0)</f>
      </c>
      <c r="AB998" s="5">
        <v>27</v>
      </c>
      <c r="AC998" s="2" t="s">
        <v>518</v>
      </c>
      <c r="AD998" s="4">
        <v>450</v>
      </c>
      <c r="AE998" s="4">
        <v>450</v>
      </c>
      <c r="AF998" s="6">
        <v>64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100</v>
      </c>
      <c r="BD998" s="8" t="s">
        <v>100</v>
      </c>
      <c r="BE998" s="4" t="s">
        <v>100</v>
      </c>
      <c r="BF998" s="8" t="s">
        <v>100</v>
      </c>
      <c r="BG998" s="7" t="s">
        <v>100</v>
      </c>
      <c r="BH998" s="7" t="s">
        <v>100</v>
      </c>
      <c r="BI998" s="7"/>
      <c r="BJ998" s="4">
        <v>548</v>
      </c>
      <c r="BK998" s="8">
        <v>11295.69</v>
      </c>
      <c r="BL998" s="2" t="s">
        <v>3547</v>
      </c>
      <c r="BM998" s="7"/>
      <c r="BN998" s="7"/>
      <c r="BO998" s="4"/>
      <c r="BP998" s="8"/>
      <c r="BQ998" s="4"/>
      <c r="BR998" s="8"/>
      <c r="BS998" s="7"/>
      <c r="BT998" s="7"/>
      <c r="BU998" s="2" t="s">
        <v>147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3548</v>
      </c>
      <c r="B999" s="2" t="s">
        <v>87</v>
      </c>
      <c r="C999" s="2" t="s">
        <v>88</v>
      </c>
      <c r="D999" s="2" t="s">
        <v>3527</v>
      </c>
      <c r="E999" s="2" t="s">
        <v>3528</v>
      </c>
      <c r="F999" s="2" t="s">
        <v>974</v>
      </c>
      <c r="G999" s="2" t="s">
        <v>975</v>
      </c>
      <c r="H999" s="2" t="s">
        <v>100</v>
      </c>
      <c r="I999" s="2" t="s">
        <v>3549</v>
      </c>
      <c r="J999" s="2" t="s">
        <v>3550</v>
      </c>
      <c r="K999" s="2" t="s">
        <v>158</v>
      </c>
      <c r="L999" s="3">
        <v>16.8</v>
      </c>
      <c r="M999" s="3">
        <v>17.63</v>
      </c>
      <c r="N999" s="3">
        <v>34.99</v>
      </c>
      <c r="O999" s="2" t="s">
        <v>97</v>
      </c>
      <c r="P999" s="2" t="s">
        <v>182</v>
      </c>
      <c r="Q999" s="2" t="s">
        <v>99</v>
      </c>
      <c r="R999" s="2" t="s">
        <v>100</v>
      </c>
      <c r="S999" s="2" t="s">
        <v>3551</v>
      </c>
      <c r="T999" s="2" t="s">
        <v>100</v>
      </c>
      <c r="U999" s="2" t="s">
        <v>100</v>
      </c>
      <c r="V999" s="2" t="s">
        <v>906</v>
      </c>
      <c r="W999" s="2" t="s">
        <v>602</v>
      </c>
      <c r="X999" s="2" t="s">
        <v>100</v>
      </c>
      <c r="Y999" s="2" t="s">
        <v>106</v>
      </c>
      <c r="Z999" s="4">
        <v>358</v>
      </c>
      <c r="AA999" s="4">
        <f>=ROUNDDOWN(4.07744874715262,0)</f>
      </c>
      <c r="AB999" s="5">
        <v>87.8</v>
      </c>
      <c r="AC999" s="2" t="s">
        <v>874</v>
      </c>
      <c r="AD999" s="4">
        <v>800</v>
      </c>
      <c r="AE999" s="4">
        <v>3974</v>
      </c>
      <c r="AF999" s="6">
        <v>65</v>
      </c>
      <c r="AG999" s="6"/>
      <c r="AH999" s="7">
        <v>0.9576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>
        <v>0</v>
      </c>
      <c r="AP999" s="4">
        <v>6</v>
      </c>
      <c r="AQ999" s="8">
        <v>105.84</v>
      </c>
      <c r="AR999" s="4">
        <v>11</v>
      </c>
      <c r="AS999" s="8">
        <v>194.04</v>
      </c>
      <c r="AT999" s="7">
        <v>-0.4545</v>
      </c>
      <c r="AU999" s="7">
        <v>-0.4545</v>
      </c>
      <c r="AV999" s="4">
        <v>6</v>
      </c>
      <c r="AW999" s="8">
        <v>105.84</v>
      </c>
      <c r="AX999" s="4">
        <v>11</v>
      </c>
      <c r="AY999" s="8">
        <v>194.04</v>
      </c>
      <c r="AZ999" s="7">
        <v>-0.4545</v>
      </c>
      <c r="BA999" s="7">
        <v>-0.4545</v>
      </c>
      <c r="BB999" s="7">
        <v>1</v>
      </c>
      <c r="BC999" s="4">
        <v>6</v>
      </c>
      <c r="BD999" s="8">
        <v>105.84</v>
      </c>
      <c r="BE999" s="4">
        <v>11</v>
      </c>
      <c r="BF999" s="8">
        <v>194.04</v>
      </c>
      <c r="BG999" s="7">
        <v>-0.4545</v>
      </c>
      <c r="BH999" s="7">
        <v>-0.4545</v>
      </c>
      <c r="BI999" s="7">
        <v>1</v>
      </c>
      <c r="BJ999" s="4">
        <v>1847</v>
      </c>
      <c r="BK999" s="8">
        <v>32510.87</v>
      </c>
      <c r="BL999" s="2" t="s">
        <v>3552</v>
      </c>
      <c r="BM999" s="7">
        <v>0.0032</v>
      </c>
      <c r="BN999" s="7">
        <v>0.0033</v>
      </c>
      <c r="BO999" s="4">
        <v>6</v>
      </c>
      <c r="BP999" s="8">
        <v>105.84</v>
      </c>
      <c r="BQ999" s="4">
        <v>11</v>
      </c>
      <c r="BR999" s="8">
        <v>194.04</v>
      </c>
      <c r="BS999" s="7">
        <v>-0.4545</v>
      </c>
      <c r="BT999" s="7">
        <v>-0.4545</v>
      </c>
      <c r="BU999" s="2" t="s">
        <v>109</v>
      </c>
      <c r="BV999" s="2" t="s">
        <v>97</v>
      </c>
      <c r="BW999" s="2" t="s">
        <v>606</v>
      </c>
      <c r="BX999" s="2" t="s">
        <v>1116</v>
      </c>
      <c r="BY999" s="2" t="s">
        <v>112</v>
      </c>
      <c r="BZ999" s="2" t="s">
        <v>100</v>
      </c>
    </row>
    <row r="1000">
      <c r="A1000" s="2" t="s">
        <v>3553</v>
      </c>
      <c r="B1000" s="2" t="s">
        <v>87</v>
      </c>
      <c r="C1000" s="2" t="s">
        <v>88</v>
      </c>
      <c r="D1000" s="2" t="s">
        <v>3527</v>
      </c>
      <c r="E1000" s="2" t="s">
        <v>3528</v>
      </c>
      <c r="F1000" s="2" t="s">
        <v>1042</v>
      </c>
      <c r="G1000" s="2" t="s">
        <v>1043</v>
      </c>
      <c r="H1000" s="2" t="s">
        <v>1044</v>
      </c>
      <c r="I1000" s="2" t="s">
        <v>3554</v>
      </c>
      <c r="J1000" s="2" t="s">
        <v>3555</v>
      </c>
      <c r="K1000" s="2" t="s">
        <v>247</v>
      </c>
      <c r="L1000" s="3">
        <v>19.2</v>
      </c>
      <c r="M1000" s="3">
        <v>20.15</v>
      </c>
      <c r="N1000" s="3">
        <v>39.99</v>
      </c>
      <c r="O1000" s="2" t="s">
        <v>97</v>
      </c>
      <c r="P1000" s="2" t="s">
        <v>182</v>
      </c>
      <c r="Q1000" s="2" t="s">
        <v>99</v>
      </c>
      <c r="R1000" s="2" t="s">
        <v>100</v>
      </c>
      <c r="S1000" s="2" t="s">
        <v>1045</v>
      </c>
      <c r="T1000" s="2" t="s">
        <v>100</v>
      </c>
      <c r="U1000" s="2" t="s">
        <v>100</v>
      </c>
      <c r="V1000" s="2" t="s">
        <v>906</v>
      </c>
      <c r="W1000" s="2" t="s">
        <v>906</v>
      </c>
      <c r="X1000" s="2" t="s">
        <v>100</v>
      </c>
      <c r="Y1000" s="2" t="s">
        <v>106</v>
      </c>
      <c r="Z1000" s="4">
        <v>922</v>
      </c>
      <c r="AA1000" s="4">
        <f>=ROUNDDOWN(26.3428571428571,0)</f>
      </c>
      <c r="AB1000" s="5">
        <v>35</v>
      </c>
      <c r="AC1000" s="2" t="s">
        <v>2846</v>
      </c>
      <c r="AD1000" s="4">
        <v>1000</v>
      </c>
      <c r="AE1000" s="4">
        <v>1000</v>
      </c>
      <c r="AF1000" s="6">
        <v>64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>
        <v>0</v>
      </c>
      <c r="AP1000" s="4">
        <v>1</v>
      </c>
      <c r="AQ1000" s="8">
        <v>20.16</v>
      </c>
      <c r="AR1000" s="4">
        <v>5</v>
      </c>
      <c r="AS1000" s="8">
        <v>100.8</v>
      </c>
      <c r="AT1000" s="7">
        <v>-0.8</v>
      </c>
      <c r="AU1000" s="7">
        <v>-0.8</v>
      </c>
      <c r="AV1000" s="4">
        <v>1</v>
      </c>
      <c r="AW1000" s="8">
        <v>20.16</v>
      </c>
      <c r="AX1000" s="4">
        <v>5</v>
      </c>
      <c r="AY1000" s="8">
        <v>100.8</v>
      </c>
      <c r="AZ1000" s="7">
        <v>-0.8</v>
      </c>
      <c r="BA1000" s="7">
        <v>-0.8</v>
      </c>
      <c r="BB1000" s="7">
        <v>1</v>
      </c>
      <c r="BC1000" s="4">
        <v>1</v>
      </c>
      <c r="BD1000" s="8">
        <v>20.16</v>
      </c>
      <c r="BE1000" s="4">
        <v>5</v>
      </c>
      <c r="BF1000" s="8">
        <v>100.8</v>
      </c>
      <c r="BG1000" s="7">
        <v>-0.8</v>
      </c>
      <c r="BH1000" s="7">
        <v>-0.8</v>
      </c>
      <c r="BI1000" s="7">
        <v>1</v>
      </c>
      <c r="BJ1000" s="4">
        <v>779</v>
      </c>
      <c r="BK1000" s="8">
        <v>15785.93</v>
      </c>
      <c r="BL1000" s="2" t="s">
        <v>3556</v>
      </c>
      <c r="BM1000" s="7">
        <v>0.0013</v>
      </c>
      <c r="BN1000" s="7">
        <v>0.0013</v>
      </c>
      <c r="BO1000" s="4">
        <v>1</v>
      </c>
      <c r="BP1000" s="8">
        <v>20.16</v>
      </c>
      <c r="BQ1000" s="4">
        <v>5</v>
      </c>
      <c r="BR1000" s="8">
        <v>100.8</v>
      </c>
      <c r="BS1000" s="7">
        <v>-0.8</v>
      </c>
      <c r="BT1000" s="7">
        <v>-0.8</v>
      </c>
      <c r="BU1000" s="2" t="s">
        <v>109</v>
      </c>
      <c r="BV1000" s="2" t="s">
        <v>97</v>
      </c>
      <c r="BW1000" s="2" t="s">
        <v>606</v>
      </c>
      <c r="BX1000" s="2" t="s">
        <v>2758</v>
      </c>
      <c r="BY1000" s="2" t="s">
        <v>112</v>
      </c>
      <c r="BZ1000" s="2" t="s">
        <v>100</v>
      </c>
    </row>
    <row r="1001">
      <c r="A1001" s="2" t="s">
        <v>3557</v>
      </c>
      <c r="B1001" s="2" t="s">
        <v>87</v>
      </c>
      <c r="C1001" s="2" t="s">
        <v>88</v>
      </c>
      <c r="D1001" s="2" t="s">
        <v>3527</v>
      </c>
      <c r="E1001" s="2" t="s">
        <v>3528</v>
      </c>
      <c r="F1001" s="2" t="s">
        <v>1879</v>
      </c>
      <c r="G1001" s="2" t="s">
        <v>1880</v>
      </c>
      <c r="H1001" s="2" t="s">
        <v>1881</v>
      </c>
      <c r="I1001" s="2" t="s">
        <v>3558</v>
      </c>
      <c r="J1001" s="2" t="s">
        <v>3550</v>
      </c>
      <c r="K1001" s="2" t="s">
        <v>158</v>
      </c>
      <c r="L1001" s="3">
        <v>16.8</v>
      </c>
      <c r="M1001" s="3">
        <v>17.63</v>
      </c>
      <c r="N1001" s="3">
        <v>34.99</v>
      </c>
      <c r="O1001" s="2" t="s">
        <v>97</v>
      </c>
      <c r="P1001" s="2" t="s">
        <v>182</v>
      </c>
      <c r="Q1001" s="2" t="s">
        <v>99</v>
      </c>
      <c r="R1001" s="2" t="s">
        <v>100</v>
      </c>
      <c r="S1001" s="2" t="s">
        <v>2482</v>
      </c>
      <c r="T1001" s="2" t="s">
        <v>100</v>
      </c>
      <c r="U1001" s="2" t="s">
        <v>100</v>
      </c>
      <c r="V1001" s="2" t="s">
        <v>601</v>
      </c>
      <c r="W1001" s="2" t="s">
        <v>405</v>
      </c>
      <c r="X1001" s="2" t="s">
        <v>100</v>
      </c>
      <c r="Y1001" s="2" t="s">
        <v>106</v>
      </c>
      <c r="Z1001" s="4">
        <v>430</v>
      </c>
      <c r="AA1001" s="4">
        <f>=ROUNDDOWN(12.2857142857143,0)</f>
      </c>
      <c r="AB1001" s="5">
        <v>35</v>
      </c>
      <c r="AC1001" s="2" t="s">
        <v>659</v>
      </c>
      <c r="AD1001" s="4">
        <v>60</v>
      </c>
      <c r="AE1001" s="4">
        <v>850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/>
      <c r="BJ1001" s="4">
        <v>550</v>
      </c>
      <c r="BK1001" s="8">
        <v>9531.48</v>
      </c>
      <c r="BL1001" s="2" t="s">
        <v>3559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147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100</v>
      </c>
    </row>
    <row r="1002">
      <c r="A1002" s="2" t="s">
        <v>3560</v>
      </c>
      <c r="B1002" s="2" t="s">
        <v>87</v>
      </c>
      <c r="C1002" s="2" t="s">
        <v>88</v>
      </c>
      <c r="D1002" s="2" t="s">
        <v>3527</v>
      </c>
      <c r="E1002" s="2" t="s">
        <v>3528</v>
      </c>
      <c r="F1002" s="2" t="s">
        <v>1879</v>
      </c>
      <c r="G1002" s="2" t="s">
        <v>1880</v>
      </c>
      <c r="H1002" s="2" t="s">
        <v>1881</v>
      </c>
      <c r="I1002" s="2" t="s">
        <v>3558</v>
      </c>
      <c r="J1002" s="2" t="s">
        <v>3550</v>
      </c>
      <c r="K1002" s="2" t="s">
        <v>635</v>
      </c>
      <c r="L1002" s="3">
        <v>16.8</v>
      </c>
      <c r="M1002" s="3">
        <v>17.63</v>
      </c>
      <c r="N1002" s="3">
        <v>34.99</v>
      </c>
      <c r="O1002" s="2" t="s">
        <v>97</v>
      </c>
      <c r="P1002" s="2" t="s">
        <v>182</v>
      </c>
      <c r="Q1002" s="2" t="s">
        <v>99</v>
      </c>
      <c r="R1002" s="2" t="s">
        <v>100</v>
      </c>
      <c r="S1002" s="2" t="s">
        <v>2468</v>
      </c>
      <c r="T1002" s="2" t="s">
        <v>100</v>
      </c>
      <c r="U1002" s="2" t="s">
        <v>100</v>
      </c>
      <c r="V1002" s="2" t="s">
        <v>601</v>
      </c>
      <c r="W1002" s="2" t="s">
        <v>405</v>
      </c>
      <c r="X1002" s="2" t="s">
        <v>100</v>
      </c>
      <c r="Y1002" s="2" t="s">
        <v>106</v>
      </c>
      <c r="Z1002" s="4">
        <v>495</v>
      </c>
      <c r="AA1002" s="4">
        <f>=ROUNDDOWN(13.3783783783784,0)</f>
      </c>
      <c r="AB1002" s="5">
        <v>37</v>
      </c>
      <c r="AC1002" s="2" t="s">
        <v>659</v>
      </c>
      <c r="AD1002" s="4">
        <v>360</v>
      </c>
      <c r="AE1002" s="4">
        <v>730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/>
      <c r="BJ1002" s="4">
        <v>726</v>
      </c>
      <c r="BK1002" s="8">
        <v>12699.57</v>
      </c>
      <c r="BL1002" s="2" t="s">
        <v>3561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109</v>
      </c>
      <c r="BV1002" s="2" t="s">
        <v>97</v>
      </c>
      <c r="BW1002" s="2" t="s">
        <v>606</v>
      </c>
      <c r="BX1002" s="2" t="s">
        <v>100</v>
      </c>
      <c r="BY1002" s="2" t="s">
        <v>112</v>
      </c>
      <c r="BZ1002" s="2" t="s">
        <v>100</v>
      </c>
    </row>
    <row r="1003">
      <c r="A1003" s="2" t="s">
        <v>3562</v>
      </c>
      <c r="B1003" s="2" t="s">
        <v>87</v>
      </c>
      <c r="C1003" s="2" t="s">
        <v>88</v>
      </c>
      <c r="D1003" s="2" t="s">
        <v>3527</v>
      </c>
      <c r="E1003" s="2" t="s">
        <v>3528</v>
      </c>
      <c r="F1003" s="2" t="s">
        <v>1879</v>
      </c>
      <c r="G1003" s="2" t="s">
        <v>1880</v>
      </c>
      <c r="H1003" s="2" t="s">
        <v>1881</v>
      </c>
      <c r="I1003" s="2" t="s">
        <v>3558</v>
      </c>
      <c r="J1003" s="2" t="s">
        <v>3550</v>
      </c>
      <c r="K1003" s="2" t="s">
        <v>1018</v>
      </c>
      <c r="L1003" s="3">
        <v>16.8</v>
      </c>
      <c r="M1003" s="3">
        <v>17.63</v>
      </c>
      <c r="N1003" s="3">
        <v>34.99</v>
      </c>
      <c r="O1003" s="2" t="s">
        <v>97</v>
      </c>
      <c r="P1003" s="2" t="s">
        <v>182</v>
      </c>
      <c r="Q1003" s="2" t="s">
        <v>99</v>
      </c>
      <c r="R1003" s="2" t="s">
        <v>100</v>
      </c>
      <c r="S1003" s="2" t="s">
        <v>2458</v>
      </c>
      <c r="T1003" s="2" t="s">
        <v>100</v>
      </c>
      <c r="U1003" s="2" t="s">
        <v>100</v>
      </c>
      <c r="V1003" s="2" t="s">
        <v>601</v>
      </c>
      <c r="W1003" s="2" t="s">
        <v>405</v>
      </c>
      <c r="X1003" s="2" t="s">
        <v>100</v>
      </c>
      <c r="Y1003" s="2" t="s">
        <v>106</v>
      </c>
      <c r="Z1003" s="4">
        <v>700</v>
      </c>
      <c r="AA1003" s="4">
        <f>=ROUNDDOWN(21.875,0)</f>
      </c>
      <c r="AB1003" s="5">
        <v>32</v>
      </c>
      <c r="AC1003" s="2" t="s">
        <v>659</v>
      </c>
      <c r="AD1003" s="4">
        <v>120</v>
      </c>
      <c r="AE1003" s="4">
        <v>280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/>
      <c r="BJ1003" s="4">
        <v>609</v>
      </c>
      <c r="BK1003" s="8">
        <v>10481.89</v>
      </c>
      <c r="BL1003" s="2" t="s">
        <v>3563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109</v>
      </c>
      <c r="BV1003" s="2" t="s">
        <v>97</v>
      </c>
      <c r="BW1003" s="2" t="s">
        <v>606</v>
      </c>
      <c r="BX1003" s="2" t="s">
        <v>100</v>
      </c>
      <c r="BY1003" s="2" t="s">
        <v>112</v>
      </c>
      <c r="BZ1003" s="2" t="s">
        <v>100</v>
      </c>
    </row>
    <row r="1004">
      <c r="A1004" s="2" t="s">
        <v>3564</v>
      </c>
      <c r="B1004" s="2" t="s">
        <v>87</v>
      </c>
      <c r="C1004" s="2" t="s">
        <v>88</v>
      </c>
      <c r="D1004" s="2" t="s">
        <v>3527</v>
      </c>
      <c r="E1004" s="2" t="s">
        <v>3528</v>
      </c>
      <c r="F1004" s="2" t="s">
        <v>1879</v>
      </c>
      <c r="G1004" s="2" t="s">
        <v>1880</v>
      </c>
      <c r="H1004" s="2" t="s">
        <v>1881</v>
      </c>
      <c r="I1004" s="2" t="s">
        <v>3558</v>
      </c>
      <c r="J1004" s="2" t="s">
        <v>3550</v>
      </c>
      <c r="K1004" s="2" t="s">
        <v>713</v>
      </c>
      <c r="L1004" s="3">
        <v>16.8</v>
      </c>
      <c r="M1004" s="3">
        <v>17.63</v>
      </c>
      <c r="N1004" s="3">
        <v>34.99</v>
      </c>
      <c r="O1004" s="2" t="s">
        <v>97</v>
      </c>
      <c r="P1004" s="2" t="s">
        <v>182</v>
      </c>
      <c r="Q1004" s="2" t="s">
        <v>99</v>
      </c>
      <c r="R1004" s="2" t="s">
        <v>100</v>
      </c>
      <c r="S1004" s="2" t="s">
        <v>2448</v>
      </c>
      <c r="T1004" s="2" t="s">
        <v>100</v>
      </c>
      <c r="U1004" s="2" t="s">
        <v>100</v>
      </c>
      <c r="V1004" s="2" t="s">
        <v>601</v>
      </c>
      <c r="W1004" s="2" t="s">
        <v>405</v>
      </c>
      <c r="X1004" s="2" t="s">
        <v>100</v>
      </c>
      <c r="Y1004" s="2" t="s">
        <v>106</v>
      </c>
      <c r="Z1004" s="4">
        <v>157</v>
      </c>
      <c r="AA1004" s="4">
        <f>=ROUNDDOWN(6.54166666666667,0)</f>
      </c>
      <c r="AB1004" s="5">
        <v>24</v>
      </c>
      <c r="AC1004" s="2" t="s">
        <v>659</v>
      </c>
      <c r="AD1004" s="4">
        <v>60</v>
      </c>
      <c r="AE1004" s="4">
        <v>430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/>
      <c r="BJ1004" s="4">
        <v>461</v>
      </c>
      <c r="BK1004" s="8">
        <v>7760.25</v>
      </c>
      <c r="BL1004" s="2" t="s">
        <v>3565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147</v>
      </c>
      <c r="BV1004" s="2" t="s">
        <v>97</v>
      </c>
      <c r="BW1004" s="2" t="s">
        <v>100</v>
      </c>
      <c r="BX1004" s="2" t="s">
        <v>100</v>
      </c>
      <c r="BY1004" s="2" t="s">
        <v>112</v>
      </c>
      <c r="BZ1004" s="2" t="s">
        <v>100</v>
      </c>
    </row>
    <row r="1005">
      <c r="A1005" s="2" t="s">
        <v>3566</v>
      </c>
      <c r="B1005" s="2" t="s">
        <v>87</v>
      </c>
      <c r="C1005" s="2" t="s">
        <v>88</v>
      </c>
      <c r="D1005" s="2" t="s">
        <v>3527</v>
      </c>
      <c r="E1005" s="2" t="s">
        <v>3528</v>
      </c>
      <c r="F1005" s="2" t="s">
        <v>1879</v>
      </c>
      <c r="G1005" s="2" t="s">
        <v>1880</v>
      </c>
      <c r="H1005" s="2" t="s">
        <v>1881</v>
      </c>
      <c r="I1005" s="2" t="s">
        <v>3558</v>
      </c>
      <c r="J1005" s="2" t="s">
        <v>3550</v>
      </c>
      <c r="K1005" s="2" t="s">
        <v>666</v>
      </c>
      <c r="L1005" s="3">
        <v>16.8</v>
      </c>
      <c r="M1005" s="3">
        <v>17.63</v>
      </c>
      <c r="N1005" s="3">
        <v>34.99</v>
      </c>
      <c r="O1005" s="2" t="s">
        <v>97</v>
      </c>
      <c r="P1005" s="2" t="s">
        <v>182</v>
      </c>
      <c r="Q1005" s="2" t="s">
        <v>99</v>
      </c>
      <c r="R1005" s="2" t="s">
        <v>100</v>
      </c>
      <c r="S1005" s="2" t="s">
        <v>2516</v>
      </c>
      <c r="T1005" s="2" t="s">
        <v>100</v>
      </c>
      <c r="U1005" s="2" t="s">
        <v>100</v>
      </c>
      <c r="V1005" s="2" t="s">
        <v>601</v>
      </c>
      <c r="W1005" s="2" t="s">
        <v>405</v>
      </c>
      <c r="X1005" s="2" t="s">
        <v>100</v>
      </c>
      <c r="Y1005" s="2" t="s">
        <v>106</v>
      </c>
      <c r="Z1005" s="4">
        <v>366</v>
      </c>
      <c r="AA1005" s="4">
        <f>=ROUNDDOWN(15.9130434782609,0)</f>
      </c>
      <c r="AB1005" s="5">
        <v>23</v>
      </c>
      <c r="AC1005" s="2" t="s">
        <v>589</v>
      </c>
      <c r="AD1005" s="4">
        <v>60</v>
      </c>
      <c r="AE1005" s="4">
        <v>450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/>
      <c r="BJ1005" s="4">
        <v>384</v>
      </c>
      <c r="BK1005" s="8">
        <v>6705.66</v>
      </c>
      <c r="BL1005" s="2" t="s">
        <v>3567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147</v>
      </c>
      <c r="BV1005" s="2" t="s">
        <v>97</v>
      </c>
      <c r="BW1005" s="2" t="s">
        <v>100</v>
      </c>
      <c r="BX1005" s="2" t="s">
        <v>100</v>
      </c>
      <c r="BY1005" s="2" t="s">
        <v>112</v>
      </c>
      <c r="BZ1005" s="2" t="s">
        <v>100</v>
      </c>
    </row>
    <row r="1006">
      <c r="A1006" s="2" t="s">
        <v>3568</v>
      </c>
      <c r="B1006" s="2" t="s">
        <v>87</v>
      </c>
      <c r="C1006" s="2" t="s">
        <v>88</v>
      </c>
      <c r="D1006" s="2" t="s">
        <v>3569</v>
      </c>
      <c r="E1006" s="2" t="s">
        <v>3570</v>
      </c>
      <c r="F1006" s="2" t="s">
        <v>3571</v>
      </c>
      <c r="G1006" s="2" t="s">
        <v>3571</v>
      </c>
      <c r="H1006" s="2" t="s">
        <v>3571</v>
      </c>
      <c r="I1006" s="2" t="s">
        <v>3572</v>
      </c>
      <c r="J1006" s="2" t="s">
        <v>3573</v>
      </c>
      <c r="K1006" s="2" t="s">
        <v>333</v>
      </c>
      <c r="L1006" s="3">
        <v>6.4</v>
      </c>
      <c r="M1006" s="3">
        <v>6.72</v>
      </c>
      <c r="N1006" s="3">
        <v>15.99</v>
      </c>
      <c r="O1006" s="2" t="s">
        <v>97</v>
      </c>
      <c r="P1006" s="2" t="s">
        <v>182</v>
      </c>
      <c r="Q1006" s="2" t="s">
        <v>99</v>
      </c>
      <c r="R1006" s="2" t="s">
        <v>100</v>
      </c>
      <c r="S1006" s="2" t="s">
        <v>3574</v>
      </c>
      <c r="T1006" s="2" t="s">
        <v>100</v>
      </c>
      <c r="U1006" s="2" t="s">
        <v>3531</v>
      </c>
      <c r="V1006" s="2" t="s">
        <v>601</v>
      </c>
      <c r="W1006" s="2" t="s">
        <v>759</v>
      </c>
      <c r="X1006" s="2" t="s">
        <v>3303</v>
      </c>
      <c r="Y1006" s="2" t="s">
        <v>3575</v>
      </c>
      <c r="Z1006" s="4">
        <v>590</v>
      </c>
      <c r="AA1006" s="4">
        <f>=ROUNDDOWN(14.75,0)</f>
      </c>
      <c r="AB1006" s="5">
        <v>40</v>
      </c>
      <c r="AC1006" s="2" t="s">
        <v>107</v>
      </c>
      <c r="AD1006" s="4">
        <v>120</v>
      </c>
      <c r="AE1006" s="4">
        <v>312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/>
      <c r="BJ1006" s="4">
        <v>620</v>
      </c>
      <c r="BK1006" s="8">
        <v>4266.21</v>
      </c>
      <c r="BL1006" s="2" t="s">
        <v>2092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147</v>
      </c>
      <c r="BV1006" s="2" t="s">
        <v>97</v>
      </c>
      <c r="BW1006" s="2" t="s">
        <v>100</v>
      </c>
      <c r="BX1006" s="2" t="s">
        <v>100</v>
      </c>
      <c r="BY1006" s="2" t="s">
        <v>112</v>
      </c>
      <c r="BZ1006" s="2" t="s">
        <v>100</v>
      </c>
    </row>
    <row r="1007">
      <c r="A1007" s="2" t="s">
        <v>3576</v>
      </c>
      <c r="B1007" s="2" t="s">
        <v>87</v>
      </c>
      <c r="C1007" s="2" t="s">
        <v>88</v>
      </c>
      <c r="D1007" s="2" t="s">
        <v>3569</v>
      </c>
      <c r="E1007" s="2" t="s">
        <v>3570</v>
      </c>
      <c r="F1007" s="2" t="s">
        <v>3571</v>
      </c>
      <c r="G1007" s="2" t="s">
        <v>3571</v>
      </c>
      <c r="H1007" s="2" t="s">
        <v>3571</v>
      </c>
      <c r="I1007" s="2" t="s">
        <v>3572</v>
      </c>
      <c r="J1007" s="2" t="s">
        <v>3573</v>
      </c>
      <c r="K1007" s="2" t="s">
        <v>635</v>
      </c>
      <c r="L1007" s="3">
        <v>6.4</v>
      </c>
      <c r="M1007" s="3">
        <v>6.72</v>
      </c>
      <c r="N1007" s="3">
        <v>15.99</v>
      </c>
      <c r="O1007" s="2" t="s">
        <v>97</v>
      </c>
      <c r="P1007" s="2" t="s">
        <v>182</v>
      </c>
      <c r="Q1007" s="2" t="s">
        <v>99</v>
      </c>
      <c r="R1007" s="2" t="s">
        <v>100</v>
      </c>
      <c r="S1007" s="2" t="s">
        <v>3574</v>
      </c>
      <c r="T1007" s="2" t="s">
        <v>100</v>
      </c>
      <c r="U1007" s="2" t="s">
        <v>3531</v>
      </c>
      <c r="V1007" s="2" t="s">
        <v>601</v>
      </c>
      <c r="W1007" s="2" t="s">
        <v>759</v>
      </c>
      <c r="X1007" s="2" t="s">
        <v>3303</v>
      </c>
      <c r="Y1007" s="2" t="s">
        <v>3575</v>
      </c>
      <c r="Z1007" s="4">
        <v>657</v>
      </c>
      <c r="AA1007" s="4">
        <f>=ROUNDDOWN(9.125,0)</f>
      </c>
      <c r="AB1007" s="5">
        <v>72</v>
      </c>
      <c r="AC1007" s="2" t="s">
        <v>107</v>
      </c>
      <c r="AD1007" s="4">
        <v>720</v>
      </c>
      <c r="AE1007" s="4">
        <v>1200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/>
      <c r="BJ1007" s="4">
        <v>1181</v>
      </c>
      <c r="BK1007" s="8">
        <v>8157.9</v>
      </c>
      <c r="BL1007" s="2" t="s">
        <v>3577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147</v>
      </c>
      <c r="BV1007" s="2" t="s">
        <v>97</v>
      </c>
      <c r="BW1007" s="2" t="s">
        <v>100</v>
      </c>
      <c r="BX1007" s="2" t="s">
        <v>100</v>
      </c>
      <c r="BY1007" s="2" t="s">
        <v>112</v>
      </c>
      <c r="BZ1007" s="2" t="s">
        <v>100</v>
      </c>
    </row>
    <row r="1008">
      <c r="A1008" s="2" t="s">
        <v>3578</v>
      </c>
      <c r="B1008" s="2" t="s">
        <v>87</v>
      </c>
      <c r="C1008" s="2" t="s">
        <v>88</v>
      </c>
      <c r="D1008" s="2" t="s">
        <v>3569</v>
      </c>
      <c r="E1008" s="2" t="s">
        <v>3570</v>
      </c>
      <c r="F1008" s="2" t="s">
        <v>3571</v>
      </c>
      <c r="G1008" s="2" t="s">
        <v>3571</v>
      </c>
      <c r="H1008" s="2" t="s">
        <v>3571</v>
      </c>
      <c r="I1008" s="2" t="s">
        <v>3572</v>
      </c>
      <c r="J1008" s="2" t="s">
        <v>3573</v>
      </c>
      <c r="K1008" s="2" t="s">
        <v>1018</v>
      </c>
      <c r="L1008" s="3">
        <v>6.4</v>
      </c>
      <c r="M1008" s="3">
        <v>6.72</v>
      </c>
      <c r="N1008" s="3">
        <v>15.99</v>
      </c>
      <c r="O1008" s="2" t="s">
        <v>97</v>
      </c>
      <c r="P1008" s="2" t="s">
        <v>182</v>
      </c>
      <c r="Q1008" s="2" t="s">
        <v>99</v>
      </c>
      <c r="R1008" s="2" t="s">
        <v>100</v>
      </c>
      <c r="S1008" s="2" t="s">
        <v>3579</v>
      </c>
      <c r="T1008" s="2" t="s">
        <v>100</v>
      </c>
      <c r="U1008" s="2" t="s">
        <v>3531</v>
      </c>
      <c r="V1008" s="2" t="s">
        <v>601</v>
      </c>
      <c r="W1008" s="2" t="s">
        <v>759</v>
      </c>
      <c r="X1008" s="2" t="s">
        <v>3303</v>
      </c>
      <c r="Y1008" s="2" t="s">
        <v>3575</v>
      </c>
      <c r="Z1008" s="4">
        <v>583</v>
      </c>
      <c r="AA1008" s="4">
        <f>=ROUNDDOWN(13.25,0)</f>
      </c>
      <c r="AB1008" s="5">
        <v>44</v>
      </c>
      <c r="AC1008" s="2" t="s">
        <v>589</v>
      </c>
      <c r="AD1008" s="4">
        <v>300</v>
      </c>
      <c r="AE1008" s="4">
        <v>504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100</v>
      </c>
      <c r="BD1008" s="8" t="s">
        <v>100</v>
      </c>
      <c r="BE1008" s="4" t="s">
        <v>100</v>
      </c>
      <c r="BF1008" s="8" t="s">
        <v>100</v>
      </c>
      <c r="BG1008" s="7" t="s">
        <v>100</v>
      </c>
      <c r="BH1008" s="7" t="s">
        <v>100</v>
      </c>
      <c r="BI1008" s="7"/>
      <c r="BJ1008" s="4">
        <v>757</v>
      </c>
      <c r="BK1008" s="8">
        <v>5209.04</v>
      </c>
      <c r="BL1008" s="2" t="s">
        <v>1948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147</v>
      </c>
      <c r="BV1008" s="2" t="s">
        <v>97</v>
      </c>
      <c r="BW1008" s="2" t="s">
        <v>100</v>
      </c>
      <c r="BX1008" s="2" t="s">
        <v>100</v>
      </c>
      <c r="BY1008" s="2" t="s">
        <v>112</v>
      </c>
      <c r="BZ1008" s="2" t="s">
        <v>100</v>
      </c>
    </row>
    <row r="1009">
      <c r="A1009" s="2" t="s">
        <v>3580</v>
      </c>
      <c r="B1009" s="2" t="s">
        <v>87</v>
      </c>
      <c r="C1009" s="2" t="s">
        <v>88</v>
      </c>
      <c r="D1009" s="2" t="s">
        <v>3569</v>
      </c>
      <c r="E1009" s="2" t="s">
        <v>3570</v>
      </c>
      <c r="F1009" s="2" t="s">
        <v>3571</v>
      </c>
      <c r="G1009" s="2" t="s">
        <v>3571</v>
      </c>
      <c r="H1009" s="2" t="s">
        <v>3571</v>
      </c>
      <c r="I1009" s="2" t="s">
        <v>3572</v>
      </c>
      <c r="J1009" s="2" t="s">
        <v>3573</v>
      </c>
      <c r="K1009" s="2" t="s">
        <v>666</v>
      </c>
      <c r="L1009" s="3">
        <v>6.4</v>
      </c>
      <c r="M1009" s="3">
        <v>6.72</v>
      </c>
      <c r="N1009" s="3">
        <v>15.99</v>
      </c>
      <c r="O1009" s="2" t="s">
        <v>97</v>
      </c>
      <c r="P1009" s="2" t="s">
        <v>182</v>
      </c>
      <c r="Q1009" s="2" t="s">
        <v>99</v>
      </c>
      <c r="R1009" s="2" t="s">
        <v>100</v>
      </c>
      <c r="S1009" s="2" t="s">
        <v>3574</v>
      </c>
      <c r="T1009" s="2" t="s">
        <v>100</v>
      </c>
      <c r="U1009" s="2" t="s">
        <v>3531</v>
      </c>
      <c r="V1009" s="2" t="s">
        <v>601</v>
      </c>
      <c r="W1009" s="2" t="s">
        <v>759</v>
      </c>
      <c r="X1009" s="2" t="s">
        <v>3303</v>
      </c>
      <c r="Y1009" s="2" t="s">
        <v>3575</v>
      </c>
      <c r="Z1009" s="4">
        <v>880</v>
      </c>
      <c r="AA1009" s="4">
        <f>=ROUNDDOWN(15.4385964912281,0)</f>
      </c>
      <c r="AB1009" s="5">
        <v>57</v>
      </c>
      <c r="AC1009" s="2" t="s">
        <v>107</v>
      </c>
      <c r="AD1009" s="4">
        <v>120</v>
      </c>
      <c r="AE1009" s="4">
        <v>540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/>
      <c r="BJ1009" s="4">
        <v>1080</v>
      </c>
      <c r="BK1009" s="8">
        <v>7450.52</v>
      </c>
      <c r="BL1009" s="2" t="s">
        <v>1792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147</v>
      </c>
      <c r="BV1009" s="2" t="s">
        <v>97</v>
      </c>
      <c r="BW1009" s="2" t="s">
        <v>100</v>
      </c>
      <c r="BX1009" s="2" t="s">
        <v>100</v>
      </c>
      <c r="BY1009" s="2" t="s">
        <v>112</v>
      </c>
      <c r="BZ1009" s="2" t="s">
        <v>100</v>
      </c>
    </row>
    <row r="1010">
      <c r="A1010" s="2" t="s">
        <v>3581</v>
      </c>
      <c r="B1010" s="2" t="s">
        <v>87</v>
      </c>
      <c r="C1010" s="2" t="s">
        <v>88</v>
      </c>
      <c r="D1010" s="2" t="s">
        <v>3582</v>
      </c>
      <c r="E1010" s="2" t="s">
        <v>2309</v>
      </c>
      <c r="F1010" s="2" t="s">
        <v>1879</v>
      </c>
      <c r="G1010" s="2" t="s">
        <v>1880</v>
      </c>
      <c r="H1010" s="2" t="s">
        <v>1881</v>
      </c>
      <c r="I1010" s="2" t="s">
        <v>2477</v>
      </c>
      <c r="J1010" s="2" t="s">
        <v>850</v>
      </c>
      <c r="K1010" s="2" t="s">
        <v>2478</v>
      </c>
      <c r="L1010" s="3">
        <v>39.69</v>
      </c>
      <c r="M1010" s="3">
        <v>41.67</v>
      </c>
      <c r="N1010" s="3">
        <v>79.99</v>
      </c>
      <c r="O1010" s="2" t="s">
        <v>97</v>
      </c>
      <c r="P1010" s="2" t="s">
        <v>2479</v>
      </c>
      <c r="Q1010" s="2" t="s">
        <v>99</v>
      </c>
      <c r="R1010" s="2" t="s">
        <v>100</v>
      </c>
      <c r="S1010" s="2" t="s">
        <v>2480</v>
      </c>
      <c r="T1010" s="2" t="s">
        <v>100</v>
      </c>
      <c r="U1010" s="2" t="s">
        <v>1610</v>
      </c>
      <c r="V1010" s="2" t="s">
        <v>601</v>
      </c>
      <c r="W1010" s="2" t="s">
        <v>104</v>
      </c>
      <c r="X1010" s="2" t="s">
        <v>759</v>
      </c>
      <c r="Y1010" s="2" t="s">
        <v>100</v>
      </c>
      <c r="Z1010" s="4"/>
      <c r="AA1010" s="4">
        <f>=ROUNDDOWN({0},0)</f>
      </c>
      <c r="AB1010" s="5"/>
      <c r="AC1010" s="2" t="s">
        <v>1221</v>
      </c>
      <c r="AD1010" s="4">
        <v>140</v>
      </c>
      <c r="AE1010" s="4">
        <v>440</v>
      </c>
      <c r="AF1010" s="6">
        <v>65</v>
      </c>
      <c r="AG1010" s="6"/>
      <c r="AH1010" s="7">
        <v>0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/>
      <c r="BJ1010" s="4"/>
      <c r="BK1010" s="8"/>
      <c r="BL1010" s="2" t="s">
        <v>100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1171</v>
      </c>
      <c r="BV1010" s="2" t="s">
        <v>97</v>
      </c>
      <c r="BW1010" s="2" t="s">
        <v>100</v>
      </c>
      <c r="BX1010" s="2" t="s">
        <v>100</v>
      </c>
      <c r="BY1010" s="2" t="s">
        <v>112</v>
      </c>
      <c r="BZ1010" s="2" t="s">
        <v>100</v>
      </c>
    </row>
    <row r="1011">
      <c r="A1011" s="2" t="s">
        <v>3583</v>
      </c>
      <c r="B1011" s="2" t="s">
        <v>87</v>
      </c>
      <c r="C1011" s="2" t="s">
        <v>88</v>
      </c>
      <c r="D1011" s="2" t="s">
        <v>3582</v>
      </c>
      <c r="E1011" s="2" t="s">
        <v>2309</v>
      </c>
      <c r="F1011" s="2" t="s">
        <v>1879</v>
      </c>
      <c r="G1011" s="2" t="s">
        <v>1880</v>
      </c>
      <c r="H1011" s="2" t="s">
        <v>1881</v>
      </c>
      <c r="I1011" s="2" t="s">
        <v>2477</v>
      </c>
      <c r="J1011" s="2" t="s">
        <v>844</v>
      </c>
      <c r="K1011" s="2" t="s">
        <v>3093</v>
      </c>
      <c r="L1011" s="3">
        <v>34.55</v>
      </c>
      <c r="M1011" s="3">
        <v>36.28</v>
      </c>
      <c r="N1011" s="3">
        <v>69.99</v>
      </c>
      <c r="O1011" s="2" t="s">
        <v>97</v>
      </c>
      <c r="P1011" s="2" t="s">
        <v>2479</v>
      </c>
      <c r="Q1011" s="2" t="s">
        <v>99</v>
      </c>
      <c r="R1011" s="2" t="s">
        <v>100</v>
      </c>
      <c r="S1011" s="2" t="s">
        <v>2480</v>
      </c>
      <c r="T1011" s="2" t="s">
        <v>100</v>
      </c>
      <c r="U1011" s="2" t="s">
        <v>1610</v>
      </c>
      <c r="V1011" s="2" t="s">
        <v>601</v>
      </c>
      <c r="W1011" s="2" t="s">
        <v>104</v>
      </c>
      <c r="X1011" s="2" t="s">
        <v>759</v>
      </c>
      <c r="Y1011" s="2" t="s">
        <v>100</v>
      </c>
      <c r="Z1011" s="4"/>
      <c r="AA1011" s="4">
        <f>=ROUNDDOWN({0},0)</f>
      </c>
      <c r="AB1011" s="5"/>
      <c r="AC1011" s="2" t="s">
        <v>1221</v>
      </c>
      <c r="AD1011" s="4">
        <v>120</v>
      </c>
      <c r="AE1011" s="4">
        <v>360</v>
      </c>
      <c r="AF1011" s="6">
        <v>65</v>
      </c>
      <c r="AG1011" s="6"/>
      <c r="AH1011" s="7">
        <v>0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/>
      <c r="BJ1011" s="4"/>
      <c r="BK1011" s="8"/>
      <c r="BL1011" s="2" t="s">
        <v>100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1171</v>
      </c>
      <c r="BV1011" s="2" t="s">
        <v>97</v>
      </c>
      <c r="BW1011" s="2" t="s">
        <v>100</v>
      </c>
      <c r="BX1011" s="2" t="s">
        <v>100</v>
      </c>
      <c r="BY1011" s="2" t="s">
        <v>112</v>
      </c>
      <c r="BZ1011" s="2" t="s">
        <v>100</v>
      </c>
    </row>
    <row r="1012">
      <c r="A1012" s="2" t="s">
        <v>3584</v>
      </c>
      <c r="B1012" s="2" t="s">
        <v>87</v>
      </c>
      <c r="C1012" s="2" t="s">
        <v>88</v>
      </c>
      <c r="D1012" s="2" t="s">
        <v>3582</v>
      </c>
      <c r="E1012" s="2" t="s">
        <v>2309</v>
      </c>
      <c r="F1012" s="2" t="s">
        <v>1879</v>
      </c>
      <c r="G1012" s="2" t="s">
        <v>1880</v>
      </c>
      <c r="H1012" s="2" t="s">
        <v>1881</v>
      </c>
      <c r="I1012" s="2" t="s">
        <v>2477</v>
      </c>
      <c r="J1012" s="2" t="s">
        <v>850</v>
      </c>
      <c r="K1012" s="2" t="s">
        <v>3093</v>
      </c>
      <c r="L1012" s="3">
        <v>39.69</v>
      </c>
      <c r="M1012" s="3">
        <v>41.67</v>
      </c>
      <c r="N1012" s="3">
        <v>79.99</v>
      </c>
      <c r="O1012" s="2" t="s">
        <v>97</v>
      </c>
      <c r="P1012" s="2" t="s">
        <v>2479</v>
      </c>
      <c r="Q1012" s="2" t="s">
        <v>99</v>
      </c>
      <c r="R1012" s="2" t="s">
        <v>100</v>
      </c>
      <c r="S1012" s="2" t="s">
        <v>2480</v>
      </c>
      <c r="T1012" s="2" t="s">
        <v>100</v>
      </c>
      <c r="U1012" s="2" t="s">
        <v>1610</v>
      </c>
      <c r="V1012" s="2" t="s">
        <v>601</v>
      </c>
      <c r="W1012" s="2" t="s">
        <v>104</v>
      </c>
      <c r="X1012" s="2" t="s">
        <v>759</v>
      </c>
      <c r="Y1012" s="2" t="s">
        <v>100</v>
      </c>
      <c r="Z1012" s="4"/>
      <c r="AA1012" s="4">
        <f>=ROUNDDOWN({0},0)</f>
      </c>
      <c r="AB1012" s="5"/>
      <c r="AC1012" s="2" t="s">
        <v>1221</v>
      </c>
      <c r="AD1012" s="4">
        <v>140</v>
      </c>
      <c r="AE1012" s="4">
        <v>440</v>
      </c>
      <c r="AF1012" s="6">
        <v>65</v>
      </c>
      <c r="AG1012" s="6"/>
      <c r="AH1012" s="7">
        <v>0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/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/>
      <c r="BJ1012" s="4"/>
      <c r="BK1012" s="8"/>
      <c r="BL1012" s="2" t="s">
        <v>100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1171</v>
      </c>
      <c r="BV1012" s="2" t="s">
        <v>97</v>
      </c>
      <c r="BW1012" s="2" t="s">
        <v>100</v>
      </c>
      <c r="BX1012" s="2" t="s">
        <v>100</v>
      </c>
      <c r="BY1012" s="2" t="s">
        <v>112</v>
      </c>
      <c r="BZ1012" s="2" t="s">
        <v>100</v>
      </c>
    </row>
    <row r="1013">
      <c r="A1013" s="2" t="s">
        <v>3585</v>
      </c>
      <c r="B1013" s="2" t="s">
        <v>87</v>
      </c>
      <c r="C1013" s="2" t="s">
        <v>3586</v>
      </c>
      <c r="D1013" s="2" t="s">
        <v>89</v>
      </c>
      <c r="E1013" s="2" t="s">
        <v>3587</v>
      </c>
      <c r="F1013" s="2" t="s">
        <v>3588</v>
      </c>
      <c r="G1013" s="2" t="s">
        <v>3589</v>
      </c>
      <c r="H1013" s="2" t="s">
        <v>786</v>
      </c>
      <c r="I1013" s="2" t="s">
        <v>3590</v>
      </c>
      <c r="J1013" s="2" t="s">
        <v>95</v>
      </c>
      <c r="K1013" s="2" t="s">
        <v>1592</v>
      </c>
      <c r="L1013" s="3">
        <v>89.99</v>
      </c>
      <c r="M1013" s="3">
        <v>94.49</v>
      </c>
      <c r="N1013" s="3">
        <v>179.99</v>
      </c>
      <c r="O1013" s="2" t="s">
        <v>97</v>
      </c>
      <c r="P1013" s="2" t="s">
        <v>805</v>
      </c>
      <c r="Q1013" s="2" t="s">
        <v>99</v>
      </c>
      <c r="R1013" s="2" t="s">
        <v>100</v>
      </c>
      <c r="S1013" s="2" t="s">
        <v>3591</v>
      </c>
      <c r="T1013" s="2" t="s">
        <v>100</v>
      </c>
      <c r="U1013" s="2" t="s">
        <v>3592</v>
      </c>
      <c r="V1013" s="2" t="s">
        <v>1364</v>
      </c>
      <c r="W1013" s="2" t="s">
        <v>405</v>
      </c>
      <c r="X1013" s="2" t="s">
        <v>406</v>
      </c>
      <c r="Y1013" s="2" t="s">
        <v>3593</v>
      </c>
      <c r="Z1013" s="4">
        <v>612</v>
      </c>
      <c r="AA1013" s="4">
        <f>=ROUNDDOWN(6.24489795918367,0)</f>
      </c>
      <c r="AB1013" s="5">
        <v>98</v>
      </c>
      <c r="AC1013" s="2" t="s">
        <v>130</v>
      </c>
      <c r="AD1013" s="4">
        <v>120</v>
      </c>
      <c r="AE1013" s="4">
        <v>3606</v>
      </c>
      <c r="AF1013" s="6">
        <v>65</v>
      </c>
      <c r="AG1013" s="6">
        <v>48</v>
      </c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>
        <v>0</v>
      </c>
      <c r="AP1013" s="4">
        <v>10</v>
      </c>
      <c r="AQ1013" s="8">
        <v>944.9</v>
      </c>
      <c r="AR1013" s="4">
        <v>38</v>
      </c>
      <c r="AS1013" s="8">
        <v>3937.12</v>
      </c>
      <c r="AT1013" s="7">
        <v>-0.7368</v>
      </c>
      <c r="AU1013" s="7">
        <v>-0.76</v>
      </c>
      <c r="AV1013" s="4">
        <v>21</v>
      </c>
      <c r="AW1013" s="8">
        <v>2088.24</v>
      </c>
      <c r="AX1013" s="4">
        <v>55</v>
      </c>
      <c r="AY1013" s="8">
        <v>5854.25</v>
      </c>
      <c r="AZ1013" s="7">
        <v>-0.6182</v>
      </c>
      <c r="BA1013" s="7">
        <v>-0.6433</v>
      </c>
      <c r="BB1013" s="7">
        <v>0.4525</v>
      </c>
      <c r="BC1013" s="4">
        <v>53</v>
      </c>
      <c r="BD1013" s="8">
        <v>5291.47</v>
      </c>
      <c r="BE1013" s="4">
        <v>107</v>
      </c>
      <c r="BF1013" s="8">
        <v>11386.27</v>
      </c>
      <c r="BG1013" s="7">
        <v>-0.5047</v>
      </c>
      <c r="BH1013" s="7">
        <v>-0.5353</v>
      </c>
      <c r="BI1013" s="7">
        <v>0.3946</v>
      </c>
      <c r="BJ1013" s="4">
        <v>1940</v>
      </c>
      <c r="BK1013" s="8">
        <v>192869.78</v>
      </c>
      <c r="BL1013" s="2" t="s">
        <v>3594</v>
      </c>
      <c r="BM1013" s="7">
        <v>0.0052</v>
      </c>
      <c r="BN1013" s="7">
        <v>0.0049</v>
      </c>
      <c r="BO1013" s="4">
        <v>10</v>
      </c>
      <c r="BP1013" s="8">
        <v>944.9</v>
      </c>
      <c r="BQ1013" s="4">
        <v>38</v>
      </c>
      <c r="BR1013" s="8">
        <v>3937.12</v>
      </c>
      <c r="BS1013" s="7">
        <v>-0.7368</v>
      </c>
      <c r="BT1013" s="7">
        <v>-0.76</v>
      </c>
      <c r="BU1013" s="2" t="s">
        <v>109</v>
      </c>
      <c r="BV1013" s="2" t="s">
        <v>97</v>
      </c>
      <c r="BW1013" s="2" t="s">
        <v>565</v>
      </c>
      <c r="BX1013" s="2" t="s">
        <v>3595</v>
      </c>
      <c r="BY1013" s="2" t="s">
        <v>112</v>
      </c>
      <c r="BZ1013" s="2" t="s">
        <v>100</v>
      </c>
    </row>
    <row r="1014">
      <c r="A1014" s="2" t="s">
        <v>3596</v>
      </c>
      <c r="B1014" s="2" t="s">
        <v>87</v>
      </c>
      <c r="C1014" s="2" t="s">
        <v>3586</v>
      </c>
      <c r="D1014" s="2" t="s">
        <v>89</v>
      </c>
      <c r="E1014" s="2" t="s">
        <v>3587</v>
      </c>
      <c r="F1014" s="2" t="s">
        <v>3588</v>
      </c>
      <c r="G1014" s="2" t="s">
        <v>3589</v>
      </c>
      <c r="H1014" s="2" t="s">
        <v>786</v>
      </c>
      <c r="I1014" s="2" t="s">
        <v>3590</v>
      </c>
      <c r="J1014" s="2" t="s">
        <v>114</v>
      </c>
      <c r="K1014" s="2" t="s">
        <v>1592</v>
      </c>
      <c r="L1014" s="3">
        <v>98.99</v>
      </c>
      <c r="M1014" s="3">
        <v>103.94</v>
      </c>
      <c r="N1014" s="3">
        <v>199.99</v>
      </c>
      <c r="O1014" s="2" t="s">
        <v>97</v>
      </c>
      <c r="P1014" s="2" t="s">
        <v>805</v>
      </c>
      <c r="Q1014" s="2" t="s">
        <v>99</v>
      </c>
      <c r="R1014" s="2" t="s">
        <v>100</v>
      </c>
      <c r="S1014" s="2" t="s">
        <v>3591</v>
      </c>
      <c r="T1014" s="2" t="s">
        <v>100</v>
      </c>
      <c r="U1014" s="2" t="s">
        <v>3592</v>
      </c>
      <c r="V1014" s="2" t="s">
        <v>1364</v>
      </c>
      <c r="W1014" s="2" t="s">
        <v>405</v>
      </c>
      <c r="X1014" s="2" t="s">
        <v>406</v>
      </c>
      <c r="Y1014" s="2" t="s">
        <v>3593</v>
      </c>
      <c r="Z1014" s="4">
        <v>457</v>
      </c>
      <c r="AA1014" s="4">
        <f>=ROUNDDOWN(6.26027397260274,0)</f>
      </c>
      <c r="AB1014" s="5">
        <v>73</v>
      </c>
      <c r="AC1014" s="2" t="s">
        <v>130</v>
      </c>
      <c r="AD1014" s="4">
        <v>30</v>
      </c>
      <c r="AE1014" s="4">
        <v>2613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>
        <v>0</v>
      </c>
      <c r="AP1014" s="4">
        <v>8</v>
      </c>
      <c r="AQ1014" s="8">
        <v>831.52</v>
      </c>
      <c r="AR1014" s="4">
        <v>9</v>
      </c>
      <c r="AS1014" s="8">
        <v>1004.76</v>
      </c>
      <c r="AT1014" s="7">
        <v>-0.1111</v>
      </c>
      <c r="AU1014" s="7">
        <v>-0.1724</v>
      </c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>
        <v>0.3982</v>
      </c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 t="s">
        <v>100</v>
      </c>
      <c r="BJ1014" s="4">
        <v>1551</v>
      </c>
      <c r="BK1014" s="8">
        <v>172791.56</v>
      </c>
      <c r="BL1014" s="2" t="s">
        <v>3597</v>
      </c>
      <c r="BM1014" s="7">
        <v>0.0052</v>
      </c>
      <c r="BN1014" s="7">
        <v>0.0048</v>
      </c>
      <c r="BO1014" s="4">
        <v>8</v>
      </c>
      <c r="BP1014" s="8">
        <v>831.52</v>
      </c>
      <c r="BQ1014" s="4">
        <v>9</v>
      </c>
      <c r="BR1014" s="8">
        <v>1004.76</v>
      </c>
      <c r="BS1014" s="7">
        <v>-0.1111</v>
      </c>
      <c r="BT1014" s="7">
        <v>-0.1724</v>
      </c>
      <c r="BU1014" s="2" t="s">
        <v>109</v>
      </c>
      <c r="BV1014" s="2" t="s">
        <v>97</v>
      </c>
      <c r="BW1014" s="2" t="s">
        <v>3598</v>
      </c>
      <c r="BX1014" s="2" t="s">
        <v>3599</v>
      </c>
      <c r="BY1014" s="2" t="s">
        <v>112</v>
      </c>
      <c r="BZ1014" s="2" t="s">
        <v>100</v>
      </c>
    </row>
    <row r="1015">
      <c r="A1015" s="2" t="s">
        <v>3600</v>
      </c>
      <c r="B1015" s="2" t="s">
        <v>87</v>
      </c>
      <c r="C1015" s="2" t="s">
        <v>3586</v>
      </c>
      <c r="D1015" s="2" t="s">
        <v>89</v>
      </c>
      <c r="E1015" s="2" t="s">
        <v>3587</v>
      </c>
      <c r="F1015" s="2" t="s">
        <v>3588</v>
      </c>
      <c r="G1015" s="2" t="s">
        <v>3589</v>
      </c>
      <c r="H1015" s="2" t="s">
        <v>786</v>
      </c>
      <c r="I1015" s="2" t="s">
        <v>3590</v>
      </c>
      <c r="J1015" s="2" t="s">
        <v>118</v>
      </c>
      <c r="K1015" s="2" t="s">
        <v>1592</v>
      </c>
      <c r="L1015" s="3">
        <v>98.99</v>
      </c>
      <c r="M1015" s="3">
        <v>103.94</v>
      </c>
      <c r="N1015" s="3">
        <v>199.99</v>
      </c>
      <c r="O1015" s="2" t="s">
        <v>97</v>
      </c>
      <c r="P1015" s="2" t="s">
        <v>805</v>
      </c>
      <c r="Q1015" s="2" t="s">
        <v>99</v>
      </c>
      <c r="R1015" s="2" t="s">
        <v>100</v>
      </c>
      <c r="S1015" s="2" t="s">
        <v>3591</v>
      </c>
      <c r="T1015" s="2" t="s">
        <v>100</v>
      </c>
      <c r="U1015" s="2" t="s">
        <v>3592</v>
      </c>
      <c r="V1015" s="2" t="s">
        <v>1364</v>
      </c>
      <c r="W1015" s="2" t="s">
        <v>405</v>
      </c>
      <c r="X1015" s="2" t="s">
        <v>406</v>
      </c>
      <c r="Y1015" s="2" t="s">
        <v>3593</v>
      </c>
      <c r="Z1015" s="4">
        <v>321</v>
      </c>
      <c r="AA1015" s="4">
        <f>=ROUNDDOWN(8.44736842105263,0)</f>
      </c>
      <c r="AB1015" s="5">
        <v>38</v>
      </c>
      <c r="AC1015" s="2" t="s">
        <v>3601</v>
      </c>
      <c r="AD1015" s="4">
        <v>55</v>
      </c>
      <c r="AE1015" s="4">
        <v>1415</v>
      </c>
      <c r="AF1015" s="6">
        <v>65</v>
      </c>
      <c r="AG1015" s="6">
        <v>48</v>
      </c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>
        <v>0</v>
      </c>
      <c r="AP1015" s="4">
        <v>3</v>
      </c>
      <c r="AQ1015" s="8">
        <v>311.82</v>
      </c>
      <c r="AR1015" s="4">
        <v>8</v>
      </c>
      <c r="AS1015" s="8">
        <v>912.37</v>
      </c>
      <c r="AT1015" s="7">
        <v>-0.625</v>
      </c>
      <c r="AU1015" s="7">
        <v>-0.6582</v>
      </c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>
        <v>0.1493</v>
      </c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 t="s">
        <v>100</v>
      </c>
      <c r="BJ1015" s="4">
        <v>669</v>
      </c>
      <c r="BK1015" s="8">
        <v>74944.73</v>
      </c>
      <c r="BL1015" s="2" t="s">
        <v>3602</v>
      </c>
      <c r="BM1015" s="7">
        <v>0.0045</v>
      </c>
      <c r="BN1015" s="7">
        <v>0.0042</v>
      </c>
      <c r="BO1015" s="4">
        <v>3</v>
      </c>
      <c r="BP1015" s="8">
        <v>311.82</v>
      </c>
      <c r="BQ1015" s="4">
        <v>8</v>
      </c>
      <c r="BR1015" s="8">
        <v>912.37</v>
      </c>
      <c r="BS1015" s="7">
        <v>-0.625</v>
      </c>
      <c r="BT1015" s="7">
        <v>-0.6582</v>
      </c>
      <c r="BU1015" s="2" t="s">
        <v>109</v>
      </c>
      <c r="BV1015" s="2" t="s">
        <v>97</v>
      </c>
      <c r="BW1015" s="2" t="s">
        <v>3598</v>
      </c>
      <c r="BX1015" s="2" t="s">
        <v>3603</v>
      </c>
      <c r="BY1015" s="2" t="s">
        <v>112</v>
      </c>
      <c r="BZ1015" s="2" t="s">
        <v>100</v>
      </c>
    </row>
    <row r="1016">
      <c r="A1016" s="2" t="s">
        <v>3604</v>
      </c>
      <c r="B1016" s="2" t="s">
        <v>87</v>
      </c>
      <c r="C1016" s="2" t="s">
        <v>3586</v>
      </c>
      <c r="D1016" s="2" t="s">
        <v>89</v>
      </c>
      <c r="E1016" s="2" t="s">
        <v>3587</v>
      </c>
      <c r="F1016" s="2" t="s">
        <v>3588</v>
      </c>
      <c r="G1016" s="2" t="s">
        <v>3589</v>
      </c>
      <c r="H1016" s="2" t="s">
        <v>786</v>
      </c>
      <c r="I1016" s="2" t="s">
        <v>3590</v>
      </c>
      <c r="J1016" s="2" t="s">
        <v>95</v>
      </c>
      <c r="K1016" s="2" t="s">
        <v>158</v>
      </c>
      <c r="L1016" s="3">
        <v>89.99</v>
      </c>
      <c r="M1016" s="3">
        <v>94.49</v>
      </c>
      <c r="N1016" s="3">
        <v>179.99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3605</v>
      </c>
      <c r="T1016" s="2" t="s">
        <v>100</v>
      </c>
      <c r="U1016" s="2" t="s">
        <v>3592</v>
      </c>
      <c r="V1016" s="2" t="s">
        <v>1364</v>
      </c>
      <c r="W1016" s="2" t="s">
        <v>405</v>
      </c>
      <c r="X1016" s="2" t="s">
        <v>406</v>
      </c>
      <c r="Y1016" s="2" t="s">
        <v>106</v>
      </c>
      <c r="Z1016" s="4">
        <v>634</v>
      </c>
      <c r="AA1016" s="4">
        <f>=ROUNDDOWN(17.6111111111111,0)</f>
      </c>
      <c r="AB1016" s="5">
        <v>36</v>
      </c>
      <c r="AC1016" s="2" t="s">
        <v>735</v>
      </c>
      <c r="AD1016" s="4">
        <v>60</v>
      </c>
      <c r="AE1016" s="4">
        <v>890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>
        <v>0</v>
      </c>
      <c r="AP1016" s="4">
        <v>7</v>
      </c>
      <c r="AQ1016" s="8">
        <v>661.43</v>
      </c>
      <c r="AR1016" s="4">
        <v>15</v>
      </c>
      <c r="AS1016" s="8">
        <v>1522.35</v>
      </c>
      <c r="AT1016" s="7">
        <v>-0.5333</v>
      </c>
      <c r="AU1016" s="7">
        <v>-0.5655</v>
      </c>
      <c r="AV1016" s="4">
        <v>14</v>
      </c>
      <c r="AW1016" s="8">
        <v>1389.01</v>
      </c>
      <c r="AX1016" s="4">
        <v>29</v>
      </c>
      <c r="AY1016" s="8">
        <v>3116.11</v>
      </c>
      <c r="AZ1016" s="7">
        <v>-0.5172</v>
      </c>
      <c r="BA1016" s="7">
        <v>-0.5542</v>
      </c>
      <c r="BB1016" s="7">
        <v>0.4762</v>
      </c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>
        <v>0.2625</v>
      </c>
      <c r="BJ1016" s="4">
        <v>667</v>
      </c>
      <c r="BK1016" s="8">
        <v>66568.57</v>
      </c>
      <c r="BL1016" s="2" t="s">
        <v>3606</v>
      </c>
      <c r="BM1016" s="7">
        <v>0.0105</v>
      </c>
      <c r="BN1016" s="7">
        <v>0.0099</v>
      </c>
      <c r="BO1016" s="4">
        <v>7</v>
      </c>
      <c r="BP1016" s="8">
        <v>661.43</v>
      </c>
      <c r="BQ1016" s="4">
        <v>15</v>
      </c>
      <c r="BR1016" s="8">
        <v>1522.35</v>
      </c>
      <c r="BS1016" s="7">
        <v>-0.5333</v>
      </c>
      <c r="BT1016" s="7">
        <v>-0.5655</v>
      </c>
      <c r="BU1016" s="2" t="s">
        <v>109</v>
      </c>
      <c r="BV1016" s="2" t="s">
        <v>97</v>
      </c>
      <c r="BW1016" s="2" t="s">
        <v>3598</v>
      </c>
      <c r="BX1016" s="2" t="s">
        <v>3607</v>
      </c>
      <c r="BY1016" s="2" t="s">
        <v>112</v>
      </c>
      <c r="BZ1016" s="2" t="s">
        <v>100</v>
      </c>
    </row>
    <row r="1017">
      <c r="A1017" s="2" t="s">
        <v>3608</v>
      </c>
      <c r="B1017" s="2" t="s">
        <v>87</v>
      </c>
      <c r="C1017" s="2" t="s">
        <v>3586</v>
      </c>
      <c r="D1017" s="2" t="s">
        <v>89</v>
      </c>
      <c r="E1017" s="2" t="s">
        <v>3587</v>
      </c>
      <c r="F1017" s="2" t="s">
        <v>3588</v>
      </c>
      <c r="G1017" s="2" t="s">
        <v>3589</v>
      </c>
      <c r="H1017" s="2" t="s">
        <v>786</v>
      </c>
      <c r="I1017" s="2" t="s">
        <v>3590</v>
      </c>
      <c r="J1017" s="2" t="s">
        <v>114</v>
      </c>
      <c r="K1017" s="2" t="s">
        <v>158</v>
      </c>
      <c r="L1017" s="3">
        <v>98.99</v>
      </c>
      <c r="M1017" s="3">
        <v>103.94</v>
      </c>
      <c r="N1017" s="3">
        <v>199.99</v>
      </c>
      <c r="O1017" s="2" t="s">
        <v>97</v>
      </c>
      <c r="P1017" s="2" t="s">
        <v>98</v>
      </c>
      <c r="Q1017" s="2" t="s">
        <v>99</v>
      </c>
      <c r="R1017" s="2" t="s">
        <v>100</v>
      </c>
      <c r="S1017" s="2" t="s">
        <v>3605</v>
      </c>
      <c r="T1017" s="2" t="s">
        <v>100</v>
      </c>
      <c r="U1017" s="2" t="s">
        <v>3592</v>
      </c>
      <c r="V1017" s="2" t="s">
        <v>1364</v>
      </c>
      <c r="W1017" s="2" t="s">
        <v>405</v>
      </c>
      <c r="X1017" s="2" t="s">
        <v>406</v>
      </c>
      <c r="Y1017" s="2" t="s">
        <v>106</v>
      </c>
      <c r="Z1017" s="4">
        <v>528</v>
      </c>
      <c r="AA1017" s="4">
        <f>=ROUNDDOWN(19.5555555555556,0)</f>
      </c>
      <c r="AB1017" s="5">
        <v>27</v>
      </c>
      <c r="AC1017" s="2" t="s">
        <v>735</v>
      </c>
      <c r="AD1017" s="4">
        <v>60</v>
      </c>
      <c r="AE1017" s="4">
        <v>580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>
        <v>0</v>
      </c>
      <c r="AP1017" s="4">
        <v>6</v>
      </c>
      <c r="AQ1017" s="8">
        <v>623.64</v>
      </c>
      <c r="AR1017" s="4">
        <v>14</v>
      </c>
      <c r="AS1017" s="8">
        <v>1593.76</v>
      </c>
      <c r="AT1017" s="7">
        <v>-0.5714</v>
      </c>
      <c r="AU1017" s="7">
        <v>-0.6087</v>
      </c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>
        <v>0.449</v>
      </c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 t="s">
        <v>100</v>
      </c>
      <c r="BJ1017" s="4">
        <v>505</v>
      </c>
      <c r="BK1017" s="8">
        <v>56013.58</v>
      </c>
      <c r="BL1017" s="2" t="s">
        <v>3609</v>
      </c>
      <c r="BM1017" s="7">
        <v>0.0119</v>
      </c>
      <c r="BN1017" s="7">
        <v>0.0111</v>
      </c>
      <c r="BO1017" s="4">
        <v>6</v>
      </c>
      <c r="BP1017" s="8">
        <v>623.64</v>
      </c>
      <c r="BQ1017" s="4">
        <v>14</v>
      </c>
      <c r="BR1017" s="8">
        <v>1593.76</v>
      </c>
      <c r="BS1017" s="7">
        <v>-0.5714</v>
      </c>
      <c r="BT1017" s="7">
        <v>-0.6087</v>
      </c>
      <c r="BU1017" s="2" t="s">
        <v>109</v>
      </c>
      <c r="BV1017" s="2" t="s">
        <v>97</v>
      </c>
      <c r="BW1017" s="2" t="s">
        <v>3610</v>
      </c>
      <c r="BX1017" s="2" t="s">
        <v>133</v>
      </c>
      <c r="BY1017" s="2" t="s">
        <v>112</v>
      </c>
      <c r="BZ1017" s="2" t="s">
        <v>100</v>
      </c>
    </row>
    <row r="1018">
      <c r="A1018" s="2" t="s">
        <v>3611</v>
      </c>
      <c r="B1018" s="2" t="s">
        <v>87</v>
      </c>
      <c r="C1018" s="2" t="s">
        <v>3586</v>
      </c>
      <c r="D1018" s="2" t="s">
        <v>89</v>
      </c>
      <c r="E1018" s="2" t="s">
        <v>3587</v>
      </c>
      <c r="F1018" s="2" t="s">
        <v>3588</v>
      </c>
      <c r="G1018" s="2" t="s">
        <v>3589</v>
      </c>
      <c r="H1018" s="2" t="s">
        <v>786</v>
      </c>
      <c r="I1018" s="2" t="s">
        <v>3590</v>
      </c>
      <c r="J1018" s="2" t="s">
        <v>118</v>
      </c>
      <c r="K1018" s="2" t="s">
        <v>158</v>
      </c>
      <c r="L1018" s="3">
        <v>98.99</v>
      </c>
      <c r="M1018" s="3">
        <v>103.94</v>
      </c>
      <c r="N1018" s="3">
        <v>199.99</v>
      </c>
      <c r="O1018" s="2" t="s">
        <v>97</v>
      </c>
      <c r="P1018" s="2" t="s">
        <v>98</v>
      </c>
      <c r="Q1018" s="2" t="s">
        <v>99</v>
      </c>
      <c r="R1018" s="2" t="s">
        <v>100</v>
      </c>
      <c r="S1018" s="2" t="s">
        <v>3605</v>
      </c>
      <c r="T1018" s="2" t="s">
        <v>100</v>
      </c>
      <c r="U1018" s="2" t="s">
        <v>3592</v>
      </c>
      <c r="V1018" s="2" t="s">
        <v>1364</v>
      </c>
      <c r="W1018" s="2" t="s">
        <v>405</v>
      </c>
      <c r="X1018" s="2" t="s">
        <v>406</v>
      </c>
      <c r="Y1018" s="2" t="s">
        <v>106</v>
      </c>
      <c r="Z1018" s="4">
        <v>470</v>
      </c>
      <c r="AA1018" s="4">
        <f>=ROUNDDOWN(29.375,0)</f>
      </c>
      <c r="AB1018" s="5">
        <v>16</v>
      </c>
      <c r="AC1018" s="2" t="s">
        <v>480</v>
      </c>
      <c r="AD1018" s="4">
        <v>50</v>
      </c>
      <c r="AE1018" s="4">
        <v>130</v>
      </c>
      <c r="AF1018" s="6">
        <v>65</v>
      </c>
      <c r="AG1018" s="6">
        <v>48</v>
      </c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>
        <v>0</v>
      </c>
      <c r="AP1018" s="4">
        <v>1</v>
      </c>
      <c r="AQ1018" s="8">
        <v>103.94</v>
      </c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>
        <v>0.0748</v>
      </c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 t="s">
        <v>100</v>
      </c>
      <c r="BJ1018" s="4">
        <v>225</v>
      </c>
      <c r="BK1018" s="8">
        <v>24572.1</v>
      </c>
      <c r="BL1018" s="2" t="s">
        <v>3612</v>
      </c>
      <c r="BM1018" s="7">
        <v>0.0044</v>
      </c>
      <c r="BN1018" s="7">
        <v>0.0042</v>
      </c>
      <c r="BO1018" s="4">
        <v>1</v>
      </c>
      <c r="BP1018" s="8">
        <v>103.94</v>
      </c>
      <c r="BQ1018" s="4"/>
      <c r="BR1018" s="8"/>
      <c r="BS1018" s="7"/>
      <c r="BT1018" s="7"/>
      <c r="BU1018" s="2" t="s">
        <v>109</v>
      </c>
      <c r="BV1018" s="2" t="s">
        <v>97</v>
      </c>
      <c r="BW1018" s="2" t="s">
        <v>573</v>
      </c>
      <c r="BX1018" s="2" t="s">
        <v>2689</v>
      </c>
      <c r="BY1018" s="2" t="s">
        <v>112</v>
      </c>
      <c r="BZ1018" s="2" t="s">
        <v>100</v>
      </c>
    </row>
    <row r="1019">
      <c r="A1019" s="2" t="s">
        <v>3613</v>
      </c>
      <c r="B1019" s="2" t="s">
        <v>87</v>
      </c>
      <c r="C1019" s="2" t="s">
        <v>3586</v>
      </c>
      <c r="D1019" s="2" t="s">
        <v>89</v>
      </c>
      <c r="E1019" s="2" t="s">
        <v>3587</v>
      </c>
      <c r="F1019" s="2" t="s">
        <v>3588</v>
      </c>
      <c r="G1019" s="2" t="s">
        <v>3589</v>
      </c>
      <c r="H1019" s="2" t="s">
        <v>786</v>
      </c>
      <c r="I1019" s="2" t="s">
        <v>3590</v>
      </c>
      <c r="J1019" s="2" t="s">
        <v>95</v>
      </c>
      <c r="K1019" s="2" t="s">
        <v>323</v>
      </c>
      <c r="L1019" s="3">
        <v>89.99</v>
      </c>
      <c r="M1019" s="3">
        <v>94.49</v>
      </c>
      <c r="N1019" s="3">
        <v>179.99</v>
      </c>
      <c r="O1019" s="2" t="s">
        <v>97</v>
      </c>
      <c r="P1019" s="2" t="s">
        <v>124</v>
      </c>
      <c r="Q1019" s="2" t="s">
        <v>99</v>
      </c>
      <c r="R1019" s="2" t="s">
        <v>100</v>
      </c>
      <c r="S1019" s="2" t="s">
        <v>3614</v>
      </c>
      <c r="T1019" s="2" t="s">
        <v>100</v>
      </c>
      <c r="U1019" s="2" t="s">
        <v>3592</v>
      </c>
      <c r="V1019" s="2" t="s">
        <v>1364</v>
      </c>
      <c r="W1019" s="2" t="s">
        <v>405</v>
      </c>
      <c r="X1019" s="2" t="s">
        <v>406</v>
      </c>
      <c r="Y1019" s="2" t="s">
        <v>3615</v>
      </c>
      <c r="Z1019" s="4">
        <v>1139</v>
      </c>
      <c r="AA1019" s="4">
        <f>=ROUNDDOWN(24.2340425531915,0)</f>
      </c>
      <c r="AB1019" s="5">
        <v>47</v>
      </c>
      <c r="AC1019" s="2" t="s">
        <v>919</v>
      </c>
      <c r="AD1019" s="4">
        <v>200</v>
      </c>
      <c r="AE1019" s="4">
        <v>930</v>
      </c>
      <c r="AF1019" s="6">
        <v>65</v>
      </c>
      <c r="AG1019" s="6">
        <v>48</v>
      </c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>
        <v>4</v>
      </c>
      <c r="AQ1019" s="8">
        <v>377.96</v>
      </c>
      <c r="AR1019" s="4">
        <v>3</v>
      </c>
      <c r="AS1019" s="8">
        <v>304.49</v>
      </c>
      <c r="AT1019" s="7">
        <v>0.3333</v>
      </c>
      <c r="AU1019" s="7">
        <v>0.2413</v>
      </c>
      <c r="AV1019" s="4">
        <v>11</v>
      </c>
      <c r="AW1019" s="8">
        <v>1105.54</v>
      </c>
      <c r="AX1019" s="4">
        <v>13</v>
      </c>
      <c r="AY1019" s="8">
        <v>1390.13</v>
      </c>
      <c r="AZ1019" s="7">
        <v>-0.1538</v>
      </c>
      <c r="BA1019" s="7">
        <v>-0.2047</v>
      </c>
      <c r="BB1019" s="7">
        <v>0.3419</v>
      </c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>
        <v>0.2089</v>
      </c>
      <c r="BJ1019" s="4">
        <v>914</v>
      </c>
      <c r="BK1019" s="8">
        <v>93658.19</v>
      </c>
      <c r="BL1019" s="2" t="s">
        <v>3616</v>
      </c>
      <c r="BM1019" s="7">
        <v>0.0044</v>
      </c>
      <c r="BN1019" s="7">
        <v>0.004</v>
      </c>
      <c r="BO1019" s="4">
        <v>4</v>
      </c>
      <c r="BP1019" s="8">
        <v>377.96</v>
      </c>
      <c r="BQ1019" s="4">
        <v>3</v>
      </c>
      <c r="BR1019" s="8">
        <v>304.49</v>
      </c>
      <c r="BS1019" s="7">
        <v>0.3333</v>
      </c>
      <c r="BT1019" s="7">
        <v>0.2413</v>
      </c>
      <c r="BU1019" s="2" t="s">
        <v>109</v>
      </c>
      <c r="BV1019" s="2" t="s">
        <v>97</v>
      </c>
      <c r="BW1019" s="2" t="s">
        <v>606</v>
      </c>
      <c r="BX1019" s="2" t="s">
        <v>3617</v>
      </c>
      <c r="BY1019" s="2" t="s">
        <v>112</v>
      </c>
      <c r="BZ1019" s="2" t="s">
        <v>100</v>
      </c>
    </row>
    <row r="1020">
      <c r="A1020" s="2" t="s">
        <v>3618</v>
      </c>
      <c r="B1020" s="2" t="s">
        <v>87</v>
      </c>
      <c r="C1020" s="2" t="s">
        <v>3586</v>
      </c>
      <c r="D1020" s="2" t="s">
        <v>89</v>
      </c>
      <c r="E1020" s="2" t="s">
        <v>3587</v>
      </c>
      <c r="F1020" s="2" t="s">
        <v>3588</v>
      </c>
      <c r="G1020" s="2" t="s">
        <v>3589</v>
      </c>
      <c r="H1020" s="2" t="s">
        <v>786</v>
      </c>
      <c r="I1020" s="2" t="s">
        <v>3590</v>
      </c>
      <c r="J1020" s="2" t="s">
        <v>114</v>
      </c>
      <c r="K1020" s="2" t="s">
        <v>323</v>
      </c>
      <c r="L1020" s="3">
        <v>98.99</v>
      </c>
      <c r="M1020" s="3">
        <v>103.94</v>
      </c>
      <c r="N1020" s="3">
        <v>199.99</v>
      </c>
      <c r="O1020" s="2" t="s">
        <v>97</v>
      </c>
      <c r="P1020" s="2" t="s">
        <v>124</v>
      </c>
      <c r="Q1020" s="2" t="s">
        <v>99</v>
      </c>
      <c r="R1020" s="2" t="s">
        <v>100</v>
      </c>
      <c r="S1020" s="2" t="s">
        <v>3614</v>
      </c>
      <c r="T1020" s="2" t="s">
        <v>100</v>
      </c>
      <c r="U1020" s="2" t="s">
        <v>3592</v>
      </c>
      <c r="V1020" s="2" t="s">
        <v>1364</v>
      </c>
      <c r="W1020" s="2" t="s">
        <v>405</v>
      </c>
      <c r="X1020" s="2" t="s">
        <v>406</v>
      </c>
      <c r="Y1020" s="2" t="s">
        <v>3615</v>
      </c>
      <c r="Z1020" s="4">
        <v>551</v>
      </c>
      <c r="AA1020" s="4">
        <f>=ROUNDDOWN(14.5,0)</f>
      </c>
      <c r="AB1020" s="5">
        <v>38</v>
      </c>
      <c r="AC1020" s="2" t="s">
        <v>130</v>
      </c>
      <c r="AD1020" s="4">
        <v>50</v>
      </c>
      <c r="AE1020" s="4">
        <v>1170</v>
      </c>
      <c r="AF1020" s="6">
        <v>65</v>
      </c>
      <c r="AG1020" s="6">
        <v>48</v>
      </c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>
        <v>0</v>
      </c>
      <c r="AP1020" s="4">
        <v>5</v>
      </c>
      <c r="AQ1020" s="8">
        <v>519.7</v>
      </c>
      <c r="AR1020" s="4">
        <v>5</v>
      </c>
      <c r="AS1020" s="8">
        <v>542.82</v>
      </c>
      <c r="AT1020" s="7"/>
      <c r="AU1020" s="7">
        <v>-0.0426</v>
      </c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>
        <v>0.4701</v>
      </c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 t="s">
        <v>100</v>
      </c>
      <c r="BJ1020" s="4">
        <v>795</v>
      </c>
      <c r="BK1020" s="8">
        <v>91907.19</v>
      </c>
      <c r="BL1020" s="2" t="s">
        <v>3619</v>
      </c>
      <c r="BM1020" s="7">
        <v>0.0063</v>
      </c>
      <c r="BN1020" s="7">
        <v>0.0057</v>
      </c>
      <c r="BO1020" s="4">
        <v>5</v>
      </c>
      <c r="BP1020" s="8">
        <v>519.7</v>
      </c>
      <c r="BQ1020" s="4">
        <v>5</v>
      </c>
      <c r="BR1020" s="8">
        <v>542.82</v>
      </c>
      <c r="BS1020" s="7"/>
      <c r="BT1020" s="7">
        <v>-0.0426</v>
      </c>
      <c r="BU1020" s="2" t="s">
        <v>109</v>
      </c>
      <c r="BV1020" s="2" t="s">
        <v>97</v>
      </c>
      <c r="BW1020" s="2" t="s">
        <v>606</v>
      </c>
      <c r="BX1020" s="2" t="s">
        <v>664</v>
      </c>
      <c r="BY1020" s="2" t="s">
        <v>112</v>
      </c>
      <c r="BZ1020" s="2" t="s">
        <v>100</v>
      </c>
    </row>
    <row r="1021">
      <c r="A1021" s="2" t="s">
        <v>3620</v>
      </c>
      <c r="B1021" s="2" t="s">
        <v>87</v>
      </c>
      <c r="C1021" s="2" t="s">
        <v>3586</v>
      </c>
      <c r="D1021" s="2" t="s">
        <v>89</v>
      </c>
      <c r="E1021" s="2" t="s">
        <v>3587</v>
      </c>
      <c r="F1021" s="2" t="s">
        <v>3588</v>
      </c>
      <c r="G1021" s="2" t="s">
        <v>3589</v>
      </c>
      <c r="H1021" s="2" t="s">
        <v>786</v>
      </c>
      <c r="I1021" s="2" t="s">
        <v>3590</v>
      </c>
      <c r="J1021" s="2" t="s">
        <v>118</v>
      </c>
      <c r="K1021" s="2" t="s">
        <v>323</v>
      </c>
      <c r="L1021" s="3">
        <v>98.99</v>
      </c>
      <c r="M1021" s="3">
        <v>103.94</v>
      </c>
      <c r="N1021" s="3">
        <v>199.99</v>
      </c>
      <c r="O1021" s="2" t="s">
        <v>97</v>
      </c>
      <c r="P1021" s="2" t="s">
        <v>124</v>
      </c>
      <c r="Q1021" s="2" t="s">
        <v>99</v>
      </c>
      <c r="R1021" s="2" t="s">
        <v>100</v>
      </c>
      <c r="S1021" s="2" t="s">
        <v>3614</v>
      </c>
      <c r="T1021" s="2" t="s">
        <v>100</v>
      </c>
      <c r="U1021" s="2" t="s">
        <v>3592</v>
      </c>
      <c r="V1021" s="2" t="s">
        <v>1364</v>
      </c>
      <c r="W1021" s="2" t="s">
        <v>405</v>
      </c>
      <c r="X1021" s="2" t="s">
        <v>406</v>
      </c>
      <c r="Y1021" s="2" t="s">
        <v>3615</v>
      </c>
      <c r="Z1021" s="4">
        <v>533</v>
      </c>
      <c r="AA1021" s="4">
        <f>=ROUNDDOWN(20.5,0)</f>
      </c>
      <c r="AB1021" s="5">
        <v>26</v>
      </c>
      <c r="AC1021" s="2" t="s">
        <v>919</v>
      </c>
      <c r="AD1021" s="4">
        <v>100</v>
      </c>
      <c r="AE1021" s="4">
        <v>600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>
        <v>0</v>
      </c>
      <c r="AP1021" s="4">
        <v>2</v>
      </c>
      <c r="AQ1021" s="8">
        <v>207.88</v>
      </c>
      <c r="AR1021" s="4">
        <v>5</v>
      </c>
      <c r="AS1021" s="8">
        <v>542.82</v>
      </c>
      <c r="AT1021" s="7">
        <v>-0.6</v>
      </c>
      <c r="AU1021" s="7">
        <v>-0.617</v>
      </c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>
        <v>0.188</v>
      </c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 t="s">
        <v>100</v>
      </c>
      <c r="BJ1021" s="4">
        <v>455</v>
      </c>
      <c r="BK1021" s="8">
        <v>52656.61</v>
      </c>
      <c r="BL1021" s="2" t="s">
        <v>3621</v>
      </c>
      <c r="BM1021" s="7">
        <v>0.0044</v>
      </c>
      <c r="BN1021" s="7">
        <v>0.0039</v>
      </c>
      <c r="BO1021" s="4">
        <v>2</v>
      </c>
      <c r="BP1021" s="8">
        <v>207.88</v>
      </c>
      <c r="BQ1021" s="4">
        <v>5</v>
      </c>
      <c r="BR1021" s="8">
        <v>542.82</v>
      </c>
      <c r="BS1021" s="7">
        <v>-0.6</v>
      </c>
      <c r="BT1021" s="7">
        <v>-0.617</v>
      </c>
      <c r="BU1021" s="2" t="s">
        <v>109</v>
      </c>
      <c r="BV1021" s="2" t="s">
        <v>97</v>
      </c>
      <c r="BW1021" s="2" t="s">
        <v>606</v>
      </c>
      <c r="BX1021" s="2" t="s">
        <v>3622</v>
      </c>
      <c r="BY1021" s="2" t="s">
        <v>112</v>
      </c>
      <c r="BZ1021" s="2" t="s">
        <v>100</v>
      </c>
    </row>
    <row r="1022">
      <c r="A1022" s="2" t="s">
        <v>3623</v>
      </c>
      <c r="B1022" s="2" t="s">
        <v>87</v>
      </c>
      <c r="C1022" s="2" t="s">
        <v>3586</v>
      </c>
      <c r="D1022" s="2" t="s">
        <v>89</v>
      </c>
      <c r="E1022" s="2" t="s">
        <v>3587</v>
      </c>
      <c r="F1022" s="2" t="s">
        <v>3588</v>
      </c>
      <c r="G1022" s="2" t="s">
        <v>3589</v>
      </c>
      <c r="H1022" s="2" t="s">
        <v>786</v>
      </c>
      <c r="I1022" s="2" t="s">
        <v>3590</v>
      </c>
      <c r="J1022" s="2" t="s">
        <v>95</v>
      </c>
      <c r="K1022" s="2" t="s">
        <v>96</v>
      </c>
      <c r="L1022" s="3">
        <v>89.99</v>
      </c>
      <c r="M1022" s="3">
        <v>94.49</v>
      </c>
      <c r="N1022" s="3">
        <v>179.99</v>
      </c>
      <c r="O1022" s="2" t="s">
        <v>97</v>
      </c>
      <c r="P1022" s="2" t="s">
        <v>143</v>
      </c>
      <c r="Q1022" s="2" t="s">
        <v>99</v>
      </c>
      <c r="R1022" s="2" t="s">
        <v>100</v>
      </c>
      <c r="S1022" s="2" t="s">
        <v>3624</v>
      </c>
      <c r="T1022" s="2" t="s">
        <v>100</v>
      </c>
      <c r="U1022" s="2" t="s">
        <v>3592</v>
      </c>
      <c r="V1022" s="2" t="s">
        <v>1364</v>
      </c>
      <c r="W1022" s="2" t="s">
        <v>405</v>
      </c>
      <c r="X1022" s="2" t="s">
        <v>406</v>
      </c>
      <c r="Y1022" s="2" t="s">
        <v>3593</v>
      </c>
      <c r="Z1022" s="4">
        <v>611</v>
      </c>
      <c r="AA1022" s="4">
        <f>=ROUNDDOWN(21.8214285714286,0)</f>
      </c>
      <c r="AB1022" s="5">
        <v>28</v>
      </c>
      <c r="AC1022" s="2" t="s">
        <v>919</v>
      </c>
      <c r="AD1022" s="4">
        <v>120</v>
      </c>
      <c r="AE1022" s="4">
        <v>600</v>
      </c>
      <c r="AF1022" s="6">
        <v>65</v>
      </c>
      <c r="AG1022" s="6">
        <v>48</v>
      </c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>
        <v>0</v>
      </c>
      <c r="AP1022" s="4">
        <v>2</v>
      </c>
      <c r="AQ1022" s="8">
        <v>188.98</v>
      </c>
      <c r="AR1022" s="4">
        <v>5</v>
      </c>
      <c r="AS1022" s="8">
        <v>482.96</v>
      </c>
      <c r="AT1022" s="7">
        <v>-0.6</v>
      </c>
      <c r="AU1022" s="7">
        <v>-0.6087</v>
      </c>
      <c r="AV1022" s="4">
        <v>7</v>
      </c>
      <c r="AW1022" s="8">
        <v>708.68</v>
      </c>
      <c r="AX1022" s="4">
        <v>10</v>
      </c>
      <c r="AY1022" s="8">
        <v>1025.78</v>
      </c>
      <c r="AZ1022" s="7">
        <v>-0.3</v>
      </c>
      <c r="BA1022" s="7">
        <v>-0.3091</v>
      </c>
      <c r="BB1022" s="7">
        <v>0.2667</v>
      </c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>
        <v>0.1339</v>
      </c>
      <c r="BJ1022" s="4">
        <v>650</v>
      </c>
      <c r="BK1022" s="8">
        <v>65950.21</v>
      </c>
      <c r="BL1022" s="2" t="s">
        <v>3625</v>
      </c>
      <c r="BM1022" s="7">
        <v>0.0031</v>
      </c>
      <c r="BN1022" s="7">
        <v>0.0029</v>
      </c>
      <c r="BO1022" s="4">
        <v>2</v>
      </c>
      <c r="BP1022" s="8">
        <v>188.98</v>
      </c>
      <c r="BQ1022" s="4">
        <v>5</v>
      </c>
      <c r="BR1022" s="8">
        <v>482.96</v>
      </c>
      <c r="BS1022" s="7">
        <v>-0.6</v>
      </c>
      <c r="BT1022" s="7">
        <v>-0.6087</v>
      </c>
      <c r="BU1022" s="2" t="s">
        <v>109</v>
      </c>
      <c r="BV1022" s="2" t="s">
        <v>97</v>
      </c>
      <c r="BW1022" s="2" t="s">
        <v>606</v>
      </c>
      <c r="BX1022" s="2" t="s">
        <v>3626</v>
      </c>
      <c r="BY1022" s="2" t="s">
        <v>112</v>
      </c>
      <c r="BZ1022" s="2" t="s">
        <v>100</v>
      </c>
    </row>
    <row r="1023">
      <c r="A1023" s="2" t="s">
        <v>3627</v>
      </c>
      <c r="B1023" s="2" t="s">
        <v>87</v>
      </c>
      <c r="C1023" s="2" t="s">
        <v>3586</v>
      </c>
      <c r="D1023" s="2" t="s">
        <v>89</v>
      </c>
      <c r="E1023" s="2" t="s">
        <v>3587</v>
      </c>
      <c r="F1023" s="2" t="s">
        <v>3588</v>
      </c>
      <c r="G1023" s="2" t="s">
        <v>3589</v>
      </c>
      <c r="H1023" s="2" t="s">
        <v>786</v>
      </c>
      <c r="I1023" s="2" t="s">
        <v>3590</v>
      </c>
      <c r="J1023" s="2" t="s">
        <v>114</v>
      </c>
      <c r="K1023" s="2" t="s">
        <v>96</v>
      </c>
      <c r="L1023" s="3">
        <v>98.99</v>
      </c>
      <c r="M1023" s="3">
        <v>103.94</v>
      </c>
      <c r="N1023" s="3">
        <v>199.99</v>
      </c>
      <c r="O1023" s="2" t="s">
        <v>97</v>
      </c>
      <c r="P1023" s="2" t="s">
        <v>143</v>
      </c>
      <c r="Q1023" s="2" t="s">
        <v>99</v>
      </c>
      <c r="R1023" s="2" t="s">
        <v>100</v>
      </c>
      <c r="S1023" s="2" t="s">
        <v>3624</v>
      </c>
      <c r="T1023" s="2" t="s">
        <v>100</v>
      </c>
      <c r="U1023" s="2" t="s">
        <v>3592</v>
      </c>
      <c r="V1023" s="2" t="s">
        <v>1364</v>
      </c>
      <c r="W1023" s="2" t="s">
        <v>405</v>
      </c>
      <c r="X1023" s="2" t="s">
        <v>406</v>
      </c>
      <c r="Y1023" s="2" t="s">
        <v>3593</v>
      </c>
      <c r="Z1023" s="4">
        <v>599</v>
      </c>
      <c r="AA1023" s="4">
        <f>=ROUNDDOWN(28.5238095238095,0)</f>
      </c>
      <c r="AB1023" s="5">
        <v>21</v>
      </c>
      <c r="AC1023" s="2" t="s">
        <v>919</v>
      </c>
      <c r="AD1023" s="4">
        <v>80</v>
      </c>
      <c r="AE1023" s="4">
        <v>320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>
        <v>0</v>
      </c>
      <c r="AP1023" s="4">
        <v>4</v>
      </c>
      <c r="AQ1023" s="8">
        <v>415.76</v>
      </c>
      <c r="AR1023" s="4">
        <v>2</v>
      </c>
      <c r="AS1023" s="8">
        <v>207.88</v>
      </c>
      <c r="AT1023" s="7">
        <v>1</v>
      </c>
      <c r="AU1023" s="7">
        <v>1</v>
      </c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>
        <v>0.5867</v>
      </c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 t="s">
        <v>100</v>
      </c>
      <c r="BJ1023" s="4">
        <v>482</v>
      </c>
      <c r="BK1023" s="8">
        <v>54281.4</v>
      </c>
      <c r="BL1023" s="2" t="s">
        <v>3628</v>
      </c>
      <c r="BM1023" s="7">
        <v>0.0083</v>
      </c>
      <c r="BN1023" s="7">
        <v>0.0077</v>
      </c>
      <c r="BO1023" s="4">
        <v>4</v>
      </c>
      <c r="BP1023" s="8">
        <v>415.76</v>
      </c>
      <c r="BQ1023" s="4">
        <v>2</v>
      </c>
      <c r="BR1023" s="8">
        <v>207.88</v>
      </c>
      <c r="BS1023" s="7">
        <v>1</v>
      </c>
      <c r="BT1023" s="7">
        <v>1</v>
      </c>
      <c r="BU1023" s="2" t="s">
        <v>109</v>
      </c>
      <c r="BV1023" s="2" t="s">
        <v>97</v>
      </c>
      <c r="BW1023" s="2" t="s">
        <v>606</v>
      </c>
      <c r="BX1023" s="2" t="s">
        <v>3629</v>
      </c>
      <c r="BY1023" s="2" t="s">
        <v>112</v>
      </c>
      <c r="BZ1023" s="2" t="s">
        <v>100</v>
      </c>
    </row>
    <row r="1024">
      <c r="A1024" s="2" t="s">
        <v>3630</v>
      </c>
      <c r="B1024" s="2" t="s">
        <v>87</v>
      </c>
      <c r="C1024" s="2" t="s">
        <v>3586</v>
      </c>
      <c r="D1024" s="2" t="s">
        <v>89</v>
      </c>
      <c r="E1024" s="2" t="s">
        <v>3587</v>
      </c>
      <c r="F1024" s="2" t="s">
        <v>3588</v>
      </c>
      <c r="G1024" s="2" t="s">
        <v>3589</v>
      </c>
      <c r="H1024" s="2" t="s">
        <v>786</v>
      </c>
      <c r="I1024" s="2" t="s">
        <v>3590</v>
      </c>
      <c r="J1024" s="2" t="s">
        <v>118</v>
      </c>
      <c r="K1024" s="2" t="s">
        <v>96</v>
      </c>
      <c r="L1024" s="3">
        <v>98.99</v>
      </c>
      <c r="M1024" s="3">
        <v>103.94</v>
      </c>
      <c r="N1024" s="3">
        <v>199.99</v>
      </c>
      <c r="O1024" s="2" t="s">
        <v>97</v>
      </c>
      <c r="P1024" s="2" t="s">
        <v>143</v>
      </c>
      <c r="Q1024" s="2" t="s">
        <v>99</v>
      </c>
      <c r="R1024" s="2" t="s">
        <v>100</v>
      </c>
      <c r="S1024" s="2" t="s">
        <v>3624</v>
      </c>
      <c r="T1024" s="2" t="s">
        <v>100</v>
      </c>
      <c r="U1024" s="2" t="s">
        <v>3592</v>
      </c>
      <c r="V1024" s="2" t="s">
        <v>1364</v>
      </c>
      <c r="W1024" s="2" t="s">
        <v>405</v>
      </c>
      <c r="X1024" s="2" t="s">
        <v>406</v>
      </c>
      <c r="Y1024" s="2" t="s">
        <v>3593</v>
      </c>
      <c r="Z1024" s="4">
        <v>360</v>
      </c>
      <c r="AA1024" s="4">
        <f>=ROUNDDOWN(27.6923076923077,0)</f>
      </c>
      <c r="AB1024" s="5">
        <v>13</v>
      </c>
      <c r="AC1024" s="2" t="s">
        <v>919</v>
      </c>
      <c r="AD1024" s="4">
        <v>60</v>
      </c>
      <c r="AE1024" s="4">
        <v>240</v>
      </c>
      <c r="AF1024" s="6">
        <v>65</v>
      </c>
      <c r="AG1024" s="6">
        <v>48</v>
      </c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>
        <v>0</v>
      </c>
      <c r="AP1024" s="4">
        <v>1</v>
      </c>
      <c r="AQ1024" s="8">
        <v>103.94</v>
      </c>
      <c r="AR1024" s="4">
        <v>3</v>
      </c>
      <c r="AS1024" s="8">
        <v>334.94</v>
      </c>
      <c r="AT1024" s="7">
        <v>-0.6667</v>
      </c>
      <c r="AU1024" s="7">
        <v>-0.6897</v>
      </c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>
        <v>0.1467</v>
      </c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 t="s">
        <v>100</v>
      </c>
      <c r="BJ1024" s="4">
        <v>261</v>
      </c>
      <c r="BK1024" s="8">
        <v>28909.54</v>
      </c>
      <c r="BL1024" s="2" t="s">
        <v>3631</v>
      </c>
      <c r="BM1024" s="7">
        <v>0.0038</v>
      </c>
      <c r="BN1024" s="7">
        <v>0.0036</v>
      </c>
      <c r="BO1024" s="4">
        <v>1</v>
      </c>
      <c r="BP1024" s="8">
        <v>103.94</v>
      </c>
      <c r="BQ1024" s="4">
        <v>3</v>
      </c>
      <c r="BR1024" s="8">
        <v>334.94</v>
      </c>
      <c r="BS1024" s="7">
        <v>-0.6667</v>
      </c>
      <c r="BT1024" s="7">
        <v>-0.6897</v>
      </c>
      <c r="BU1024" s="2" t="s">
        <v>109</v>
      </c>
      <c r="BV1024" s="2" t="s">
        <v>97</v>
      </c>
      <c r="BW1024" s="2" t="s">
        <v>606</v>
      </c>
      <c r="BX1024" s="2" t="s">
        <v>3632</v>
      </c>
      <c r="BY1024" s="2" t="s">
        <v>112</v>
      </c>
      <c r="BZ1024" s="2" t="s">
        <v>100</v>
      </c>
    </row>
    <row r="1025">
      <c r="A1025" s="2" t="s">
        <v>3633</v>
      </c>
      <c r="B1025" s="2" t="s">
        <v>87</v>
      </c>
      <c r="C1025" s="2" t="s">
        <v>3586</v>
      </c>
      <c r="D1025" s="2" t="s">
        <v>89</v>
      </c>
      <c r="E1025" s="2" t="s">
        <v>3587</v>
      </c>
      <c r="F1025" s="2" t="s">
        <v>3588</v>
      </c>
      <c r="G1025" s="2" t="s">
        <v>3589</v>
      </c>
      <c r="H1025" s="2" t="s">
        <v>786</v>
      </c>
      <c r="I1025" s="2" t="s">
        <v>3590</v>
      </c>
      <c r="J1025" s="2" t="s">
        <v>95</v>
      </c>
      <c r="K1025" s="2" t="s">
        <v>142</v>
      </c>
      <c r="L1025" s="3">
        <v>89.99</v>
      </c>
      <c r="M1025" s="3">
        <v>94.49</v>
      </c>
      <c r="N1025" s="3">
        <v>179.99</v>
      </c>
      <c r="O1025" s="2" t="s">
        <v>97</v>
      </c>
      <c r="P1025" s="2" t="s">
        <v>182</v>
      </c>
      <c r="Q1025" s="2" t="s">
        <v>99</v>
      </c>
      <c r="R1025" s="2" t="s">
        <v>100</v>
      </c>
      <c r="S1025" s="2" t="s">
        <v>3634</v>
      </c>
      <c r="T1025" s="2" t="s">
        <v>100</v>
      </c>
      <c r="U1025" s="2" t="s">
        <v>3592</v>
      </c>
      <c r="V1025" s="2" t="s">
        <v>1364</v>
      </c>
      <c r="W1025" s="2" t="s">
        <v>405</v>
      </c>
      <c r="X1025" s="2" t="s">
        <v>406</v>
      </c>
      <c r="Y1025" s="2" t="s">
        <v>507</v>
      </c>
      <c r="Z1025" s="4">
        <v>327</v>
      </c>
      <c r="AA1025" s="4">
        <f>=ROUNDDOWN(25.1538461538462,0)</f>
      </c>
      <c r="AB1025" s="5">
        <v>13</v>
      </c>
      <c r="AC1025" s="2" t="s">
        <v>847</v>
      </c>
      <c r="AD1025" s="4">
        <v>409</v>
      </c>
      <c r="AE1025" s="4">
        <v>409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 t="s">
        <v>100</v>
      </c>
      <c r="BJ1025" s="4">
        <v>213</v>
      </c>
      <c r="BK1025" s="8">
        <v>21394.53</v>
      </c>
      <c r="BL1025" s="2" t="s">
        <v>2997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147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3635</v>
      </c>
      <c r="B1026" s="2" t="s">
        <v>87</v>
      </c>
      <c r="C1026" s="2" t="s">
        <v>3586</v>
      </c>
      <c r="D1026" s="2" t="s">
        <v>89</v>
      </c>
      <c r="E1026" s="2" t="s">
        <v>3587</v>
      </c>
      <c r="F1026" s="2" t="s">
        <v>3588</v>
      </c>
      <c r="G1026" s="2" t="s">
        <v>3589</v>
      </c>
      <c r="H1026" s="2" t="s">
        <v>786</v>
      </c>
      <c r="I1026" s="2" t="s">
        <v>3590</v>
      </c>
      <c r="J1026" s="2" t="s">
        <v>114</v>
      </c>
      <c r="K1026" s="2" t="s">
        <v>142</v>
      </c>
      <c r="L1026" s="3">
        <v>98.99</v>
      </c>
      <c r="M1026" s="3">
        <v>103.94</v>
      </c>
      <c r="N1026" s="3">
        <v>199.99</v>
      </c>
      <c r="O1026" s="2" t="s">
        <v>97</v>
      </c>
      <c r="P1026" s="2" t="s">
        <v>182</v>
      </c>
      <c r="Q1026" s="2" t="s">
        <v>99</v>
      </c>
      <c r="R1026" s="2" t="s">
        <v>100</v>
      </c>
      <c r="S1026" s="2" t="s">
        <v>3634</v>
      </c>
      <c r="T1026" s="2" t="s">
        <v>100</v>
      </c>
      <c r="U1026" s="2" t="s">
        <v>3592</v>
      </c>
      <c r="V1026" s="2" t="s">
        <v>1364</v>
      </c>
      <c r="W1026" s="2" t="s">
        <v>405</v>
      </c>
      <c r="X1026" s="2" t="s">
        <v>406</v>
      </c>
      <c r="Y1026" s="2" t="s">
        <v>507</v>
      </c>
      <c r="Z1026" s="4">
        <v>417</v>
      </c>
      <c r="AA1026" s="4">
        <f>=ROUNDDOWN(41.7,0)</f>
      </c>
      <c r="AB1026" s="5">
        <v>10</v>
      </c>
      <c r="AC1026" s="2" t="s">
        <v>847</v>
      </c>
      <c r="AD1026" s="4">
        <v>141</v>
      </c>
      <c r="AE1026" s="4">
        <v>141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 t="s">
        <v>100</v>
      </c>
      <c r="BJ1026" s="4">
        <v>215</v>
      </c>
      <c r="BK1026" s="8">
        <v>23763.78</v>
      </c>
      <c r="BL1026" s="2" t="s">
        <v>3636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147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3637</v>
      </c>
      <c r="B1027" s="2" t="s">
        <v>87</v>
      </c>
      <c r="C1027" s="2" t="s">
        <v>3586</v>
      </c>
      <c r="D1027" s="2" t="s">
        <v>89</v>
      </c>
      <c r="E1027" s="2" t="s">
        <v>3587</v>
      </c>
      <c r="F1027" s="2" t="s">
        <v>3588</v>
      </c>
      <c r="G1027" s="2" t="s">
        <v>3589</v>
      </c>
      <c r="H1027" s="2" t="s">
        <v>786</v>
      </c>
      <c r="I1027" s="2" t="s">
        <v>3590</v>
      </c>
      <c r="J1027" s="2" t="s">
        <v>118</v>
      </c>
      <c r="K1027" s="2" t="s">
        <v>142</v>
      </c>
      <c r="L1027" s="3">
        <v>98.99</v>
      </c>
      <c r="M1027" s="3">
        <v>103.94</v>
      </c>
      <c r="N1027" s="3">
        <v>199.99</v>
      </c>
      <c r="O1027" s="2" t="s">
        <v>97</v>
      </c>
      <c r="P1027" s="2" t="s">
        <v>182</v>
      </c>
      <c r="Q1027" s="2" t="s">
        <v>99</v>
      </c>
      <c r="R1027" s="2" t="s">
        <v>100</v>
      </c>
      <c r="S1027" s="2" t="s">
        <v>3634</v>
      </c>
      <c r="T1027" s="2" t="s">
        <v>100</v>
      </c>
      <c r="U1027" s="2" t="s">
        <v>3592</v>
      </c>
      <c r="V1027" s="2" t="s">
        <v>1364</v>
      </c>
      <c r="W1027" s="2" t="s">
        <v>405</v>
      </c>
      <c r="X1027" s="2" t="s">
        <v>406</v>
      </c>
      <c r="Y1027" s="2" t="s">
        <v>507</v>
      </c>
      <c r="Z1027" s="4">
        <v>338</v>
      </c>
      <c r="AA1027" s="4">
        <f>=ROUNDDOWN(42.25,0)</f>
      </c>
      <c r="AB1027" s="5">
        <v>8</v>
      </c>
      <c r="AC1027" s="2" t="s">
        <v>847</v>
      </c>
      <c r="AD1027" s="4">
        <v>52</v>
      </c>
      <c r="AE1027" s="4">
        <v>52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100</v>
      </c>
      <c r="AW1027" s="8" t="s">
        <v>100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 t="s">
        <v>100</v>
      </c>
      <c r="BD1027" s="8" t="s">
        <v>100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 t="s">
        <v>100</v>
      </c>
      <c r="BJ1027" s="4">
        <v>103</v>
      </c>
      <c r="BK1027" s="8">
        <v>11550.92</v>
      </c>
      <c r="BL1027" s="2" t="s">
        <v>3638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147</v>
      </c>
      <c r="BV1027" s="2" t="s">
        <v>97</v>
      </c>
      <c r="BW1027" s="2" t="s">
        <v>100</v>
      </c>
      <c r="BX1027" s="2" t="s">
        <v>100</v>
      </c>
      <c r="BY1027" s="2" t="s">
        <v>112</v>
      </c>
      <c r="BZ1027" s="2" t="s">
        <v>100</v>
      </c>
    </row>
    <row r="1028">
      <c r="A1028" s="2" t="s">
        <v>3639</v>
      </c>
      <c r="B1028" s="2" t="s">
        <v>87</v>
      </c>
      <c r="C1028" s="2" t="s">
        <v>3586</v>
      </c>
      <c r="D1028" s="2" t="s">
        <v>89</v>
      </c>
      <c r="E1028" s="2" t="s">
        <v>3587</v>
      </c>
      <c r="F1028" s="2" t="s">
        <v>3588</v>
      </c>
      <c r="G1028" s="2" t="s">
        <v>3589</v>
      </c>
      <c r="H1028" s="2" t="s">
        <v>786</v>
      </c>
      <c r="I1028" s="2" t="s">
        <v>3590</v>
      </c>
      <c r="J1028" s="2" t="s">
        <v>95</v>
      </c>
      <c r="K1028" s="2" t="s">
        <v>197</v>
      </c>
      <c r="L1028" s="3">
        <v>89.99</v>
      </c>
      <c r="M1028" s="3">
        <v>94.49</v>
      </c>
      <c r="N1028" s="3">
        <v>179.99</v>
      </c>
      <c r="O1028" s="2" t="s">
        <v>97</v>
      </c>
      <c r="P1028" s="2" t="s">
        <v>143</v>
      </c>
      <c r="Q1028" s="2" t="s">
        <v>99</v>
      </c>
      <c r="R1028" s="2" t="s">
        <v>100</v>
      </c>
      <c r="S1028" s="2" t="s">
        <v>3640</v>
      </c>
      <c r="T1028" s="2" t="s">
        <v>100</v>
      </c>
      <c r="U1028" s="2" t="s">
        <v>3592</v>
      </c>
      <c r="V1028" s="2" t="s">
        <v>1364</v>
      </c>
      <c r="W1028" s="2" t="s">
        <v>405</v>
      </c>
      <c r="X1028" s="2" t="s">
        <v>406</v>
      </c>
      <c r="Y1028" s="2" t="s">
        <v>507</v>
      </c>
      <c r="Z1028" s="4">
        <v>641</v>
      </c>
      <c r="AA1028" s="4">
        <f>=ROUNDDOWN(18.3142857142857,0)</f>
      </c>
      <c r="AB1028" s="5">
        <v>35</v>
      </c>
      <c r="AC1028" s="2" t="s">
        <v>356</v>
      </c>
      <c r="AD1028" s="4">
        <v>110</v>
      </c>
      <c r="AE1028" s="4">
        <v>1000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/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721</v>
      </c>
      <c r="BK1028" s="8">
        <v>72664.69</v>
      </c>
      <c r="BL1028" s="2" t="s">
        <v>3641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147</v>
      </c>
      <c r="BV1028" s="2" t="s">
        <v>97</v>
      </c>
      <c r="BW1028" s="2" t="s">
        <v>100</v>
      </c>
      <c r="BX1028" s="2" t="s">
        <v>100</v>
      </c>
      <c r="BY1028" s="2" t="s">
        <v>112</v>
      </c>
      <c r="BZ1028" s="2" t="s">
        <v>100</v>
      </c>
    </row>
    <row r="1029">
      <c r="A1029" s="2" t="s">
        <v>3642</v>
      </c>
      <c r="B1029" s="2" t="s">
        <v>87</v>
      </c>
      <c r="C1029" s="2" t="s">
        <v>3586</v>
      </c>
      <c r="D1029" s="2" t="s">
        <v>89</v>
      </c>
      <c r="E1029" s="2" t="s">
        <v>3587</v>
      </c>
      <c r="F1029" s="2" t="s">
        <v>3588</v>
      </c>
      <c r="G1029" s="2" t="s">
        <v>3589</v>
      </c>
      <c r="H1029" s="2" t="s">
        <v>786</v>
      </c>
      <c r="I1029" s="2" t="s">
        <v>3590</v>
      </c>
      <c r="J1029" s="2" t="s">
        <v>114</v>
      </c>
      <c r="K1029" s="2" t="s">
        <v>197</v>
      </c>
      <c r="L1029" s="3">
        <v>98.99</v>
      </c>
      <c r="M1029" s="3">
        <v>103.94</v>
      </c>
      <c r="N1029" s="3">
        <v>199.99</v>
      </c>
      <c r="O1029" s="2" t="s">
        <v>97</v>
      </c>
      <c r="P1029" s="2" t="s">
        <v>143</v>
      </c>
      <c r="Q1029" s="2" t="s">
        <v>99</v>
      </c>
      <c r="R1029" s="2" t="s">
        <v>100</v>
      </c>
      <c r="S1029" s="2" t="s">
        <v>3640</v>
      </c>
      <c r="T1029" s="2" t="s">
        <v>100</v>
      </c>
      <c r="U1029" s="2" t="s">
        <v>3592</v>
      </c>
      <c r="V1029" s="2" t="s">
        <v>1364</v>
      </c>
      <c r="W1029" s="2" t="s">
        <v>405</v>
      </c>
      <c r="X1029" s="2" t="s">
        <v>406</v>
      </c>
      <c r="Y1029" s="2" t="s">
        <v>507</v>
      </c>
      <c r="Z1029" s="4">
        <v>705</v>
      </c>
      <c r="AA1029" s="4">
        <f>=ROUNDDOWN(30.6521739130435,0)</f>
      </c>
      <c r="AB1029" s="5">
        <v>23</v>
      </c>
      <c r="AC1029" s="2" t="s">
        <v>518</v>
      </c>
      <c r="AD1029" s="4">
        <v>50</v>
      </c>
      <c r="AE1029" s="4">
        <v>350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 t="s">
        <v>100</v>
      </c>
      <c r="BJ1029" s="4">
        <v>495</v>
      </c>
      <c r="BK1029" s="8">
        <v>54110.46</v>
      </c>
      <c r="BL1029" s="2" t="s">
        <v>3643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147</v>
      </c>
      <c r="BV1029" s="2" t="s">
        <v>97</v>
      </c>
      <c r="BW1029" s="2" t="s">
        <v>100</v>
      </c>
      <c r="BX1029" s="2" t="s">
        <v>100</v>
      </c>
      <c r="BY1029" s="2" t="s">
        <v>112</v>
      </c>
      <c r="BZ1029" s="2" t="s">
        <v>100</v>
      </c>
    </row>
    <row r="1030">
      <c r="A1030" s="2" t="s">
        <v>3644</v>
      </c>
      <c r="B1030" s="2" t="s">
        <v>87</v>
      </c>
      <c r="C1030" s="2" t="s">
        <v>3586</v>
      </c>
      <c r="D1030" s="2" t="s">
        <v>89</v>
      </c>
      <c r="E1030" s="2" t="s">
        <v>3587</v>
      </c>
      <c r="F1030" s="2" t="s">
        <v>3588</v>
      </c>
      <c r="G1030" s="2" t="s">
        <v>3589</v>
      </c>
      <c r="H1030" s="2" t="s">
        <v>786</v>
      </c>
      <c r="I1030" s="2" t="s">
        <v>3590</v>
      </c>
      <c r="J1030" s="2" t="s">
        <v>118</v>
      </c>
      <c r="K1030" s="2" t="s">
        <v>197</v>
      </c>
      <c r="L1030" s="3">
        <v>98.99</v>
      </c>
      <c r="M1030" s="3">
        <v>103.94</v>
      </c>
      <c r="N1030" s="3">
        <v>199.99</v>
      </c>
      <c r="O1030" s="2" t="s">
        <v>97</v>
      </c>
      <c r="P1030" s="2" t="s">
        <v>143</v>
      </c>
      <c r="Q1030" s="2" t="s">
        <v>99</v>
      </c>
      <c r="R1030" s="2" t="s">
        <v>100</v>
      </c>
      <c r="S1030" s="2" t="s">
        <v>3640</v>
      </c>
      <c r="T1030" s="2" t="s">
        <v>100</v>
      </c>
      <c r="U1030" s="2" t="s">
        <v>3592</v>
      </c>
      <c r="V1030" s="2" t="s">
        <v>1364</v>
      </c>
      <c r="W1030" s="2" t="s">
        <v>405</v>
      </c>
      <c r="X1030" s="2" t="s">
        <v>406</v>
      </c>
      <c r="Y1030" s="2" t="s">
        <v>507</v>
      </c>
      <c r="Z1030" s="4">
        <v>313</v>
      </c>
      <c r="AA1030" s="4">
        <f>=ROUNDDOWN(14.2272727272727,0)</f>
      </c>
      <c r="AB1030" s="5">
        <v>22</v>
      </c>
      <c r="AC1030" s="2" t="s">
        <v>3645</v>
      </c>
      <c r="AD1030" s="4">
        <v>50</v>
      </c>
      <c r="AE1030" s="4">
        <v>650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343</v>
      </c>
      <c r="BK1030" s="8">
        <v>38513.62</v>
      </c>
      <c r="BL1030" s="2" t="s">
        <v>3646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147</v>
      </c>
      <c r="BV1030" s="2" t="s">
        <v>97</v>
      </c>
      <c r="BW1030" s="2" t="s">
        <v>100</v>
      </c>
      <c r="BX1030" s="2" t="s">
        <v>100</v>
      </c>
      <c r="BY1030" s="2" t="s">
        <v>112</v>
      </c>
      <c r="BZ1030" s="2" t="s">
        <v>100</v>
      </c>
    </row>
    <row r="1031">
      <c r="A1031" s="2" t="s">
        <v>3647</v>
      </c>
      <c r="B1031" s="2" t="s">
        <v>87</v>
      </c>
      <c r="C1031" s="2" t="s">
        <v>3586</v>
      </c>
      <c r="D1031" s="2" t="s">
        <v>89</v>
      </c>
      <c r="E1031" s="2" t="s">
        <v>3587</v>
      </c>
      <c r="F1031" s="2" t="s">
        <v>3648</v>
      </c>
      <c r="G1031" s="2" t="s">
        <v>3649</v>
      </c>
      <c r="H1031" s="2" t="s">
        <v>3650</v>
      </c>
      <c r="I1031" s="2" t="s">
        <v>3651</v>
      </c>
      <c r="J1031" s="2" t="s">
        <v>95</v>
      </c>
      <c r="K1031" s="2" t="s">
        <v>197</v>
      </c>
      <c r="L1031" s="3">
        <v>100</v>
      </c>
      <c r="M1031" s="3">
        <v>104.99</v>
      </c>
      <c r="N1031" s="3">
        <v>199.99</v>
      </c>
      <c r="O1031" s="2" t="s">
        <v>97</v>
      </c>
      <c r="P1031" s="2" t="s">
        <v>182</v>
      </c>
      <c r="Q1031" s="2" t="s">
        <v>99</v>
      </c>
      <c r="R1031" s="2" t="s">
        <v>100</v>
      </c>
      <c r="S1031" s="2" t="s">
        <v>3652</v>
      </c>
      <c r="T1031" s="2" t="s">
        <v>100</v>
      </c>
      <c r="U1031" s="2" t="s">
        <v>3592</v>
      </c>
      <c r="V1031" s="2" t="s">
        <v>103</v>
      </c>
      <c r="W1031" s="2" t="s">
        <v>405</v>
      </c>
      <c r="X1031" s="2" t="s">
        <v>406</v>
      </c>
      <c r="Y1031" s="2" t="s">
        <v>3653</v>
      </c>
      <c r="Z1031" s="4">
        <v>366</v>
      </c>
      <c r="AA1031" s="4">
        <f>=ROUNDDOWN(20.3333333333333,0)</f>
      </c>
      <c r="AB1031" s="5">
        <v>18</v>
      </c>
      <c r="AC1031" s="2" t="s">
        <v>1193</v>
      </c>
      <c r="AD1031" s="4">
        <v>100</v>
      </c>
      <c r="AE1031" s="4">
        <v>480</v>
      </c>
      <c r="AF1031" s="6">
        <v>65</v>
      </c>
      <c r="AG1031" s="6">
        <v>48</v>
      </c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>
        <v>0</v>
      </c>
      <c r="AP1031" s="4">
        <v>6</v>
      </c>
      <c r="AQ1031" s="8">
        <v>629.94</v>
      </c>
      <c r="AR1031" s="4">
        <v>25</v>
      </c>
      <c r="AS1031" s="8">
        <v>2624.75</v>
      </c>
      <c r="AT1031" s="7">
        <v>-0.76</v>
      </c>
      <c r="AU1031" s="7">
        <v>-0.76</v>
      </c>
      <c r="AV1031" s="4">
        <v>28</v>
      </c>
      <c r="AW1031" s="8">
        <v>3170.72</v>
      </c>
      <c r="AX1031" s="4">
        <v>68</v>
      </c>
      <c r="AY1031" s="8">
        <v>7590.82</v>
      </c>
      <c r="AZ1031" s="7">
        <v>-0.5882</v>
      </c>
      <c r="BA1031" s="7">
        <v>-0.5823</v>
      </c>
      <c r="BB1031" s="7">
        <v>0.1987</v>
      </c>
      <c r="BC1031" s="4">
        <v>28</v>
      </c>
      <c r="BD1031" s="8">
        <v>3170.72</v>
      </c>
      <c r="BE1031" s="4">
        <v>68</v>
      </c>
      <c r="BF1031" s="8">
        <v>7590.82</v>
      </c>
      <c r="BG1031" s="7">
        <v>-0.5882</v>
      </c>
      <c r="BH1031" s="7">
        <v>-0.5823</v>
      </c>
      <c r="BI1031" s="7">
        <v>1</v>
      </c>
      <c r="BJ1031" s="4">
        <v>361</v>
      </c>
      <c r="BK1031" s="8">
        <v>38040.35</v>
      </c>
      <c r="BL1031" s="2" t="s">
        <v>3654</v>
      </c>
      <c r="BM1031" s="7">
        <v>0.0166</v>
      </c>
      <c r="BN1031" s="7">
        <v>0.0166</v>
      </c>
      <c r="BO1031" s="4">
        <v>6</v>
      </c>
      <c r="BP1031" s="8">
        <v>629.94</v>
      </c>
      <c r="BQ1031" s="4">
        <v>25</v>
      </c>
      <c r="BR1031" s="8">
        <v>2624.75</v>
      </c>
      <c r="BS1031" s="7">
        <v>-0.76</v>
      </c>
      <c r="BT1031" s="7">
        <v>-0.76</v>
      </c>
      <c r="BU1031" s="2" t="s">
        <v>109</v>
      </c>
      <c r="BV1031" s="2" t="s">
        <v>97</v>
      </c>
      <c r="BW1031" s="2" t="s">
        <v>3655</v>
      </c>
      <c r="BX1031" s="2" t="s">
        <v>3656</v>
      </c>
      <c r="BY1031" s="2" t="s">
        <v>112</v>
      </c>
      <c r="BZ1031" s="2" t="s">
        <v>100</v>
      </c>
    </row>
    <row r="1032">
      <c r="A1032" s="2" t="s">
        <v>3657</v>
      </c>
      <c r="B1032" s="2" t="s">
        <v>87</v>
      </c>
      <c r="C1032" s="2" t="s">
        <v>3586</v>
      </c>
      <c r="D1032" s="2" t="s">
        <v>89</v>
      </c>
      <c r="E1032" s="2" t="s">
        <v>3587</v>
      </c>
      <c r="F1032" s="2" t="s">
        <v>3648</v>
      </c>
      <c r="G1032" s="2" t="s">
        <v>3649</v>
      </c>
      <c r="H1032" s="2" t="s">
        <v>3650</v>
      </c>
      <c r="I1032" s="2" t="s">
        <v>3651</v>
      </c>
      <c r="J1032" s="2" t="s">
        <v>114</v>
      </c>
      <c r="K1032" s="2" t="s">
        <v>197</v>
      </c>
      <c r="L1032" s="3">
        <v>110</v>
      </c>
      <c r="M1032" s="3">
        <v>115.49</v>
      </c>
      <c r="N1032" s="3">
        <v>219.99</v>
      </c>
      <c r="O1032" s="2" t="s">
        <v>97</v>
      </c>
      <c r="P1032" s="2" t="s">
        <v>182</v>
      </c>
      <c r="Q1032" s="2" t="s">
        <v>99</v>
      </c>
      <c r="R1032" s="2" t="s">
        <v>100</v>
      </c>
      <c r="S1032" s="2" t="s">
        <v>3652</v>
      </c>
      <c r="T1032" s="2" t="s">
        <v>100</v>
      </c>
      <c r="U1032" s="2" t="s">
        <v>3592</v>
      </c>
      <c r="V1032" s="2" t="s">
        <v>103</v>
      </c>
      <c r="W1032" s="2" t="s">
        <v>405</v>
      </c>
      <c r="X1032" s="2" t="s">
        <v>406</v>
      </c>
      <c r="Y1032" s="2" t="s">
        <v>3653</v>
      </c>
      <c r="Z1032" s="4">
        <v>268</v>
      </c>
      <c r="AA1032" s="4">
        <f>=ROUNDDOWN(14.8888888888889,0)</f>
      </c>
      <c r="AB1032" s="5">
        <v>18</v>
      </c>
      <c r="AC1032" s="2" t="s">
        <v>1193</v>
      </c>
      <c r="AD1032" s="4">
        <v>80</v>
      </c>
      <c r="AE1032" s="4">
        <v>350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>
        <v>0</v>
      </c>
      <c r="AP1032" s="4">
        <v>17</v>
      </c>
      <c r="AQ1032" s="8">
        <v>1963.33</v>
      </c>
      <c r="AR1032" s="4">
        <v>28</v>
      </c>
      <c r="AS1032" s="8">
        <v>3233.72</v>
      </c>
      <c r="AT1032" s="7">
        <v>-0.3929</v>
      </c>
      <c r="AU1032" s="7">
        <v>-0.3929</v>
      </c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>
        <v>0.6192</v>
      </c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 t="s">
        <v>100</v>
      </c>
      <c r="BJ1032" s="4">
        <v>318</v>
      </c>
      <c r="BK1032" s="8">
        <v>37644.25</v>
      </c>
      <c r="BL1032" s="2" t="s">
        <v>3658</v>
      </c>
      <c r="BM1032" s="7">
        <v>0.0535</v>
      </c>
      <c r="BN1032" s="7">
        <v>0.0522</v>
      </c>
      <c r="BO1032" s="4">
        <v>17</v>
      </c>
      <c r="BP1032" s="8">
        <v>1963.33</v>
      </c>
      <c r="BQ1032" s="4">
        <v>28</v>
      </c>
      <c r="BR1032" s="8">
        <v>3233.72</v>
      </c>
      <c r="BS1032" s="7">
        <v>-0.3929</v>
      </c>
      <c r="BT1032" s="7">
        <v>-0.3929</v>
      </c>
      <c r="BU1032" s="2" t="s">
        <v>109</v>
      </c>
      <c r="BV1032" s="2" t="s">
        <v>97</v>
      </c>
      <c r="BW1032" s="2" t="s">
        <v>3655</v>
      </c>
      <c r="BX1032" s="2" t="s">
        <v>3659</v>
      </c>
      <c r="BY1032" s="2" t="s">
        <v>112</v>
      </c>
      <c r="BZ1032" s="2" t="s">
        <v>100</v>
      </c>
    </row>
    <row r="1033">
      <c r="A1033" s="2" t="s">
        <v>3660</v>
      </c>
      <c r="B1033" s="2" t="s">
        <v>87</v>
      </c>
      <c r="C1033" s="2" t="s">
        <v>3586</v>
      </c>
      <c r="D1033" s="2" t="s">
        <v>89</v>
      </c>
      <c r="E1033" s="2" t="s">
        <v>3587</v>
      </c>
      <c r="F1033" s="2" t="s">
        <v>3648</v>
      </c>
      <c r="G1033" s="2" t="s">
        <v>3649</v>
      </c>
      <c r="H1033" s="2" t="s">
        <v>3650</v>
      </c>
      <c r="I1033" s="2" t="s">
        <v>3651</v>
      </c>
      <c r="J1033" s="2" t="s">
        <v>118</v>
      </c>
      <c r="K1033" s="2" t="s">
        <v>197</v>
      </c>
      <c r="L1033" s="3">
        <v>110</v>
      </c>
      <c r="M1033" s="3">
        <v>115.49</v>
      </c>
      <c r="N1033" s="3">
        <v>219.99</v>
      </c>
      <c r="O1033" s="2" t="s">
        <v>97</v>
      </c>
      <c r="P1033" s="2" t="s">
        <v>182</v>
      </c>
      <c r="Q1033" s="2" t="s">
        <v>99</v>
      </c>
      <c r="R1033" s="2" t="s">
        <v>100</v>
      </c>
      <c r="S1033" s="2" t="s">
        <v>3652</v>
      </c>
      <c r="T1033" s="2" t="s">
        <v>100</v>
      </c>
      <c r="U1033" s="2" t="s">
        <v>3592</v>
      </c>
      <c r="V1033" s="2" t="s">
        <v>103</v>
      </c>
      <c r="W1033" s="2" t="s">
        <v>405</v>
      </c>
      <c r="X1033" s="2" t="s">
        <v>406</v>
      </c>
      <c r="Y1033" s="2" t="s">
        <v>3653</v>
      </c>
      <c r="Z1033" s="4">
        <v>186</v>
      </c>
      <c r="AA1033" s="4">
        <f>=ROUNDDOWN(20.6666666666667,0)</f>
      </c>
      <c r="AB1033" s="5">
        <v>9</v>
      </c>
      <c r="AC1033" s="2" t="s">
        <v>919</v>
      </c>
      <c r="AD1033" s="4">
        <v>60</v>
      </c>
      <c r="AE1033" s="4">
        <v>150</v>
      </c>
      <c r="AF1033" s="6">
        <v>65</v>
      </c>
      <c r="AG1033" s="6">
        <v>48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>
        <v>0</v>
      </c>
      <c r="AP1033" s="4">
        <v>5</v>
      </c>
      <c r="AQ1033" s="8">
        <v>577.45</v>
      </c>
      <c r="AR1033" s="4">
        <v>15</v>
      </c>
      <c r="AS1033" s="8">
        <v>1732.35</v>
      </c>
      <c r="AT1033" s="7">
        <v>-0.6667</v>
      </c>
      <c r="AU1033" s="7">
        <v>-0.6667</v>
      </c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>
        <v>0.1821</v>
      </c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 t="s">
        <v>100</v>
      </c>
      <c r="BJ1033" s="4">
        <v>165</v>
      </c>
      <c r="BK1033" s="8">
        <v>19380.01</v>
      </c>
      <c r="BL1033" s="2" t="s">
        <v>3661</v>
      </c>
      <c r="BM1033" s="7">
        <v>0.0303</v>
      </c>
      <c r="BN1033" s="7">
        <v>0.0298</v>
      </c>
      <c r="BO1033" s="4">
        <v>5</v>
      </c>
      <c r="BP1033" s="8">
        <v>577.45</v>
      </c>
      <c r="BQ1033" s="4">
        <v>15</v>
      </c>
      <c r="BR1033" s="8">
        <v>1732.35</v>
      </c>
      <c r="BS1033" s="7">
        <v>-0.6667</v>
      </c>
      <c r="BT1033" s="7">
        <v>-0.6667</v>
      </c>
      <c r="BU1033" s="2" t="s">
        <v>109</v>
      </c>
      <c r="BV1033" s="2" t="s">
        <v>97</v>
      </c>
      <c r="BW1033" s="2" t="s">
        <v>2935</v>
      </c>
      <c r="BX1033" s="2" t="s">
        <v>3662</v>
      </c>
      <c r="BY1033" s="2" t="s">
        <v>112</v>
      </c>
      <c r="BZ1033" s="2" t="s">
        <v>100</v>
      </c>
    </row>
    <row r="1034">
      <c r="A1034" s="2" t="s">
        <v>3663</v>
      </c>
      <c r="B1034" s="2" t="s">
        <v>87</v>
      </c>
      <c r="C1034" s="2" t="s">
        <v>3586</v>
      </c>
      <c r="D1034" s="2" t="s">
        <v>89</v>
      </c>
      <c r="E1034" s="2" t="s">
        <v>3587</v>
      </c>
      <c r="F1034" s="2" t="s">
        <v>3648</v>
      </c>
      <c r="G1034" s="2" t="s">
        <v>3649</v>
      </c>
      <c r="H1034" s="2" t="s">
        <v>3650</v>
      </c>
      <c r="I1034" s="2" t="s">
        <v>3651</v>
      </c>
      <c r="J1034" s="2" t="s">
        <v>95</v>
      </c>
      <c r="K1034" s="2" t="s">
        <v>96</v>
      </c>
      <c r="L1034" s="3">
        <v>100</v>
      </c>
      <c r="M1034" s="3">
        <v>104.99</v>
      </c>
      <c r="N1034" s="3">
        <v>199.99</v>
      </c>
      <c r="O1034" s="2" t="s">
        <v>97</v>
      </c>
      <c r="P1034" s="2" t="s">
        <v>143</v>
      </c>
      <c r="Q1034" s="2" t="s">
        <v>99</v>
      </c>
      <c r="R1034" s="2" t="s">
        <v>100</v>
      </c>
      <c r="S1034" s="2" t="s">
        <v>3664</v>
      </c>
      <c r="T1034" s="2" t="s">
        <v>100</v>
      </c>
      <c r="U1034" s="2" t="s">
        <v>3592</v>
      </c>
      <c r="V1034" s="2" t="s">
        <v>103</v>
      </c>
      <c r="W1034" s="2" t="s">
        <v>405</v>
      </c>
      <c r="X1034" s="2" t="s">
        <v>406</v>
      </c>
      <c r="Y1034" s="2" t="s">
        <v>3575</v>
      </c>
      <c r="Z1034" s="4">
        <v>606</v>
      </c>
      <c r="AA1034" s="4">
        <f>=ROUNDDOWN(35.6470588235294,0)</f>
      </c>
      <c r="AB1034" s="5">
        <v>17</v>
      </c>
      <c r="AC1034" s="2" t="s">
        <v>100</v>
      </c>
      <c r="AD1034" s="4"/>
      <c r="AE1034" s="4"/>
      <c r="AF1034" s="6">
        <v>65</v>
      </c>
      <c r="AG1034" s="6">
        <v>48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 t="s">
        <v>100</v>
      </c>
      <c r="BJ1034" s="4">
        <v>316</v>
      </c>
      <c r="BK1034" s="8">
        <v>33705.54</v>
      </c>
      <c r="BL1034" s="2" t="s">
        <v>3665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97</v>
      </c>
      <c r="BW1034" s="2" t="s">
        <v>3666</v>
      </c>
      <c r="BX1034" s="2" t="s">
        <v>100</v>
      </c>
      <c r="BY1034" s="2" t="s">
        <v>112</v>
      </c>
      <c r="BZ1034" s="2" t="s">
        <v>100</v>
      </c>
    </row>
    <row r="1035">
      <c r="A1035" s="2" t="s">
        <v>3667</v>
      </c>
      <c r="B1035" s="2" t="s">
        <v>87</v>
      </c>
      <c r="C1035" s="2" t="s">
        <v>3586</v>
      </c>
      <c r="D1035" s="2" t="s">
        <v>89</v>
      </c>
      <c r="E1035" s="2" t="s">
        <v>3587</v>
      </c>
      <c r="F1035" s="2" t="s">
        <v>3648</v>
      </c>
      <c r="G1035" s="2" t="s">
        <v>3649</v>
      </c>
      <c r="H1035" s="2" t="s">
        <v>3650</v>
      </c>
      <c r="I1035" s="2" t="s">
        <v>3651</v>
      </c>
      <c r="J1035" s="2" t="s">
        <v>114</v>
      </c>
      <c r="K1035" s="2" t="s">
        <v>96</v>
      </c>
      <c r="L1035" s="3">
        <v>110</v>
      </c>
      <c r="M1035" s="3">
        <v>115.49</v>
      </c>
      <c r="N1035" s="3">
        <v>219.99</v>
      </c>
      <c r="O1035" s="2" t="s">
        <v>97</v>
      </c>
      <c r="P1035" s="2" t="s">
        <v>143</v>
      </c>
      <c r="Q1035" s="2" t="s">
        <v>99</v>
      </c>
      <c r="R1035" s="2" t="s">
        <v>100</v>
      </c>
      <c r="S1035" s="2" t="s">
        <v>3664</v>
      </c>
      <c r="T1035" s="2" t="s">
        <v>100</v>
      </c>
      <c r="U1035" s="2" t="s">
        <v>3592</v>
      </c>
      <c r="V1035" s="2" t="s">
        <v>103</v>
      </c>
      <c r="W1035" s="2" t="s">
        <v>405</v>
      </c>
      <c r="X1035" s="2" t="s">
        <v>406</v>
      </c>
      <c r="Y1035" s="2" t="s">
        <v>3575</v>
      </c>
      <c r="Z1035" s="4">
        <v>394</v>
      </c>
      <c r="AA1035" s="4">
        <f>=ROUNDDOWN(30.3076923076923,0)</f>
      </c>
      <c r="AB1035" s="5">
        <v>13</v>
      </c>
      <c r="AC1035" s="2" t="s">
        <v>100</v>
      </c>
      <c r="AD1035" s="4"/>
      <c r="AE1035" s="4"/>
      <c r="AF1035" s="6">
        <v>65</v>
      </c>
      <c r="AG1035" s="6">
        <v>48</v>
      </c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 t="s">
        <v>100</v>
      </c>
      <c r="BJ1035" s="4">
        <v>309</v>
      </c>
      <c r="BK1035" s="8">
        <v>37148.15</v>
      </c>
      <c r="BL1035" s="2" t="s">
        <v>3668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109</v>
      </c>
      <c r="BV1035" s="2" t="s">
        <v>97</v>
      </c>
      <c r="BW1035" s="2" t="s">
        <v>3669</v>
      </c>
      <c r="BX1035" s="2" t="s">
        <v>100</v>
      </c>
      <c r="BY1035" s="2" t="s">
        <v>112</v>
      </c>
      <c r="BZ1035" s="2" t="s">
        <v>100</v>
      </c>
    </row>
    <row r="1036">
      <c r="A1036" s="2" t="s">
        <v>3670</v>
      </c>
      <c r="B1036" s="2" t="s">
        <v>87</v>
      </c>
      <c r="C1036" s="2" t="s">
        <v>3586</v>
      </c>
      <c r="D1036" s="2" t="s">
        <v>89</v>
      </c>
      <c r="E1036" s="2" t="s">
        <v>3587</v>
      </c>
      <c r="F1036" s="2" t="s">
        <v>3648</v>
      </c>
      <c r="G1036" s="2" t="s">
        <v>3649</v>
      </c>
      <c r="H1036" s="2" t="s">
        <v>3650</v>
      </c>
      <c r="I1036" s="2" t="s">
        <v>3651</v>
      </c>
      <c r="J1036" s="2" t="s">
        <v>118</v>
      </c>
      <c r="K1036" s="2" t="s">
        <v>96</v>
      </c>
      <c r="L1036" s="3">
        <v>110</v>
      </c>
      <c r="M1036" s="3">
        <v>115.49</v>
      </c>
      <c r="N1036" s="3">
        <v>219.99</v>
      </c>
      <c r="O1036" s="2" t="s">
        <v>97</v>
      </c>
      <c r="P1036" s="2" t="s">
        <v>143</v>
      </c>
      <c r="Q1036" s="2" t="s">
        <v>99</v>
      </c>
      <c r="R1036" s="2" t="s">
        <v>100</v>
      </c>
      <c r="S1036" s="2" t="s">
        <v>3664</v>
      </c>
      <c r="T1036" s="2" t="s">
        <v>100</v>
      </c>
      <c r="U1036" s="2" t="s">
        <v>3592</v>
      </c>
      <c r="V1036" s="2" t="s">
        <v>103</v>
      </c>
      <c r="W1036" s="2" t="s">
        <v>405</v>
      </c>
      <c r="X1036" s="2" t="s">
        <v>406</v>
      </c>
      <c r="Y1036" s="2" t="s">
        <v>3575</v>
      </c>
      <c r="Z1036" s="4">
        <v>471</v>
      </c>
      <c r="AA1036" s="4">
        <f>=ROUNDDOWN(58.875,0)</f>
      </c>
      <c r="AB1036" s="5">
        <v>8</v>
      </c>
      <c r="AC1036" s="2" t="s">
        <v>100</v>
      </c>
      <c r="AD1036" s="4"/>
      <c r="AE1036" s="4"/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 t="s">
        <v>100</v>
      </c>
      <c r="BJ1036" s="4">
        <v>123</v>
      </c>
      <c r="BK1036" s="8">
        <v>14378.53</v>
      </c>
      <c r="BL1036" s="2" t="s">
        <v>3671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109</v>
      </c>
      <c r="BV1036" s="2" t="s">
        <v>97</v>
      </c>
      <c r="BW1036" s="2" t="s">
        <v>3669</v>
      </c>
      <c r="BX1036" s="2" t="s">
        <v>100</v>
      </c>
      <c r="BY1036" s="2" t="s">
        <v>112</v>
      </c>
      <c r="BZ1036" s="2" t="s">
        <v>100</v>
      </c>
    </row>
    <row r="1037">
      <c r="A1037" s="2" t="s">
        <v>3672</v>
      </c>
      <c r="B1037" s="2" t="s">
        <v>87</v>
      </c>
      <c r="C1037" s="2" t="s">
        <v>3586</v>
      </c>
      <c r="D1037" s="2" t="s">
        <v>89</v>
      </c>
      <c r="E1037" s="2" t="s">
        <v>3587</v>
      </c>
      <c r="F1037" s="2" t="s">
        <v>3673</v>
      </c>
      <c r="G1037" s="2" t="s">
        <v>3674</v>
      </c>
      <c r="H1037" s="2" t="s">
        <v>3675</v>
      </c>
      <c r="I1037" s="2" t="s">
        <v>3651</v>
      </c>
      <c r="J1037" s="2" t="s">
        <v>95</v>
      </c>
      <c r="K1037" s="2" t="s">
        <v>676</v>
      </c>
      <c r="L1037" s="3">
        <v>88.19</v>
      </c>
      <c r="M1037" s="3">
        <v>92.6</v>
      </c>
      <c r="N1037" s="3">
        <v>179.99</v>
      </c>
      <c r="O1037" s="2" t="s">
        <v>97</v>
      </c>
      <c r="P1037" s="2" t="s">
        <v>143</v>
      </c>
      <c r="Q1037" s="2" t="s">
        <v>99</v>
      </c>
      <c r="R1037" s="2" t="s">
        <v>100</v>
      </c>
      <c r="S1037" s="2" t="s">
        <v>3676</v>
      </c>
      <c r="T1037" s="2" t="s">
        <v>100</v>
      </c>
      <c r="U1037" s="2" t="s">
        <v>3592</v>
      </c>
      <c r="V1037" s="2" t="s">
        <v>601</v>
      </c>
      <c r="W1037" s="2" t="s">
        <v>104</v>
      </c>
      <c r="X1037" s="2" t="s">
        <v>3677</v>
      </c>
      <c r="Y1037" s="2" t="s">
        <v>3575</v>
      </c>
      <c r="Z1037" s="4">
        <v>1125</v>
      </c>
      <c r="AA1037" s="4">
        <f>=ROUNDDOWN(36.2903225806452,0)</f>
      </c>
      <c r="AB1037" s="5">
        <v>31</v>
      </c>
      <c r="AC1037" s="2" t="s">
        <v>2881</v>
      </c>
      <c r="AD1037" s="4">
        <v>30</v>
      </c>
      <c r="AE1037" s="4">
        <v>150</v>
      </c>
      <c r="AF1037" s="6">
        <v>64</v>
      </c>
      <c r="AG1037" s="6">
        <v>47</v>
      </c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>
        <v>0</v>
      </c>
      <c r="AP1037" s="4">
        <v>3</v>
      </c>
      <c r="AQ1037" s="8">
        <v>277.8</v>
      </c>
      <c r="AR1037" s="4">
        <v>9</v>
      </c>
      <c r="AS1037" s="8">
        <v>905.5</v>
      </c>
      <c r="AT1037" s="7">
        <v>-0.6667</v>
      </c>
      <c r="AU1037" s="7">
        <v>-0.6932</v>
      </c>
      <c r="AV1037" s="4">
        <v>10</v>
      </c>
      <c r="AW1037" s="8">
        <v>1005.38</v>
      </c>
      <c r="AX1037" s="4">
        <v>17</v>
      </c>
      <c r="AY1037" s="8">
        <v>1806.38</v>
      </c>
      <c r="AZ1037" s="7">
        <v>-0.4118</v>
      </c>
      <c r="BA1037" s="7">
        <v>-0.4434</v>
      </c>
      <c r="BB1037" s="7">
        <v>0.2763</v>
      </c>
      <c r="BC1037" s="4">
        <v>16</v>
      </c>
      <c r="BD1037" s="8">
        <v>1606.34</v>
      </c>
      <c r="BE1037" s="4">
        <v>32</v>
      </c>
      <c r="BF1037" s="8">
        <v>3433.42</v>
      </c>
      <c r="BG1037" s="7">
        <v>-0.5</v>
      </c>
      <c r="BH1037" s="7">
        <v>-0.5321</v>
      </c>
      <c r="BI1037" s="7">
        <v>0.6259</v>
      </c>
      <c r="BJ1037" s="4">
        <v>613</v>
      </c>
      <c r="BK1037" s="8">
        <v>60971.77</v>
      </c>
      <c r="BL1037" s="2" t="s">
        <v>3678</v>
      </c>
      <c r="BM1037" s="7">
        <v>0.0049</v>
      </c>
      <c r="BN1037" s="7">
        <v>0.0046</v>
      </c>
      <c r="BO1037" s="4">
        <v>3</v>
      </c>
      <c r="BP1037" s="8">
        <v>277.8</v>
      </c>
      <c r="BQ1037" s="4">
        <v>9</v>
      </c>
      <c r="BR1037" s="8">
        <v>905.5</v>
      </c>
      <c r="BS1037" s="7">
        <v>-0.6667</v>
      </c>
      <c r="BT1037" s="7">
        <v>-0.6932</v>
      </c>
      <c r="BU1037" s="2" t="s">
        <v>109</v>
      </c>
      <c r="BV1037" s="2" t="s">
        <v>97</v>
      </c>
      <c r="BW1037" s="2" t="s">
        <v>606</v>
      </c>
      <c r="BX1037" s="2" t="s">
        <v>664</v>
      </c>
      <c r="BY1037" s="2" t="s">
        <v>112</v>
      </c>
      <c r="BZ1037" s="2" t="s">
        <v>100</v>
      </c>
    </row>
    <row r="1038">
      <c r="A1038" s="2" t="s">
        <v>3679</v>
      </c>
      <c r="B1038" s="2" t="s">
        <v>87</v>
      </c>
      <c r="C1038" s="2" t="s">
        <v>3586</v>
      </c>
      <c r="D1038" s="2" t="s">
        <v>89</v>
      </c>
      <c r="E1038" s="2" t="s">
        <v>3587</v>
      </c>
      <c r="F1038" s="2" t="s">
        <v>3673</v>
      </c>
      <c r="G1038" s="2" t="s">
        <v>3674</v>
      </c>
      <c r="H1038" s="2" t="s">
        <v>3675</v>
      </c>
      <c r="I1038" s="2" t="s">
        <v>3590</v>
      </c>
      <c r="J1038" s="2" t="s">
        <v>114</v>
      </c>
      <c r="K1038" s="2" t="s">
        <v>676</v>
      </c>
      <c r="L1038" s="3">
        <v>98.99</v>
      </c>
      <c r="M1038" s="3">
        <v>103.94</v>
      </c>
      <c r="N1038" s="3">
        <v>199.99</v>
      </c>
      <c r="O1038" s="2" t="s">
        <v>97</v>
      </c>
      <c r="P1038" s="2" t="s">
        <v>143</v>
      </c>
      <c r="Q1038" s="2" t="s">
        <v>99</v>
      </c>
      <c r="R1038" s="2" t="s">
        <v>100</v>
      </c>
      <c r="S1038" s="2" t="s">
        <v>3676</v>
      </c>
      <c r="T1038" s="2" t="s">
        <v>100</v>
      </c>
      <c r="U1038" s="2" t="s">
        <v>3592</v>
      </c>
      <c r="V1038" s="2" t="s">
        <v>601</v>
      </c>
      <c r="W1038" s="2" t="s">
        <v>104</v>
      </c>
      <c r="X1038" s="2" t="s">
        <v>3677</v>
      </c>
      <c r="Y1038" s="2" t="s">
        <v>3575</v>
      </c>
      <c r="Z1038" s="4">
        <v>324</v>
      </c>
      <c r="AA1038" s="4">
        <f>=ROUNDDOWN(12,0)</f>
      </c>
      <c r="AB1038" s="5">
        <v>27</v>
      </c>
      <c r="AC1038" s="2" t="s">
        <v>382</v>
      </c>
      <c r="AD1038" s="4">
        <v>350</v>
      </c>
      <c r="AE1038" s="4">
        <v>750</v>
      </c>
      <c r="AF1038" s="6">
        <v>64</v>
      </c>
      <c r="AG1038" s="6">
        <v>47</v>
      </c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>
        <v>0</v>
      </c>
      <c r="AP1038" s="4">
        <v>6</v>
      </c>
      <c r="AQ1038" s="8">
        <v>623.64</v>
      </c>
      <c r="AR1038" s="4">
        <v>7</v>
      </c>
      <c r="AS1038" s="8">
        <v>796.94</v>
      </c>
      <c r="AT1038" s="7">
        <v>-0.1429</v>
      </c>
      <c r="AU1038" s="7">
        <v>-0.2175</v>
      </c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>
        <v>0.6203</v>
      </c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 t="s">
        <v>100</v>
      </c>
      <c r="BJ1038" s="4">
        <v>588</v>
      </c>
      <c r="BK1038" s="8">
        <v>67154.4</v>
      </c>
      <c r="BL1038" s="2" t="s">
        <v>3680</v>
      </c>
      <c r="BM1038" s="7">
        <v>0.0102</v>
      </c>
      <c r="BN1038" s="7">
        <v>0.0093</v>
      </c>
      <c r="BO1038" s="4">
        <v>6</v>
      </c>
      <c r="BP1038" s="8">
        <v>623.64</v>
      </c>
      <c r="BQ1038" s="4">
        <v>7</v>
      </c>
      <c r="BR1038" s="8">
        <v>796.94</v>
      </c>
      <c r="BS1038" s="7">
        <v>-0.1429</v>
      </c>
      <c r="BT1038" s="7">
        <v>-0.2175</v>
      </c>
      <c r="BU1038" s="2" t="s">
        <v>109</v>
      </c>
      <c r="BV1038" s="2" t="s">
        <v>97</v>
      </c>
      <c r="BW1038" s="2" t="s">
        <v>606</v>
      </c>
      <c r="BX1038" s="2" t="s">
        <v>254</v>
      </c>
      <c r="BY1038" s="2" t="s">
        <v>112</v>
      </c>
      <c r="BZ1038" s="2" t="s">
        <v>100</v>
      </c>
    </row>
    <row r="1039">
      <c r="A1039" s="2" t="s">
        <v>3681</v>
      </c>
      <c r="B1039" s="2" t="s">
        <v>87</v>
      </c>
      <c r="C1039" s="2" t="s">
        <v>3586</v>
      </c>
      <c r="D1039" s="2" t="s">
        <v>89</v>
      </c>
      <c r="E1039" s="2" t="s">
        <v>3587</v>
      </c>
      <c r="F1039" s="2" t="s">
        <v>3673</v>
      </c>
      <c r="G1039" s="2" t="s">
        <v>3674</v>
      </c>
      <c r="H1039" s="2" t="s">
        <v>3675</v>
      </c>
      <c r="I1039" s="2" t="s">
        <v>3590</v>
      </c>
      <c r="J1039" s="2" t="s">
        <v>118</v>
      </c>
      <c r="K1039" s="2" t="s">
        <v>676</v>
      </c>
      <c r="L1039" s="3">
        <v>98.99</v>
      </c>
      <c r="M1039" s="3">
        <v>103.94</v>
      </c>
      <c r="N1039" s="3">
        <v>199.99</v>
      </c>
      <c r="O1039" s="2" t="s">
        <v>97</v>
      </c>
      <c r="P1039" s="2" t="s">
        <v>143</v>
      </c>
      <c r="Q1039" s="2" t="s">
        <v>99</v>
      </c>
      <c r="R1039" s="2" t="s">
        <v>100</v>
      </c>
      <c r="S1039" s="2" t="s">
        <v>3676</v>
      </c>
      <c r="T1039" s="2" t="s">
        <v>100</v>
      </c>
      <c r="U1039" s="2" t="s">
        <v>3592</v>
      </c>
      <c r="V1039" s="2" t="s">
        <v>601</v>
      </c>
      <c r="W1039" s="2" t="s">
        <v>104</v>
      </c>
      <c r="X1039" s="2" t="s">
        <v>3677</v>
      </c>
      <c r="Y1039" s="2" t="s">
        <v>3575</v>
      </c>
      <c r="Z1039" s="4">
        <v>441</v>
      </c>
      <c r="AA1039" s="4">
        <f>=ROUNDDOWN(24.5,0)</f>
      </c>
      <c r="AB1039" s="5">
        <v>18</v>
      </c>
      <c r="AC1039" s="2" t="s">
        <v>335</v>
      </c>
      <c r="AD1039" s="4">
        <v>50</v>
      </c>
      <c r="AE1039" s="4">
        <v>290</v>
      </c>
      <c r="AF1039" s="6">
        <v>64</v>
      </c>
      <c r="AG1039" s="6">
        <v>47</v>
      </c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>
        <v>0</v>
      </c>
      <c r="AP1039" s="4">
        <v>1</v>
      </c>
      <c r="AQ1039" s="8">
        <v>103.94</v>
      </c>
      <c r="AR1039" s="4">
        <v>1</v>
      </c>
      <c r="AS1039" s="8">
        <v>103.94</v>
      </c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>
        <v>0.1034</v>
      </c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 t="s">
        <v>100</v>
      </c>
      <c r="BJ1039" s="4">
        <v>245</v>
      </c>
      <c r="BK1039" s="8">
        <v>27388.2</v>
      </c>
      <c r="BL1039" s="2" t="s">
        <v>3682</v>
      </c>
      <c r="BM1039" s="7">
        <v>0.0041</v>
      </c>
      <c r="BN1039" s="7">
        <v>0.0038</v>
      </c>
      <c r="BO1039" s="4">
        <v>1</v>
      </c>
      <c r="BP1039" s="8">
        <v>103.94</v>
      </c>
      <c r="BQ1039" s="4">
        <v>1</v>
      </c>
      <c r="BR1039" s="8">
        <v>103.94</v>
      </c>
      <c r="BS1039" s="7"/>
      <c r="BT1039" s="7"/>
      <c r="BU1039" s="2" t="s">
        <v>109</v>
      </c>
      <c r="BV1039" s="2" t="s">
        <v>97</v>
      </c>
      <c r="BW1039" s="2" t="s">
        <v>606</v>
      </c>
      <c r="BX1039" s="2" t="s">
        <v>3683</v>
      </c>
      <c r="BY1039" s="2" t="s">
        <v>112</v>
      </c>
      <c r="BZ1039" s="2" t="s">
        <v>100</v>
      </c>
    </row>
    <row r="1040">
      <c r="A1040" s="2" t="s">
        <v>3684</v>
      </c>
      <c r="B1040" s="2" t="s">
        <v>87</v>
      </c>
      <c r="C1040" s="2" t="s">
        <v>3586</v>
      </c>
      <c r="D1040" s="2" t="s">
        <v>89</v>
      </c>
      <c r="E1040" s="2" t="s">
        <v>3587</v>
      </c>
      <c r="F1040" s="2" t="s">
        <v>3673</v>
      </c>
      <c r="G1040" s="2" t="s">
        <v>3674</v>
      </c>
      <c r="H1040" s="2" t="s">
        <v>3675</v>
      </c>
      <c r="I1040" s="2" t="s">
        <v>3590</v>
      </c>
      <c r="J1040" s="2" t="s">
        <v>95</v>
      </c>
      <c r="K1040" s="2" t="s">
        <v>635</v>
      </c>
      <c r="L1040" s="3">
        <v>88.19</v>
      </c>
      <c r="M1040" s="3">
        <v>92.6</v>
      </c>
      <c r="N1040" s="3">
        <v>179.99</v>
      </c>
      <c r="O1040" s="2" t="s">
        <v>97</v>
      </c>
      <c r="P1040" s="2" t="s">
        <v>182</v>
      </c>
      <c r="Q1040" s="2" t="s">
        <v>99</v>
      </c>
      <c r="R1040" s="2" t="s">
        <v>100</v>
      </c>
      <c r="S1040" s="2" t="s">
        <v>3685</v>
      </c>
      <c r="T1040" s="2" t="s">
        <v>100</v>
      </c>
      <c r="U1040" s="2" t="s">
        <v>3592</v>
      </c>
      <c r="V1040" s="2" t="s">
        <v>601</v>
      </c>
      <c r="W1040" s="2" t="s">
        <v>104</v>
      </c>
      <c r="X1040" s="2" t="s">
        <v>3677</v>
      </c>
      <c r="Y1040" s="2" t="s">
        <v>3686</v>
      </c>
      <c r="Z1040" s="4">
        <v>527</v>
      </c>
      <c r="AA1040" s="4">
        <f>=ROUNDDOWN(35.1333333333333,0)</f>
      </c>
      <c r="AB1040" s="5">
        <v>15</v>
      </c>
      <c r="AC1040" s="2" t="s">
        <v>100</v>
      </c>
      <c r="AD1040" s="4"/>
      <c r="AE1040" s="4"/>
      <c r="AF1040" s="6">
        <v>64</v>
      </c>
      <c r="AG1040" s="6">
        <v>47</v>
      </c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>
        <v>0</v>
      </c>
      <c r="AP1040" s="4">
        <v>2</v>
      </c>
      <c r="AQ1040" s="8">
        <v>185.2</v>
      </c>
      <c r="AR1040" s="4">
        <v>5</v>
      </c>
      <c r="AS1040" s="8">
        <v>483.6</v>
      </c>
      <c r="AT1040" s="7">
        <v>-0.6</v>
      </c>
      <c r="AU1040" s="7">
        <v>-0.617</v>
      </c>
      <c r="AV1040" s="4">
        <v>6</v>
      </c>
      <c r="AW1040" s="8">
        <v>600.96</v>
      </c>
      <c r="AX1040" s="4">
        <v>15</v>
      </c>
      <c r="AY1040" s="8">
        <v>1627.04</v>
      </c>
      <c r="AZ1040" s="7">
        <v>-0.6</v>
      </c>
      <c r="BA1040" s="7">
        <v>-0.6306</v>
      </c>
      <c r="BB1040" s="7">
        <v>0.3082</v>
      </c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>
        <v>0.3741</v>
      </c>
      <c r="BJ1040" s="4">
        <v>333</v>
      </c>
      <c r="BK1040" s="8">
        <v>32959.75</v>
      </c>
      <c r="BL1040" s="2" t="s">
        <v>3687</v>
      </c>
      <c r="BM1040" s="7">
        <v>0.006</v>
      </c>
      <c r="BN1040" s="7">
        <v>0.0056</v>
      </c>
      <c r="BO1040" s="4">
        <v>2</v>
      </c>
      <c r="BP1040" s="8">
        <v>185.2</v>
      </c>
      <c r="BQ1040" s="4">
        <v>5</v>
      </c>
      <c r="BR1040" s="8">
        <v>483.6</v>
      </c>
      <c r="BS1040" s="7">
        <v>-0.6</v>
      </c>
      <c r="BT1040" s="7">
        <v>-0.617</v>
      </c>
      <c r="BU1040" s="2" t="s">
        <v>109</v>
      </c>
      <c r="BV1040" s="2" t="s">
        <v>97</v>
      </c>
      <c r="BW1040" s="2" t="s">
        <v>606</v>
      </c>
      <c r="BX1040" s="2" t="s">
        <v>250</v>
      </c>
      <c r="BY1040" s="2" t="s">
        <v>112</v>
      </c>
      <c r="BZ1040" s="2" t="s">
        <v>100</v>
      </c>
    </row>
    <row r="1041">
      <c r="A1041" s="2" t="s">
        <v>3688</v>
      </c>
      <c r="B1041" s="2" t="s">
        <v>87</v>
      </c>
      <c r="C1041" s="2" t="s">
        <v>3586</v>
      </c>
      <c r="D1041" s="2" t="s">
        <v>89</v>
      </c>
      <c r="E1041" s="2" t="s">
        <v>3587</v>
      </c>
      <c r="F1041" s="2" t="s">
        <v>3673</v>
      </c>
      <c r="G1041" s="2" t="s">
        <v>3674</v>
      </c>
      <c r="H1041" s="2" t="s">
        <v>3675</v>
      </c>
      <c r="I1041" s="2" t="s">
        <v>3590</v>
      </c>
      <c r="J1041" s="2" t="s">
        <v>114</v>
      </c>
      <c r="K1041" s="2" t="s">
        <v>635</v>
      </c>
      <c r="L1041" s="3">
        <v>98.99</v>
      </c>
      <c r="M1041" s="3">
        <v>103.94</v>
      </c>
      <c r="N1041" s="3">
        <v>199.99</v>
      </c>
      <c r="O1041" s="2" t="s">
        <v>97</v>
      </c>
      <c r="P1041" s="2" t="s">
        <v>182</v>
      </c>
      <c r="Q1041" s="2" t="s">
        <v>99</v>
      </c>
      <c r="R1041" s="2" t="s">
        <v>100</v>
      </c>
      <c r="S1041" s="2" t="s">
        <v>3685</v>
      </c>
      <c r="T1041" s="2" t="s">
        <v>100</v>
      </c>
      <c r="U1041" s="2" t="s">
        <v>3592</v>
      </c>
      <c r="V1041" s="2" t="s">
        <v>601</v>
      </c>
      <c r="W1041" s="2" t="s">
        <v>104</v>
      </c>
      <c r="X1041" s="2" t="s">
        <v>3677</v>
      </c>
      <c r="Y1041" s="2" t="s">
        <v>3686</v>
      </c>
      <c r="Z1041" s="4">
        <v>383</v>
      </c>
      <c r="AA1041" s="4">
        <f>=ROUNDDOWN(25.5333333333333,0)</f>
      </c>
      <c r="AB1041" s="5">
        <v>15</v>
      </c>
      <c r="AC1041" s="2" t="s">
        <v>100</v>
      </c>
      <c r="AD1041" s="4"/>
      <c r="AE1041" s="4"/>
      <c r="AF1041" s="6">
        <v>64</v>
      </c>
      <c r="AG1041" s="6">
        <v>47</v>
      </c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>
        <v>0</v>
      </c>
      <c r="AP1041" s="4">
        <v>4</v>
      </c>
      <c r="AQ1041" s="8">
        <v>415.76</v>
      </c>
      <c r="AR1041" s="4">
        <v>7</v>
      </c>
      <c r="AS1041" s="8">
        <v>796.94</v>
      </c>
      <c r="AT1041" s="7">
        <v>-0.4286</v>
      </c>
      <c r="AU1041" s="7">
        <v>-0.4783</v>
      </c>
      <c r="AV1041" s="4" t="s">
        <v>100</v>
      </c>
      <c r="AW1041" s="8" t="s">
        <v>100</v>
      </c>
      <c r="AX1041" s="4" t="s">
        <v>100</v>
      </c>
      <c r="AY1041" s="8" t="s">
        <v>100</v>
      </c>
      <c r="AZ1041" s="7" t="s">
        <v>100</v>
      </c>
      <c r="BA1041" s="7" t="s">
        <v>100</v>
      </c>
      <c r="BB1041" s="7">
        <v>0.6918</v>
      </c>
      <c r="BC1041" s="4" t="s">
        <v>100</v>
      </c>
      <c r="BD1041" s="8" t="s">
        <v>100</v>
      </c>
      <c r="BE1041" s="4" t="s">
        <v>100</v>
      </c>
      <c r="BF1041" s="8" t="s">
        <v>100</v>
      </c>
      <c r="BG1041" s="7" t="s">
        <v>100</v>
      </c>
      <c r="BH1041" s="7" t="s">
        <v>100</v>
      </c>
      <c r="BI1041" s="7" t="s">
        <v>100</v>
      </c>
      <c r="BJ1041" s="4">
        <v>288</v>
      </c>
      <c r="BK1041" s="8">
        <v>32293.78</v>
      </c>
      <c r="BL1041" s="2" t="s">
        <v>3689</v>
      </c>
      <c r="BM1041" s="7">
        <v>0.0139</v>
      </c>
      <c r="BN1041" s="7">
        <v>0.0129</v>
      </c>
      <c r="BO1041" s="4">
        <v>4</v>
      </c>
      <c r="BP1041" s="8">
        <v>415.76</v>
      </c>
      <c r="BQ1041" s="4">
        <v>7</v>
      </c>
      <c r="BR1041" s="8">
        <v>796.94</v>
      </c>
      <c r="BS1041" s="7">
        <v>-0.4286</v>
      </c>
      <c r="BT1041" s="7">
        <v>-0.4783</v>
      </c>
      <c r="BU1041" s="2" t="s">
        <v>109</v>
      </c>
      <c r="BV1041" s="2" t="s">
        <v>97</v>
      </c>
      <c r="BW1041" s="2" t="s">
        <v>606</v>
      </c>
      <c r="BX1041" s="2" t="s">
        <v>1116</v>
      </c>
      <c r="BY1041" s="2" t="s">
        <v>112</v>
      </c>
      <c r="BZ1041" s="2" t="s">
        <v>100</v>
      </c>
    </row>
    <row r="1042">
      <c r="A1042" s="2" t="s">
        <v>3690</v>
      </c>
      <c r="B1042" s="2" t="s">
        <v>87</v>
      </c>
      <c r="C1042" s="2" t="s">
        <v>3586</v>
      </c>
      <c r="D1042" s="2" t="s">
        <v>89</v>
      </c>
      <c r="E1042" s="2" t="s">
        <v>3587</v>
      </c>
      <c r="F1042" s="2" t="s">
        <v>3673</v>
      </c>
      <c r="G1042" s="2" t="s">
        <v>3674</v>
      </c>
      <c r="H1042" s="2" t="s">
        <v>3675</v>
      </c>
      <c r="I1042" s="2" t="s">
        <v>3590</v>
      </c>
      <c r="J1042" s="2" t="s">
        <v>118</v>
      </c>
      <c r="K1042" s="2" t="s">
        <v>635</v>
      </c>
      <c r="L1042" s="3">
        <v>98.99</v>
      </c>
      <c r="M1042" s="3">
        <v>103.94</v>
      </c>
      <c r="N1042" s="3">
        <v>199.99</v>
      </c>
      <c r="O1042" s="2" t="s">
        <v>97</v>
      </c>
      <c r="P1042" s="2" t="s">
        <v>182</v>
      </c>
      <c r="Q1042" s="2" t="s">
        <v>99</v>
      </c>
      <c r="R1042" s="2" t="s">
        <v>100</v>
      </c>
      <c r="S1042" s="2" t="s">
        <v>3685</v>
      </c>
      <c r="T1042" s="2" t="s">
        <v>100</v>
      </c>
      <c r="U1042" s="2" t="s">
        <v>3592</v>
      </c>
      <c r="V1042" s="2" t="s">
        <v>601</v>
      </c>
      <c r="W1042" s="2" t="s">
        <v>104</v>
      </c>
      <c r="X1042" s="2" t="s">
        <v>3677</v>
      </c>
      <c r="Y1042" s="2" t="s">
        <v>3686</v>
      </c>
      <c r="Z1042" s="4">
        <v>259</v>
      </c>
      <c r="AA1042" s="4">
        <f>=ROUNDDOWN(37,0)</f>
      </c>
      <c r="AB1042" s="5">
        <v>7</v>
      </c>
      <c r="AC1042" s="2" t="s">
        <v>100</v>
      </c>
      <c r="AD1042" s="4"/>
      <c r="AE1042" s="4"/>
      <c r="AF1042" s="6">
        <v>64</v>
      </c>
      <c r="AG1042" s="6">
        <v>47</v>
      </c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>
        <v>0</v>
      </c>
      <c r="AP1042" s="4"/>
      <c r="AQ1042" s="8"/>
      <c r="AR1042" s="4">
        <v>3</v>
      </c>
      <c r="AS1042" s="8">
        <v>346.5</v>
      </c>
      <c r="AT1042" s="7">
        <v>-1</v>
      </c>
      <c r="AU1042" s="7">
        <v>-1</v>
      </c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 t="s">
        <v>100</v>
      </c>
      <c r="BJ1042" s="4">
        <v>141</v>
      </c>
      <c r="BK1042" s="8">
        <v>15203.01</v>
      </c>
      <c r="BL1042" s="2" t="s">
        <v>3691</v>
      </c>
      <c r="BM1042" s="7"/>
      <c r="BN1042" s="7"/>
      <c r="BO1042" s="4"/>
      <c r="BP1042" s="8"/>
      <c r="BQ1042" s="4">
        <v>3</v>
      </c>
      <c r="BR1042" s="8">
        <v>346.5</v>
      </c>
      <c r="BS1042" s="7">
        <v>-1</v>
      </c>
      <c r="BT1042" s="7">
        <v>-1</v>
      </c>
      <c r="BU1042" s="2" t="s">
        <v>109</v>
      </c>
      <c r="BV1042" s="2" t="s">
        <v>97</v>
      </c>
      <c r="BW1042" s="2" t="s">
        <v>606</v>
      </c>
      <c r="BX1042" s="2" t="s">
        <v>3692</v>
      </c>
      <c r="BY1042" s="2" t="s">
        <v>112</v>
      </c>
      <c r="BZ1042" s="2" t="s">
        <v>100</v>
      </c>
    </row>
    <row r="1043">
      <c r="A1043" s="2" t="s">
        <v>3693</v>
      </c>
      <c r="B1043" s="2" t="s">
        <v>87</v>
      </c>
      <c r="C1043" s="2" t="s">
        <v>3586</v>
      </c>
      <c r="D1043" s="2" t="s">
        <v>89</v>
      </c>
      <c r="E1043" s="2" t="s">
        <v>3587</v>
      </c>
      <c r="F1043" s="2" t="s">
        <v>3673</v>
      </c>
      <c r="G1043" s="2" t="s">
        <v>3674</v>
      </c>
      <c r="H1043" s="2" t="s">
        <v>3675</v>
      </c>
      <c r="I1043" s="2" t="s">
        <v>3590</v>
      </c>
      <c r="J1043" s="2" t="s">
        <v>95</v>
      </c>
      <c r="K1043" s="2" t="s">
        <v>650</v>
      </c>
      <c r="L1043" s="3">
        <v>88.19</v>
      </c>
      <c r="M1043" s="3">
        <v>92.6</v>
      </c>
      <c r="N1043" s="3">
        <v>179.99</v>
      </c>
      <c r="O1043" s="2" t="s">
        <v>97</v>
      </c>
      <c r="P1043" s="2" t="s">
        <v>182</v>
      </c>
      <c r="Q1043" s="2" t="s">
        <v>99</v>
      </c>
      <c r="R1043" s="2" t="s">
        <v>100</v>
      </c>
      <c r="S1043" s="2" t="s">
        <v>3694</v>
      </c>
      <c r="T1043" s="2" t="s">
        <v>100</v>
      </c>
      <c r="U1043" s="2" t="s">
        <v>3592</v>
      </c>
      <c r="V1043" s="2" t="s">
        <v>601</v>
      </c>
      <c r="W1043" s="2" t="s">
        <v>104</v>
      </c>
      <c r="X1043" s="2" t="s">
        <v>3695</v>
      </c>
      <c r="Y1043" s="2" t="s">
        <v>3191</v>
      </c>
      <c r="Z1043" s="4">
        <v>335</v>
      </c>
      <c r="AA1043" s="4">
        <f>=ROUNDDOWN(18.6111111111111,0)</f>
      </c>
      <c r="AB1043" s="5">
        <v>18</v>
      </c>
      <c r="AC1043" s="2" t="s">
        <v>766</v>
      </c>
      <c r="AD1043" s="4">
        <v>397</v>
      </c>
      <c r="AE1043" s="4">
        <v>397</v>
      </c>
      <c r="AF1043" s="6">
        <v>64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 t="s">
        <v>100</v>
      </c>
      <c r="BJ1043" s="4">
        <v>391</v>
      </c>
      <c r="BK1043" s="8">
        <v>40156.34</v>
      </c>
      <c r="BL1043" s="2" t="s">
        <v>3696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147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3697</v>
      </c>
      <c r="B1044" s="2" t="s">
        <v>87</v>
      </c>
      <c r="C1044" s="2" t="s">
        <v>3586</v>
      </c>
      <c r="D1044" s="2" t="s">
        <v>89</v>
      </c>
      <c r="E1044" s="2" t="s">
        <v>3587</v>
      </c>
      <c r="F1044" s="2" t="s">
        <v>3673</v>
      </c>
      <c r="G1044" s="2" t="s">
        <v>3674</v>
      </c>
      <c r="H1044" s="2" t="s">
        <v>3675</v>
      </c>
      <c r="I1044" s="2" t="s">
        <v>3590</v>
      </c>
      <c r="J1044" s="2" t="s">
        <v>114</v>
      </c>
      <c r="K1044" s="2" t="s">
        <v>650</v>
      </c>
      <c r="L1044" s="3">
        <v>98.99</v>
      </c>
      <c r="M1044" s="3">
        <v>103.94</v>
      </c>
      <c r="N1044" s="3">
        <v>199.99</v>
      </c>
      <c r="O1044" s="2" t="s">
        <v>97</v>
      </c>
      <c r="P1044" s="2" t="s">
        <v>182</v>
      </c>
      <c r="Q1044" s="2" t="s">
        <v>99</v>
      </c>
      <c r="R1044" s="2" t="s">
        <v>100</v>
      </c>
      <c r="S1044" s="2" t="s">
        <v>3694</v>
      </c>
      <c r="T1044" s="2" t="s">
        <v>100</v>
      </c>
      <c r="U1044" s="2" t="s">
        <v>3592</v>
      </c>
      <c r="V1044" s="2" t="s">
        <v>601</v>
      </c>
      <c r="W1044" s="2" t="s">
        <v>104</v>
      </c>
      <c r="X1044" s="2" t="s">
        <v>3695</v>
      </c>
      <c r="Y1044" s="2" t="s">
        <v>3191</v>
      </c>
      <c r="Z1044" s="4">
        <v>220</v>
      </c>
      <c r="AA1044" s="4">
        <f>=ROUNDDOWN(22,0)</f>
      </c>
      <c r="AB1044" s="5">
        <v>10</v>
      </c>
      <c r="AC1044" s="2" t="s">
        <v>766</v>
      </c>
      <c r="AD1044" s="4">
        <v>221</v>
      </c>
      <c r="AE1044" s="4">
        <v>221</v>
      </c>
      <c r="AF1044" s="6">
        <v>64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 t="s">
        <v>100</v>
      </c>
      <c r="BJ1044" s="4">
        <v>128</v>
      </c>
      <c r="BK1044" s="8">
        <v>14983.79</v>
      </c>
      <c r="BL1044" s="2" t="s">
        <v>3698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147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3699</v>
      </c>
      <c r="B1045" s="2" t="s">
        <v>87</v>
      </c>
      <c r="C1045" s="2" t="s">
        <v>3586</v>
      </c>
      <c r="D1045" s="2" t="s">
        <v>89</v>
      </c>
      <c r="E1045" s="2" t="s">
        <v>3587</v>
      </c>
      <c r="F1045" s="2" t="s">
        <v>3673</v>
      </c>
      <c r="G1045" s="2" t="s">
        <v>3674</v>
      </c>
      <c r="H1045" s="2" t="s">
        <v>3675</v>
      </c>
      <c r="I1045" s="2" t="s">
        <v>3590</v>
      </c>
      <c r="J1045" s="2" t="s">
        <v>118</v>
      </c>
      <c r="K1045" s="2" t="s">
        <v>650</v>
      </c>
      <c r="L1045" s="3">
        <v>98.99</v>
      </c>
      <c r="M1045" s="3">
        <v>103.94</v>
      </c>
      <c r="N1045" s="3">
        <v>199.99</v>
      </c>
      <c r="O1045" s="2" t="s">
        <v>97</v>
      </c>
      <c r="P1045" s="2" t="s">
        <v>182</v>
      </c>
      <c r="Q1045" s="2" t="s">
        <v>99</v>
      </c>
      <c r="R1045" s="2" t="s">
        <v>100</v>
      </c>
      <c r="S1045" s="2" t="s">
        <v>3694</v>
      </c>
      <c r="T1045" s="2" t="s">
        <v>100</v>
      </c>
      <c r="U1045" s="2" t="s">
        <v>3592</v>
      </c>
      <c r="V1045" s="2" t="s">
        <v>601</v>
      </c>
      <c r="W1045" s="2" t="s">
        <v>104</v>
      </c>
      <c r="X1045" s="2" t="s">
        <v>3695</v>
      </c>
      <c r="Y1045" s="2" t="s">
        <v>3191</v>
      </c>
      <c r="Z1045" s="4">
        <v>146</v>
      </c>
      <c r="AA1045" s="4">
        <f>=ROUNDDOWN(36.5,0)</f>
      </c>
      <c r="AB1045" s="5">
        <v>4</v>
      </c>
      <c r="AC1045" s="2" t="s">
        <v>100</v>
      </c>
      <c r="AD1045" s="4"/>
      <c r="AE1045" s="4"/>
      <c r="AF1045" s="6">
        <v>64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 t="s">
        <v>100</v>
      </c>
      <c r="BJ1045" s="4">
        <v>65</v>
      </c>
      <c r="BK1045" s="8">
        <v>7578.57</v>
      </c>
      <c r="BL1045" s="2" t="s">
        <v>3700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147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3701</v>
      </c>
      <c r="B1046" s="2" t="s">
        <v>87</v>
      </c>
      <c r="C1046" s="2" t="s">
        <v>3586</v>
      </c>
      <c r="D1046" s="2" t="s">
        <v>89</v>
      </c>
      <c r="E1046" s="2" t="s">
        <v>3587</v>
      </c>
      <c r="F1046" s="2" t="s">
        <v>3673</v>
      </c>
      <c r="G1046" s="2" t="s">
        <v>3674</v>
      </c>
      <c r="H1046" s="2" t="s">
        <v>3675</v>
      </c>
      <c r="I1046" s="2" t="s">
        <v>3590</v>
      </c>
      <c r="J1046" s="2" t="s">
        <v>95</v>
      </c>
      <c r="K1046" s="2" t="s">
        <v>333</v>
      </c>
      <c r="L1046" s="3">
        <v>88.19</v>
      </c>
      <c r="M1046" s="3">
        <v>92.6</v>
      </c>
      <c r="N1046" s="3">
        <v>179.99</v>
      </c>
      <c r="O1046" s="2" t="s">
        <v>97</v>
      </c>
      <c r="P1046" s="2" t="s">
        <v>182</v>
      </c>
      <c r="Q1046" s="2" t="s">
        <v>99</v>
      </c>
      <c r="R1046" s="2" t="s">
        <v>100</v>
      </c>
      <c r="S1046" s="2" t="s">
        <v>3702</v>
      </c>
      <c r="T1046" s="2" t="s">
        <v>100</v>
      </c>
      <c r="U1046" s="2" t="s">
        <v>3592</v>
      </c>
      <c r="V1046" s="2" t="s">
        <v>601</v>
      </c>
      <c r="W1046" s="2" t="s">
        <v>104</v>
      </c>
      <c r="X1046" s="2" t="s">
        <v>3695</v>
      </c>
      <c r="Y1046" s="2" t="s">
        <v>3703</v>
      </c>
      <c r="Z1046" s="4">
        <v>258</v>
      </c>
      <c r="AA1046" s="4">
        <f>=ROUNDDOWN(14.3333333333333,0)</f>
      </c>
      <c r="AB1046" s="5">
        <v>18</v>
      </c>
      <c r="AC1046" s="2" t="s">
        <v>107</v>
      </c>
      <c r="AD1046" s="4">
        <v>220</v>
      </c>
      <c r="AE1046" s="4">
        <v>400</v>
      </c>
      <c r="AF1046" s="6">
        <v>64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 t="s">
        <v>100</v>
      </c>
      <c r="BJ1046" s="4">
        <v>429</v>
      </c>
      <c r="BK1046" s="8">
        <v>44597.26</v>
      </c>
      <c r="BL1046" s="2" t="s">
        <v>3704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147</v>
      </c>
      <c r="BV1046" s="2" t="s">
        <v>97</v>
      </c>
      <c r="BW1046" s="2" t="s">
        <v>100</v>
      </c>
      <c r="BX1046" s="2" t="s">
        <v>100</v>
      </c>
      <c r="BY1046" s="2" t="s">
        <v>112</v>
      </c>
      <c r="BZ1046" s="2" t="s">
        <v>100</v>
      </c>
    </row>
    <row r="1047">
      <c r="A1047" s="2" t="s">
        <v>3705</v>
      </c>
      <c r="B1047" s="2" t="s">
        <v>87</v>
      </c>
      <c r="C1047" s="2" t="s">
        <v>3586</v>
      </c>
      <c r="D1047" s="2" t="s">
        <v>89</v>
      </c>
      <c r="E1047" s="2" t="s">
        <v>3587</v>
      </c>
      <c r="F1047" s="2" t="s">
        <v>3673</v>
      </c>
      <c r="G1047" s="2" t="s">
        <v>3674</v>
      </c>
      <c r="H1047" s="2" t="s">
        <v>3675</v>
      </c>
      <c r="I1047" s="2" t="s">
        <v>3590</v>
      </c>
      <c r="J1047" s="2" t="s">
        <v>114</v>
      </c>
      <c r="K1047" s="2" t="s">
        <v>333</v>
      </c>
      <c r="L1047" s="3">
        <v>98.99</v>
      </c>
      <c r="M1047" s="3">
        <v>103.94</v>
      </c>
      <c r="N1047" s="3">
        <v>199.99</v>
      </c>
      <c r="O1047" s="2" t="s">
        <v>97</v>
      </c>
      <c r="P1047" s="2" t="s">
        <v>182</v>
      </c>
      <c r="Q1047" s="2" t="s">
        <v>99</v>
      </c>
      <c r="R1047" s="2" t="s">
        <v>100</v>
      </c>
      <c r="S1047" s="2" t="s">
        <v>3702</v>
      </c>
      <c r="T1047" s="2" t="s">
        <v>100</v>
      </c>
      <c r="U1047" s="2" t="s">
        <v>3592</v>
      </c>
      <c r="V1047" s="2" t="s">
        <v>601</v>
      </c>
      <c r="W1047" s="2" t="s">
        <v>104</v>
      </c>
      <c r="X1047" s="2" t="s">
        <v>3695</v>
      </c>
      <c r="Y1047" s="2" t="s">
        <v>3703</v>
      </c>
      <c r="Z1047" s="4">
        <v>135</v>
      </c>
      <c r="AA1047" s="4">
        <f>=ROUNDDOWN(9.64285714285714,0)</f>
      </c>
      <c r="AB1047" s="5">
        <v>14</v>
      </c>
      <c r="AC1047" s="2" t="s">
        <v>107</v>
      </c>
      <c r="AD1047" s="4">
        <v>120</v>
      </c>
      <c r="AE1047" s="4">
        <v>370</v>
      </c>
      <c r="AF1047" s="6">
        <v>64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 t="s">
        <v>100</v>
      </c>
      <c r="BJ1047" s="4">
        <v>232</v>
      </c>
      <c r="BK1047" s="8">
        <v>26329.21</v>
      </c>
      <c r="BL1047" s="2" t="s">
        <v>3706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147</v>
      </c>
      <c r="BV1047" s="2" t="s">
        <v>97</v>
      </c>
      <c r="BW1047" s="2" t="s">
        <v>100</v>
      </c>
      <c r="BX1047" s="2" t="s">
        <v>100</v>
      </c>
      <c r="BY1047" s="2" t="s">
        <v>112</v>
      </c>
      <c r="BZ1047" s="2" t="s">
        <v>100</v>
      </c>
    </row>
    <row r="1048">
      <c r="A1048" s="2" t="s">
        <v>3707</v>
      </c>
      <c r="B1048" s="2" t="s">
        <v>87</v>
      </c>
      <c r="C1048" s="2" t="s">
        <v>3586</v>
      </c>
      <c r="D1048" s="2" t="s">
        <v>89</v>
      </c>
      <c r="E1048" s="2" t="s">
        <v>3587</v>
      </c>
      <c r="F1048" s="2" t="s">
        <v>3673</v>
      </c>
      <c r="G1048" s="2" t="s">
        <v>3674</v>
      </c>
      <c r="H1048" s="2" t="s">
        <v>3675</v>
      </c>
      <c r="I1048" s="2" t="s">
        <v>3590</v>
      </c>
      <c r="J1048" s="2" t="s">
        <v>118</v>
      </c>
      <c r="K1048" s="2" t="s">
        <v>333</v>
      </c>
      <c r="L1048" s="3">
        <v>98.99</v>
      </c>
      <c r="M1048" s="3">
        <v>103.94</v>
      </c>
      <c r="N1048" s="3">
        <v>199.99</v>
      </c>
      <c r="O1048" s="2" t="s">
        <v>97</v>
      </c>
      <c r="P1048" s="2" t="s">
        <v>182</v>
      </c>
      <c r="Q1048" s="2" t="s">
        <v>99</v>
      </c>
      <c r="R1048" s="2" t="s">
        <v>100</v>
      </c>
      <c r="S1048" s="2" t="s">
        <v>3702</v>
      </c>
      <c r="T1048" s="2" t="s">
        <v>100</v>
      </c>
      <c r="U1048" s="2" t="s">
        <v>3592</v>
      </c>
      <c r="V1048" s="2" t="s">
        <v>601</v>
      </c>
      <c r="W1048" s="2" t="s">
        <v>104</v>
      </c>
      <c r="X1048" s="2" t="s">
        <v>3695</v>
      </c>
      <c r="Y1048" s="2" t="s">
        <v>3703</v>
      </c>
      <c r="Z1048" s="4">
        <v>106</v>
      </c>
      <c r="AA1048" s="4">
        <f>=ROUNDDOWN(15.1428571428571,0)</f>
      </c>
      <c r="AB1048" s="5">
        <v>7</v>
      </c>
      <c r="AC1048" s="2" t="s">
        <v>107</v>
      </c>
      <c r="AD1048" s="4">
        <v>50</v>
      </c>
      <c r="AE1048" s="4">
        <v>250</v>
      </c>
      <c r="AF1048" s="6">
        <v>64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 t="s">
        <v>100</v>
      </c>
      <c r="BJ1048" s="4">
        <v>146</v>
      </c>
      <c r="BK1048" s="8">
        <v>16814.08</v>
      </c>
      <c r="BL1048" s="2" t="s">
        <v>3708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147</v>
      </c>
      <c r="BV1048" s="2" t="s">
        <v>97</v>
      </c>
      <c r="BW1048" s="2" t="s">
        <v>100</v>
      </c>
      <c r="BX1048" s="2" t="s">
        <v>100</v>
      </c>
      <c r="BY1048" s="2" t="s">
        <v>112</v>
      </c>
      <c r="BZ1048" s="2" t="s">
        <v>100</v>
      </c>
    </row>
    <row r="1049">
      <c r="A1049" s="2" t="s">
        <v>3709</v>
      </c>
      <c r="B1049" s="2" t="s">
        <v>87</v>
      </c>
      <c r="C1049" s="2" t="s">
        <v>3586</v>
      </c>
      <c r="D1049" s="2" t="s">
        <v>89</v>
      </c>
      <c r="E1049" s="2" t="s">
        <v>3587</v>
      </c>
      <c r="F1049" s="2" t="s">
        <v>3673</v>
      </c>
      <c r="G1049" s="2" t="s">
        <v>3674</v>
      </c>
      <c r="H1049" s="2" t="s">
        <v>3675</v>
      </c>
      <c r="I1049" s="2" t="s">
        <v>3590</v>
      </c>
      <c r="J1049" s="2" t="s">
        <v>95</v>
      </c>
      <c r="K1049" s="2" t="s">
        <v>622</v>
      </c>
      <c r="L1049" s="3">
        <v>88.19</v>
      </c>
      <c r="M1049" s="3">
        <v>92.6</v>
      </c>
      <c r="N1049" s="3">
        <v>179.99</v>
      </c>
      <c r="O1049" s="2" t="s">
        <v>97</v>
      </c>
      <c r="P1049" s="2" t="s">
        <v>124</v>
      </c>
      <c r="Q1049" s="2" t="s">
        <v>99</v>
      </c>
      <c r="R1049" s="2" t="s">
        <v>100</v>
      </c>
      <c r="S1049" s="2" t="s">
        <v>3710</v>
      </c>
      <c r="T1049" s="2" t="s">
        <v>100</v>
      </c>
      <c r="U1049" s="2" t="s">
        <v>3592</v>
      </c>
      <c r="V1049" s="2" t="s">
        <v>601</v>
      </c>
      <c r="W1049" s="2" t="s">
        <v>104</v>
      </c>
      <c r="X1049" s="2" t="s">
        <v>3677</v>
      </c>
      <c r="Y1049" s="2" t="s">
        <v>477</v>
      </c>
      <c r="Z1049" s="4">
        <v>619</v>
      </c>
      <c r="AA1049" s="4">
        <f>=ROUNDDOWN(18.2058823529412,0)</f>
      </c>
      <c r="AB1049" s="5">
        <v>34</v>
      </c>
      <c r="AC1049" s="2" t="s">
        <v>689</v>
      </c>
      <c r="AD1049" s="4">
        <v>50</v>
      </c>
      <c r="AE1049" s="4">
        <v>810</v>
      </c>
      <c r="AF1049" s="6">
        <v>64</v>
      </c>
      <c r="AG1049" s="6">
        <v>47</v>
      </c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 t="s">
        <v>100</v>
      </c>
      <c r="BJ1049" s="4">
        <v>756</v>
      </c>
      <c r="BK1049" s="8">
        <v>76992.06</v>
      </c>
      <c r="BL1049" s="2" t="s">
        <v>3711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147</v>
      </c>
      <c r="BV1049" s="2" t="s">
        <v>97</v>
      </c>
      <c r="BW1049" s="2" t="s">
        <v>100</v>
      </c>
      <c r="BX1049" s="2" t="s">
        <v>100</v>
      </c>
      <c r="BY1049" s="2" t="s">
        <v>112</v>
      </c>
      <c r="BZ1049" s="2" t="s">
        <v>100</v>
      </c>
    </row>
    <row r="1050">
      <c r="A1050" s="2" t="s">
        <v>3712</v>
      </c>
      <c r="B1050" s="2" t="s">
        <v>87</v>
      </c>
      <c r="C1050" s="2" t="s">
        <v>3586</v>
      </c>
      <c r="D1050" s="2" t="s">
        <v>89</v>
      </c>
      <c r="E1050" s="2" t="s">
        <v>3587</v>
      </c>
      <c r="F1050" s="2" t="s">
        <v>3673</v>
      </c>
      <c r="G1050" s="2" t="s">
        <v>3674</v>
      </c>
      <c r="H1050" s="2" t="s">
        <v>3675</v>
      </c>
      <c r="I1050" s="2" t="s">
        <v>3590</v>
      </c>
      <c r="J1050" s="2" t="s">
        <v>114</v>
      </c>
      <c r="K1050" s="2" t="s">
        <v>622</v>
      </c>
      <c r="L1050" s="3">
        <v>98.99</v>
      </c>
      <c r="M1050" s="3">
        <v>103.94</v>
      </c>
      <c r="N1050" s="3">
        <v>199.99</v>
      </c>
      <c r="O1050" s="2" t="s">
        <v>97</v>
      </c>
      <c r="P1050" s="2" t="s">
        <v>124</v>
      </c>
      <c r="Q1050" s="2" t="s">
        <v>99</v>
      </c>
      <c r="R1050" s="2" t="s">
        <v>100</v>
      </c>
      <c r="S1050" s="2" t="s">
        <v>3710</v>
      </c>
      <c r="T1050" s="2" t="s">
        <v>100</v>
      </c>
      <c r="U1050" s="2" t="s">
        <v>3592</v>
      </c>
      <c r="V1050" s="2" t="s">
        <v>601</v>
      </c>
      <c r="W1050" s="2" t="s">
        <v>104</v>
      </c>
      <c r="X1050" s="2" t="s">
        <v>3677</v>
      </c>
      <c r="Y1050" s="2" t="s">
        <v>477</v>
      </c>
      <c r="Z1050" s="4">
        <v>589</v>
      </c>
      <c r="AA1050" s="4">
        <f>=ROUNDDOWN(19,0)</f>
      </c>
      <c r="AB1050" s="5">
        <v>31</v>
      </c>
      <c r="AC1050" s="2" t="s">
        <v>382</v>
      </c>
      <c r="AD1050" s="4">
        <v>240</v>
      </c>
      <c r="AE1050" s="4">
        <v>710</v>
      </c>
      <c r="AF1050" s="6">
        <v>64</v>
      </c>
      <c r="AG1050" s="6">
        <v>47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 t="s">
        <v>100</v>
      </c>
      <c r="BJ1050" s="4">
        <v>544</v>
      </c>
      <c r="BK1050" s="8">
        <v>61863.17</v>
      </c>
      <c r="BL1050" s="2" t="s">
        <v>3713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147</v>
      </c>
      <c r="BV1050" s="2" t="s">
        <v>97</v>
      </c>
      <c r="BW1050" s="2" t="s">
        <v>100</v>
      </c>
      <c r="BX1050" s="2" t="s">
        <v>100</v>
      </c>
      <c r="BY1050" s="2" t="s">
        <v>112</v>
      </c>
      <c r="BZ1050" s="2" t="s">
        <v>100</v>
      </c>
    </row>
    <row r="1051">
      <c r="A1051" s="2" t="s">
        <v>3714</v>
      </c>
      <c r="B1051" s="2" t="s">
        <v>87</v>
      </c>
      <c r="C1051" s="2" t="s">
        <v>3586</v>
      </c>
      <c r="D1051" s="2" t="s">
        <v>89</v>
      </c>
      <c r="E1051" s="2" t="s">
        <v>3587</v>
      </c>
      <c r="F1051" s="2" t="s">
        <v>3673</v>
      </c>
      <c r="G1051" s="2" t="s">
        <v>3674</v>
      </c>
      <c r="H1051" s="2" t="s">
        <v>3675</v>
      </c>
      <c r="I1051" s="2" t="s">
        <v>3590</v>
      </c>
      <c r="J1051" s="2" t="s">
        <v>118</v>
      </c>
      <c r="K1051" s="2" t="s">
        <v>622</v>
      </c>
      <c r="L1051" s="3">
        <v>98.99</v>
      </c>
      <c r="M1051" s="3">
        <v>103.94</v>
      </c>
      <c r="N1051" s="3">
        <v>199.99</v>
      </c>
      <c r="O1051" s="2" t="s">
        <v>97</v>
      </c>
      <c r="P1051" s="2" t="s">
        <v>124</v>
      </c>
      <c r="Q1051" s="2" t="s">
        <v>99</v>
      </c>
      <c r="R1051" s="2" t="s">
        <v>100</v>
      </c>
      <c r="S1051" s="2" t="s">
        <v>3710</v>
      </c>
      <c r="T1051" s="2" t="s">
        <v>100</v>
      </c>
      <c r="U1051" s="2" t="s">
        <v>3592</v>
      </c>
      <c r="V1051" s="2" t="s">
        <v>601</v>
      </c>
      <c r="W1051" s="2" t="s">
        <v>104</v>
      </c>
      <c r="X1051" s="2" t="s">
        <v>3677</v>
      </c>
      <c r="Y1051" s="2" t="s">
        <v>477</v>
      </c>
      <c r="Z1051" s="4">
        <v>416</v>
      </c>
      <c r="AA1051" s="4">
        <f>=ROUNDDOWN(20.8,0)</f>
      </c>
      <c r="AB1051" s="5">
        <v>20</v>
      </c>
      <c r="AC1051" s="2" t="s">
        <v>735</v>
      </c>
      <c r="AD1051" s="4">
        <v>100</v>
      </c>
      <c r="AE1051" s="4">
        <v>530</v>
      </c>
      <c r="AF1051" s="6">
        <v>64</v>
      </c>
      <c r="AG1051" s="6">
        <v>47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 t="s">
        <v>100</v>
      </c>
      <c r="BJ1051" s="4">
        <v>373</v>
      </c>
      <c r="BK1051" s="8">
        <v>42809.25</v>
      </c>
      <c r="BL1051" s="2" t="s">
        <v>3715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147</v>
      </c>
      <c r="BV1051" s="2" t="s">
        <v>97</v>
      </c>
      <c r="BW1051" s="2" t="s">
        <v>100</v>
      </c>
      <c r="BX1051" s="2" t="s">
        <v>100</v>
      </c>
      <c r="BY1051" s="2" t="s">
        <v>112</v>
      </c>
      <c r="BZ1051" s="2" t="s">
        <v>100</v>
      </c>
    </row>
    <row r="1052">
      <c r="A1052" s="2" t="s">
        <v>3716</v>
      </c>
      <c r="B1052" s="2" t="s">
        <v>87</v>
      </c>
      <c r="C1052" s="2" t="s">
        <v>3586</v>
      </c>
      <c r="D1052" s="2" t="s">
        <v>89</v>
      </c>
      <c r="E1052" s="2" t="s">
        <v>3587</v>
      </c>
      <c r="F1052" s="2" t="s">
        <v>3717</v>
      </c>
      <c r="G1052" s="2" t="s">
        <v>3718</v>
      </c>
      <c r="H1052" s="2" t="s">
        <v>2223</v>
      </c>
      <c r="I1052" s="2" t="s">
        <v>3590</v>
      </c>
      <c r="J1052" s="2" t="s">
        <v>95</v>
      </c>
      <c r="K1052" s="2" t="s">
        <v>333</v>
      </c>
      <c r="L1052" s="3">
        <v>104.54</v>
      </c>
      <c r="M1052" s="3">
        <v>109.77</v>
      </c>
      <c r="N1052" s="3">
        <v>204.99</v>
      </c>
      <c r="O1052" s="2" t="s">
        <v>229</v>
      </c>
      <c r="P1052" s="2" t="s">
        <v>198</v>
      </c>
      <c r="Q1052" s="2" t="s">
        <v>99</v>
      </c>
      <c r="R1052" s="2" t="s">
        <v>100</v>
      </c>
      <c r="S1052" s="2" t="s">
        <v>3719</v>
      </c>
      <c r="T1052" s="2" t="s">
        <v>100</v>
      </c>
      <c r="U1052" s="2" t="s">
        <v>3592</v>
      </c>
      <c r="V1052" s="2" t="s">
        <v>404</v>
      </c>
      <c r="W1052" s="2" t="s">
        <v>405</v>
      </c>
      <c r="X1052" s="2" t="s">
        <v>406</v>
      </c>
      <c r="Y1052" s="2" t="s">
        <v>946</v>
      </c>
      <c r="Z1052" s="4"/>
      <c r="AA1052" s="4">
        <f>=ROUNDDOWN({0},0)</f>
      </c>
      <c r="AB1052" s="5">
        <v>0.5</v>
      </c>
      <c r="AC1052" s="2" t="s">
        <v>100</v>
      </c>
      <c r="AD1052" s="4"/>
      <c r="AE1052" s="4"/>
      <c r="AF1052" s="6">
        <v>64</v>
      </c>
      <c r="AG1052" s="6"/>
      <c r="AH1052" s="7">
        <v>0.4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0</v>
      </c>
      <c r="AP1052" s="4">
        <v>3</v>
      </c>
      <c r="AQ1052" s="8">
        <v>329.31</v>
      </c>
      <c r="AR1052" s="4">
        <v>8</v>
      </c>
      <c r="AS1052" s="8">
        <v>878.16</v>
      </c>
      <c r="AT1052" s="7">
        <v>-0.625</v>
      </c>
      <c r="AU1052" s="7">
        <v>-0.625</v>
      </c>
      <c r="AV1052" s="4">
        <v>5</v>
      </c>
      <c r="AW1052" s="8">
        <v>570.27</v>
      </c>
      <c r="AX1052" s="4">
        <v>11</v>
      </c>
      <c r="AY1052" s="8">
        <v>1239.6</v>
      </c>
      <c r="AZ1052" s="7">
        <v>-0.5455</v>
      </c>
      <c r="BA1052" s="7">
        <v>-0.54</v>
      </c>
      <c r="BB1052" s="7">
        <v>0.5775</v>
      </c>
      <c r="BC1052" s="4">
        <v>5</v>
      </c>
      <c r="BD1052" s="8">
        <v>570.27</v>
      </c>
      <c r="BE1052" s="4">
        <v>11</v>
      </c>
      <c r="BF1052" s="8">
        <v>1239.6</v>
      </c>
      <c r="BG1052" s="7">
        <v>-0.5455</v>
      </c>
      <c r="BH1052" s="7">
        <v>-0.54</v>
      </c>
      <c r="BI1052" s="7">
        <v>1</v>
      </c>
      <c r="BJ1052" s="4">
        <v>159</v>
      </c>
      <c r="BK1052" s="8">
        <v>15967.6</v>
      </c>
      <c r="BL1052" s="2" t="s">
        <v>3720</v>
      </c>
      <c r="BM1052" s="7">
        <v>0.0189</v>
      </c>
      <c r="BN1052" s="7">
        <v>0.0206</v>
      </c>
      <c r="BO1052" s="4">
        <v>3</v>
      </c>
      <c r="BP1052" s="8">
        <v>329.31</v>
      </c>
      <c r="BQ1052" s="4">
        <v>8</v>
      </c>
      <c r="BR1052" s="8">
        <v>878.16</v>
      </c>
      <c r="BS1052" s="7">
        <v>-0.625</v>
      </c>
      <c r="BT1052" s="7">
        <v>-0.625</v>
      </c>
      <c r="BU1052" s="2" t="s">
        <v>109</v>
      </c>
      <c r="BV1052" s="2" t="s">
        <v>552</v>
      </c>
      <c r="BW1052" s="2" t="s">
        <v>3721</v>
      </c>
      <c r="BX1052" s="2" t="s">
        <v>3722</v>
      </c>
      <c r="BY1052" s="2" t="s">
        <v>112</v>
      </c>
      <c r="BZ1052" s="2" t="s">
        <v>100</v>
      </c>
    </row>
    <row r="1053">
      <c r="A1053" s="2" t="s">
        <v>3723</v>
      </c>
      <c r="B1053" s="2" t="s">
        <v>87</v>
      </c>
      <c r="C1053" s="2" t="s">
        <v>3586</v>
      </c>
      <c r="D1053" s="2" t="s">
        <v>89</v>
      </c>
      <c r="E1053" s="2" t="s">
        <v>3587</v>
      </c>
      <c r="F1053" s="2" t="s">
        <v>3717</v>
      </c>
      <c r="G1053" s="2" t="s">
        <v>3718</v>
      </c>
      <c r="H1053" s="2" t="s">
        <v>2223</v>
      </c>
      <c r="I1053" s="2" t="s">
        <v>3590</v>
      </c>
      <c r="J1053" s="2" t="s">
        <v>114</v>
      </c>
      <c r="K1053" s="2" t="s">
        <v>333</v>
      </c>
      <c r="L1053" s="3">
        <v>114.74</v>
      </c>
      <c r="M1053" s="3">
        <v>120.48</v>
      </c>
      <c r="N1053" s="3">
        <v>224.99</v>
      </c>
      <c r="O1053" s="2" t="s">
        <v>229</v>
      </c>
      <c r="P1053" s="2" t="s">
        <v>198</v>
      </c>
      <c r="Q1053" s="2" t="s">
        <v>99</v>
      </c>
      <c r="R1053" s="2" t="s">
        <v>100</v>
      </c>
      <c r="S1053" s="2" t="s">
        <v>3719</v>
      </c>
      <c r="T1053" s="2" t="s">
        <v>100</v>
      </c>
      <c r="U1053" s="2" t="s">
        <v>3592</v>
      </c>
      <c r="V1053" s="2" t="s">
        <v>404</v>
      </c>
      <c r="W1053" s="2" t="s">
        <v>405</v>
      </c>
      <c r="X1053" s="2" t="s">
        <v>406</v>
      </c>
      <c r="Y1053" s="2" t="s">
        <v>946</v>
      </c>
      <c r="Z1053" s="4"/>
      <c r="AA1053" s="4">
        <f>=ROUNDDOWN({0},0)</f>
      </c>
      <c r="AB1053" s="5">
        <v>10.1</v>
      </c>
      <c r="AC1053" s="2" t="s">
        <v>100</v>
      </c>
      <c r="AD1053" s="4"/>
      <c r="AE1053" s="4"/>
      <c r="AF1053" s="6">
        <v>64</v>
      </c>
      <c r="AG1053" s="6"/>
      <c r="AH1053" s="7">
        <v>0.9758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>
        <v>0</v>
      </c>
      <c r="AP1053" s="4"/>
      <c r="AQ1053" s="8"/>
      <c r="AR1053" s="4">
        <v>3</v>
      </c>
      <c r="AS1053" s="8">
        <v>361.44</v>
      </c>
      <c r="AT1053" s="7">
        <v>-1</v>
      </c>
      <c r="AU1053" s="7">
        <v>-1</v>
      </c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 t="s">
        <v>100</v>
      </c>
      <c r="BJ1053" s="4">
        <v>213</v>
      </c>
      <c r="BK1053" s="8">
        <v>22411.64</v>
      </c>
      <c r="BL1053" s="2" t="s">
        <v>3724</v>
      </c>
      <c r="BM1053" s="7"/>
      <c r="BN1053" s="7"/>
      <c r="BO1053" s="4"/>
      <c r="BP1053" s="8"/>
      <c r="BQ1053" s="4">
        <v>3</v>
      </c>
      <c r="BR1053" s="8">
        <v>361.44</v>
      </c>
      <c r="BS1053" s="7">
        <v>-1</v>
      </c>
      <c r="BT1053" s="7">
        <v>-1</v>
      </c>
      <c r="BU1053" s="2" t="s">
        <v>109</v>
      </c>
      <c r="BV1053" s="2" t="s">
        <v>97</v>
      </c>
      <c r="BW1053" s="2" t="s">
        <v>3721</v>
      </c>
      <c r="BX1053" s="2" t="s">
        <v>3725</v>
      </c>
      <c r="BY1053" s="2" t="s">
        <v>112</v>
      </c>
      <c r="BZ1053" s="2" t="s">
        <v>100</v>
      </c>
    </row>
    <row r="1054">
      <c r="A1054" s="2" t="s">
        <v>3726</v>
      </c>
      <c r="B1054" s="2" t="s">
        <v>87</v>
      </c>
      <c r="C1054" s="2" t="s">
        <v>3586</v>
      </c>
      <c r="D1054" s="2" t="s">
        <v>89</v>
      </c>
      <c r="E1054" s="2" t="s">
        <v>3587</v>
      </c>
      <c r="F1054" s="2" t="s">
        <v>3717</v>
      </c>
      <c r="G1054" s="2" t="s">
        <v>3718</v>
      </c>
      <c r="H1054" s="2" t="s">
        <v>2223</v>
      </c>
      <c r="I1054" s="2" t="s">
        <v>3590</v>
      </c>
      <c r="J1054" s="2" t="s">
        <v>118</v>
      </c>
      <c r="K1054" s="2" t="s">
        <v>333</v>
      </c>
      <c r="L1054" s="3">
        <v>114.74</v>
      </c>
      <c r="M1054" s="3">
        <v>120.48</v>
      </c>
      <c r="N1054" s="3">
        <v>224.99</v>
      </c>
      <c r="O1054" s="2" t="s">
        <v>229</v>
      </c>
      <c r="P1054" s="2" t="s">
        <v>198</v>
      </c>
      <c r="Q1054" s="2" t="s">
        <v>99</v>
      </c>
      <c r="R1054" s="2" t="s">
        <v>100</v>
      </c>
      <c r="S1054" s="2" t="s">
        <v>3719</v>
      </c>
      <c r="T1054" s="2" t="s">
        <v>100</v>
      </c>
      <c r="U1054" s="2" t="s">
        <v>3592</v>
      </c>
      <c r="V1054" s="2" t="s">
        <v>404</v>
      </c>
      <c r="W1054" s="2" t="s">
        <v>405</v>
      </c>
      <c r="X1054" s="2" t="s">
        <v>406</v>
      </c>
      <c r="Y1054" s="2" t="s">
        <v>946</v>
      </c>
      <c r="Z1054" s="4">
        <v>73</v>
      </c>
      <c r="AA1054" s="4">
        <f>=ROUNDDOWN(18.25,0)</f>
      </c>
      <c r="AB1054" s="5">
        <v>4</v>
      </c>
      <c r="AC1054" s="2" t="s">
        <v>100</v>
      </c>
      <c r="AD1054" s="4"/>
      <c r="AE1054" s="4"/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>
        <v>2</v>
      </c>
      <c r="AQ1054" s="8">
        <v>240.96</v>
      </c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>
        <v>0.4225</v>
      </c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 t="s">
        <v>100</v>
      </c>
      <c r="BJ1054" s="4">
        <v>107</v>
      </c>
      <c r="BK1054" s="8">
        <v>10713.43</v>
      </c>
      <c r="BL1054" s="2" t="s">
        <v>3720</v>
      </c>
      <c r="BM1054" s="7">
        <v>0.0187</v>
      </c>
      <c r="BN1054" s="7">
        <v>0.0225</v>
      </c>
      <c r="BO1054" s="4">
        <v>2</v>
      </c>
      <c r="BP1054" s="8">
        <v>240.96</v>
      </c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3721</v>
      </c>
      <c r="BX1054" s="2" t="s">
        <v>3727</v>
      </c>
      <c r="BY1054" s="2" t="s">
        <v>112</v>
      </c>
      <c r="BZ1054" s="2" t="s">
        <v>100</v>
      </c>
    </row>
    <row r="1055">
      <c r="A1055" s="2" t="s">
        <v>3728</v>
      </c>
      <c r="B1055" s="2" t="s">
        <v>87</v>
      </c>
      <c r="C1055" s="2" t="s">
        <v>3586</v>
      </c>
      <c r="D1055" s="2" t="s">
        <v>89</v>
      </c>
      <c r="E1055" s="2" t="s">
        <v>3587</v>
      </c>
      <c r="F1055" s="2" t="s">
        <v>3729</v>
      </c>
      <c r="G1055" s="2" t="s">
        <v>3730</v>
      </c>
      <c r="H1055" s="2" t="s">
        <v>3731</v>
      </c>
      <c r="I1055" s="2" t="s">
        <v>3590</v>
      </c>
      <c r="J1055" s="2" t="s">
        <v>95</v>
      </c>
      <c r="K1055" s="2" t="s">
        <v>123</v>
      </c>
      <c r="L1055" s="3">
        <v>94.3</v>
      </c>
      <c r="M1055" s="3">
        <v>99.02</v>
      </c>
      <c r="N1055" s="3">
        <v>184.99</v>
      </c>
      <c r="O1055" s="2" t="s">
        <v>229</v>
      </c>
      <c r="P1055" s="2" t="s">
        <v>198</v>
      </c>
      <c r="Q1055" s="2" t="s">
        <v>99</v>
      </c>
      <c r="R1055" s="2" t="s">
        <v>100</v>
      </c>
      <c r="S1055" s="2" t="s">
        <v>3732</v>
      </c>
      <c r="T1055" s="2" t="s">
        <v>100</v>
      </c>
      <c r="U1055" s="2" t="s">
        <v>3592</v>
      </c>
      <c r="V1055" s="2" t="s">
        <v>103</v>
      </c>
      <c r="W1055" s="2" t="s">
        <v>405</v>
      </c>
      <c r="X1055" s="2" t="s">
        <v>406</v>
      </c>
      <c r="Y1055" s="2" t="s">
        <v>3733</v>
      </c>
      <c r="Z1055" s="4"/>
      <c r="AA1055" s="4">
        <f>=ROUNDDOWN({0},0)</f>
      </c>
      <c r="AB1055" s="5">
        <v>0.5</v>
      </c>
      <c r="AC1055" s="2" t="s">
        <v>100</v>
      </c>
      <c r="AD1055" s="4"/>
      <c r="AE1055" s="4"/>
      <c r="AF1055" s="6">
        <v>64</v>
      </c>
      <c r="AG1055" s="6"/>
      <c r="AH1055" s="7">
        <v>0.1879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>
        <v>0</v>
      </c>
      <c r="AP1055" s="4"/>
      <c r="AQ1055" s="8"/>
      <c r="AR1055" s="4">
        <v>2</v>
      </c>
      <c r="AS1055" s="8">
        <v>215.24</v>
      </c>
      <c r="AT1055" s="7">
        <v>-1</v>
      </c>
      <c r="AU1055" s="7">
        <v>-1</v>
      </c>
      <c r="AV1055" s="4" t="s">
        <v>100</v>
      </c>
      <c r="AW1055" s="8" t="s">
        <v>100</v>
      </c>
      <c r="AX1055" s="4">
        <v>7</v>
      </c>
      <c r="AY1055" s="8">
        <v>817.64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>
        <v>7</v>
      </c>
      <c r="BF1055" s="8">
        <v>817.64</v>
      </c>
      <c r="BG1055" s="7" t="s">
        <v>100</v>
      </c>
      <c r="BH1055" s="7" t="s">
        <v>100</v>
      </c>
      <c r="BI1055" s="7"/>
      <c r="BJ1055" s="4"/>
      <c r="BK1055" s="8"/>
      <c r="BL1055" s="2" t="s">
        <v>3734</v>
      </c>
      <c r="BM1055" s="7"/>
      <c r="BN1055" s="7"/>
      <c r="BO1055" s="4"/>
      <c r="BP1055" s="8"/>
      <c r="BQ1055" s="4">
        <v>2</v>
      </c>
      <c r="BR1055" s="8">
        <v>215.24</v>
      </c>
      <c r="BS1055" s="7">
        <v>-1</v>
      </c>
      <c r="BT1055" s="7">
        <v>-1</v>
      </c>
      <c r="BU1055" s="2" t="s">
        <v>109</v>
      </c>
      <c r="BV1055" s="2" t="s">
        <v>552</v>
      </c>
      <c r="BW1055" s="2" t="s">
        <v>2932</v>
      </c>
      <c r="BX1055" s="2" t="s">
        <v>3735</v>
      </c>
      <c r="BY1055" s="2" t="s">
        <v>112</v>
      </c>
      <c r="BZ1055" s="2" t="s">
        <v>100</v>
      </c>
    </row>
    <row r="1056">
      <c r="A1056" s="2" t="s">
        <v>3736</v>
      </c>
      <c r="B1056" s="2" t="s">
        <v>87</v>
      </c>
      <c r="C1056" s="2" t="s">
        <v>3586</v>
      </c>
      <c r="D1056" s="2" t="s">
        <v>89</v>
      </c>
      <c r="E1056" s="2" t="s">
        <v>3587</v>
      </c>
      <c r="F1056" s="2" t="s">
        <v>3729</v>
      </c>
      <c r="G1056" s="2" t="s">
        <v>3730</v>
      </c>
      <c r="H1056" s="2" t="s">
        <v>3731</v>
      </c>
      <c r="I1056" s="2" t="s">
        <v>3590</v>
      </c>
      <c r="J1056" s="2" t="s">
        <v>114</v>
      </c>
      <c r="K1056" s="2" t="s">
        <v>123</v>
      </c>
      <c r="L1056" s="3">
        <v>114.74</v>
      </c>
      <c r="M1056" s="3">
        <v>120.48</v>
      </c>
      <c r="N1056" s="3">
        <v>244.99</v>
      </c>
      <c r="O1056" s="2" t="s">
        <v>229</v>
      </c>
      <c r="P1056" s="2" t="s">
        <v>3737</v>
      </c>
      <c r="Q1056" s="2" t="s">
        <v>99</v>
      </c>
      <c r="R1056" s="2" t="s">
        <v>100</v>
      </c>
      <c r="S1056" s="2" t="s">
        <v>3732</v>
      </c>
      <c r="T1056" s="2" t="s">
        <v>100</v>
      </c>
      <c r="U1056" s="2" t="s">
        <v>3592</v>
      </c>
      <c r="V1056" s="2" t="s">
        <v>103</v>
      </c>
      <c r="W1056" s="2" t="s">
        <v>405</v>
      </c>
      <c r="X1056" s="2" t="s">
        <v>406</v>
      </c>
      <c r="Y1056" s="2" t="s">
        <v>3733</v>
      </c>
      <c r="Z1056" s="4"/>
      <c r="AA1056" s="4">
        <f>=ROUNDDOWN({0},0)</f>
      </c>
      <c r="AB1056" s="5">
        <v>0.3</v>
      </c>
      <c r="AC1056" s="2" t="s">
        <v>100</v>
      </c>
      <c r="AD1056" s="4"/>
      <c r="AE1056" s="4"/>
      <c r="AF1056" s="6">
        <v>64</v>
      </c>
      <c r="AG1056" s="6"/>
      <c r="AH1056" s="7">
        <v>0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>
        <v>0</v>
      </c>
      <c r="AP1056" s="4"/>
      <c r="AQ1056" s="8"/>
      <c r="AR1056" s="4">
        <v>1</v>
      </c>
      <c r="AS1056" s="8">
        <v>120.48</v>
      </c>
      <c r="AT1056" s="7">
        <v>-1</v>
      </c>
      <c r="AU1056" s="7">
        <v>-1</v>
      </c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/>
      <c r="BK1056" s="8"/>
      <c r="BL1056" s="2" t="s">
        <v>3738</v>
      </c>
      <c r="BM1056" s="7"/>
      <c r="BN1056" s="7"/>
      <c r="BO1056" s="4"/>
      <c r="BP1056" s="8"/>
      <c r="BQ1056" s="4">
        <v>1</v>
      </c>
      <c r="BR1056" s="8">
        <v>120.48</v>
      </c>
      <c r="BS1056" s="7">
        <v>-1</v>
      </c>
      <c r="BT1056" s="7">
        <v>-1</v>
      </c>
      <c r="BU1056" s="2" t="s">
        <v>109</v>
      </c>
      <c r="BV1056" s="2" t="s">
        <v>552</v>
      </c>
      <c r="BW1056" s="2" t="s">
        <v>2932</v>
      </c>
      <c r="BX1056" s="2" t="s">
        <v>3739</v>
      </c>
      <c r="BY1056" s="2" t="s">
        <v>112</v>
      </c>
      <c r="BZ1056" s="2" t="s">
        <v>100</v>
      </c>
    </row>
    <row r="1057">
      <c r="A1057" s="2" t="s">
        <v>3740</v>
      </c>
      <c r="B1057" s="2" t="s">
        <v>87</v>
      </c>
      <c r="C1057" s="2" t="s">
        <v>3586</v>
      </c>
      <c r="D1057" s="2" t="s">
        <v>89</v>
      </c>
      <c r="E1057" s="2" t="s">
        <v>3587</v>
      </c>
      <c r="F1057" s="2" t="s">
        <v>3729</v>
      </c>
      <c r="G1057" s="2" t="s">
        <v>3730</v>
      </c>
      <c r="H1057" s="2" t="s">
        <v>3731</v>
      </c>
      <c r="I1057" s="2" t="s">
        <v>3590</v>
      </c>
      <c r="J1057" s="2" t="s">
        <v>118</v>
      </c>
      <c r="K1057" s="2" t="s">
        <v>123</v>
      </c>
      <c r="L1057" s="3">
        <v>105.56</v>
      </c>
      <c r="M1057" s="3">
        <v>110.84</v>
      </c>
      <c r="N1057" s="3">
        <v>204.99</v>
      </c>
      <c r="O1057" s="2" t="s">
        <v>550</v>
      </c>
      <c r="P1057" s="2" t="s">
        <v>198</v>
      </c>
      <c r="Q1057" s="2" t="s">
        <v>99</v>
      </c>
      <c r="R1057" s="2" t="s">
        <v>100</v>
      </c>
      <c r="S1057" s="2" t="s">
        <v>3732</v>
      </c>
      <c r="T1057" s="2" t="s">
        <v>100</v>
      </c>
      <c r="U1057" s="2" t="s">
        <v>3592</v>
      </c>
      <c r="V1057" s="2" t="s">
        <v>103</v>
      </c>
      <c r="W1057" s="2" t="s">
        <v>405</v>
      </c>
      <c r="X1057" s="2" t="s">
        <v>406</v>
      </c>
      <c r="Y1057" s="2" t="s">
        <v>3733</v>
      </c>
      <c r="Z1057" s="4">
        <v>1</v>
      </c>
      <c r="AA1057" s="4">
        <f>=ROUNDDOWN(5,0)</f>
      </c>
      <c r="AB1057" s="5">
        <v>0.2</v>
      </c>
      <c r="AC1057" s="2" t="s">
        <v>100</v>
      </c>
      <c r="AD1057" s="4"/>
      <c r="AE1057" s="4"/>
      <c r="AF1057" s="6">
        <v>64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>
        <v>0</v>
      </c>
      <c r="AP1057" s="4"/>
      <c r="AQ1057" s="8"/>
      <c r="AR1057" s="4">
        <v>4</v>
      </c>
      <c r="AS1057" s="8">
        <v>481.92</v>
      </c>
      <c r="AT1057" s="7">
        <v>-1</v>
      </c>
      <c r="AU1057" s="7">
        <v>-1</v>
      </c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/>
      <c r="BK1057" s="8"/>
      <c r="BL1057" s="2" t="s">
        <v>3741</v>
      </c>
      <c r="BM1057" s="7"/>
      <c r="BN1057" s="7"/>
      <c r="BO1057" s="4"/>
      <c r="BP1057" s="8"/>
      <c r="BQ1057" s="4">
        <v>4</v>
      </c>
      <c r="BR1057" s="8">
        <v>481.92</v>
      </c>
      <c r="BS1057" s="7">
        <v>-1</v>
      </c>
      <c r="BT1057" s="7">
        <v>-1</v>
      </c>
      <c r="BU1057" s="2" t="s">
        <v>109</v>
      </c>
      <c r="BV1057" s="2" t="s">
        <v>552</v>
      </c>
      <c r="BW1057" s="2" t="s">
        <v>2932</v>
      </c>
      <c r="BX1057" s="2" t="s">
        <v>3742</v>
      </c>
      <c r="BY1057" s="2" t="s">
        <v>112</v>
      </c>
      <c r="BZ1057" s="2" t="s">
        <v>100</v>
      </c>
    </row>
    <row r="1058">
      <c r="A1058" s="2" t="s">
        <v>3743</v>
      </c>
      <c r="B1058" s="2" t="s">
        <v>87</v>
      </c>
      <c r="C1058" s="2" t="s">
        <v>3586</v>
      </c>
      <c r="D1058" s="2" t="s">
        <v>89</v>
      </c>
      <c r="E1058" s="2" t="s">
        <v>3587</v>
      </c>
      <c r="F1058" s="2" t="s">
        <v>3729</v>
      </c>
      <c r="G1058" s="2" t="s">
        <v>3730</v>
      </c>
      <c r="H1058" s="2" t="s">
        <v>3731</v>
      </c>
      <c r="I1058" s="2" t="s">
        <v>3590</v>
      </c>
      <c r="J1058" s="2" t="s">
        <v>95</v>
      </c>
      <c r="K1058" s="2" t="s">
        <v>96</v>
      </c>
      <c r="L1058" s="3">
        <v>94.3</v>
      </c>
      <c r="M1058" s="3">
        <v>99.02</v>
      </c>
      <c r="N1058" s="3">
        <v>184.99</v>
      </c>
      <c r="O1058" s="2" t="s">
        <v>97</v>
      </c>
      <c r="P1058" s="2" t="s">
        <v>198</v>
      </c>
      <c r="Q1058" s="2" t="s">
        <v>99</v>
      </c>
      <c r="R1058" s="2" t="s">
        <v>100</v>
      </c>
      <c r="S1058" s="2" t="s">
        <v>3744</v>
      </c>
      <c r="T1058" s="2" t="s">
        <v>100</v>
      </c>
      <c r="U1058" s="2" t="s">
        <v>3592</v>
      </c>
      <c r="V1058" s="2" t="s">
        <v>103</v>
      </c>
      <c r="W1058" s="2" t="s">
        <v>405</v>
      </c>
      <c r="X1058" s="2" t="s">
        <v>406</v>
      </c>
      <c r="Y1058" s="2" t="s">
        <v>106</v>
      </c>
      <c r="Z1058" s="4">
        <v>171</v>
      </c>
      <c r="AA1058" s="4">
        <f>=ROUNDDOWN(17.1,0)</f>
      </c>
      <c r="AB1058" s="5">
        <v>10</v>
      </c>
      <c r="AC1058" s="2" t="s">
        <v>1193</v>
      </c>
      <c r="AD1058" s="4">
        <v>219</v>
      </c>
      <c r="AE1058" s="4">
        <v>220</v>
      </c>
      <c r="AF1058" s="6">
        <v>64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134</v>
      </c>
      <c r="BK1058" s="8">
        <v>13546.48</v>
      </c>
      <c r="BL1058" s="2" t="s">
        <v>3745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147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3746</v>
      </c>
      <c r="B1059" s="2" t="s">
        <v>87</v>
      </c>
      <c r="C1059" s="2" t="s">
        <v>3586</v>
      </c>
      <c r="D1059" s="2" t="s">
        <v>89</v>
      </c>
      <c r="E1059" s="2" t="s">
        <v>3587</v>
      </c>
      <c r="F1059" s="2" t="s">
        <v>3729</v>
      </c>
      <c r="G1059" s="2" t="s">
        <v>3730</v>
      </c>
      <c r="H1059" s="2" t="s">
        <v>3731</v>
      </c>
      <c r="I1059" s="2" t="s">
        <v>3590</v>
      </c>
      <c r="J1059" s="2" t="s">
        <v>114</v>
      </c>
      <c r="K1059" s="2" t="s">
        <v>96</v>
      </c>
      <c r="L1059" s="3">
        <v>105.56</v>
      </c>
      <c r="M1059" s="3">
        <v>110.84</v>
      </c>
      <c r="N1059" s="3">
        <v>204.99</v>
      </c>
      <c r="O1059" s="2" t="s">
        <v>97</v>
      </c>
      <c r="P1059" s="2" t="s">
        <v>198</v>
      </c>
      <c r="Q1059" s="2" t="s">
        <v>99</v>
      </c>
      <c r="R1059" s="2" t="s">
        <v>100</v>
      </c>
      <c r="S1059" s="2" t="s">
        <v>3744</v>
      </c>
      <c r="T1059" s="2" t="s">
        <v>100</v>
      </c>
      <c r="U1059" s="2" t="s">
        <v>3592</v>
      </c>
      <c r="V1059" s="2" t="s">
        <v>103</v>
      </c>
      <c r="W1059" s="2" t="s">
        <v>405</v>
      </c>
      <c r="X1059" s="2" t="s">
        <v>406</v>
      </c>
      <c r="Y1059" s="2" t="s">
        <v>106</v>
      </c>
      <c r="Z1059" s="4">
        <v>258</v>
      </c>
      <c r="AA1059" s="4">
        <f>=ROUNDDOWN(43,0)</f>
      </c>
      <c r="AB1059" s="5">
        <v>6</v>
      </c>
      <c r="AC1059" s="2" t="s">
        <v>1193</v>
      </c>
      <c r="AD1059" s="4">
        <v>20</v>
      </c>
      <c r="AE1059" s="4">
        <v>20</v>
      </c>
      <c r="AF1059" s="6">
        <v>64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119</v>
      </c>
      <c r="BK1059" s="8">
        <v>12334.21</v>
      </c>
      <c r="BL1059" s="2" t="s">
        <v>3747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147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3748</v>
      </c>
      <c r="B1060" s="2" t="s">
        <v>87</v>
      </c>
      <c r="C1060" s="2" t="s">
        <v>3586</v>
      </c>
      <c r="D1060" s="2" t="s">
        <v>89</v>
      </c>
      <c r="E1060" s="2" t="s">
        <v>3587</v>
      </c>
      <c r="F1060" s="2" t="s">
        <v>3729</v>
      </c>
      <c r="G1060" s="2" t="s">
        <v>3730</v>
      </c>
      <c r="H1060" s="2" t="s">
        <v>3731</v>
      </c>
      <c r="I1060" s="2" t="s">
        <v>3590</v>
      </c>
      <c r="J1060" s="2" t="s">
        <v>118</v>
      </c>
      <c r="K1060" s="2" t="s">
        <v>96</v>
      </c>
      <c r="L1060" s="3">
        <v>105.56</v>
      </c>
      <c r="M1060" s="3">
        <v>110.84</v>
      </c>
      <c r="N1060" s="3">
        <v>204.99</v>
      </c>
      <c r="O1060" s="2" t="s">
        <v>97</v>
      </c>
      <c r="P1060" s="2" t="s">
        <v>198</v>
      </c>
      <c r="Q1060" s="2" t="s">
        <v>99</v>
      </c>
      <c r="R1060" s="2" t="s">
        <v>100</v>
      </c>
      <c r="S1060" s="2" t="s">
        <v>3744</v>
      </c>
      <c r="T1060" s="2" t="s">
        <v>100</v>
      </c>
      <c r="U1060" s="2" t="s">
        <v>3592</v>
      </c>
      <c r="V1060" s="2" t="s">
        <v>103</v>
      </c>
      <c r="W1060" s="2" t="s">
        <v>405</v>
      </c>
      <c r="X1060" s="2" t="s">
        <v>406</v>
      </c>
      <c r="Y1060" s="2" t="s">
        <v>106</v>
      </c>
      <c r="Z1060" s="4">
        <v>118</v>
      </c>
      <c r="AA1060" s="4">
        <f>=ROUNDDOWN(23.6,0)</f>
      </c>
      <c r="AB1060" s="5">
        <v>5</v>
      </c>
      <c r="AC1060" s="2" t="s">
        <v>1193</v>
      </c>
      <c r="AD1060" s="4">
        <v>168</v>
      </c>
      <c r="AE1060" s="4">
        <v>170</v>
      </c>
      <c r="AF1060" s="6">
        <v>64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108</v>
      </c>
      <c r="BK1060" s="8">
        <v>11591.52</v>
      </c>
      <c r="BL1060" s="2" t="s">
        <v>3749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147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100</v>
      </c>
    </row>
    <row r="1061">
      <c r="A1061" s="2" t="s">
        <v>3750</v>
      </c>
      <c r="B1061" s="2" t="s">
        <v>87</v>
      </c>
      <c r="C1061" s="2" t="s">
        <v>3586</v>
      </c>
      <c r="D1061" s="2" t="s">
        <v>89</v>
      </c>
      <c r="E1061" s="2" t="s">
        <v>3587</v>
      </c>
      <c r="F1061" s="2" t="s">
        <v>3751</v>
      </c>
      <c r="G1061" s="2" t="s">
        <v>3752</v>
      </c>
      <c r="H1061" s="2" t="s">
        <v>3753</v>
      </c>
      <c r="I1061" s="2" t="s">
        <v>3590</v>
      </c>
      <c r="J1061" s="2" t="s">
        <v>95</v>
      </c>
      <c r="K1061" s="2" t="s">
        <v>142</v>
      </c>
      <c r="L1061" s="3">
        <v>98.79</v>
      </c>
      <c r="M1061" s="3">
        <v>103.73</v>
      </c>
      <c r="N1061" s="3">
        <v>189.99</v>
      </c>
      <c r="O1061" s="2" t="s">
        <v>97</v>
      </c>
      <c r="P1061" s="2" t="s">
        <v>198</v>
      </c>
      <c r="Q1061" s="2" t="s">
        <v>99</v>
      </c>
      <c r="R1061" s="2" t="s">
        <v>100</v>
      </c>
      <c r="S1061" s="2" t="s">
        <v>3754</v>
      </c>
      <c r="T1061" s="2" t="s">
        <v>100</v>
      </c>
      <c r="U1061" s="2" t="s">
        <v>3592</v>
      </c>
      <c r="V1061" s="2" t="s">
        <v>404</v>
      </c>
      <c r="W1061" s="2" t="s">
        <v>405</v>
      </c>
      <c r="X1061" s="2" t="s">
        <v>1190</v>
      </c>
      <c r="Y1061" s="2" t="s">
        <v>106</v>
      </c>
      <c r="Z1061" s="4">
        <v>91</v>
      </c>
      <c r="AA1061" s="4">
        <f>=ROUNDDOWN(11.375,0)</f>
      </c>
      <c r="AB1061" s="5">
        <v>8</v>
      </c>
      <c r="AC1061" s="2" t="s">
        <v>100</v>
      </c>
      <c r="AD1061" s="4"/>
      <c r="AE1061" s="4"/>
      <c r="AF1061" s="6">
        <v>64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205</v>
      </c>
      <c r="BK1061" s="8">
        <v>20079.77</v>
      </c>
      <c r="BL1061" s="2" t="s">
        <v>3755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147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3756</v>
      </c>
      <c r="B1062" s="2" t="s">
        <v>87</v>
      </c>
      <c r="C1062" s="2" t="s">
        <v>3586</v>
      </c>
      <c r="D1062" s="2" t="s">
        <v>89</v>
      </c>
      <c r="E1062" s="2" t="s">
        <v>3587</v>
      </c>
      <c r="F1062" s="2" t="s">
        <v>3751</v>
      </c>
      <c r="G1062" s="2" t="s">
        <v>3752</v>
      </c>
      <c r="H1062" s="2" t="s">
        <v>3753</v>
      </c>
      <c r="I1062" s="2" t="s">
        <v>3590</v>
      </c>
      <c r="J1062" s="2" t="s">
        <v>114</v>
      </c>
      <c r="K1062" s="2" t="s">
        <v>142</v>
      </c>
      <c r="L1062" s="3">
        <v>109.19</v>
      </c>
      <c r="M1062" s="3">
        <v>114.65</v>
      </c>
      <c r="N1062" s="3">
        <v>209.99</v>
      </c>
      <c r="O1062" s="2" t="s">
        <v>97</v>
      </c>
      <c r="P1062" s="2" t="s">
        <v>198</v>
      </c>
      <c r="Q1062" s="2" t="s">
        <v>99</v>
      </c>
      <c r="R1062" s="2" t="s">
        <v>100</v>
      </c>
      <c r="S1062" s="2" t="s">
        <v>3754</v>
      </c>
      <c r="T1062" s="2" t="s">
        <v>100</v>
      </c>
      <c r="U1062" s="2" t="s">
        <v>3592</v>
      </c>
      <c r="V1062" s="2" t="s">
        <v>404</v>
      </c>
      <c r="W1062" s="2" t="s">
        <v>405</v>
      </c>
      <c r="X1062" s="2" t="s">
        <v>1190</v>
      </c>
      <c r="Y1062" s="2" t="s">
        <v>106</v>
      </c>
      <c r="Z1062" s="4">
        <v>101</v>
      </c>
      <c r="AA1062" s="4">
        <f>=ROUNDDOWN(11.2222222222222,0)</f>
      </c>
      <c r="AB1062" s="5">
        <v>9</v>
      </c>
      <c r="AC1062" s="2" t="s">
        <v>100</v>
      </c>
      <c r="AD1062" s="4"/>
      <c r="AE1062" s="4"/>
      <c r="AF1062" s="6">
        <v>64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>
        <v>0</v>
      </c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193</v>
      </c>
      <c r="BK1062" s="8">
        <v>21769.15</v>
      </c>
      <c r="BL1062" s="2" t="s">
        <v>3757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147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3758</v>
      </c>
      <c r="B1063" s="2" t="s">
        <v>87</v>
      </c>
      <c r="C1063" s="2" t="s">
        <v>3586</v>
      </c>
      <c r="D1063" s="2" t="s">
        <v>89</v>
      </c>
      <c r="E1063" s="2" t="s">
        <v>3587</v>
      </c>
      <c r="F1063" s="2" t="s">
        <v>3751</v>
      </c>
      <c r="G1063" s="2" t="s">
        <v>3752</v>
      </c>
      <c r="H1063" s="2" t="s">
        <v>3753</v>
      </c>
      <c r="I1063" s="2" t="s">
        <v>3590</v>
      </c>
      <c r="J1063" s="2" t="s">
        <v>118</v>
      </c>
      <c r="K1063" s="2" t="s">
        <v>142</v>
      </c>
      <c r="L1063" s="3">
        <v>109.19</v>
      </c>
      <c r="M1063" s="3">
        <v>114.65</v>
      </c>
      <c r="N1063" s="3">
        <v>209.99</v>
      </c>
      <c r="O1063" s="2" t="s">
        <v>97</v>
      </c>
      <c r="P1063" s="2" t="s">
        <v>198</v>
      </c>
      <c r="Q1063" s="2" t="s">
        <v>99</v>
      </c>
      <c r="R1063" s="2" t="s">
        <v>100</v>
      </c>
      <c r="S1063" s="2" t="s">
        <v>3754</v>
      </c>
      <c r="T1063" s="2" t="s">
        <v>100</v>
      </c>
      <c r="U1063" s="2" t="s">
        <v>3592</v>
      </c>
      <c r="V1063" s="2" t="s">
        <v>404</v>
      </c>
      <c r="W1063" s="2" t="s">
        <v>405</v>
      </c>
      <c r="X1063" s="2" t="s">
        <v>1190</v>
      </c>
      <c r="Y1063" s="2" t="s">
        <v>106</v>
      </c>
      <c r="Z1063" s="4">
        <v>108</v>
      </c>
      <c r="AA1063" s="4">
        <f>=ROUNDDOWN(21.6,0)</f>
      </c>
      <c r="AB1063" s="5">
        <v>5</v>
      </c>
      <c r="AC1063" s="2" t="s">
        <v>100</v>
      </c>
      <c r="AD1063" s="4"/>
      <c r="AE1063" s="4"/>
      <c r="AF1063" s="6">
        <v>64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80</v>
      </c>
      <c r="BK1063" s="8">
        <v>8607.61</v>
      </c>
      <c r="BL1063" s="2" t="s">
        <v>3759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147</v>
      </c>
      <c r="BV1063" s="2" t="s">
        <v>97</v>
      </c>
      <c r="BW1063" s="2" t="s">
        <v>100</v>
      </c>
      <c r="BX1063" s="2" t="s">
        <v>100</v>
      </c>
      <c r="BY1063" s="2" t="s">
        <v>112</v>
      </c>
      <c r="BZ1063" s="2" t="s">
        <v>100</v>
      </c>
    </row>
    <row r="1064">
      <c r="A1064" s="2" t="s">
        <v>3760</v>
      </c>
      <c r="B1064" s="2" t="s">
        <v>87</v>
      </c>
      <c r="C1064" s="2" t="s">
        <v>3586</v>
      </c>
      <c r="D1064" s="2" t="s">
        <v>89</v>
      </c>
      <c r="E1064" s="2" t="s">
        <v>3587</v>
      </c>
      <c r="F1064" s="2" t="s">
        <v>3761</v>
      </c>
      <c r="G1064" s="2" t="s">
        <v>3762</v>
      </c>
      <c r="H1064" s="2" t="s">
        <v>1784</v>
      </c>
      <c r="I1064" s="2" t="s">
        <v>3763</v>
      </c>
      <c r="J1064" s="2" t="s">
        <v>95</v>
      </c>
      <c r="K1064" s="2" t="s">
        <v>3764</v>
      </c>
      <c r="L1064" s="3">
        <v>98</v>
      </c>
      <c r="M1064" s="3">
        <v>102.89</v>
      </c>
      <c r="N1064" s="3">
        <v>199.99</v>
      </c>
      <c r="O1064" s="2" t="s">
        <v>97</v>
      </c>
      <c r="P1064" s="2" t="s">
        <v>198</v>
      </c>
      <c r="Q1064" s="2" t="s">
        <v>99</v>
      </c>
      <c r="R1064" s="2" t="s">
        <v>100</v>
      </c>
      <c r="S1064" s="2" t="s">
        <v>3765</v>
      </c>
      <c r="T1064" s="2" t="s">
        <v>100</v>
      </c>
      <c r="U1064" s="2" t="s">
        <v>3592</v>
      </c>
      <c r="V1064" s="2" t="s">
        <v>103</v>
      </c>
      <c r="W1064" s="2" t="s">
        <v>405</v>
      </c>
      <c r="X1064" s="2" t="s">
        <v>406</v>
      </c>
      <c r="Y1064" s="2" t="s">
        <v>1132</v>
      </c>
      <c r="Z1064" s="4">
        <v>77</v>
      </c>
      <c r="AA1064" s="4">
        <f>=ROUNDDOWN(4.03141361256545,0)</f>
      </c>
      <c r="AB1064" s="5">
        <v>19.1</v>
      </c>
      <c r="AC1064" s="2" t="s">
        <v>100</v>
      </c>
      <c r="AD1064" s="4"/>
      <c r="AE1064" s="4"/>
      <c r="AF1064" s="6">
        <v>64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100</v>
      </c>
      <c r="AW1064" s="8" t="s">
        <v>100</v>
      </c>
      <c r="AX1064" s="4" t="s">
        <v>100</v>
      </c>
      <c r="AY1064" s="8" t="s">
        <v>100</v>
      </c>
      <c r="AZ1064" s="7" t="s">
        <v>100</v>
      </c>
      <c r="BA1064" s="7" t="s">
        <v>100</v>
      </c>
      <c r="BB1064" s="7"/>
      <c r="BC1064" s="4" t="s">
        <v>100</v>
      </c>
      <c r="BD1064" s="8" t="s">
        <v>100</v>
      </c>
      <c r="BE1064" s="4" t="s">
        <v>100</v>
      </c>
      <c r="BF1064" s="8" t="s">
        <v>100</v>
      </c>
      <c r="BG1064" s="7" t="s">
        <v>100</v>
      </c>
      <c r="BH1064" s="7" t="s">
        <v>100</v>
      </c>
      <c r="BI1064" s="7"/>
      <c r="BJ1064" s="4">
        <v>362</v>
      </c>
      <c r="BK1064" s="8">
        <v>30222.13</v>
      </c>
      <c r="BL1064" s="2" t="s">
        <v>3766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147</v>
      </c>
      <c r="BV1064" s="2" t="s">
        <v>97</v>
      </c>
      <c r="BW1064" s="2" t="s">
        <v>100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3767</v>
      </c>
      <c r="B1065" s="2" t="s">
        <v>87</v>
      </c>
      <c r="C1065" s="2" t="s">
        <v>3586</v>
      </c>
      <c r="D1065" s="2" t="s">
        <v>89</v>
      </c>
      <c r="E1065" s="2" t="s">
        <v>3587</v>
      </c>
      <c r="F1065" s="2" t="s">
        <v>3761</v>
      </c>
      <c r="G1065" s="2" t="s">
        <v>3762</v>
      </c>
      <c r="H1065" s="2" t="s">
        <v>1784</v>
      </c>
      <c r="I1065" s="2" t="s">
        <v>3763</v>
      </c>
      <c r="J1065" s="2" t="s">
        <v>114</v>
      </c>
      <c r="K1065" s="2" t="s">
        <v>3764</v>
      </c>
      <c r="L1065" s="3">
        <v>107.8</v>
      </c>
      <c r="M1065" s="3">
        <v>113.18</v>
      </c>
      <c r="N1065" s="3">
        <v>219.99</v>
      </c>
      <c r="O1065" s="2" t="s">
        <v>97</v>
      </c>
      <c r="P1065" s="2" t="s">
        <v>198</v>
      </c>
      <c r="Q1065" s="2" t="s">
        <v>99</v>
      </c>
      <c r="R1065" s="2" t="s">
        <v>100</v>
      </c>
      <c r="S1065" s="2" t="s">
        <v>3765</v>
      </c>
      <c r="T1065" s="2" t="s">
        <v>100</v>
      </c>
      <c r="U1065" s="2" t="s">
        <v>3592</v>
      </c>
      <c r="V1065" s="2" t="s">
        <v>103</v>
      </c>
      <c r="W1065" s="2" t="s">
        <v>405</v>
      </c>
      <c r="X1065" s="2" t="s">
        <v>406</v>
      </c>
      <c r="Y1065" s="2" t="s">
        <v>1132</v>
      </c>
      <c r="Z1065" s="4">
        <v>136</v>
      </c>
      <c r="AA1065" s="4">
        <f>=ROUNDDOWN(22.6666666666667,0)</f>
      </c>
      <c r="AB1065" s="5">
        <v>6</v>
      </c>
      <c r="AC1065" s="2" t="s">
        <v>100</v>
      </c>
      <c r="AD1065" s="4"/>
      <c r="AE1065" s="4"/>
      <c r="AF1065" s="6">
        <v>64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100</v>
      </c>
      <c r="AW1065" s="8" t="s">
        <v>100</v>
      </c>
      <c r="AX1065" s="4" t="s">
        <v>100</v>
      </c>
      <c r="AY1065" s="8" t="s">
        <v>100</v>
      </c>
      <c r="AZ1065" s="7" t="s">
        <v>100</v>
      </c>
      <c r="BA1065" s="7" t="s">
        <v>100</v>
      </c>
      <c r="BB1065" s="7"/>
      <c r="BC1065" s="4" t="s">
        <v>100</v>
      </c>
      <c r="BD1065" s="8" t="s">
        <v>100</v>
      </c>
      <c r="BE1065" s="4" t="s">
        <v>100</v>
      </c>
      <c r="BF1065" s="8" t="s">
        <v>100</v>
      </c>
      <c r="BG1065" s="7" t="s">
        <v>100</v>
      </c>
      <c r="BH1065" s="7" t="s">
        <v>100</v>
      </c>
      <c r="BI1065" s="7"/>
      <c r="BJ1065" s="4">
        <v>236</v>
      </c>
      <c r="BK1065" s="8">
        <v>21469.85</v>
      </c>
      <c r="BL1065" s="2" t="s">
        <v>3768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147</v>
      </c>
      <c r="BV1065" s="2" t="s">
        <v>97</v>
      </c>
      <c r="BW1065" s="2" t="s">
        <v>100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3769</v>
      </c>
      <c r="B1066" s="2" t="s">
        <v>87</v>
      </c>
      <c r="C1066" s="2" t="s">
        <v>3586</v>
      </c>
      <c r="D1066" s="2" t="s">
        <v>89</v>
      </c>
      <c r="E1066" s="2" t="s">
        <v>3587</v>
      </c>
      <c r="F1066" s="2" t="s">
        <v>3761</v>
      </c>
      <c r="G1066" s="2" t="s">
        <v>3762</v>
      </c>
      <c r="H1066" s="2" t="s">
        <v>1784</v>
      </c>
      <c r="I1066" s="2" t="s">
        <v>3763</v>
      </c>
      <c r="J1066" s="2" t="s">
        <v>118</v>
      </c>
      <c r="K1066" s="2" t="s">
        <v>3764</v>
      </c>
      <c r="L1066" s="3">
        <v>107.8</v>
      </c>
      <c r="M1066" s="3">
        <v>113.18</v>
      </c>
      <c r="N1066" s="3">
        <v>219.99</v>
      </c>
      <c r="O1066" s="2" t="s">
        <v>97</v>
      </c>
      <c r="P1066" s="2" t="s">
        <v>198</v>
      </c>
      <c r="Q1066" s="2" t="s">
        <v>99</v>
      </c>
      <c r="R1066" s="2" t="s">
        <v>100</v>
      </c>
      <c r="S1066" s="2" t="s">
        <v>3765</v>
      </c>
      <c r="T1066" s="2" t="s">
        <v>100</v>
      </c>
      <c r="U1066" s="2" t="s">
        <v>3592</v>
      </c>
      <c r="V1066" s="2" t="s">
        <v>103</v>
      </c>
      <c r="W1066" s="2" t="s">
        <v>405</v>
      </c>
      <c r="X1066" s="2" t="s">
        <v>406</v>
      </c>
      <c r="Y1066" s="2" t="s">
        <v>1132</v>
      </c>
      <c r="Z1066" s="4">
        <v>111</v>
      </c>
      <c r="AA1066" s="4">
        <f>=ROUNDDOWN(27.75,0)</f>
      </c>
      <c r="AB1066" s="5">
        <v>4</v>
      </c>
      <c r="AC1066" s="2" t="s">
        <v>100</v>
      </c>
      <c r="AD1066" s="4"/>
      <c r="AE1066" s="4"/>
      <c r="AF1066" s="6">
        <v>64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100</v>
      </c>
      <c r="AW1066" s="8" t="s">
        <v>100</v>
      </c>
      <c r="AX1066" s="4" t="s">
        <v>100</v>
      </c>
      <c r="AY1066" s="8" t="s">
        <v>100</v>
      </c>
      <c r="AZ1066" s="7" t="s">
        <v>100</v>
      </c>
      <c r="BA1066" s="7" t="s">
        <v>100</v>
      </c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157</v>
      </c>
      <c r="BK1066" s="8">
        <v>13781.34</v>
      </c>
      <c r="BL1066" s="2" t="s">
        <v>3770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147</v>
      </c>
      <c r="BV1066" s="2" t="s">
        <v>97</v>
      </c>
      <c r="BW1066" s="2" t="s">
        <v>100</v>
      </c>
      <c r="BX1066" s="2" t="s">
        <v>100</v>
      </c>
      <c r="BY1066" s="2" t="s">
        <v>112</v>
      </c>
      <c r="BZ1066" s="2" t="s">
        <v>100</v>
      </c>
    </row>
    <row r="1067">
      <c r="A1067" s="2" t="s">
        <v>3771</v>
      </c>
      <c r="B1067" s="2" t="s">
        <v>87</v>
      </c>
      <c r="C1067" s="2" t="s">
        <v>3586</v>
      </c>
      <c r="D1067" s="2" t="s">
        <v>89</v>
      </c>
      <c r="E1067" s="2" t="s">
        <v>2005</v>
      </c>
      <c r="F1067" s="2" t="s">
        <v>3772</v>
      </c>
      <c r="G1067" s="2" t="s">
        <v>3773</v>
      </c>
      <c r="H1067" s="2" t="s">
        <v>3774</v>
      </c>
      <c r="I1067" s="2" t="s">
        <v>3775</v>
      </c>
      <c r="J1067" s="2" t="s">
        <v>3012</v>
      </c>
      <c r="K1067" s="2" t="s">
        <v>247</v>
      </c>
      <c r="L1067" s="3">
        <v>49.39</v>
      </c>
      <c r="M1067" s="3">
        <v>51.86</v>
      </c>
      <c r="N1067" s="3">
        <v>89.99</v>
      </c>
      <c r="O1067" s="2" t="s">
        <v>97</v>
      </c>
      <c r="P1067" s="2" t="s">
        <v>1265</v>
      </c>
      <c r="Q1067" s="2" t="s">
        <v>99</v>
      </c>
      <c r="R1067" s="2" t="s">
        <v>100</v>
      </c>
      <c r="S1067" s="2" t="s">
        <v>3776</v>
      </c>
      <c r="T1067" s="2" t="s">
        <v>100</v>
      </c>
      <c r="U1067" s="2" t="s">
        <v>102</v>
      </c>
      <c r="V1067" s="2" t="s">
        <v>455</v>
      </c>
      <c r="W1067" s="2" t="s">
        <v>1530</v>
      </c>
      <c r="X1067" s="2" t="s">
        <v>907</v>
      </c>
      <c r="Y1067" s="2" t="s">
        <v>106</v>
      </c>
      <c r="Z1067" s="4">
        <v>134</v>
      </c>
      <c r="AA1067" s="4">
        <f>=ROUNDDOWN(33.5,0)</f>
      </c>
      <c r="AB1067" s="5">
        <v>4</v>
      </c>
      <c r="AC1067" s="2" t="s">
        <v>936</v>
      </c>
      <c r="AD1067" s="4">
        <v>50</v>
      </c>
      <c r="AE1067" s="4">
        <v>50</v>
      </c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>
        <v>0</v>
      </c>
      <c r="AP1067" s="4"/>
      <c r="AQ1067" s="8"/>
      <c r="AR1067" s="4">
        <v>1</v>
      </c>
      <c r="AS1067" s="8">
        <v>51.86</v>
      </c>
      <c r="AT1067" s="7">
        <v>-1</v>
      </c>
      <c r="AU1067" s="7">
        <v>-1</v>
      </c>
      <c r="AV1067" s="4">
        <v>11</v>
      </c>
      <c r="AW1067" s="8">
        <v>700.18</v>
      </c>
      <c r="AX1067" s="4">
        <v>6</v>
      </c>
      <c r="AY1067" s="8">
        <v>368.23</v>
      </c>
      <c r="AZ1067" s="7">
        <v>0.8333</v>
      </c>
      <c r="BA1067" s="7">
        <v>0.9015</v>
      </c>
      <c r="BB1067" s="7"/>
      <c r="BC1067" s="4">
        <v>17</v>
      </c>
      <c r="BD1067" s="8">
        <v>1063.22</v>
      </c>
      <c r="BE1067" s="4">
        <v>6</v>
      </c>
      <c r="BF1067" s="8">
        <v>368.23</v>
      </c>
      <c r="BG1067" s="7">
        <v>1.8333</v>
      </c>
      <c r="BH1067" s="7">
        <v>1.8874</v>
      </c>
      <c r="BI1067" s="7">
        <v>0.6585</v>
      </c>
      <c r="BJ1067" s="4">
        <v>55</v>
      </c>
      <c r="BK1067" s="8">
        <v>2924.34</v>
      </c>
      <c r="BL1067" s="2" t="s">
        <v>3777</v>
      </c>
      <c r="BM1067" s="7"/>
      <c r="BN1067" s="7"/>
      <c r="BO1067" s="4"/>
      <c r="BP1067" s="8"/>
      <c r="BQ1067" s="4">
        <v>1</v>
      </c>
      <c r="BR1067" s="8">
        <v>51.86</v>
      </c>
      <c r="BS1067" s="7">
        <v>-1</v>
      </c>
      <c r="BT1067" s="7">
        <v>-1</v>
      </c>
      <c r="BU1067" s="2" t="s">
        <v>109</v>
      </c>
      <c r="BV1067" s="2" t="s">
        <v>97</v>
      </c>
      <c r="BW1067" s="2" t="s">
        <v>737</v>
      </c>
      <c r="BX1067" s="2" t="s">
        <v>1025</v>
      </c>
      <c r="BY1067" s="2" t="s">
        <v>112</v>
      </c>
      <c r="BZ1067" s="2" t="s">
        <v>100</v>
      </c>
    </row>
    <row r="1068">
      <c r="A1068" s="2" t="s">
        <v>3778</v>
      </c>
      <c r="B1068" s="2" t="s">
        <v>87</v>
      </c>
      <c r="C1068" s="2" t="s">
        <v>3586</v>
      </c>
      <c r="D1068" s="2" t="s">
        <v>89</v>
      </c>
      <c r="E1068" s="2" t="s">
        <v>2005</v>
      </c>
      <c r="F1068" s="2" t="s">
        <v>3772</v>
      </c>
      <c r="G1068" s="2" t="s">
        <v>3773</v>
      </c>
      <c r="H1068" s="2" t="s">
        <v>3774</v>
      </c>
      <c r="I1068" s="2" t="s">
        <v>3775</v>
      </c>
      <c r="J1068" s="2" t="s">
        <v>3779</v>
      </c>
      <c r="K1068" s="2" t="s">
        <v>247</v>
      </c>
      <c r="L1068" s="3">
        <v>51.86</v>
      </c>
      <c r="M1068" s="3">
        <v>54.45</v>
      </c>
      <c r="N1068" s="3">
        <v>94.99</v>
      </c>
      <c r="O1068" s="2" t="s">
        <v>97</v>
      </c>
      <c r="P1068" s="2" t="s">
        <v>1265</v>
      </c>
      <c r="Q1068" s="2" t="s">
        <v>99</v>
      </c>
      <c r="R1068" s="2" t="s">
        <v>100</v>
      </c>
      <c r="S1068" s="2" t="s">
        <v>3776</v>
      </c>
      <c r="T1068" s="2" t="s">
        <v>100</v>
      </c>
      <c r="U1068" s="2" t="s">
        <v>102</v>
      </c>
      <c r="V1068" s="2" t="s">
        <v>455</v>
      </c>
      <c r="W1068" s="2" t="s">
        <v>1530</v>
      </c>
      <c r="X1068" s="2" t="s">
        <v>907</v>
      </c>
      <c r="Y1068" s="2" t="s">
        <v>3780</v>
      </c>
      <c r="Z1068" s="4">
        <v>128</v>
      </c>
      <c r="AA1068" s="4">
        <f>=ROUNDDOWN(42.6666666666667,0)</f>
      </c>
      <c r="AB1068" s="5">
        <v>3</v>
      </c>
      <c r="AC1068" s="2" t="s">
        <v>936</v>
      </c>
      <c r="AD1068" s="4">
        <v>20</v>
      </c>
      <c r="AE1068" s="4">
        <v>20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 t="s">
        <v>100</v>
      </c>
      <c r="BJ1068" s="4">
        <v>49</v>
      </c>
      <c r="BK1068" s="8">
        <v>2710.3</v>
      </c>
      <c r="BL1068" s="2" t="s">
        <v>3781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147</v>
      </c>
      <c r="BV1068" s="2" t="s">
        <v>97</v>
      </c>
      <c r="BW1068" s="2" t="s">
        <v>100</v>
      </c>
      <c r="BX1068" s="2" t="s">
        <v>100</v>
      </c>
      <c r="BY1068" s="2" t="s">
        <v>112</v>
      </c>
      <c r="BZ1068" s="2" t="s">
        <v>100</v>
      </c>
    </row>
    <row r="1069">
      <c r="A1069" s="2" t="s">
        <v>3782</v>
      </c>
      <c r="B1069" s="2" t="s">
        <v>87</v>
      </c>
      <c r="C1069" s="2" t="s">
        <v>3586</v>
      </c>
      <c r="D1069" s="2" t="s">
        <v>89</v>
      </c>
      <c r="E1069" s="2" t="s">
        <v>2005</v>
      </c>
      <c r="F1069" s="2" t="s">
        <v>3772</v>
      </c>
      <c r="G1069" s="2" t="s">
        <v>3773</v>
      </c>
      <c r="H1069" s="2" t="s">
        <v>3774</v>
      </c>
      <c r="I1069" s="2" t="s">
        <v>3783</v>
      </c>
      <c r="J1069" s="2" t="s">
        <v>122</v>
      </c>
      <c r="K1069" s="2" t="s">
        <v>247</v>
      </c>
      <c r="L1069" s="3">
        <v>54.33</v>
      </c>
      <c r="M1069" s="3">
        <v>57.05</v>
      </c>
      <c r="N1069" s="3">
        <v>99.99</v>
      </c>
      <c r="O1069" s="2" t="s">
        <v>97</v>
      </c>
      <c r="P1069" s="2" t="s">
        <v>1265</v>
      </c>
      <c r="Q1069" s="2" t="s">
        <v>99</v>
      </c>
      <c r="R1069" s="2" t="s">
        <v>100</v>
      </c>
      <c r="S1069" s="2" t="s">
        <v>3776</v>
      </c>
      <c r="T1069" s="2" t="s">
        <v>100</v>
      </c>
      <c r="U1069" s="2" t="s">
        <v>807</v>
      </c>
      <c r="V1069" s="2" t="s">
        <v>455</v>
      </c>
      <c r="W1069" s="2" t="s">
        <v>1530</v>
      </c>
      <c r="X1069" s="2" t="s">
        <v>907</v>
      </c>
      <c r="Y1069" s="2" t="s">
        <v>106</v>
      </c>
      <c r="Z1069" s="4">
        <v>118</v>
      </c>
      <c r="AA1069" s="4">
        <f>=ROUNDDOWN(29.5,0)</f>
      </c>
      <c r="AB1069" s="5">
        <v>4</v>
      </c>
      <c r="AC1069" s="2" t="s">
        <v>936</v>
      </c>
      <c r="AD1069" s="4">
        <v>50</v>
      </c>
      <c r="AE1069" s="4">
        <v>50</v>
      </c>
      <c r="AF1069" s="6">
        <v>65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>
        <v>0</v>
      </c>
      <c r="AP1069" s="4"/>
      <c r="AQ1069" s="8"/>
      <c r="AR1069" s="4">
        <v>1</v>
      </c>
      <c r="AS1069" s="8">
        <v>57.05</v>
      </c>
      <c r="AT1069" s="7">
        <v>-1</v>
      </c>
      <c r="AU1069" s="7">
        <v>-1</v>
      </c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 t="s">
        <v>100</v>
      </c>
      <c r="BJ1069" s="4">
        <v>61</v>
      </c>
      <c r="BK1069" s="8">
        <v>3652.43</v>
      </c>
      <c r="BL1069" s="2" t="s">
        <v>3784</v>
      </c>
      <c r="BM1069" s="7"/>
      <c r="BN1069" s="7"/>
      <c r="BO1069" s="4"/>
      <c r="BP1069" s="8"/>
      <c r="BQ1069" s="4">
        <v>1</v>
      </c>
      <c r="BR1069" s="8">
        <v>57.05</v>
      </c>
      <c r="BS1069" s="7">
        <v>-1</v>
      </c>
      <c r="BT1069" s="7">
        <v>-1</v>
      </c>
      <c r="BU1069" s="2" t="s">
        <v>109</v>
      </c>
      <c r="BV1069" s="2" t="s">
        <v>97</v>
      </c>
      <c r="BW1069" s="2" t="s">
        <v>737</v>
      </c>
      <c r="BX1069" s="2" t="s">
        <v>876</v>
      </c>
      <c r="BY1069" s="2" t="s">
        <v>112</v>
      </c>
      <c r="BZ1069" s="2" t="s">
        <v>100</v>
      </c>
    </row>
    <row r="1070">
      <c r="A1070" s="2" t="s">
        <v>3785</v>
      </c>
      <c r="B1070" s="2" t="s">
        <v>87</v>
      </c>
      <c r="C1070" s="2" t="s">
        <v>3586</v>
      </c>
      <c r="D1070" s="2" t="s">
        <v>89</v>
      </c>
      <c r="E1070" s="2" t="s">
        <v>2005</v>
      </c>
      <c r="F1070" s="2" t="s">
        <v>3772</v>
      </c>
      <c r="G1070" s="2" t="s">
        <v>3773</v>
      </c>
      <c r="H1070" s="2" t="s">
        <v>3774</v>
      </c>
      <c r="I1070" s="2" t="s">
        <v>3783</v>
      </c>
      <c r="J1070" s="2" t="s">
        <v>95</v>
      </c>
      <c r="K1070" s="2" t="s">
        <v>247</v>
      </c>
      <c r="L1070" s="3">
        <v>59.27</v>
      </c>
      <c r="M1070" s="3">
        <v>62.23</v>
      </c>
      <c r="N1070" s="3">
        <v>109.99</v>
      </c>
      <c r="O1070" s="2" t="s">
        <v>97</v>
      </c>
      <c r="P1070" s="2" t="s">
        <v>1265</v>
      </c>
      <c r="Q1070" s="2" t="s">
        <v>99</v>
      </c>
      <c r="R1070" s="2" t="s">
        <v>100</v>
      </c>
      <c r="S1070" s="2" t="s">
        <v>3776</v>
      </c>
      <c r="T1070" s="2" t="s">
        <v>100</v>
      </c>
      <c r="U1070" s="2" t="s">
        <v>807</v>
      </c>
      <c r="V1070" s="2" t="s">
        <v>455</v>
      </c>
      <c r="W1070" s="2" t="s">
        <v>1530</v>
      </c>
      <c r="X1070" s="2" t="s">
        <v>907</v>
      </c>
      <c r="Y1070" s="2" t="s">
        <v>106</v>
      </c>
      <c r="Z1070" s="4">
        <v>373</v>
      </c>
      <c r="AA1070" s="4">
        <f>=ROUNDDOWN(37.3,0)</f>
      </c>
      <c r="AB1070" s="5">
        <v>10</v>
      </c>
      <c r="AC1070" s="2" t="s">
        <v>936</v>
      </c>
      <c r="AD1070" s="4">
        <v>189</v>
      </c>
      <c r="AE1070" s="4">
        <v>189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>
        <v>0</v>
      </c>
      <c r="AP1070" s="4">
        <v>8</v>
      </c>
      <c r="AQ1070" s="8">
        <v>497.92</v>
      </c>
      <c r="AR1070" s="4">
        <v>2</v>
      </c>
      <c r="AS1070" s="8">
        <v>124.48</v>
      </c>
      <c r="AT1070" s="7">
        <v>3</v>
      </c>
      <c r="AU1070" s="7">
        <v>3</v>
      </c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>
        <v>0.7111</v>
      </c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 t="s">
        <v>100</v>
      </c>
      <c r="BJ1070" s="4">
        <v>184</v>
      </c>
      <c r="BK1070" s="8">
        <v>12447.36</v>
      </c>
      <c r="BL1070" s="2" t="s">
        <v>3786</v>
      </c>
      <c r="BM1070" s="7">
        <v>0.0435</v>
      </c>
      <c r="BN1070" s="7">
        <v>0.04</v>
      </c>
      <c r="BO1070" s="4">
        <v>8</v>
      </c>
      <c r="BP1070" s="8">
        <v>497.92</v>
      </c>
      <c r="BQ1070" s="4">
        <v>2</v>
      </c>
      <c r="BR1070" s="8">
        <v>124.48</v>
      </c>
      <c r="BS1070" s="7">
        <v>3</v>
      </c>
      <c r="BT1070" s="7">
        <v>3</v>
      </c>
      <c r="BU1070" s="2" t="s">
        <v>109</v>
      </c>
      <c r="BV1070" s="2" t="s">
        <v>97</v>
      </c>
      <c r="BW1070" s="2" t="s">
        <v>737</v>
      </c>
      <c r="BX1070" s="2" t="s">
        <v>3451</v>
      </c>
      <c r="BY1070" s="2" t="s">
        <v>112</v>
      </c>
      <c r="BZ1070" s="2" t="s">
        <v>100</v>
      </c>
    </row>
    <row r="1071">
      <c r="A1071" s="2" t="s">
        <v>3787</v>
      </c>
      <c r="B1071" s="2" t="s">
        <v>87</v>
      </c>
      <c r="C1071" s="2" t="s">
        <v>3586</v>
      </c>
      <c r="D1071" s="2" t="s">
        <v>89</v>
      </c>
      <c r="E1071" s="2" t="s">
        <v>2005</v>
      </c>
      <c r="F1071" s="2" t="s">
        <v>3772</v>
      </c>
      <c r="G1071" s="2" t="s">
        <v>3773</v>
      </c>
      <c r="H1071" s="2" t="s">
        <v>3774</v>
      </c>
      <c r="I1071" s="2" t="s">
        <v>3783</v>
      </c>
      <c r="J1071" s="2" t="s">
        <v>114</v>
      </c>
      <c r="K1071" s="2" t="s">
        <v>247</v>
      </c>
      <c r="L1071" s="3">
        <v>64.21</v>
      </c>
      <c r="M1071" s="3">
        <v>67.42</v>
      </c>
      <c r="N1071" s="3">
        <v>119.99</v>
      </c>
      <c r="O1071" s="2" t="s">
        <v>97</v>
      </c>
      <c r="P1071" s="2" t="s">
        <v>1265</v>
      </c>
      <c r="Q1071" s="2" t="s">
        <v>99</v>
      </c>
      <c r="R1071" s="2" t="s">
        <v>100</v>
      </c>
      <c r="S1071" s="2" t="s">
        <v>3776</v>
      </c>
      <c r="T1071" s="2" t="s">
        <v>100</v>
      </c>
      <c r="U1071" s="2" t="s">
        <v>807</v>
      </c>
      <c r="V1071" s="2" t="s">
        <v>455</v>
      </c>
      <c r="W1071" s="2" t="s">
        <v>1530</v>
      </c>
      <c r="X1071" s="2" t="s">
        <v>907</v>
      </c>
      <c r="Y1071" s="2" t="s">
        <v>106</v>
      </c>
      <c r="Z1071" s="4">
        <v>225</v>
      </c>
      <c r="AA1071" s="4">
        <f>=ROUNDDOWN(18.75,0)</f>
      </c>
      <c r="AB1071" s="5">
        <v>12</v>
      </c>
      <c r="AC1071" s="2" t="s">
        <v>936</v>
      </c>
      <c r="AD1071" s="4">
        <v>160</v>
      </c>
      <c r="AE1071" s="4">
        <v>160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>
        <v>0</v>
      </c>
      <c r="AP1071" s="4">
        <v>2</v>
      </c>
      <c r="AQ1071" s="8">
        <v>134.84</v>
      </c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>
        <v>0.1926</v>
      </c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 t="s">
        <v>100</v>
      </c>
      <c r="BJ1071" s="4">
        <v>223</v>
      </c>
      <c r="BK1071" s="8">
        <v>16697.56</v>
      </c>
      <c r="BL1071" s="2" t="s">
        <v>1081</v>
      </c>
      <c r="BM1071" s="7">
        <v>0.009</v>
      </c>
      <c r="BN1071" s="7">
        <v>0.0081</v>
      </c>
      <c r="BO1071" s="4">
        <v>2</v>
      </c>
      <c r="BP1071" s="8">
        <v>134.84</v>
      </c>
      <c r="BQ1071" s="4"/>
      <c r="BR1071" s="8"/>
      <c r="BS1071" s="7"/>
      <c r="BT1071" s="7"/>
      <c r="BU1071" s="2" t="s">
        <v>109</v>
      </c>
      <c r="BV1071" s="2" t="s">
        <v>97</v>
      </c>
      <c r="BW1071" s="2" t="s">
        <v>737</v>
      </c>
      <c r="BX1071" s="2" t="s">
        <v>3788</v>
      </c>
      <c r="BY1071" s="2" t="s">
        <v>112</v>
      </c>
      <c r="BZ1071" s="2" t="s">
        <v>100</v>
      </c>
    </row>
    <row r="1072">
      <c r="A1072" s="2" t="s">
        <v>3789</v>
      </c>
      <c r="B1072" s="2" t="s">
        <v>87</v>
      </c>
      <c r="C1072" s="2" t="s">
        <v>3586</v>
      </c>
      <c r="D1072" s="2" t="s">
        <v>89</v>
      </c>
      <c r="E1072" s="2" t="s">
        <v>2005</v>
      </c>
      <c r="F1072" s="2" t="s">
        <v>3772</v>
      </c>
      <c r="G1072" s="2" t="s">
        <v>3773</v>
      </c>
      <c r="H1072" s="2" t="s">
        <v>3774</v>
      </c>
      <c r="I1072" s="2" t="s">
        <v>3783</v>
      </c>
      <c r="J1072" s="2" t="s">
        <v>118</v>
      </c>
      <c r="K1072" s="2" t="s">
        <v>247</v>
      </c>
      <c r="L1072" s="3">
        <v>64.21</v>
      </c>
      <c r="M1072" s="3">
        <v>67.42</v>
      </c>
      <c r="N1072" s="3">
        <v>119.99</v>
      </c>
      <c r="O1072" s="2" t="s">
        <v>97</v>
      </c>
      <c r="P1072" s="2" t="s">
        <v>1265</v>
      </c>
      <c r="Q1072" s="2" t="s">
        <v>99</v>
      </c>
      <c r="R1072" s="2" t="s">
        <v>100</v>
      </c>
      <c r="S1072" s="2" t="s">
        <v>3776</v>
      </c>
      <c r="T1072" s="2" t="s">
        <v>100</v>
      </c>
      <c r="U1072" s="2" t="s">
        <v>807</v>
      </c>
      <c r="V1072" s="2" t="s">
        <v>455</v>
      </c>
      <c r="W1072" s="2" t="s">
        <v>1530</v>
      </c>
      <c r="X1072" s="2" t="s">
        <v>907</v>
      </c>
      <c r="Y1072" s="2" t="s">
        <v>106</v>
      </c>
      <c r="Z1072" s="4">
        <v>148</v>
      </c>
      <c r="AA1072" s="4">
        <f>=ROUNDDOWN(29.6,0)</f>
      </c>
      <c r="AB1072" s="5">
        <v>5</v>
      </c>
      <c r="AC1072" s="2" t="s">
        <v>936</v>
      </c>
      <c r="AD1072" s="4">
        <v>70</v>
      </c>
      <c r="AE1072" s="4">
        <v>70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>
        <v>0</v>
      </c>
      <c r="AP1072" s="4">
        <v>1</v>
      </c>
      <c r="AQ1072" s="8">
        <v>67.42</v>
      </c>
      <c r="AR1072" s="4">
        <v>2</v>
      </c>
      <c r="AS1072" s="8">
        <v>134.84</v>
      </c>
      <c r="AT1072" s="7">
        <v>-0.5</v>
      </c>
      <c r="AU1072" s="7">
        <v>-0.5</v>
      </c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>
        <v>0.0963</v>
      </c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 t="s">
        <v>100</v>
      </c>
      <c r="BJ1072" s="4">
        <v>83</v>
      </c>
      <c r="BK1072" s="8">
        <v>6022.82</v>
      </c>
      <c r="BL1072" s="2" t="s">
        <v>3790</v>
      </c>
      <c r="BM1072" s="7">
        <v>0.012</v>
      </c>
      <c r="BN1072" s="7">
        <v>0.0112</v>
      </c>
      <c r="BO1072" s="4">
        <v>1</v>
      </c>
      <c r="BP1072" s="8">
        <v>67.42</v>
      </c>
      <c r="BQ1072" s="4">
        <v>2</v>
      </c>
      <c r="BR1072" s="8">
        <v>134.84</v>
      </c>
      <c r="BS1072" s="7">
        <v>-0.5</v>
      </c>
      <c r="BT1072" s="7">
        <v>-0.5</v>
      </c>
      <c r="BU1072" s="2" t="s">
        <v>109</v>
      </c>
      <c r="BV1072" s="2" t="s">
        <v>97</v>
      </c>
      <c r="BW1072" s="2" t="s">
        <v>737</v>
      </c>
      <c r="BX1072" s="2" t="s">
        <v>3791</v>
      </c>
      <c r="BY1072" s="2" t="s">
        <v>112</v>
      </c>
      <c r="BZ1072" s="2" t="s">
        <v>100</v>
      </c>
    </row>
    <row r="1073">
      <c r="A1073" s="2" t="s">
        <v>3792</v>
      </c>
      <c r="B1073" s="2" t="s">
        <v>87</v>
      </c>
      <c r="C1073" s="2" t="s">
        <v>3586</v>
      </c>
      <c r="D1073" s="2" t="s">
        <v>89</v>
      </c>
      <c r="E1073" s="2" t="s">
        <v>2005</v>
      </c>
      <c r="F1073" s="2" t="s">
        <v>3772</v>
      </c>
      <c r="G1073" s="2" t="s">
        <v>3773</v>
      </c>
      <c r="H1073" s="2" t="s">
        <v>3774</v>
      </c>
      <c r="I1073" s="2" t="s">
        <v>3775</v>
      </c>
      <c r="J1073" s="2" t="s">
        <v>3012</v>
      </c>
      <c r="K1073" s="2" t="s">
        <v>622</v>
      </c>
      <c r="L1073" s="3">
        <v>49.39</v>
      </c>
      <c r="M1073" s="3">
        <v>51.86</v>
      </c>
      <c r="N1073" s="3">
        <v>89.99</v>
      </c>
      <c r="O1073" s="2" t="s">
        <v>97</v>
      </c>
      <c r="P1073" s="2" t="s">
        <v>198</v>
      </c>
      <c r="Q1073" s="2" t="s">
        <v>99</v>
      </c>
      <c r="R1073" s="2" t="s">
        <v>100</v>
      </c>
      <c r="S1073" s="2" t="s">
        <v>3793</v>
      </c>
      <c r="T1073" s="2" t="s">
        <v>100</v>
      </c>
      <c r="U1073" s="2" t="s">
        <v>102</v>
      </c>
      <c r="V1073" s="2" t="s">
        <v>455</v>
      </c>
      <c r="W1073" s="2" t="s">
        <v>1530</v>
      </c>
      <c r="X1073" s="2" t="s">
        <v>907</v>
      </c>
      <c r="Y1073" s="2" t="s">
        <v>106</v>
      </c>
      <c r="Z1073" s="4">
        <v>134</v>
      </c>
      <c r="AA1073" s="4">
        <f>=ROUNDDOWN(134,0)</f>
      </c>
      <c r="AB1073" s="5">
        <v>1</v>
      </c>
      <c r="AC1073" s="2" t="s">
        <v>335</v>
      </c>
      <c r="AD1073" s="4">
        <v>60</v>
      </c>
      <c r="AE1073" s="4">
        <v>60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>
        <v>0</v>
      </c>
      <c r="AP1073" s="4">
        <v>2</v>
      </c>
      <c r="AQ1073" s="8">
        <v>103.72</v>
      </c>
      <c r="AR1073" s="4"/>
      <c r="AS1073" s="8"/>
      <c r="AT1073" s="7"/>
      <c r="AU1073" s="7"/>
      <c r="AV1073" s="4">
        <v>6</v>
      </c>
      <c r="AW1073" s="8">
        <v>363.04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>
        <v>0.2857</v>
      </c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>
        <v>0.3415</v>
      </c>
      <c r="BJ1073" s="4">
        <v>20</v>
      </c>
      <c r="BK1073" s="8">
        <v>987.52</v>
      </c>
      <c r="BL1073" s="2" t="s">
        <v>3794</v>
      </c>
      <c r="BM1073" s="7">
        <v>0.1</v>
      </c>
      <c r="BN1073" s="7">
        <v>0.105</v>
      </c>
      <c r="BO1073" s="4">
        <v>2</v>
      </c>
      <c r="BP1073" s="8">
        <v>103.72</v>
      </c>
      <c r="BQ1073" s="4"/>
      <c r="BR1073" s="8"/>
      <c r="BS1073" s="7"/>
      <c r="BT1073" s="7"/>
      <c r="BU1073" s="2" t="s">
        <v>109</v>
      </c>
      <c r="BV1073" s="2" t="s">
        <v>97</v>
      </c>
      <c r="BW1073" s="2" t="s">
        <v>737</v>
      </c>
      <c r="BX1073" s="2" t="s">
        <v>3795</v>
      </c>
      <c r="BY1073" s="2" t="s">
        <v>112</v>
      </c>
      <c r="BZ1073" s="2" t="s">
        <v>100</v>
      </c>
    </row>
    <row r="1074">
      <c r="A1074" s="2" t="s">
        <v>3796</v>
      </c>
      <c r="B1074" s="2" t="s">
        <v>87</v>
      </c>
      <c r="C1074" s="2" t="s">
        <v>3586</v>
      </c>
      <c r="D1074" s="2" t="s">
        <v>89</v>
      </c>
      <c r="E1074" s="2" t="s">
        <v>2005</v>
      </c>
      <c r="F1074" s="2" t="s">
        <v>3772</v>
      </c>
      <c r="G1074" s="2" t="s">
        <v>3773</v>
      </c>
      <c r="H1074" s="2" t="s">
        <v>3774</v>
      </c>
      <c r="I1074" s="2" t="s">
        <v>3783</v>
      </c>
      <c r="J1074" s="2" t="s">
        <v>122</v>
      </c>
      <c r="K1074" s="2" t="s">
        <v>622</v>
      </c>
      <c r="L1074" s="3">
        <v>54.33</v>
      </c>
      <c r="M1074" s="3">
        <v>57.05</v>
      </c>
      <c r="N1074" s="3">
        <v>99.99</v>
      </c>
      <c r="O1074" s="2" t="s">
        <v>97</v>
      </c>
      <c r="P1074" s="2" t="s">
        <v>198</v>
      </c>
      <c r="Q1074" s="2" t="s">
        <v>99</v>
      </c>
      <c r="R1074" s="2" t="s">
        <v>100</v>
      </c>
      <c r="S1074" s="2" t="s">
        <v>3793</v>
      </c>
      <c r="T1074" s="2" t="s">
        <v>100</v>
      </c>
      <c r="U1074" s="2" t="s">
        <v>807</v>
      </c>
      <c r="V1074" s="2" t="s">
        <v>455</v>
      </c>
      <c r="W1074" s="2" t="s">
        <v>1530</v>
      </c>
      <c r="X1074" s="2" t="s">
        <v>907</v>
      </c>
      <c r="Y1074" s="2" t="s">
        <v>106</v>
      </c>
      <c r="Z1074" s="4">
        <v>98</v>
      </c>
      <c r="AA1074" s="4">
        <f>=ROUNDDOWN(32.6666666666667,0)</f>
      </c>
      <c r="AB1074" s="5">
        <v>3</v>
      </c>
      <c r="AC1074" s="2" t="s">
        <v>335</v>
      </c>
      <c r="AD1074" s="4">
        <v>65</v>
      </c>
      <c r="AE1074" s="4">
        <v>65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 t="s">
        <v>100</v>
      </c>
      <c r="BJ1074" s="4">
        <v>38</v>
      </c>
      <c r="BK1074" s="8">
        <v>2139.78</v>
      </c>
      <c r="BL1074" s="2" t="s">
        <v>3797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</v>
      </c>
      <c r="BV1074" s="2" t="s">
        <v>97</v>
      </c>
      <c r="BW1074" s="2" t="s">
        <v>3798</v>
      </c>
      <c r="BX1074" s="2" t="s">
        <v>100</v>
      </c>
      <c r="BY1074" s="2" t="s">
        <v>112</v>
      </c>
      <c r="BZ1074" s="2" t="s">
        <v>100</v>
      </c>
    </row>
    <row r="1075">
      <c r="A1075" s="2" t="s">
        <v>3799</v>
      </c>
      <c r="B1075" s="2" t="s">
        <v>87</v>
      </c>
      <c r="C1075" s="2" t="s">
        <v>3586</v>
      </c>
      <c r="D1075" s="2" t="s">
        <v>89</v>
      </c>
      <c r="E1075" s="2" t="s">
        <v>2005</v>
      </c>
      <c r="F1075" s="2" t="s">
        <v>3772</v>
      </c>
      <c r="G1075" s="2" t="s">
        <v>3773</v>
      </c>
      <c r="H1075" s="2" t="s">
        <v>3774</v>
      </c>
      <c r="I1075" s="2" t="s">
        <v>3783</v>
      </c>
      <c r="J1075" s="2" t="s">
        <v>95</v>
      </c>
      <c r="K1075" s="2" t="s">
        <v>622</v>
      </c>
      <c r="L1075" s="3">
        <v>59.27</v>
      </c>
      <c r="M1075" s="3">
        <v>62.23</v>
      </c>
      <c r="N1075" s="3">
        <v>109.99</v>
      </c>
      <c r="O1075" s="2" t="s">
        <v>97</v>
      </c>
      <c r="P1075" s="2" t="s">
        <v>198</v>
      </c>
      <c r="Q1075" s="2" t="s">
        <v>99</v>
      </c>
      <c r="R1075" s="2" t="s">
        <v>100</v>
      </c>
      <c r="S1075" s="2" t="s">
        <v>3793</v>
      </c>
      <c r="T1075" s="2" t="s">
        <v>100</v>
      </c>
      <c r="U1075" s="2" t="s">
        <v>807</v>
      </c>
      <c r="V1075" s="2" t="s">
        <v>455</v>
      </c>
      <c r="W1075" s="2" t="s">
        <v>1530</v>
      </c>
      <c r="X1075" s="2" t="s">
        <v>907</v>
      </c>
      <c r="Y1075" s="2" t="s">
        <v>106</v>
      </c>
      <c r="Z1075" s="4">
        <v>271</v>
      </c>
      <c r="AA1075" s="4">
        <f>=ROUNDDOWN(45.1666666666667,0)</f>
      </c>
      <c r="AB1075" s="5">
        <v>6</v>
      </c>
      <c r="AC1075" s="2" t="s">
        <v>335</v>
      </c>
      <c r="AD1075" s="4">
        <v>204</v>
      </c>
      <c r="AE1075" s="4">
        <v>204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>
        <v>0</v>
      </c>
      <c r="AP1075" s="4">
        <v>2</v>
      </c>
      <c r="AQ1075" s="8">
        <v>124.48</v>
      </c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>
        <v>0.3429</v>
      </c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 t="s">
        <v>100</v>
      </c>
      <c r="BJ1075" s="4">
        <v>124</v>
      </c>
      <c r="BK1075" s="8">
        <v>8134.62</v>
      </c>
      <c r="BL1075" s="2" t="s">
        <v>3800</v>
      </c>
      <c r="BM1075" s="7">
        <v>0.0161</v>
      </c>
      <c r="BN1075" s="7">
        <v>0.0153</v>
      </c>
      <c r="BO1075" s="4">
        <v>2</v>
      </c>
      <c r="BP1075" s="8">
        <v>124.48</v>
      </c>
      <c r="BQ1075" s="4"/>
      <c r="BR1075" s="8"/>
      <c r="BS1075" s="7"/>
      <c r="BT1075" s="7"/>
      <c r="BU1075" s="2" t="s">
        <v>109</v>
      </c>
      <c r="BV1075" s="2" t="s">
        <v>97</v>
      </c>
      <c r="BW1075" s="2" t="s">
        <v>737</v>
      </c>
      <c r="BX1075" s="2" t="s">
        <v>3801</v>
      </c>
      <c r="BY1075" s="2" t="s">
        <v>112</v>
      </c>
      <c r="BZ1075" s="2" t="s">
        <v>100</v>
      </c>
    </row>
    <row r="1076">
      <c r="A1076" s="2" t="s">
        <v>3802</v>
      </c>
      <c r="B1076" s="2" t="s">
        <v>87</v>
      </c>
      <c r="C1076" s="2" t="s">
        <v>3586</v>
      </c>
      <c r="D1076" s="2" t="s">
        <v>89</v>
      </c>
      <c r="E1076" s="2" t="s">
        <v>2005</v>
      </c>
      <c r="F1076" s="2" t="s">
        <v>3772</v>
      </c>
      <c r="G1076" s="2" t="s">
        <v>3773</v>
      </c>
      <c r="H1076" s="2" t="s">
        <v>3774</v>
      </c>
      <c r="I1076" s="2" t="s">
        <v>3783</v>
      </c>
      <c r="J1076" s="2" t="s">
        <v>114</v>
      </c>
      <c r="K1076" s="2" t="s">
        <v>622</v>
      </c>
      <c r="L1076" s="3">
        <v>64.21</v>
      </c>
      <c r="M1076" s="3">
        <v>67.42</v>
      </c>
      <c r="N1076" s="3">
        <v>119.99</v>
      </c>
      <c r="O1076" s="2" t="s">
        <v>97</v>
      </c>
      <c r="P1076" s="2" t="s">
        <v>198</v>
      </c>
      <c r="Q1076" s="2" t="s">
        <v>99</v>
      </c>
      <c r="R1076" s="2" t="s">
        <v>100</v>
      </c>
      <c r="S1076" s="2" t="s">
        <v>3793</v>
      </c>
      <c r="T1076" s="2" t="s">
        <v>100</v>
      </c>
      <c r="U1076" s="2" t="s">
        <v>807</v>
      </c>
      <c r="V1076" s="2" t="s">
        <v>455</v>
      </c>
      <c r="W1076" s="2" t="s">
        <v>1530</v>
      </c>
      <c r="X1076" s="2" t="s">
        <v>907</v>
      </c>
      <c r="Y1076" s="2" t="s">
        <v>106</v>
      </c>
      <c r="Z1076" s="4">
        <v>141</v>
      </c>
      <c r="AA1076" s="4">
        <f>=ROUNDDOWN(25.6363636363636,0)</f>
      </c>
      <c r="AB1076" s="5">
        <v>5.5</v>
      </c>
      <c r="AC1076" s="2" t="s">
        <v>335</v>
      </c>
      <c r="AD1076" s="4">
        <v>130</v>
      </c>
      <c r="AE1076" s="4">
        <v>130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>
        <v>0</v>
      </c>
      <c r="AP1076" s="4">
        <v>2</v>
      </c>
      <c r="AQ1076" s="8">
        <v>134.84</v>
      </c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>
        <v>0.3714</v>
      </c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 t="s">
        <v>100</v>
      </c>
      <c r="BJ1076" s="4">
        <v>132</v>
      </c>
      <c r="BK1076" s="8">
        <v>9824.35</v>
      </c>
      <c r="BL1076" s="2" t="s">
        <v>3803</v>
      </c>
      <c r="BM1076" s="7">
        <v>0.0152</v>
      </c>
      <c r="BN1076" s="7">
        <v>0.0137</v>
      </c>
      <c r="BO1076" s="4">
        <v>2</v>
      </c>
      <c r="BP1076" s="8">
        <v>134.84</v>
      </c>
      <c r="BQ1076" s="4"/>
      <c r="BR1076" s="8"/>
      <c r="BS1076" s="7"/>
      <c r="BT1076" s="7"/>
      <c r="BU1076" s="2" t="s">
        <v>109</v>
      </c>
      <c r="BV1076" s="2" t="s">
        <v>97</v>
      </c>
      <c r="BW1076" s="2" t="s">
        <v>2117</v>
      </c>
      <c r="BX1076" s="2" t="s">
        <v>3804</v>
      </c>
      <c r="BY1076" s="2" t="s">
        <v>112</v>
      </c>
      <c r="BZ1076" s="2" t="s">
        <v>100</v>
      </c>
    </row>
    <row r="1077">
      <c r="A1077" s="2" t="s">
        <v>3805</v>
      </c>
      <c r="B1077" s="2" t="s">
        <v>87</v>
      </c>
      <c r="C1077" s="2" t="s">
        <v>3586</v>
      </c>
      <c r="D1077" s="2" t="s">
        <v>89</v>
      </c>
      <c r="E1077" s="2" t="s">
        <v>2005</v>
      </c>
      <c r="F1077" s="2" t="s">
        <v>3772</v>
      </c>
      <c r="G1077" s="2" t="s">
        <v>3773</v>
      </c>
      <c r="H1077" s="2" t="s">
        <v>3774</v>
      </c>
      <c r="I1077" s="2" t="s">
        <v>3783</v>
      </c>
      <c r="J1077" s="2" t="s">
        <v>118</v>
      </c>
      <c r="K1077" s="2" t="s">
        <v>622</v>
      </c>
      <c r="L1077" s="3">
        <v>64.21</v>
      </c>
      <c r="M1077" s="3">
        <v>67.42</v>
      </c>
      <c r="N1077" s="3">
        <v>119.99</v>
      </c>
      <c r="O1077" s="2" t="s">
        <v>229</v>
      </c>
      <c r="P1077" s="2" t="s">
        <v>198</v>
      </c>
      <c r="Q1077" s="2" t="s">
        <v>99</v>
      </c>
      <c r="R1077" s="2" t="s">
        <v>100</v>
      </c>
      <c r="S1077" s="2" t="s">
        <v>3793</v>
      </c>
      <c r="T1077" s="2" t="s">
        <v>100</v>
      </c>
      <c r="U1077" s="2" t="s">
        <v>807</v>
      </c>
      <c r="V1077" s="2" t="s">
        <v>455</v>
      </c>
      <c r="W1077" s="2" t="s">
        <v>1530</v>
      </c>
      <c r="X1077" s="2" t="s">
        <v>907</v>
      </c>
      <c r="Y1077" s="2" t="s">
        <v>106</v>
      </c>
      <c r="Z1077" s="4">
        <v>601</v>
      </c>
      <c r="AA1077" s="4">
        <f>=ROUNDDOWN(120.2,0)</f>
      </c>
      <c r="AB1077" s="5">
        <v>5</v>
      </c>
      <c r="AC1077" s="2" t="s">
        <v>100</v>
      </c>
      <c r="AD1077" s="4"/>
      <c r="AE1077" s="4"/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 t="s">
        <v>100</v>
      </c>
      <c r="BJ1077" s="4">
        <v>66</v>
      </c>
      <c r="BK1077" s="8">
        <v>4486.53</v>
      </c>
      <c r="BL1077" s="2" t="s">
        <v>3806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</v>
      </c>
      <c r="BV1077" s="2" t="s">
        <v>97</v>
      </c>
      <c r="BW1077" s="2" t="s">
        <v>737</v>
      </c>
      <c r="BX1077" s="2" t="s">
        <v>100</v>
      </c>
      <c r="BY1077" s="2" t="s">
        <v>112</v>
      </c>
      <c r="BZ1077" s="2" t="s">
        <v>100</v>
      </c>
    </row>
    <row r="1078">
      <c r="A1078" s="2" t="s">
        <v>3807</v>
      </c>
      <c r="B1078" s="2" t="s">
        <v>87</v>
      </c>
      <c r="C1078" s="2" t="s">
        <v>3586</v>
      </c>
      <c r="D1078" s="2" t="s">
        <v>89</v>
      </c>
      <c r="E1078" s="2" t="s">
        <v>2005</v>
      </c>
      <c r="F1078" s="2" t="s">
        <v>3772</v>
      </c>
      <c r="G1078" s="2" t="s">
        <v>3773</v>
      </c>
      <c r="H1078" s="2" t="s">
        <v>3774</v>
      </c>
      <c r="I1078" s="2" t="s">
        <v>3783</v>
      </c>
      <c r="J1078" s="2" t="s">
        <v>122</v>
      </c>
      <c r="K1078" s="2" t="s">
        <v>158</v>
      </c>
      <c r="L1078" s="3">
        <v>54.33</v>
      </c>
      <c r="M1078" s="3">
        <v>57.05</v>
      </c>
      <c r="N1078" s="3">
        <v>99.99</v>
      </c>
      <c r="O1078" s="2" t="s">
        <v>97</v>
      </c>
      <c r="P1078" s="2" t="s">
        <v>198</v>
      </c>
      <c r="Q1078" s="2" t="s">
        <v>99</v>
      </c>
      <c r="R1078" s="2" t="s">
        <v>100</v>
      </c>
      <c r="S1078" s="2" t="s">
        <v>3808</v>
      </c>
      <c r="T1078" s="2" t="s">
        <v>100</v>
      </c>
      <c r="U1078" s="2" t="s">
        <v>807</v>
      </c>
      <c r="V1078" s="2" t="s">
        <v>455</v>
      </c>
      <c r="W1078" s="2" t="s">
        <v>1530</v>
      </c>
      <c r="X1078" s="2" t="s">
        <v>907</v>
      </c>
      <c r="Y1078" s="2" t="s">
        <v>106</v>
      </c>
      <c r="Z1078" s="4"/>
      <c r="AA1078" s="4">
        <f>=ROUNDDOWN({0},0)</f>
      </c>
      <c r="AB1078" s="5">
        <v>0.9</v>
      </c>
      <c r="AC1078" s="2" t="s">
        <v>100</v>
      </c>
      <c r="AD1078" s="4"/>
      <c r="AE1078" s="4"/>
      <c r="AF1078" s="6">
        <v>64</v>
      </c>
      <c r="AG1078" s="6"/>
      <c r="AH1078" s="7">
        <v>0.9879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>
        <v>28</v>
      </c>
      <c r="BK1078" s="8">
        <v>1750.62</v>
      </c>
      <c r="BL1078" s="2" t="s">
        <v>3809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147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100</v>
      </c>
    </row>
    <row r="1079">
      <c r="A1079" s="2" t="s">
        <v>3810</v>
      </c>
      <c r="B1079" s="2" t="s">
        <v>87</v>
      </c>
      <c r="C1079" s="2" t="s">
        <v>3586</v>
      </c>
      <c r="D1079" s="2" t="s">
        <v>89</v>
      </c>
      <c r="E1079" s="2" t="s">
        <v>2005</v>
      </c>
      <c r="F1079" s="2" t="s">
        <v>3811</v>
      </c>
      <c r="G1079" s="2" t="s">
        <v>3812</v>
      </c>
      <c r="H1079" s="2" t="s">
        <v>3813</v>
      </c>
      <c r="I1079" s="2" t="s">
        <v>3775</v>
      </c>
      <c r="J1079" s="2" t="s">
        <v>3012</v>
      </c>
      <c r="K1079" s="2" t="s">
        <v>3814</v>
      </c>
      <c r="L1079" s="3">
        <v>49.39</v>
      </c>
      <c r="M1079" s="3">
        <v>51.86</v>
      </c>
      <c r="N1079" s="3">
        <v>89.99</v>
      </c>
      <c r="O1079" s="2" t="s">
        <v>97</v>
      </c>
      <c r="P1079" s="2" t="s">
        <v>198</v>
      </c>
      <c r="Q1079" s="2" t="s">
        <v>99</v>
      </c>
      <c r="R1079" s="2" t="s">
        <v>100</v>
      </c>
      <c r="S1079" s="2" t="s">
        <v>3815</v>
      </c>
      <c r="T1079" s="2" t="s">
        <v>100</v>
      </c>
      <c r="U1079" s="2" t="s">
        <v>102</v>
      </c>
      <c r="V1079" s="2" t="s">
        <v>1275</v>
      </c>
      <c r="W1079" s="2" t="s">
        <v>759</v>
      </c>
      <c r="X1079" s="2" t="s">
        <v>1191</v>
      </c>
      <c r="Y1079" s="2" t="s">
        <v>106</v>
      </c>
      <c r="Z1079" s="4">
        <v>59</v>
      </c>
      <c r="AA1079" s="4">
        <f>=ROUNDDOWN(11.8,0)</f>
      </c>
      <c r="AB1079" s="5">
        <v>5</v>
      </c>
      <c r="AC1079" s="2" t="s">
        <v>100</v>
      </c>
      <c r="AD1079" s="4"/>
      <c r="AE1079" s="4"/>
      <c r="AF1079" s="6">
        <v>65</v>
      </c>
      <c r="AG1079" s="6"/>
      <c r="AH1079" s="7">
        <v>0.9394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>
        <v>0</v>
      </c>
      <c r="AP1079" s="4"/>
      <c r="AQ1079" s="8"/>
      <c r="AR1079" s="4">
        <v>3</v>
      </c>
      <c r="AS1079" s="8">
        <v>155.58</v>
      </c>
      <c r="AT1079" s="7">
        <v>-1</v>
      </c>
      <c r="AU1079" s="7">
        <v>-1</v>
      </c>
      <c r="AV1079" s="4">
        <v>13</v>
      </c>
      <c r="AW1079" s="8">
        <v>845.37</v>
      </c>
      <c r="AX1079" s="4">
        <v>32</v>
      </c>
      <c r="AY1079" s="8">
        <v>2089.51</v>
      </c>
      <c r="AZ1079" s="7">
        <v>-0.5938</v>
      </c>
      <c r="BA1079" s="7">
        <v>-0.5954</v>
      </c>
      <c r="BB1079" s="7"/>
      <c r="BC1079" s="4">
        <v>13</v>
      </c>
      <c r="BD1079" s="8">
        <v>845.37</v>
      </c>
      <c r="BE1079" s="4">
        <v>32</v>
      </c>
      <c r="BF1079" s="8">
        <v>2089.51</v>
      </c>
      <c r="BG1079" s="7">
        <v>-0.5938</v>
      </c>
      <c r="BH1079" s="7">
        <v>-0.5954</v>
      </c>
      <c r="BI1079" s="7">
        <v>1</v>
      </c>
      <c r="BJ1079" s="4">
        <v>112</v>
      </c>
      <c r="BK1079" s="8">
        <v>5471.57</v>
      </c>
      <c r="BL1079" s="2" t="s">
        <v>3816</v>
      </c>
      <c r="BM1079" s="7"/>
      <c r="BN1079" s="7"/>
      <c r="BO1079" s="4"/>
      <c r="BP1079" s="8"/>
      <c r="BQ1079" s="4">
        <v>3</v>
      </c>
      <c r="BR1079" s="8">
        <v>155.58</v>
      </c>
      <c r="BS1079" s="7">
        <v>-1</v>
      </c>
      <c r="BT1079" s="7">
        <v>-1</v>
      </c>
      <c r="BU1079" s="2" t="s">
        <v>109</v>
      </c>
      <c r="BV1079" s="2" t="s">
        <v>97</v>
      </c>
      <c r="BW1079" s="2" t="s">
        <v>606</v>
      </c>
      <c r="BX1079" s="2" t="s">
        <v>1025</v>
      </c>
      <c r="BY1079" s="2" t="s">
        <v>112</v>
      </c>
      <c r="BZ1079" s="2" t="s">
        <v>100</v>
      </c>
    </row>
    <row r="1080">
      <c r="A1080" s="2" t="s">
        <v>3817</v>
      </c>
      <c r="B1080" s="2" t="s">
        <v>87</v>
      </c>
      <c r="C1080" s="2" t="s">
        <v>3586</v>
      </c>
      <c r="D1080" s="2" t="s">
        <v>89</v>
      </c>
      <c r="E1080" s="2" t="s">
        <v>2005</v>
      </c>
      <c r="F1080" s="2" t="s">
        <v>3811</v>
      </c>
      <c r="G1080" s="2" t="s">
        <v>3812</v>
      </c>
      <c r="H1080" s="2" t="s">
        <v>3813</v>
      </c>
      <c r="I1080" s="2" t="s">
        <v>3783</v>
      </c>
      <c r="J1080" s="2" t="s">
        <v>122</v>
      </c>
      <c r="K1080" s="2" t="s">
        <v>3814</v>
      </c>
      <c r="L1080" s="3">
        <v>54.33</v>
      </c>
      <c r="M1080" s="3">
        <v>57.05</v>
      </c>
      <c r="N1080" s="3">
        <v>99.99</v>
      </c>
      <c r="O1080" s="2" t="s">
        <v>97</v>
      </c>
      <c r="P1080" s="2" t="s">
        <v>198</v>
      </c>
      <c r="Q1080" s="2" t="s">
        <v>99</v>
      </c>
      <c r="R1080" s="2" t="s">
        <v>100</v>
      </c>
      <c r="S1080" s="2" t="s">
        <v>3815</v>
      </c>
      <c r="T1080" s="2" t="s">
        <v>100</v>
      </c>
      <c r="U1080" s="2" t="s">
        <v>807</v>
      </c>
      <c r="V1080" s="2" t="s">
        <v>1275</v>
      </c>
      <c r="W1080" s="2" t="s">
        <v>759</v>
      </c>
      <c r="X1080" s="2" t="s">
        <v>1191</v>
      </c>
      <c r="Y1080" s="2" t="s">
        <v>106</v>
      </c>
      <c r="Z1080" s="4">
        <v>120</v>
      </c>
      <c r="AA1080" s="4">
        <f>=ROUNDDOWN(30,0)</f>
      </c>
      <c r="AB1080" s="5">
        <v>4</v>
      </c>
      <c r="AC1080" s="2" t="s">
        <v>100</v>
      </c>
      <c r="AD1080" s="4"/>
      <c r="AE1080" s="4"/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>
        <v>0</v>
      </c>
      <c r="AP1080" s="4">
        <v>1</v>
      </c>
      <c r="AQ1080" s="8">
        <v>57.05</v>
      </c>
      <c r="AR1080" s="4">
        <v>1</v>
      </c>
      <c r="AS1080" s="8">
        <v>60.05</v>
      </c>
      <c r="AT1080" s="7"/>
      <c r="AU1080" s="7">
        <v>-0.05</v>
      </c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>
        <v>0.0675</v>
      </c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 t="s">
        <v>100</v>
      </c>
      <c r="BJ1080" s="4">
        <v>108</v>
      </c>
      <c r="BK1080" s="8">
        <v>5989.46</v>
      </c>
      <c r="BL1080" s="2" t="s">
        <v>3818</v>
      </c>
      <c r="BM1080" s="7">
        <v>0.0093</v>
      </c>
      <c r="BN1080" s="7">
        <v>0.0095</v>
      </c>
      <c r="BO1080" s="4">
        <v>1</v>
      </c>
      <c r="BP1080" s="8">
        <v>57.05</v>
      </c>
      <c r="BQ1080" s="4">
        <v>1</v>
      </c>
      <c r="BR1080" s="8">
        <v>60.05</v>
      </c>
      <c r="BS1080" s="7"/>
      <c r="BT1080" s="7">
        <v>-0.05</v>
      </c>
      <c r="BU1080" s="2" t="s">
        <v>109</v>
      </c>
      <c r="BV1080" s="2" t="s">
        <v>97</v>
      </c>
      <c r="BW1080" s="2" t="s">
        <v>606</v>
      </c>
      <c r="BX1080" s="2" t="s">
        <v>3819</v>
      </c>
      <c r="BY1080" s="2" t="s">
        <v>112</v>
      </c>
      <c r="BZ1080" s="2" t="s">
        <v>100</v>
      </c>
    </row>
    <row r="1081">
      <c r="A1081" s="2" t="s">
        <v>3820</v>
      </c>
      <c r="B1081" s="2" t="s">
        <v>87</v>
      </c>
      <c r="C1081" s="2" t="s">
        <v>3586</v>
      </c>
      <c r="D1081" s="2" t="s">
        <v>89</v>
      </c>
      <c r="E1081" s="2" t="s">
        <v>2005</v>
      </c>
      <c r="F1081" s="2" t="s">
        <v>3811</v>
      </c>
      <c r="G1081" s="2" t="s">
        <v>3812</v>
      </c>
      <c r="H1081" s="2" t="s">
        <v>3813</v>
      </c>
      <c r="I1081" s="2" t="s">
        <v>3783</v>
      </c>
      <c r="J1081" s="2" t="s">
        <v>95</v>
      </c>
      <c r="K1081" s="2" t="s">
        <v>3814</v>
      </c>
      <c r="L1081" s="3">
        <v>59.27</v>
      </c>
      <c r="M1081" s="3">
        <v>62.23</v>
      </c>
      <c r="N1081" s="3">
        <v>109.99</v>
      </c>
      <c r="O1081" s="2" t="s">
        <v>229</v>
      </c>
      <c r="P1081" s="2" t="s">
        <v>198</v>
      </c>
      <c r="Q1081" s="2" t="s">
        <v>99</v>
      </c>
      <c r="R1081" s="2" t="s">
        <v>100</v>
      </c>
      <c r="S1081" s="2" t="s">
        <v>3815</v>
      </c>
      <c r="T1081" s="2" t="s">
        <v>100</v>
      </c>
      <c r="U1081" s="2" t="s">
        <v>807</v>
      </c>
      <c r="V1081" s="2" t="s">
        <v>1275</v>
      </c>
      <c r="W1081" s="2" t="s">
        <v>759</v>
      </c>
      <c r="X1081" s="2" t="s">
        <v>1191</v>
      </c>
      <c r="Y1081" s="2" t="s">
        <v>106</v>
      </c>
      <c r="Z1081" s="4">
        <v>1275</v>
      </c>
      <c r="AA1081" s="4">
        <f>=ROUNDDOWN(159.375,0)</f>
      </c>
      <c r="AB1081" s="5">
        <v>8</v>
      </c>
      <c r="AC1081" s="2" t="s">
        <v>100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>
        <v>0</v>
      </c>
      <c r="AP1081" s="4">
        <v>4</v>
      </c>
      <c r="AQ1081" s="8">
        <v>248.96</v>
      </c>
      <c r="AR1081" s="4">
        <v>17</v>
      </c>
      <c r="AS1081" s="8">
        <v>1103.86</v>
      </c>
      <c r="AT1081" s="7">
        <v>-0.7647</v>
      </c>
      <c r="AU1081" s="7">
        <v>-0.7745</v>
      </c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>
        <v>0.2945</v>
      </c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 t="s">
        <v>100</v>
      </c>
      <c r="BJ1081" s="4">
        <v>187</v>
      </c>
      <c r="BK1081" s="8">
        <v>11005.29</v>
      </c>
      <c r="BL1081" s="2" t="s">
        <v>3821</v>
      </c>
      <c r="BM1081" s="7">
        <v>0.0214</v>
      </c>
      <c r="BN1081" s="7">
        <v>0.0226</v>
      </c>
      <c r="BO1081" s="4">
        <v>4</v>
      </c>
      <c r="BP1081" s="8">
        <v>248.96</v>
      </c>
      <c r="BQ1081" s="4">
        <v>17</v>
      </c>
      <c r="BR1081" s="8">
        <v>1103.86</v>
      </c>
      <c r="BS1081" s="7">
        <v>-0.7647</v>
      </c>
      <c r="BT1081" s="7">
        <v>-0.7745</v>
      </c>
      <c r="BU1081" s="2" t="s">
        <v>109</v>
      </c>
      <c r="BV1081" s="2" t="s">
        <v>97</v>
      </c>
      <c r="BW1081" s="2" t="s">
        <v>132</v>
      </c>
      <c r="BX1081" s="2" t="s">
        <v>852</v>
      </c>
      <c r="BY1081" s="2" t="s">
        <v>112</v>
      </c>
      <c r="BZ1081" s="2" t="s">
        <v>100</v>
      </c>
    </row>
    <row r="1082">
      <c r="A1082" s="2" t="s">
        <v>3822</v>
      </c>
      <c r="B1082" s="2" t="s">
        <v>87</v>
      </c>
      <c r="C1082" s="2" t="s">
        <v>3586</v>
      </c>
      <c r="D1082" s="2" t="s">
        <v>89</v>
      </c>
      <c r="E1082" s="2" t="s">
        <v>2005</v>
      </c>
      <c r="F1082" s="2" t="s">
        <v>3811</v>
      </c>
      <c r="G1082" s="2" t="s">
        <v>3812</v>
      </c>
      <c r="H1082" s="2" t="s">
        <v>3813</v>
      </c>
      <c r="I1082" s="2" t="s">
        <v>3783</v>
      </c>
      <c r="J1082" s="2" t="s">
        <v>114</v>
      </c>
      <c r="K1082" s="2" t="s">
        <v>3814</v>
      </c>
      <c r="L1082" s="3">
        <v>64.21</v>
      </c>
      <c r="M1082" s="3">
        <v>67.42</v>
      </c>
      <c r="N1082" s="3">
        <v>119.99</v>
      </c>
      <c r="O1082" s="2" t="s">
        <v>97</v>
      </c>
      <c r="P1082" s="2" t="s">
        <v>198</v>
      </c>
      <c r="Q1082" s="2" t="s">
        <v>99</v>
      </c>
      <c r="R1082" s="2" t="s">
        <v>100</v>
      </c>
      <c r="S1082" s="2" t="s">
        <v>3815</v>
      </c>
      <c r="T1082" s="2" t="s">
        <v>100</v>
      </c>
      <c r="U1082" s="2" t="s">
        <v>807</v>
      </c>
      <c r="V1082" s="2" t="s">
        <v>1275</v>
      </c>
      <c r="W1082" s="2" t="s">
        <v>759</v>
      </c>
      <c r="X1082" s="2" t="s">
        <v>1191</v>
      </c>
      <c r="Y1082" s="2" t="s">
        <v>106</v>
      </c>
      <c r="Z1082" s="4">
        <v>232</v>
      </c>
      <c r="AA1082" s="4">
        <f>=ROUNDDOWN(33.1428571428571,0)</f>
      </c>
      <c r="AB1082" s="5">
        <v>7</v>
      </c>
      <c r="AC1082" s="2" t="s">
        <v>100</v>
      </c>
      <c r="AD1082" s="4"/>
      <c r="AE1082" s="4"/>
      <c r="AF1082" s="6">
        <v>65</v>
      </c>
      <c r="AG1082" s="6"/>
      <c r="AH1082" s="7">
        <v>0.9394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>
        <v>0</v>
      </c>
      <c r="AP1082" s="4">
        <v>7</v>
      </c>
      <c r="AQ1082" s="8">
        <v>471.94</v>
      </c>
      <c r="AR1082" s="4">
        <v>9</v>
      </c>
      <c r="AS1082" s="8">
        <v>628.08</v>
      </c>
      <c r="AT1082" s="7">
        <v>-0.2222</v>
      </c>
      <c r="AU1082" s="7">
        <v>-0.2486</v>
      </c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>
        <v>0.5583</v>
      </c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 t="s">
        <v>100</v>
      </c>
      <c r="BJ1082" s="4">
        <v>131</v>
      </c>
      <c r="BK1082" s="8">
        <v>9292.07</v>
      </c>
      <c r="BL1082" s="2" t="s">
        <v>3823</v>
      </c>
      <c r="BM1082" s="7">
        <v>0.0534</v>
      </c>
      <c r="BN1082" s="7">
        <v>0.0508</v>
      </c>
      <c r="BO1082" s="4">
        <v>7</v>
      </c>
      <c r="BP1082" s="8">
        <v>471.94</v>
      </c>
      <c r="BQ1082" s="4">
        <v>9</v>
      </c>
      <c r="BR1082" s="8">
        <v>628.08</v>
      </c>
      <c r="BS1082" s="7">
        <v>-0.2222</v>
      </c>
      <c r="BT1082" s="7">
        <v>-0.2486</v>
      </c>
      <c r="BU1082" s="2" t="s">
        <v>109</v>
      </c>
      <c r="BV1082" s="2" t="s">
        <v>97</v>
      </c>
      <c r="BW1082" s="2" t="s">
        <v>132</v>
      </c>
      <c r="BX1082" s="2" t="s">
        <v>3824</v>
      </c>
      <c r="BY1082" s="2" t="s">
        <v>112</v>
      </c>
      <c r="BZ1082" s="2" t="s">
        <v>100</v>
      </c>
    </row>
    <row r="1083">
      <c r="A1083" s="2" t="s">
        <v>3825</v>
      </c>
      <c r="B1083" s="2" t="s">
        <v>87</v>
      </c>
      <c r="C1083" s="2" t="s">
        <v>3586</v>
      </c>
      <c r="D1083" s="2" t="s">
        <v>89</v>
      </c>
      <c r="E1083" s="2" t="s">
        <v>2005</v>
      </c>
      <c r="F1083" s="2" t="s">
        <v>3811</v>
      </c>
      <c r="G1083" s="2" t="s">
        <v>3812</v>
      </c>
      <c r="H1083" s="2" t="s">
        <v>3813</v>
      </c>
      <c r="I1083" s="2" t="s">
        <v>3783</v>
      </c>
      <c r="J1083" s="2" t="s">
        <v>118</v>
      </c>
      <c r="K1083" s="2" t="s">
        <v>3814</v>
      </c>
      <c r="L1083" s="3">
        <v>64.21</v>
      </c>
      <c r="M1083" s="3">
        <v>67.42</v>
      </c>
      <c r="N1083" s="3">
        <v>119.99</v>
      </c>
      <c r="O1083" s="2" t="s">
        <v>97</v>
      </c>
      <c r="P1083" s="2" t="s">
        <v>198</v>
      </c>
      <c r="Q1083" s="2" t="s">
        <v>99</v>
      </c>
      <c r="R1083" s="2" t="s">
        <v>100</v>
      </c>
      <c r="S1083" s="2" t="s">
        <v>3815</v>
      </c>
      <c r="T1083" s="2" t="s">
        <v>100</v>
      </c>
      <c r="U1083" s="2" t="s">
        <v>807</v>
      </c>
      <c r="V1083" s="2" t="s">
        <v>1275</v>
      </c>
      <c r="W1083" s="2" t="s">
        <v>759</v>
      </c>
      <c r="X1083" s="2" t="s">
        <v>1191</v>
      </c>
      <c r="Y1083" s="2" t="s">
        <v>106</v>
      </c>
      <c r="Z1083" s="4">
        <v>138</v>
      </c>
      <c r="AA1083" s="4">
        <f>=ROUNDDOWN(23,0)</f>
      </c>
      <c r="AB1083" s="5">
        <v>6</v>
      </c>
      <c r="AC1083" s="2" t="s">
        <v>100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>
        <v>0</v>
      </c>
      <c r="AP1083" s="4">
        <v>1</v>
      </c>
      <c r="AQ1083" s="8">
        <v>67.42</v>
      </c>
      <c r="AR1083" s="4">
        <v>2</v>
      </c>
      <c r="AS1083" s="8">
        <v>141.94</v>
      </c>
      <c r="AT1083" s="7">
        <v>-0.5</v>
      </c>
      <c r="AU1083" s="7">
        <v>-0.525</v>
      </c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>
        <v>0.0798</v>
      </c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 t="s">
        <v>100</v>
      </c>
      <c r="BJ1083" s="4">
        <v>91</v>
      </c>
      <c r="BK1083" s="8">
        <v>5854.82</v>
      </c>
      <c r="BL1083" s="2" t="s">
        <v>3826</v>
      </c>
      <c r="BM1083" s="7">
        <v>0.011</v>
      </c>
      <c r="BN1083" s="7">
        <v>0.0115</v>
      </c>
      <c r="BO1083" s="4">
        <v>1</v>
      </c>
      <c r="BP1083" s="8">
        <v>67.42</v>
      </c>
      <c r="BQ1083" s="4">
        <v>2</v>
      </c>
      <c r="BR1083" s="8">
        <v>141.94</v>
      </c>
      <c r="BS1083" s="7">
        <v>-0.5</v>
      </c>
      <c r="BT1083" s="7">
        <v>-0.525</v>
      </c>
      <c r="BU1083" s="2" t="s">
        <v>109</v>
      </c>
      <c r="BV1083" s="2" t="s">
        <v>97</v>
      </c>
      <c r="BW1083" s="2" t="s">
        <v>132</v>
      </c>
      <c r="BX1083" s="2" t="s">
        <v>206</v>
      </c>
      <c r="BY1083" s="2" t="s">
        <v>112</v>
      </c>
      <c r="BZ1083" s="2" t="s">
        <v>100</v>
      </c>
    </row>
    <row r="1084">
      <c r="A1084" s="2" t="s">
        <v>3827</v>
      </c>
      <c r="B1084" s="2" t="s">
        <v>87</v>
      </c>
      <c r="C1084" s="2" t="s">
        <v>3586</v>
      </c>
      <c r="D1084" s="2" t="s">
        <v>89</v>
      </c>
      <c r="E1084" s="2" t="s">
        <v>2005</v>
      </c>
      <c r="F1084" s="2" t="s">
        <v>3811</v>
      </c>
      <c r="G1084" s="2" t="s">
        <v>3812</v>
      </c>
      <c r="H1084" s="2" t="s">
        <v>3813</v>
      </c>
      <c r="I1084" s="2" t="s">
        <v>3775</v>
      </c>
      <c r="J1084" s="2" t="s">
        <v>3012</v>
      </c>
      <c r="K1084" s="2" t="s">
        <v>3828</v>
      </c>
      <c r="L1084" s="3">
        <v>49.39</v>
      </c>
      <c r="M1084" s="3">
        <v>51.86</v>
      </c>
      <c r="N1084" s="3">
        <v>89.99</v>
      </c>
      <c r="O1084" s="2" t="s">
        <v>229</v>
      </c>
      <c r="P1084" s="2" t="s">
        <v>198</v>
      </c>
      <c r="Q1084" s="2" t="s">
        <v>99</v>
      </c>
      <c r="R1084" s="2" t="s">
        <v>100</v>
      </c>
      <c r="S1084" s="2" t="s">
        <v>3829</v>
      </c>
      <c r="T1084" s="2" t="s">
        <v>100</v>
      </c>
      <c r="U1084" s="2" t="s">
        <v>102</v>
      </c>
      <c r="V1084" s="2" t="s">
        <v>1275</v>
      </c>
      <c r="W1084" s="2" t="s">
        <v>759</v>
      </c>
      <c r="X1084" s="2" t="s">
        <v>1191</v>
      </c>
      <c r="Y1084" s="2" t="s">
        <v>106</v>
      </c>
      <c r="Z1084" s="4">
        <v>9</v>
      </c>
      <c r="AA1084" s="4">
        <f>=ROUNDDOWN(3.6,0)</f>
      </c>
      <c r="AB1084" s="5">
        <v>2.5</v>
      </c>
      <c r="AC1084" s="2" t="s">
        <v>100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 t="s">
        <v>100</v>
      </c>
      <c r="BJ1084" s="4">
        <v>47</v>
      </c>
      <c r="BK1084" s="8">
        <v>1864.99</v>
      </c>
      <c r="BL1084" s="2" t="s">
        <v>3830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147</v>
      </c>
      <c r="BV1084" s="2" t="s">
        <v>97</v>
      </c>
      <c r="BW1084" s="2" t="s">
        <v>100</v>
      </c>
      <c r="BX1084" s="2" t="s">
        <v>100</v>
      </c>
      <c r="BY1084" s="2" t="s">
        <v>112</v>
      </c>
      <c r="BZ1084" s="2" t="s">
        <v>100</v>
      </c>
    </row>
    <row r="1085">
      <c r="A1085" s="2" t="s">
        <v>3831</v>
      </c>
      <c r="B1085" s="2" t="s">
        <v>87</v>
      </c>
      <c r="C1085" s="2" t="s">
        <v>3586</v>
      </c>
      <c r="D1085" s="2" t="s">
        <v>89</v>
      </c>
      <c r="E1085" s="2" t="s">
        <v>2005</v>
      </c>
      <c r="F1085" s="2" t="s">
        <v>3811</v>
      </c>
      <c r="G1085" s="2" t="s">
        <v>3812</v>
      </c>
      <c r="H1085" s="2" t="s">
        <v>3813</v>
      </c>
      <c r="I1085" s="2" t="s">
        <v>3783</v>
      </c>
      <c r="J1085" s="2" t="s">
        <v>95</v>
      </c>
      <c r="K1085" s="2" t="s">
        <v>3828</v>
      </c>
      <c r="L1085" s="3">
        <v>59.27</v>
      </c>
      <c r="M1085" s="3">
        <v>62.23</v>
      </c>
      <c r="N1085" s="3">
        <v>109.99</v>
      </c>
      <c r="O1085" s="2" t="s">
        <v>229</v>
      </c>
      <c r="P1085" s="2" t="s">
        <v>198</v>
      </c>
      <c r="Q1085" s="2" t="s">
        <v>99</v>
      </c>
      <c r="R1085" s="2" t="s">
        <v>100</v>
      </c>
      <c r="S1085" s="2" t="s">
        <v>3829</v>
      </c>
      <c r="T1085" s="2" t="s">
        <v>100</v>
      </c>
      <c r="U1085" s="2" t="s">
        <v>807</v>
      </c>
      <c r="V1085" s="2" t="s">
        <v>1275</v>
      </c>
      <c r="W1085" s="2" t="s">
        <v>759</v>
      </c>
      <c r="X1085" s="2" t="s">
        <v>1191</v>
      </c>
      <c r="Y1085" s="2" t="s">
        <v>106</v>
      </c>
      <c r="Z1085" s="4">
        <v>156</v>
      </c>
      <c r="AA1085" s="4">
        <f>=ROUNDDOWN(23.6363636363636,0)</f>
      </c>
      <c r="AB1085" s="5">
        <v>6.6</v>
      </c>
      <c r="AC1085" s="2" t="s">
        <v>100</v>
      </c>
      <c r="AD1085" s="4"/>
      <c r="AE1085" s="4"/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 t="s">
        <v>100</v>
      </c>
      <c r="BJ1085" s="4">
        <v>111</v>
      </c>
      <c r="BK1085" s="8">
        <v>5558.67</v>
      </c>
      <c r="BL1085" s="2" t="s">
        <v>2075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147</v>
      </c>
      <c r="BV1085" s="2" t="s">
        <v>97</v>
      </c>
      <c r="BW1085" s="2" t="s">
        <v>100</v>
      </c>
      <c r="BX1085" s="2" t="s">
        <v>100</v>
      </c>
      <c r="BY1085" s="2" t="s">
        <v>112</v>
      </c>
      <c r="BZ1085" s="2" t="s">
        <v>100</v>
      </c>
    </row>
    <row r="1086">
      <c r="A1086" s="2" t="s">
        <v>3832</v>
      </c>
      <c r="B1086" s="2" t="s">
        <v>87</v>
      </c>
      <c r="C1086" s="2" t="s">
        <v>3586</v>
      </c>
      <c r="D1086" s="2" t="s">
        <v>89</v>
      </c>
      <c r="E1086" s="2" t="s">
        <v>2005</v>
      </c>
      <c r="F1086" s="2" t="s">
        <v>3833</v>
      </c>
      <c r="G1086" s="2" t="s">
        <v>3834</v>
      </c>
      <c r="H1086" s="2" t="s">
        <v>3835</v>
      </c>
      <c r="I1086" s="2" t="s">
        <v>3836</v>
      </c>
      <c r="J1086" s="2" t="s">
        <v>3012</v>
      </c>
      <c r="K1086" s="2" t="s">
        <v>158</v>
      </c>
      <c r="L1086" s="3">
        <v>38.4</v>
      </c>
      <c r="M1086" s="3">
        <v>40.31</v>
      </c>
      <c r="N1086" s="3">
        <v>79.99</v>
      </c>
      <c r="O1086" s="2" t="s">
        <v>97</v>
      </c>
      <c r="P1086" s="2" t="s">
        <v>98</v>
      </c>
      <c r="Q1086" s="2" t="s">
        <v>99</v>
      </c>
      <c r="R1086" s="2" t="s">
        <v>100</v>
      </c>
      <c r="S1086" s="2" t="s">
        <v>3837</v>
      </c>
      <c r="T1086" s="2" t="s">
        <v>100</v>
      </c>
      <c r="U1086" s="2" t="s">
        <v>490</v>
      </c>
      <c r="V1086" s="2" t="s">
        <v>1275</v>
      </c>
      <c r="W1086" s="2" t="s">
        <v>759</v>
      </c>
      <c r="X1086" s="2" t="s">
        <v>1191</v>
      </c>
      <c r="Y1086" s="2" t="s">
        <v>523</v>
      </c>
      <c r="Z1086" s="4">
        <v>384</v>
      </c>
      <c r="AA1086" s="4">
        <f>=ROUNDDOWN(22.5882352941176,0)</f>
      </c>
      <c r="AB1086" s="5">
        <v>17</v>
      </c>
      <c r="AC1086" s="2" t="s">
        <v>874</v>
      </c>
      <c r="AD1086" s="4">
        <v>60</v>
      </c>
      <c r="AE1086" s="4">
        <v>270</v>
      </c>
      <c r="AF1086" s="6">
        <v>65</v>
      </c>
      <c r="AG1086" s="6">
        <v>73</v>
      </c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>
        <v>14</v>
      </c>
      <c r="AW1086" s="8">
        <v>761.25</v>
      </c>
      <c r="AX1086" s="4">
        <v>3</v>
      </c>
      <c r="AY1086" s="8">
        <v>162.75</v>
      </c>
      <c r="AZ1086" s="7">
        <v>3.6667</v>
      </c>
      <c r="BA1086" s="7">
        <v>3.6774</v>
      </c>
      <c r="BB1086" s="7"/>
      <c r="BC1086" s="4">
        <v>14</v>
      </c>
      <c r="BD1086" s="8">
        <v>761.25</v>
      </c>
      <c r="BE1086" s="4">
        <v>3</v>
      </c>
      <c r="BF1086" s="8">
        <v>162.75</v>
      </c>
      <c r="BG1086" s="7">
        <v>3.6667</v>
      </c>
      <c r="BH1086" s="7">
        <v>3.6774</v>
      </c>
      <c r="BI1086" s="7">
        <v>1</v>
      </c>
      <c r="BJ1086" s="4">
        <v>315</v>
      </c>
      <c r="BK1086" s="8">
        <v>13270.4</v>
      </c>
      <c r="BL1086" s="2" t="s">
        <v>3838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109</v>
      </c>
      <c r="BV1086" s="2" t="s">
        <v>97</v>
      </c>
      <c r="BW1086" s="2" t="s">
        <v>737</v>
      </c>
      <c r="BX1086" s="2" t="s">
        <v>100</v>
      </c>
      <c r="BY1086" s="2" t="s">
        <v>112</v>
      </c>
      <c r="BZ1086" s="2" t="s">
        <v>100</v>
      </c>
    </row>
    <row r="1087">
      <c r="A1087" s="2" t="s">
        <v>3839</v>
      </c>
      <c r="B1087" s="2" t="s">
        <v>87</v>
      </c>
      <c r="C1087" s="2" t="s">
        <v>3586</v>
      </c>
      <c r="D1087" s="2" t="s">
        <v>89</v>
      </c>
      <c r="E1087" s="2" t="s">
        <v>2005</v>
      </c>
      <c r="F1087" s="2" t="s">
        <v>3833</v>
      </c>
      <c r="G1087" s="2" t="s">
        <v>3834</v>
      </c>
      <c r="H1087" s="2" t="s">
        <v>3835</v>
      </c>
      <c r="I1087" s="2" t="s">
        <v>3840</v>
      </c>
      <c r="J1087" s="2" t="s">
        <v>122</v>
      </c>
      <c r="K1087" s="2" t="s">
        <v>158</v>
      </c>
      <c r="L1087" s="3">
        <v>44.99</v>
      </c>
      <c r="M1087" s="3">
        <v>47.24</v>
      </c>
      <c r="N1087" s="3">
        <v>89.99</v>
      </c>
      <c r="O1087" s="2" t="s">
        <v>97</v>
      </c>
      <c r="P1087" s="2" t="s">
        <v>98</v>
      </c>
      <c r="Q1087" s="2" t="s">
        <v>99</v>
      </c>
      <c r="R1087" s="2" t="s">
        <v>100</v>
      </c>
      <c r="S1087" s="2" t="s">
        <v>3837</v>
      </c>
      <c r="T1087" s="2" t="s">
        <v>100</v>
      </c>
      <c r="U1087" s="2" t="s">
        <v>403</v>
      </c>
      <c r="V1087" s="2" t="s">
        <v>1275</v>
      </c>
      <c r="W1087" s="2" t="s">
        <v>759</v>
      </c>
      <c r="X1087" s="2" t="s">
        <v>1191</v>
      </c>
      <c r="Y1087" s="2" t="s">
        <v>523</v>
      </c>
      <c r="Z1087" s="4">
        <v>364</v>
      </c>
      <c r="AA1087" s="4">
        <f>=ROUNDDOWN(18.2,0)</f>
      </c>
      <c r="AB1087" s="5">
        <v>20</v>
      </c>
      <c r="AC1087" s="2" t="s">
        <v>874</v>
      </c>
      <c r="AD1087" s="4">
        <v>60</v>
      </c>
      <c r="AE1087" s="4">
        <v>320</v>
      </c>
      <c r="AF1087" s="6">
        <v>65</v>
      </c>
      <c r="AG1087" s="6">
        <v>73</v>
      </c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>
        <v>0</v>
      </c>
      <c r="AP1087" s="4">
        <v>3</v>
      </c>
      <c r="AQ1087" s="8">
        <v>141.75</v>
      </c>
      <c r="AR1087" s="4">
        <v>1</v>
      </c>
      <c r="AS1087" s="8">
        <v>47.25</v>
      </c>
      <c r="AT1087" s="7">
        <v>2</v>
      </c>
      <c r="AU1087" s="7">
        <v>2</v>
      </c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>
        <v>0.1862</v>
      </c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 t="s">
        <v>100</v>
      </c>
      <c r="BJ1087" s="4">
        <v>311</v>
      </c>
      <c r="BK1087" s="8">
        <v>15148.87</v>
      </c>
      <c r="BL1087" s="2" t="s">
        <v>3841</v>
      </c>
      <c r="BM1087" s="7">
        <v>0.0096</v>
      </c>
      <c r="BN1087" s="7">
        <v>0.0094</v>
      </c>
      <c r="BO1087" s="4">
        <v>3</v>
      </c>
      <c r="BP1087" s="8">
        <v>141.75</v>
      </c>
      <c r="BQ1087" s="4">
        <v>1</v>
      </c>
      <c r="BR1087" s="8">
        <v>47.25</v>
      </c>
      <c r="BS1087" s="7">
        <v>2</v>
      </c>
      <c r="BT1087" s="7">
        <v>2</v>
      </c>
      <c r="BU1087" s="2" t="s">
        <v>109</v>
      </c>
      <c r="BV1087" s="2" t="s">
        <v>97</v>
      </c>
      <c r="BW1087" s="2" t="s">
        <v>3842</v>
      </c>
      <c r="BX1087" s="2" t="s">
        <v>3843</v>
      </c>
      <c r="BY1087" s="2" t="s">
        <v>112</v>
      </c>
      <c r="BZ1087" s="2" t="s">
        <v>100</v>
      </c>
    </row>
    <row r="1088">
      <c r="A1088" s="2" t="s">
        <v>3844</v>
      </c>
      <c r="B1088" s="2" t="s">
        <v>87</v>
      </c>
      <c r="C1088" s="2" t="s">
        <v>3586</v>
      </c>
      <c r="D1088" s="2" t="s">
        <v>89</v>
      </c>
      <c r="E1088" s="2" t="s">
        <v>2005</v>
      </c>
      <c r="F1088" s="2" t="s">
        <v>3833</v>
      </c>
      <c r="G1088" s="2" t="s">
        <v>3834</v>
      </c>
      <c r="H1088" s="2" t="s">
        <v>3835</v>
      </c>
      <c r="I1088" s="2" t="s">
        <v>3845</v>
      </c>
      <c r="J1088" s="2" t="s">
        <v>95</v>
      </c>
      <c r="K1088" s="2" t="s">
        <v>158</v>
      </c>
      <c r="L1088" s="3">
        <v>40.71</v>
      </c>
      <c r="M1088" s="3">
        <v>42.75</v>
      </c>
      <c r="N1088" s="3">
        <v>99.99</v>
      </c>
      <c r="O1088" s="2" t="s">
        <v>550</v>
      </c>
      <c r="P1088" s="2" t="s">
        <v>1608</v>
      </c>
      <c r="Q1088" s="2" t="s">
        <v>99</v>
      </c>
      <c r="R1088" s="2" t="s">
        <v>1609</v>
      </c>
      <c r="S1088" s="2" t="s">
        <v>3837</v>
      </c>
      <c r="T1088" s="2" t="s">
        <v>100</v>
      </c>
      <c r="U1088" s="2" t="s">
        <v>790</v>
      </c>
      <c r="V1088" s="2" t="s">
        <v>1275</v>
      </c>
      <c r="W1088" s="2" t="s">
        <v>104</v>
      </c>
      <c r="X1088" s="2" t="s">
        <v>284</v>
      </c>
      <c r="Y1088" s="2" t="s">
        <v>3846</v>
      </c>
      <c r="Z1088" s="4"/>
      <c r="AA1088" s="4">
        <f>=ROUNDDOWN({0},0)</f>
      </c>
      <c r="AB1088" s="5"/>
      <c r="AC1088" s="2" t="s">
        <v>100</v>
      </c>
      <c r="AD1088" s="4"/>
      <c r="AE1088" s="4"/>
      <c r="AF1088" s="6"/>
      <c r="AG1088" s="6"/>
      <c r="AH1088" s="7">
        <v>0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>
        <v>0.2069</v>
      </c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 t="s">
        <v>100</v>
      </c>
      <c r="BJ1088" s="4"/>
      <c r="BK1088" s="8"/>
      <c r="BL1088" s="2" t="s">
        <v>1645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147</v>
      </c>
      <c r="BV1088" s="2" t="s">
        <v>97</v>
      </c>
      <c r="BW1088" s="2" t="s">
        <v>100</v>
      </c>
      <c r="BX1088" s="2" t="s">
        <v>100</v>
      </c>
      <c r="BY1088" s="2" t="s">
        <v>112</v>
      </c>
      <c r="BZ1088" s="2" t="s">
        <v>100</v>
      </c>
    </row>
    <row r="1089">
      <c r="A1089" s="2" t="s">
        <v>3847</v>
      </c>
      <c r="B1089" s="2" t="s">
        <v>87</v>
      </c>
      <c r="C1089" s="2" t="s">
        <v>3586</v>
      </c>
      <c r="D1089" s="2" t="s">
        <v>89</v>
      </c>
      <c r="E1089" s="2" t="s">
        <v>2005</v>
      </c>
      <c r="F1089" s="2" t="s">
        <v>3833</v>
      </c>
      <c r="G1089" s="2" t="s">
        <v>3834</v>
      </c>
      <c r="H1089" s="2" t="s">
        <v>3835</v>
      </c>
      <c r="I1089" s="2" t="s">
        <v>3840</v>
      </c>
      <c r="J1089" s="2" t="s">
        <v>95</v>
      </c>
      <c r="K1089" s="2" t="s">
        <v>158</v>
      </c>
      <c r="L1089" s="3">
        <v>49.99</v>
      </c>
      <c r="M1089" s="3">
        <v>52.49</v>
      </c>
      <c r="N1089" s="3">
        <v>99.99</v>
      </c>
      <c r="O1089" s="2" t="s">
        <v>97</v>
      </c>
      <c r="P1089" s="2" t="s">
        <v>98</v>
      </c>
      <c r="Q1089" s="2" t="s">
        <v>99</v>
      </c>
      <c r="R1089" s="2" t="s">
        <v>100</v>
      </c>
      <c r="S1089" s="2" t="s">
        <v>3837</v>
      </c>
      <c r="T1089" s="2" t="s">
        <v>100</v>
      </c>
      <c r="U1089" s="2" t="s">
        <v>403</v>
      </c>
      <c r="V1089" s="2" t="s">
        <v>1275</v>
      </c>
      <c r="W1089" s="2" t="s">
        <v>759</v>
      </c>
      <c r="X1089" s="2" t="s">
        <v>1191</v>
      </c>
      <c r="Y1089" s="2" t="s">
        <v>3848</v>
      </c>
      <c r="Z1089" s="4">
        <v>806</v>
      </c>
      <c r="AA1089" s="4">
        <f>=ROUNDDOWN(16.7916666666667,0)</f>
      </c>
      <c r="AB1089" s="5">
        <v>48</v>
      </c>
      <c r="AC1089" s="2" t="s">
        <v>874</v>
      </c>
      <c r="AD1089" s="4">
        <v>100</v>
      </c>
      <c r="AE1089" s="4">
        <v>860</v>
      </c>
      <c r="AF1089" s="6">
        <v>65</v>
      </c>
      <c r="AG1089" s="6">
        <v>73</v>
      </c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>
        <v>0</v>
      </c>
      <c r="AP1089" s="4">
        <v>3</v>
      </c>
      <c r="AQ1089" s="8">
        <v>157.5</v>
      </c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 t="s">
        <v>100</v>
      </c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 t="s">
        <v>100</v>
      </c>
      <c r="BJ1089" s="4">
        <v>856</v>
      </c>
      <c r="BK1089" s="8">
        <v>45994.7</v>
      </c>
      <c r="BL1089" s="2" t="s">
        <v>3849</v>
      </c>
      <c r="BM1089" s="7">
        <v>0.0035</v>
      </c>
      <c r="BN1089" s="7">
        <v>0.0034</v>
      </c>
      <c r="BO1089" s="4">
        <v>3</v>
      </c>
      <c r="BP1089" s="8">
        <v>157.5</v>
      </c>
      <c r="BQ1089" s="4"/>
      <c r="BR1089" s="8"/>
      <c r="BS1089" s="7"/>
      <c r="BT1089" s="7"/>
      <c r="BU1089" s="2" t="s">
        <v>109</v>
      </c>
      <c r="BV1089" s="2" t="s">
        <v>97</v>
      </c>
      <c r="BW1089" s="2" t="s">
        <v>737</v>
      </c>
      <c r="BX1089" s="2" t="s">
        <v>3850</v>
      </c>
      <c r="BY1089" s="2" t="s">
        <v>112</v>
      </c>
      <c r="BZ1089" s="2" t="s">
        <v>100</v>
      </c>
    </row>
    <row r="1090">
      <c r="A1090" s="2" t="s">
        <v>3851</v>
      </c>
      <c r="B1090" s="2" t="s">
        <v>87</v>
      </c>
      <c r="C1090" s="2" t="s">
        <v>3586</v>
      </c>
      <c r="D1090" s="2" t="s">
        <v>89</v>
      </c>
      <c r="E1090" s="2" t="s">
        <v>2005</v>
      </c>
      <c r="F1090" s="2" t="s">
        <v>3833</v>
      </c>
      <c r="G1090" s="2" t="s">
        <v>3834</v>
      </c>
      <c r="H1090" s="2" t="s">
        <v>3835</v>
      </c>
      <c r="I1090" s="2" t="s">
        <v>3840</v>
      </c>
      <c r="J1090" s="2" t="s">
        <v>114</v>
      </c>
      <c r="K1090" s="2" t="s">
        <v>158</v>
      </c>
      <c r="L1090" s="3">
        <v>54.99</v>
      </c>
      <c r="M1090" s="3">
        <v>57.74</v>
      </c>
      <c r="N1090" s="3">
        <v>109.99</v>
      </c>
      <c r="O1090" s="2" t="s">
        <v>97</v>
      </c>
      <c r="P1090" s="2" t="s">
        <v>98</v>
      </c>
      <c r="Q1090" s="2" t="s">
        <v>99</v>
      </c>
      <c r="R1090" s="2" t="s">
        <v>100</v>
      </c>
      <c r="S1090" s="2" t="s">
        <v>3837</v>
      </c>
      <c r="T1090" s="2" t="s">
        <v>100</v>
      </c>
      <c r="U1090" s="2" t="s">
        <v>403</v>
      </c>
      <c r="V1090" s="2" t="s">
        <v>1275</v>
      </c>
      <c r="W1090" s="2" t="s">
        <v>759</v>
      </c>
      <c r="X1090" s="2" t="s">
        <v>1191</v>
      </c>
      <c r="Y1090" s="2" t="s">
        <v>523</v>
      </c>
      <c r="Z1090" s="4">
        <v>580</v>
      </c>
      <c r="AA1090" s="4">
        <f>=ROUNDDOWN(19.3333333333333,0)</f>
      </c>
      <c r="AB1090" s="5">
        <v>30</v>
      </c>
      <c r="AC1090" s="2" t="s">
        <v>874</v>
      </c>
      <c r="AD1090" s="4">
        <v>50</v>
      </c>
      <c r="AE1090" s="4">
        <v>510</v>
      </c>
      <c r="AF1090" s="6">
        <v>65</v>
      </c>
      <c r="AG1090" s="6">
        <v>73</v>
      </c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>
        <v>0</v>
      </c>
      <c r="AP1090" s="4">
        <v>7</v>
      </c>
      <c r="AQ1090" s="8">
        <v>404.25</v>
      </c>
      <c r="AR1090" s="4">
        <v>2</v>
      </c>
      <c r="AS1090" s="8">
        <v>115.5</v>
      </c>
      <c r="AT1090" s="7">
        <v>2.5</v>
      </c>
      <c r="AU1090" s="7">
        <v>2.5</v>
      </c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>
        <v>0.531</v>
      </c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 t="s">
        <v>100</v>
      </c>
      <c r="BJ1090" s="4">
        <v>504</v>
      </c>
      <c r="BK1090" s="8">
        <v>29970.35</v>
      </c>
      <c r="BL1090" s="2" t="s">
        <v>3852</v>
      </c>
      <c r="BM1090" s="7">
        <v>0.0139</v>
      </c>
      <c r="BN1090" s="7">
        <v>0.0135</v>
      </c>
      <c r="BO1090" s="4">
        <v>7</v>
      </c>
      <c r="BP1090" s="8">
        <v>404.25</v>
      </c>
      <c r="BQ1090" s="4">
        <v>2</v>
      </c>
      <c r="BR1090" s="8">
        <v>115.5</v>
      </c>
      <c r="BS1090" s="7">
        <v>2.5</v>
      </c>
      <c r="BT1090" s="7">
        <v>2.5</v>
      </c>
      <c r="BU1090" s="2" t="s">
        <v>109</v>
      </c>
      <c r="BV1090" s="2" t="s">
        <v>97</v>
      </c>
      <c r="BW1090" s="2" t="s">
        <v>3853</v>
      </c>
      <c r="BX1090" s="2" t="s">
        <v>3854</v>
      </c>
      <c r="BY1090" s="2" t="s">
        <v>112</v>
      </c>
      <c r="BZ1090" s="2" t="s">
        <v>100</v>
      </c>
    </row>
    <row r="1091">
      <c r="A1091" s="2" t="s">
        <v>3855</v>
      </c>
      <c r="B1091" s="2" t="s">
        <v>87</v>
      </c>
      <c r="C1091" s="2" t="s">
        <v>3586</v>
      </c>
      <c r="D1091" s="2" t="s">
        <v>89</v>
      </c>
      <c r="E1091" s="2" t="s">
        <v>2005</v>
      </c>
      <c r="F1091" s="2" t="s">
        <v>3833</v>
      </c>
      <c r="G1091" s="2" t="s">
        <v>3834</v>
      </c>
      <c r="H1091" s="2" t="s">
        <v>3835</v>
      </c>
      <c r="I1091" s="2" t="s">
        <v>3840</v>
      </c>
      <c r="J1091" s="2" t="s">
        <v>118</v>
      </c>
      <c r="K1091" s="2" t="s">
        <v>158</v>
      </c>
      <c r="L1091" s="3">
        <v>54.99</v>
      </c>
      <c r="M1091" s="3">
        <v>57.74</v>
      </c>
      <c r="N1091" s="3">
        <v>109.99</v>
      </c>
      <c r="O1091" s="2" t="s">
        <v>97</v>
      </c>
      <c r="P1091" s="2" t="s">
        <v>98</v>
      </c>
      <c r="Q1091" s="2" t="s">
        <v>99</v>
      </c>
      <c r="R1091" s="2" t="s">
        <v>100</v>
      </c>
      <c r="S1091" s="2" t="s">
        <v>3837</v>
      </c>
      <c r="T1091" s="2" t="s">
        <v>100</v>
      </c>
      <c r="U1091" s="2" t="s">
        <v>403</v>
      </c>
      <c r="V1091" s="2" t="s">
        <v>1275</v>
      </c>
      <c r="W1091" s="2" t="s">
        <v>759</v>
      </c>
      <c r="X1091" s="2" t="s">
        <v>1191</v>
      </c>
      <c r="Y1091" s="2" t="s">
        <v>523</v>
      </c>
      <c r="Z1091" s="4">
        <v>183</v>
      </c>
      <c r="AA1091" s="4">
        <f>=ROUNDDOWN(13.0714285714286,0)</f>
      </c>
      <c r="AB1091" s="5">
        <v>14</v>
      </c>
      <c r="AC1091" s="2" t="s">
        <v>874</v>
      </c>
      <c r="AD1091" s="4">
        <v>30</v>
      </c>
      <c r="AE1091" s="4">
        <v>280</v>
      </c>
      <c r="AF1091" s="6">
        <v>65</v>
      </c>
      <c r="AG1091" s="6">
        <v>73</v>
      </c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>
        <v>0</v>
      </c>
      <c r="AP1091" s="4">
        <v>1</v>
      </c>
      <c r="AQ1091" s="8">
        <v>57.75</v>
      </c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>
        <v>0.0759</v>
      </c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 t="s">
        <v>100</v>
      </c>
      <c r="BJ1091" s="4">
        <v>191</v>
      </c>
      <c r="BK1091" s="8">
        <v>11321.33</v>
      </c>
      <c r="BL1091" s="2" t="s">
        <v>3856</v>
      </c>
      <c r="BM1091" s="7">
        <v>0.0052</v>
      </c>
      <c r="BN1091" s="7">
        <v>0.0051</v>
      </c>
      <c r="BO1091" s="4">
        <v>1</v>
      </c>
      <c r="BP1091" s="8">
        <v>57.75</v>
      </c>
      <c r="BQ1091" s="4"/>
      <c r="BR1091" s="8"/>
      <c r="BS1091" s="7"/>
      <c r="BT1091" s="7"/>
      <c r="BU1091" s="2" t="s">
        <v>109</v>
      </c>
      <c r="BV1091" s="2" t="s">
        <v>97</v>
      </c>
      <c r="BW1091" s="2" t="s">
        <v>737</v>
      </c>
      <c r="BX1091" s="2" t="s">
        <v>3857</v>
      </c>
      <c r="BY1091" s="2" t="s">
        <v>112</v>
      </c>
      <c r="BZ1091" s="2" t="s">
        <v>100</v>
      </c>
    </row>
    <row r="1092">
      <c r="A1092" s="2" t="s">
        <v>3858</v>
      </c>
      <c r="B1092" s="2" t="s">
        <v>87</v>
      </c>
      <c r="C1092" s="2" t="s">
        <v>3586</v>
      </c>
      <c r="D1092" s="2" t="s">
        <v>89</v>
      </c>
      <c r="E1092" s="2" t="s">
        <v>2005</v>
      </c>
      <c r="F1092" s="2" t="s">
        <v>3859</v>
      </c>
      <c r="G1092" s="2" t="s">
        <v>3860</v>
      </c>
      <c r="H1092" s="2" t="s">
        <v>3861</v>
      </c>
      <c r="I1092" s="2" t="s">
        <v>3775</v>
      </c>
      <c r="J1092" s="2" t="s">
        <v>3012</v>
      </c>
      <c r="K1092" s="2" t="s">
        <v>267</v>
      </c>
      <c r="L1092" s="3">
        <v>50.53</v>
      </c>
      <c r="M1092" s="3">
        <v>53.06</v>
      </c>
      <c r="N1092" s="3">
        <v>89.99</v>
      </c>
      <c r="O1092" s="2" t="s">
        <v>97</v>
      </c>
      <c r="P1092" s="2" t="s">
        <v>805</v>
      </c>
      <c r="Q1092" s="2" t="s">
        <v>99</v>
      </c>
      <c r="R1092" s="2" t="s">
        <v>100</v>
      </c>
      <c r="S1092" s="2" t="s">
        <v>3862</v>
      </c>
      <c r="T1092" s="2" t="s">
        <v>100</v>
      </c>
      <c r="U1092" s="2" t="s">
        <v>102</v>
      </c>
      <c r="V1092" s="2" t="s">
        <v>561</v>
      </c>
      <c r="W1092" s="2" t="s">
        <v>759</v>
      </c>
      <c r="X1092" s="2" t="s">
        <v>602</v>
      </c>
      <c r="Y1092" s="2" t="s">
        <v>1322</v>
      </c>
      <c r="Z1092" s="4">
        <v>274</v>
      </c>
      <c r="AA1092" s="4">
        <f>=ROUNDDOWN(24.9090909090909,0)</f>
      </c>
      <c r="AB1092" s="5">
        <v>11</v>
      </c>
      <c r="AC1092" s="2" t="s">
        <v>130</v>
      </c>
      <c r="AD1092" s="4">
        <v>40</v>
      </c>
      <c r="AE1092" s="4">
        <v>250</v>
      </c>
      <c r="AF1092" s="6">
        <v>65</v>
      </c>
      <c r="AG1092" s="6">
        <v>73</v>
      </c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>
        <v>0</v>
      </c>
      <c r="AP1092" s="4"/>
      <c r="AQ1092" s="8"/>
      <c r="AR1092" s="4">
        <v>1</v>
      </c>
      <c r="AS1092" s="8">
        <v>53.06</v>
      </c>
      <c r="AT1092" s="7">
        <v>-1</v>
      </c>
      <c r="AU1092" s="7">
        <v>-1</v>
      </c>
      <c r="AV1092" s="4">
        <v>10</v>
      </c>
      <c r="AW1092" s="8">
        <v>647.42</v>
      </c>
      <c r="AX1092" s="4">
        <v>5</v>
      </c>
      <c r="AY1092" s="8">
        <v>313.09</v>
      </c>
      <c r="AZ1092" s="7">
        <v>1</v>
      </c>
      <c r="BA1092" s="7">
        <v>1.0678</v>
      </c>
      <c r="BB1092" s="7"/>
      <c r="BC1092" s="4">
        <v>10</v>
      </c>
      <c r="BD1092" s="8">
        <v>647.42</v>
      </c>
      <c r="BE1092" s="4">
        <v>5</v>
      </c>
      <c r="BF1092" s="8">
        <v>313.09</v>
      </c>
      <c r="BG1092" s="7">
        <v>1</v>
      </c>
      <c r="BH1092" s="7">
        <v>1.0678</v>
      </c>
      <c r="BI1092" s="7">
        <v>1</v>
      </c>
      <c r="BJ1092" s="4">
        <v>233</v>
      </c>
      <c r="BK1092" s="8">
        <v>13258.7</v>
      </c>
      <c r="BL1092" s="2" t="s">
        <v>3863</v>
      </c>
      <c r="BM1092" s="7"/>
      <c r="BN1092" s="7"/>
      <c r="BO1092" s="4"/>
      <c r="BP1092" s="8"/>
      <c r="BQ1092" s="4">
        <v>1</v>
      </c>
      <c r="BR1092" s="8">
        <v>53.06</v>
      </c>
      <c r="BS1092" s="7">
        <v>-1</v>
      </c>
      <c r="BT1092" s="7">
        <v>-1</v>
      </c>
      <c r="BU1092" s="2" t="s">
        <v>109</v>
      </c>
      <c r="BV1092" s="2" t="s">
        <v>97</v>
      </c>
      <c r="BW1092" s="2" t="s">
        <v>737</v>
      </c>
      <c r="BX1092" s="2" t="s">
        <v>3864</v>
      </c>
      <c r="BY1092" s="2" t="s">
        <v>112</v>
      </c>
      <c r="BZ1092" s="2" t="s">
        <v>100</v>
      </c>
    </row>
    <row r="1093">
      <c r="A1093" s="2" t="s">
        <v>3865</v>
      </c>
      <c r="B1093" s="2" t="s">
        <v>87</v>
      </c>
      <c r="C1093" s="2" t="s">
        <v>3586</v>
      </c>
      <c r="D1093" s="2" t="s">
        <v>89</v>
      </c>
      <c r="E1093" s="2" t="s">
        <v>2005</v>
      </c>
      <c r="F1093" s="2" t="s">
        <v>3859</v>
      </c>
      <c r="G1093" s="2" t="s">
        <v>3860</v>
      </c>
      <c r="H1093" s="2" t="s">
        <v>3861</v>
      </c>
      <c r="I1093" s="2" t="s">
        <v>3783</v>
      </c>
      <c r="J1093" s="2" t="s">
        <v>122</v>
      </c>
      <c r="K1093" s="2" t="s">
        <v>267</v>
      </c>
      <c r="L1093" s="3">
        <v>55.59</v>
      </c>
      <c r="M1093" s="3">
        <v>58.37</v>
      </c>
      <c r="N1093" s="3">
        <v>99.99</v>
      </c>
      <c r="O1093" s="2" t="s">
        <v>97</v>
      </c>
      <c r="P1093" s="2" t="s">
        <v>805</v>
      </c>
      <c r="Q1093" s="2" t="s">
        <v>99</v>
      </c>
      <c r="R1093" s="2" t="s">
        <v>100</v>
      </c>
      <c r="S1093" s="2" t="s">
        <v>3862</v>
      </c>
      <c r="T1093" s="2" t="s">
        <v>100</v>
      </c>
      <c r="U1093" s="2" t="s">
        <v>807</v>
      </c>
      <c r="V1093" s="2" t="s">
        <v>561</v>
      </c>
      <c r="W1093" s="2" t="s">
        <v>759</v>
      </c>
      <c r="X1093" s="2" t="s">
        <v>602</v>
      </c>
      <c r="Y1093" s="2" t="s">
        <v>1322</v>
      </c>
      <c r="Z1093" s="4">
        <v>310</v>
      </c>
      <c r="AA1093" s="4">
        <f>=ROUNDDOWN(18.2352941176471,0)</f>
      </c>
      <c r="AB1093" s="5">
        <v>17</v>
      </c>
      <c r="AC1093" s="2" t="s">
        <v>130</v>
      </c>
      <c r="AD1093" s="4">
        <v>100</v>
      </c>
      <c r="AE1093" s="4">
        <v>330</v>
      </c>
      <c r="AF1093" s="6">
        <v>65</v>
      </c>
      <c r="AG1093" s="6">
        <v>73</v>
      </c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>
        <v>0</v>
      </c>
      <c r="AP1093" s="4">
        <v>3</v>
      </c>
      <c r="AQ1093" s="8">
        <v>175.11</v>
      </c>
      <c r="AR1093" s="4">
        <v>1</v>
      </c>
      <c r="AS1093" s="8">
        <v>58.37</v>
      </c>
      <c r="AT1093" s="7">
        <v>2</v>
      </c>
      <c r="AU1093" s="7">
        <v>2</v>
      </c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>
        <v>0.2705</v>
      </c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 t="s">
        <v>100</v>
      </c>
      <c r="BJ1093" s="4">
        <v>243</v>
      </c>
      <c r="BK1093" s="8">
        <v>16334.77</v>
      </c>
      <c r="BL1093" s="2" t="s">
        <v>3866</v>
      </c>
      <c r="BM1093" s="7">
        <v>0.0123</v>
      </c>
      <c r="BN1093" s="7">
        <v>0.0107</v>
      </c>
      <c r="BO1093" s="4">
        <v>3</v>
      </c>
      <c r="BP1093" s="8">
        <v>175.11</v>
      </c>
      <c r="BQ1093" s="4">
        <v>1</v>
      </c>
      <c r="BR1093" s="8">
        <v>58.37</v>
      </c>
      <c r="BS1093" s="7">
        <v>2</v>
      </c>
      <c r="BT1093" s="7">
        <v>2</v>
      </c>
      <c r="BU1093" s="2" t="s">
        <v>109</v>
      </c>
      <c r="BV1093" s="2" t="s">
        <v>97</v>
      </c>
      <c r="BW1093" s="2" t="s">
        <v>737</v>
      </c>
      <c r="BX1093" s="2" t="s">
        <v>3867</v>
      </c>
      <c r="BY1093" s="2" t="s">
        <v>112</v>
      </c>
      <c r="BZ1093" s="2" t="s">
        <v>100</v>
      </c>
    </row>
    <row r="1094">
      <c r="A1094" s="2" t="s">
        <v>3868</v>
      </c>
      <c r="B1094" s="2" t="s">
        <v>87</v>
      </c>
      <c r="C1094" s="2" t="s">
        <v>3586</v>
      </c>
      <c r="D1094" s="2" t="s">
        <v>89</v>
      </c>
      <c r="E1094" s="2" t="s">
        <v>2005</v>
      </c>
      <c r="F1094" s="2" t="s">
        <v>3859</v>
      </c>
      <c r="G1094" s="2" t="s">
        <v>3860</v>
      </c>
      <c r="H1094" s="2" t="s">
        <v>3861</v>
      </c>
      <c r="I1094" s="2" t="s">
        <v>3783</v>
      </c>
      <c r="J1094" s="2" t="s">
        <v>95</v>
      </c>
      <c r="K1094" s="2" t="s">
        <v>267</v>
      </c>
      <c r="L1094" s="3">
        <v>60.65</v>
      </c>
      <c r="M1094" s="3">
        <v>63.68</v>
      </c>
      <c r="N1094" s="3">
        <v>109.99</v>
      </c>
      <c r="O1094" s="2" t="s">
        <v>97</v>
      </c>
      <c r="P1094" s="2" t="s">
        <v>805</v>
      </c>
      <c r="Q1094" s="2" t="s">
        <v>99</v>
      </c>
      <c r="R1094" s="2" t="s">
        <v>100</v>
      </c>
      <c r="S1094" s="2" t="s">
        <v>3862</v>
      </c>
      <c r="T1094" s="2" t="s">
        <v>100</v>
      </c>
      <c r="U1094" s="2" t="s">
        <v>807</v>
      </c>
      <c r="V1094" s="2" t="s">
        <v>561</v>
      </c>
      <c r="W1094" s="2" t="s">
        <v>759</v>
      </c>
      <c r="X1094" s="2" t="s">
        <v>602</v>
      </c>
      <c r="Y1094" s="2" t="s">
        <v>1322</v>
      </c>
      <c r="Z1094" s="4">
        <v>958</v>
      </c>
      <c r="AA1094" s="4">
        <f>=ROUNDDOWN(17.4181818181818,0)</f>
      </c>
      <c r="AB1094" s="5">
        <v>55</v>
      </c>
      <c r="AC1094" s="2" t="s">
        <v>130</v>
      </c>
      <c r="AD1094" s="4">
        <v>50</v>
      </c>
      <c r="AE1094" s="4">
        <v>1730</v>
      </c>
      <c r="AF1094" s="6">
        <v>65</v>
      </c>
      <c r="AG1094" s="6">
        <v>73</v>
      </c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>
        <v>0</v>
      </c>
      <c r="AP1094" s="4">
        <v>2</v>
      </c>
      <c r="AQ1094" s="8">
        <v>127.36</v>
      </c>
      <c r="AR1094" s="4">
        <v>1</v>
      </c>
      <c r="AS1094" s="8">
        <v>63.68</v>
      </c>
      <c r="AT1094" s="7">
        <v>1</v>
      </c>
      <c r="AU1094" s="7">
        <v>1</v>
      </c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>
        <v>0.1967</v>
      </c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 t="s">
        <v>100</v>
      </c>
      <c r="BJ1094" s="4">
        <v>1392</v>
      </c>
      <c r="BK1094" s="8">
        <v>100466.5</v>
      </c>
      <c r="BL1094" s="2" t="s">
        <v>3869</v>
      </c>
      <c r="BM1094" s="7">
        <v>0.0014</v>
      </c>
      <c r="BN1094" s="7">
        <v>0.0013</v>
      </c>
      <c r="BO1094" s="4">
        <v>2</v>
      </c>
      <c r="BP1094" s="8">
        <v>127.36</v>
      </c>
      <c r="BQ1094" s="4">
        <v>1</v>
      </c>
      <c r="BR1094" s="8">
        <v>63.68</v>
      </c>
      <c r="BS1094" s="7">
        <v>1</v>
      </c>
      <c r="BT1094" s="7">
        <v>1</v>
      </c>
      <c r="BU1094" s="2" t="s">
        <v>109</v>
      </c>
      <c r="BV1094" s="2" t="s">
        <v>97</v>
      </c>
      <c r="BW1094" s="2" t="s">
        <v>737</v>
      </c>
      <c r="BX1094" s="2" t="s">
        <v>3870</v>
      </c>
      <c r="BY1094" s="2" t="s">
        <v>112</v>
      </c>
      <c r="BZ1094" s="2" t="s">
        <v>100</v>
      </c>
    </row>
    <row r="1095">
      <c r="A1095" s="2" t="s">
        <v>3871</v>
      </c>
      <c r="B1095" s="2" t="s">
        <v>87</v>
      </c>
      <c r="C1095" s="2" t="s">
        <v>3586</v>
      </c>
      <c r="D1095" s="2" t="s">
        <v>89</v>
      </c>
      <c r="E1095" s="2" t="s">
        <v>2005</v>
      </c>
      <c r="F1095" s="2" t="s">
        <v>3859</v>
      </c>
      <c r="G1095" s="2" t="s">
        <v>3860</v>
      </c>
      <c r="H1095" s="2" t="s">
        <v>3861</v>
      </c>
      <c r="I1095" s="2" t="s">
        <v>3783</v>
      </c>
      <c r="J1095" s="2" t="s">
        <v>114</v>
      </c>
      <c r="K1095" s="2" t="s">
        <v>267</v>
      </c>
      <c r="L1095" s="3">
        <v>65.7</v>
      </c>
      <c r="M1095" s="3">
        <v>68.98</v>
      </c>
      <c r="N1095" s="3">
        <v>119.99</v>
      </c>
      <c r="O1095" s="2" t="s">
        <v>97</v>
      </c>
      <c r="P1095" s="2" t="s">
        <v>805</v>
      </c>
      <c r="Q1095" s="2" t="s">
        <v>99</v>
      </c>
      <c r="R1095" s="2" t="s">
        <v>100</v>
      </c>
      <c r="S1095" s="2" t="s">
        <v>3862</v>
      </c>
      <c r="T1095" s="2" t="s">
        <v>100</v>
      </c>
      <c r="U1095" s="2" t="s">
        <v>807</v>
      </c>
      <c r="V1095" s="2" t="s">
        <v>561</v>
      </c>
      <c r="W1095" s="2" t="s">
        <v>759</v>
      </c>
      <c r="X1095" s="2" t="s">
        <v>602</v>
      </c>
      <c r="Y1095" s="2" t="s">
        <v>1322</v>
      </c>
      <c r="Z1095" s="4">
        <v>661</v>
      </c>
      <c r="AA1095" s="4">
        <f>=ROUNDDOWN(14.6888888888889,0)</f>
      </c>
      <c r="AB1095" s="5">
        <v>45</v>
      </c>
      <c r="AC1095" s="2" t="s">
        <v>3872</v>
      </c>
      <c r="AD1095" s="4">
        <v>30</v>
      </c>
      <c r="AE1095" s="4">
        <v>1230</v>
      </c>
      <c r="AF1095" s="6">
        <v>65</v>
      </c>
      <c r="AG1095" s="6">
        <v>73</v>
      </c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>
        <v>0</v>
      </c>
      <c r="AP1095" s="4">
        <v>4</v>
      </c>
      <c r="AQ1095" s="8">
        <v>275.96</v>
      </c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>
        <v>0.4262</v>
      </c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 t="s">
        <v>100</v>
      </c>
      <c r="BJ1095" s="4">
        <v>949</v>
      </c>
      <c r="BK1095" s="8">
        <v>74678.31</v>
      </c>
      <c r="BL1095" s="2" t="s">
        <v>3873</v>
      </c>
      <c r="BM1095" s="7">
        <v>0.0042</v>
      </c>
      <c r="BN1095" s="7">
        <v>0.0037</v>
      </c>
      <c r="BO1095" s="4">
        <v>4</v>
      </c>
      <c r="BP1095" s="8">
        <v>275.96</v>
      </c>
      <c r="BQ1095" s="4"/>
      <c r="BR1095" s="8"/>
      <c r="BS1095" s="7"/>
      <c r="BT1095" s="7"/>
      <c r="BU1095" s="2" t="s">
        <v>109</v>
      </c>
      <c r="BV1095" s="2" t="s">
        <v>97</v>
      </c>
      <c r="BW1095" s="2" t="s">
        <v>737</v>
      </c>
      <c r="BX1095" s="2" t="s">
        <v>3874</v>
      </c>
      <c r="BY1095" s="2" t="s">
        <v>112</v>
      </c>
      <c r="BZ1095" s="2" t="s">
        <v>100</v>
      </c>
    </row>
    <row r="1096">
      <c r="A1096" s="2" t="s">
        <v>3875</v>
      </c>
      <c r="B1096" s="2" t="s">
        <v>87</v>
      </c>
      <c r="C1096" s="2" t="s">
        <v>3586</v>
      </c>
      <c r="D1096" s="2" t="s">
        <v>89</v>
      </c>
      <c r="E1096" s="2" t="s">
        <v>2005</v>
      </c>
      <c r="F1096" s="2" t="s">
        <v>3859</v>
      </c>
      <c r="G1096" s="2" t="s">
        <v>3860</v>
      </c>
      <c r="H1096" s="2" t="s">
        <v>3861</v>
      </c>
      <c r="I1096" s="2" t="s">
        <v>3783</v>
      </c>
      <c r="J1096" s="2" t="s">
        <v>118</v>
      </c>
      <c r="K1096" s="2" t="s">
        <v>267</v>
      </c>
      <c r="L1096" s="3">
        <v>65.7</v>
      </c>
      <c r="M1096" s="3">
        <v>68.98</v>
      </c>
      <c r="N1096" s="3">
        <v>119.99</v>
      </c>
      <c r="O1096" s="2" t="s">
        <v>97</v>
      </c>
      <c r="P1096" s="2" t="s">
        <v>805</v>
      </c>
      <c r="Q1096" s="2" t="s">
        <v>99</v>
      </c>
      <c r="R1096" s="2" t="s">
        <v>100</v>
      </c>
      <c r="S1096" s="2" t="s">
        <v>3862</v>
      </c>
      <c r="T1096" s="2" t="s">
        <v>100</v>
      </c>
      <c r="U1096" s="2" t="s">
        <v>807</v>
      </c>
      <c r="V1096" s="2" t="s">
        <v>561</v>
      </c>
      <c r="W1096" s="2" t="s">
        <v>759</v>
      </c>
      <c r="X1096" s="2" t="s">
        <v>602</v>
      </c>
      <c r="Y1096" s="2" t="s">
        <v>1322</v>
      </c>
      <c r="Z1096" s="4">
        <v>113</v>
      </c>
      <c r="AA1096" s="4">
        <f>=ROUNDDOWN(5.38095238095238,0)</f>
      </c>
      <c r="AB1096" s="5">
        <v>21</v>
      </c>
      <c r="AC1096" s="2" t="s">
        <v>3876</v>
      </c>
      <c r="AD1096" s="4">
        <v>2</v>
      </c>
      <c r="AE1096" s="4">
        <v>629</v>
      </c>
      <c r="AF1096" s="6">
        <v>65</v>
      </c>
      <c r="AG1096" s="6">
        <v>73</v>
      </c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>
        <v>0</v>
      </c>
      <c r="AP1096" s="4">
        <v>1</v>
      </c>
      <c r="AQ1096" s="8">
        <v>68.99</v>
      </c>
      <c r="AR1096" s="4">
        <v>2</v>
      </c>
      <c r="AS1096" s="8">
        <v>137.98</v>
      </c>
      <c r="AT1096" s="7">
        <v>-0.5</v>
      </c>
      <c r="AU1096" s="7">
        <v>-0.5</v>
      </c>
      <c r="AV1096" s="4" t="s">
        <v>100</v>
      </c>
      <c r="AW1096" s="8" t="s">
        <v>100</v>
      </c>
      <c r="AX1096" s="4" t="s">
        <v>100</v>
      </c>
      <c r="AY1096" s="8" t="s">
        <v>100</v>
      </c>
      <c r="AZ1096" s="7" t="s">
        <v>100</v>
      </c>
      <c r="BA1096" s="7" t="s">
        <v>100</v>
      </c>
      <c r="BB1096" s="7">
        <v>0.1066</v>
      </c>
      <c r="BC1096" s="4" t="s">
        <v>100</v>
      </c>
      <c r="BD1096" s="8" t="s">
        <v>100</v>
      </c>
      <c r="BE1096" s="4" t="s">
        <v>100</v>
      </c>
      <c r="BF1096" s="8" t="s">
        <v>100</v>
      </c>
      <c r="BG1096" s="7" t="s">
        <v>100</v>
      </c>
      <c r="BH1096" s="7" t="s">
        <v>100</v>
      </c>
      <c r="BI1096" s="7" t="s">
        <v>100</v>
      </c>
      <c r="BJ1096" s="4">
        <v>376</v>
      </c>
      <c r="BK1096" s="8">
        <v>30220.28</v>
      </c>
      <c r="BL1096" s="2" t="s">
        <v>3877</v>
      </c>
      <c r="BM1096" s="7">
        <v>0.0027</v>
      </c>
      <c r="BN1096" s="7">
        <v>0.0023</v>
      </c>
      <c r="BO1096" s="4">
        <v>1</v>
      </c>
      <c r="BP1096" s="8">
        <v>68.99</v>
      </c>
      <c r="BQ1096" s="4">
        <v>2</v>
      </c>
      <c r="BR1096" s="8">
        <v>137.98</v>
      </c>
      <c r="BS1096" s="7">
        <v>-0.5</v>
      </c>
      <c r="BT1096" s="7">
        <v>-0.5</v>
      </c>
      <c r="BU1096" s="2" t="s">
        <v>109</v>
      </c>
      <c r="BV1096" s="2" t="s">
        <v>97</v>
      </c>
      <c r="BW1096" s="2" t="s">
        <v>737</v>
      </c>
      <c r="BX1096" s="2" t="s">
        <v>3878</v>
      </c>
      <c r="BY1096" s="2" t="s">
        <v>112</v>
      </c>
      <c r="BZ1096" s="2" t="s">
        <v>100</v>
      </c>
    </row>
    <row r="1097">
      <c r="A1097" s="2" t="s">
        <v>3879</v>
      </c>
      <c r="B1097" s="2" t="s">
        <v>87</v>
      </c>
      <c r="C1097" s="2" t="s">
        <v>3586</v>
      </c>
      <c r="D1097" s="2" t="s">
        <v>89</v>
      </c>
      <c r="E1097" s="2" t="s">
        <v>2005</v>
      </c>
      <c r="F1097" s="2" t="s">
        <v>3859</v>
      </c>
      <c r="G1097" s="2" t="s">
        <v>3860</v>
      </c>
      <c r="H1097" s="2" t="s">
        <v>3861</v>
      </c>
      <c r="I1097" s="2" t="s">
        <v>3775</v>
      </c>
      <c r="J1097" s="2" t="s">
        <v>3012</v>
      </c>
      <c r="K1097" s="2" t="s">
        <v>622</v>
      </c>
      <c r="L1097" s="3">
        <v>50.53</v>
      </c>
      <c r="M1097" s="3">
        <v>53.06</v>
      </c>
      <c r="N1097" s="3">
        <v>89.99</v>
      </c>
      <c r="O1097" s="2" t="s">
        <v>97</v>
      </c>
      <c r="P1097" s="2" t="s">
        <v>182</v>
      </c>
      <c r="Q1097" s="2" t="s">
        <v>99</v>
      </c>
      <c r="R1097" s="2" t="s">
        <v>100</v>
      </c>
      <c r="S1097" s="2" t="s">
        <v>3880</v>
      </c>
      <c r="T1097" s="2" t="s">
        <v>100</v>
      </c>
      <c r="U1097" s="2" t="s">
        <v>102</v>
      </c>
      <c r="V1097" s="2" t="s">
        <v>561</v>
      </c>
      <c r="W1097" s="2" t="s">
        <v>759</v>
      </c>
      <c r="X1097" s="2" t="s">
        <v>602</v>
      </c>
      <c r="Y1097" s="2" t="s">
        <v>106</v>
      </c>
      <c r="Z1097" s="4">
        <v>143</v>
      </c>
      <c r="AA1097" s="4">
        <f>=ROUNDDOWN(35.75,0)</f>
      </c>
      <c r="AB1097" s="5"/>
      <c r="AC1097" s="2" t="s">
        <v>735</v>
      </c>
      <c r="AD1097" s="4">
        <v>30</v>
      </c>
      <c r="AE1097" s="4">
        <v>100</v>
      </c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 t="s">
        <v>100</v>
      </c>
      <c r="BJ1097" s="4">
        <v>54</v>
      </c>
      <c r="BK1097" s="8">
        <v>3280.16</v>
      </c>
      <c r="BL1097" s="2" t="s">
        <v>296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147</v>
      </c>
      <c r="BV1097" s="2" t="s">
        <v>97</v>
      </c>
      <c r="BW1097" s="2" t="s">
        <v>100</v>
      </c>
      <c r="BX1097" s="2" t="s">
        <v>100</v>
      </c>
      <c r="BY1097" s="2" t="s">
        <v>112</v>
      </c>
      <c r="BZ1097" s="2" t="s">
        <v>100</v>
      </c>
    </row>
    <row r="1098">
      <c r="A1098" s="2" t="s">
        <v>3881</v>
      </c>
      <c r="B1098" s="2" t="s">
        <v>87</v>
      </c>
      <c r="C1098" s="2" t="s">
        <v>3586</v>
      </c>
      <c r="D1098" s="2" t="s">
        <v>89</v>
      </c>
      <c r="E1098" s="2" t="s">
        <v>2005</v>
      </c>
      <c r="F1098" s="2" t="s">
        <v>3859</v>
      </c>
      <c r="G1098" s="2" t="s">
        <v>3860</v>
      </c>
      <c r="H1098" s="2" t="s">
        <v>3861</v>
      </c>
      <c r="I1098" s="2" t="s">
        <v>3783</v>
      </c>
      <c r="J1098" s="2" t="s">
        <v>122</v>
      </c>
      <c r="K1098" s="2" t="s">
        <v>622</v>
      </c>
      <c r="L1098" s="3">
        <v>55.59</v>
      </c>
      <c r="M1098" s="3">
        <v>58.37</v>
      </c>
      <c r="N1098" s="3">
        <v>99.99</v>
      </c>
      <c r="O1098" s="2" t="s">
        <v>97</v>
      </c>
      <c r="P1098" s="2" t="s">
        <v>182</v>
      </c>
      <c r="Q1098" s="2" t="s">
        <v>99</v>
      </c>
      <c r="R1098" s="2" t="s">
        <v>100</v>
      </c>
      <c r="S1098" s="2" t="s">
        <v>3880</v>
      </c>
      <c r="T1098" s="2" t="s">
        <v>100</v>
      </c>
      <c r="U1098" s="2" t="s">
        <v>807</v>
      </c>
      <c r="V1098" s="2" t="s">
        <v>561</v>
      </c>
      <c r="W1098" s="2" t="s">
        <v>759</v>
      </c>
      <c r="X1098" s="2" t="s">
        <v>602</v>
      </c>
      <c r="Y1098" s="2" t="s">
        <v>106</v>
      </c>
      <c r="Z1098" s="4">
        <v>136</v>
      </c>
      <c r="AA1098" s="4">
        <f>=ROUNDDOWN(34,0)</f>
      </c>
      <c r="AB1098" s="5">
        <v>4</v>
      </c>
      <c r="AC1098" s="2" t="s">
        <v>874</v>
      </c>
      <c r="AD1098" s="4">
        <v>20</v>
      </c>
      <c r="AE1098" s="4">
        <v>170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 t="s">
        <v>100</v>
      </c>
      <c r="BJ1098" s="4">
        <v>84</v>
      </c>
      <c r="BK1098" s="8">
        <v>5623.91</v>
      </c>
      <c r="BL1098" s="2" t="s">
        <v>3882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147</v>
      </c>
      <c r="BV1098" s="2" t="s">
        <v>97</v>
      </c>
      <c r="BW1098" s="2" t="s">
        <v>100</v>
      </c>
      <c r="BX1098" s="2" t="s">
        <v>100</v>
      </c>
      <c r="BY1098" s="2" t="s">
        <v>112</v>
      </c>
      <c r="BZ1098" s="2" t="s">
        <v>100</v>
      </c>
    </row>
    <row r="1099">
      <c r="A1099" s="2" t="s">
        <v>3883</v>
      </c>
      <c r="B1099" s="2" t="s">
        <v>87</v>
      </c>
      <c r="C1099" s="2" t="s">
        <v>3586</v>
      </c>
      <c r="D1099" s="2" t="s">
        <v>89</v>
      </c>
      <c r="E1099" s="2" t="s">
        <v>2005</v>
      </c>
      <c r="F1099" s="2" t="s">
        <v>3859</v>
      </c>
      <c r="G1099" s="2" t="s">
        <v>3860</v>
      </c>
      <c r="H1099" s="2" t="s">
        <v>3861</v>
      </c>
      <c r="I1099" s="2" t="s">
        <v>3783</v>
      </c>
      <c r="J1099" s="2" t="s">
        <v>95</v>
      </c>
      <c r="K1099" s="2" t="s">
        <v>622</v>
      </c>
      <c r="L1099" s="3">
        <v>60.65</v>
      </c>
      <c r="M1099" s="3">
        <v>63.68</v>
      </c>
      <c r="N1099" s="3">
        <v>109.99</v>
      </c>
      <c r="O1099" s="2" t="s">
        <v>97</v>
      </c>
      <c r="P1099" s="2" t="s">
        <v>182</v>
      </c>
      <c r="Q1099" s="2" t="s">
        <v>99</v>
      </c>
      <c r="R1099" s="2" t="s">
        <v>100</v>
      </c>
      <c r="S1099" s="2" t="s">
        <v>3880</v>
      </c>
      <c r="T1099" s="2" t="s">
        <v>100</v>
      </c>
      <c r="U1099" s="2" t="s">
        <v>807</v>
      </c>
      <c r="V1099" s="2" t="s">
        <v>561</v>
      </c>
      <c r="W1099" s="2" t="s">
        <v>759</v>
      </c>
      <c r="X1099" s="2" t="s">
        <v>602</v>
      </c>
      <c r="Y1099" s="2" t="s">
        <v>3884</v>
      </c>
      <c r="Z1099" s="4">
        <v>172</v>
      </c>
      <c r="AA1099" s="4">
        <f>=ROUNDDOWN(10.1176470588235,0)</f>
      </c>
      <c r="AB1099" s="5">
        <v>17</v>
      </c>
      <c r="AC1099" s="2" t="s">
        <v>874</v>
      </c>
      <c r="AD1099" s="4">
        <v>50</v>
      </c>
      <c r="AE1099" s="4">
        <v>590</v>
      </c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 t="s">
        <v>100</v>
      </c>
      <c r="BJ1099" s="4">
        <v>346</v>
      </c>
      <c r="BK1099" s="8">
        <v>25443.51</v>
      </c>
      <c r="BL1099" s="2" t="s">
        <v>3885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147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3886</v>
      </c>
      <c r="B1100" s="2" t="s">
        <v>87</v>
      </c>
      <c r="C1100" s="2" t="s">
        <v>3586</v>
      </c>
      <c r="D1100" s="2" t="s">
        <v>89</v>
      </c>
      <c r="E1100" s="2" t="s">
        <v>2005</v>
      </c>
      <c r="F1100" s="2" t="s">
        <v>3859</v>
      </c>
      <c r="G1100" s="2" t="s">
        <v>3860</v>
      </c>
      <c r="H1100" s="2" t="s">
        <v>3861</v>
      </c>
      <c r="I1100" s="2" t="s">
        <v>3783</v>
      </c>
      <c r="J1100" s="2" t="s">
        <v>114</v>
      </c>
      <c r="K1100" s="2" t="s">
        <v>622</v>
      </c>
      <c r="L1100" s="3">
        <v>65.7</v>
      </c>
      <c r="M1100" s="3">
        <v>68.98</v>
      </c>
      <c r="N1100" s="3">
        <v>119.99</v>
      </c>
      <c r="O1100" s="2" t="s">
        <v>97</v>
      </c>
      <c r="P1100" s="2" t="s">
        <v>182</v>
      </c>
      <c r="Q1100" s="2" t="s">
        <v>99</v>
      </c>
      <c r="R1100" s="2" t="s">
        <v>100</v>
      </c>
      <c r="S1100" s="2" t="s">
        <v>3880</v>
      </c>
      <c r="T1100" s="2" t="s">
        <v>100</v>
      </c>
      <c r="U1100" s="2" t="s">
        <v>807</v>
      </c>
      <c r="V1100" s="2" t="s">
        <v>561</v>
      </c>
      <c r="W1100" s="2" t="s">
        <v>759</v>
      </c>
      <c r="X1100" s="2" t="s">
        <v>602</v>
      </c>
      <c r="Y1100" s="2" t="s">
        <v>106</v>
      </c>
      <c r="Z1100" s="4">
        <v>160</v>
      </c>
      <c r="AA1100" s="4">
        <f>=ROUNDDOWN(13.3333333333333,0)</f>
      </c>
      <c r="AB1100" s="5">
        <v>12</v>
      </c>
      <c r="AC1100" s="2" t="s">
        <v>874</v>
      </c>
      <c r="AD1100" s="4">
        <v>60</v>
      </c>
      <c r="AE1100" s="4">
        <v>320</v>
      </c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 t="s">
        <v>100</v>
      </c>
      <c r="BJ1100" s="4">
        <v>229</v>
      </c>
      <c r="BK1100" s="8">
        <v>18462.15</v>
      </c>
      <c r="BL1100" s="2" t="s">
        <v>3887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147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100</v>
      </c>
    </row>
    <row r="1101">
      <c r="A1101" s="2" t="s">
        <v>3888</v>
      </c>
      <c r="B1101" s="2" t="s">
        <v>87</v>
      </c>
      <c r="C1101" s="2" t="s">
        <v>3586</v>
      </c>
      <c r="D1101" s="2" t="s">
        <v>89</v>
      </c>
      <c r="E1101" s="2" t="s">
        <v>2005</v>
      </c>
      <c r="F1101" s="2" t="s">
        <v>3859</v>
      </c>
      <c r="G1101" s="2" t="s">
        <v>3860</v>
      </c>
      <c r="H1101" s="2" t="s">
        <v>3861</v>
      </c>
      <c r="I1101" s="2" t="s">
        <v>3783</v>
      </c>
      <c r="J1101" s="2" t="s">
        <v>118</v>
      </c>
      <c r="K1101" s="2" t="s">
        <v>622</v>
      </c>
      <c r="L1101" s="3">
        <v>65.7</v>
      </c>
      <c r="M1101" s="3">
        <v>68.98</v>
      </c>
      <c r="N1101" s="3">
        <v>119.99</v>
      </c>
      <c r="O1101" s="2" t="s">
        <v>97</v>
      </c>
      <c r="P1101" s="2" t="s">
        <v>182</v>
      </c>
      <c r="Q1101" s="2" t="s">
        <v>99</v>
      </c>
      <c r="R1101" s="2" t="s">
        <v>100</v>
      </c>
      <c r="S1101" s="2" t="s">
        <v>3880</v>
      </c>
      <c r="T1101" s="2" t="s">
        <v>100</v>
      </c>
      <c r="U1101" s="2" t="s">
        <v>807</v>
      </c>
      <c r="V1101" s="2" t="s">
        <v>561</v>
      </c>
      <c r="W1101" s="2" t="s">
        <v>759</v>
      </c>
      <c r="X1101" s="2" t="s">
        <v>602</v>
      </c>
      <c r="Y1101" s="2" t="s">
        <v>106</v>
      </c>
      <c r="Z1101" s="4">
        <v>135</v>
      </c>
      <c r="AA1101" s="4">
        <f>=ROUNDDOWN(19.2857142857143,0)</f>
      </c>
      <c r="AB1101" s="5">
        <v>7</v>
      </c>
      <c r="AC1101" s="2" t="s">
        <v>735</v>
      </c>
      <c r="AD1101" s="4">
        <v>30</v>
      </c>
      <c r="AE1101" s="4">
        <v>150</v>
      </c>
      <c r="AF1101" s="6">
        <v>65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 t="s">
        <v>100</v>
      </c>
      <c r="BJ1101" s="4">
        <v>120</v>
      </c>
      <c r="BK1101" s="8">
        <v>9727.82</v>
      </c>
      <c r="BL1101" s="2" t="s">
        <v>3887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147</v>
      </c>
      <c r="BV1101" s="2" t="s">
        <v>97</v>
      </c>
      <c r="BW1101" s="2" t="s">
        <v>100</v>
      </c>
      <c r="BX1101" s="2" t="s">
        <v>100</v>
      </c>
      <c r="BY1101" s="2" t="s">
        <v>112</v>
      </c>
      <c r="BZ1101" s="2" t="s">
        <v>100</v>
      </c>
    </row>
    <row r="1102">
      <c r="A1102" s="2" t="s">
        <v>3889</v>
      </c>
      <c r="B1102" s="2" t="s">
        <v>87</v>
      </c>
      <c r="C1102" s="2" t="s">
        <v>3586</v>
      </c>
      <c r="D1102" s="2" t="s">
        <v>89</v>
      </c>
      <c r="E1102" s="2" t="s">
        <v>2005</v>
      </c>
      <c r="F1102" s="2" t="s">
        <v>3890</v>
      </c>
      <c r="G1102" s="2" t="s">
        <v>3891</v>
      </c>
      <c r="H1102" s="2" t="s">
        <v>3892</v>
      </c>
      <c r="I1102" s="2" t="s">
        <v>3893</v>
      </c>
      <c r="J1102" s="2" t="s">
        <v>122</v>
      </c>
      <c r="K1102" s="2" t="s">
        <v>3894</v>
      </c>
      <c r="L1102" s="3">
        <v>57.19</v>
      </c>
      <c r="M1102" s="3">
        <v>60.05</v>
      </c>
      <c r="N1102" s="3">
        <v>109.99</v>
      </c>
      <c r="O1102" s="2" t="s">
        <v>229</v>
      </c>
      <c r="P1102" s="2" t="s">
        <v>198</v>
      </c>
      <c r="Q1102" s="2" t="s">
        <v>99</v>
      </c>
      <c r="R1102" s="2" t="s">
        <v>100</v>
      </c>
      <c r="S1102" s="2" t="s">
        <v>3895</v>
      </c>
      <c r="T1102" s="2" t="s">
        <v>100</v>
      </c>
      <c r="U1102" s="2" t="s">
        <v>807</v>
      </c>
      <c r="V1102" s="2" t="s">
        <v>491</v>
      </c>
      <c r="W1102" s="2" t="s">
        <v>3896</v>
      </c>
      <c r="X1102" s="2" t="s">
        <v>759</v>
      </c>
      <c r="Y1102" s="2" t="s">
        <v>734</v>
      </c>
      <c r="Z1102" s="4">
        <v>211</v>
      </c>
      <c r="AA1102" s="4">
        <f>=ROUNDDOWN(52.75,0)</f>
      </c>
      <c r="AB1102" s="5">
        <v>4</v>
      </c>
      <c r="AC1102" s="2" t="s">
        <v>100</v>
      </c>
      <c r="AD1102" s="4"/>
      <c r="AE1102" s="4"/>
      <c r="AF1102" s="6">
        <v>64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>
        <v>5</v>
      </c>
      <c r="AW1102" s="8">
        <v>338.47</v>
      </c>
      <c r="AX1102" s="4">
        <v>21</v>
      </c>
      <c r="AY1102" s="8">
        <v>1435.77</v>
      </c>
      <c r="AZ1102" s="7">
        <v>-0.7619</v>
      </c>
      <c r="BA1102" s="7">
        <v>-0.7643</v>
      </c>
      <c r="BB1102" s="7"/>
      <c r="BC1102" s="4">
        <v>5</v>
      </c>
      <c r="BD1102" s="8">
        <v>338.47</v>
      </c>
      <c r="BE1102" s="4">
        <v>21</v>
      </c>
      <c r="BF1102" s="8">
        <v>1435.77</v>
      </c>
      <c r="BG1102" s="7">
        <v>-0.7619</v>
      </c>
      <c r="BH1102" s="7">
        <v>-0.7643</v>
      </c>
      <c r="BI1102" s="7">
        <v>1</v>
      </c>
      <c r="BJ1102" s="4">
        <v>103</v>
      </c>
      <c r="BK1102" s="8">
        <v>4946.97</v>
      </c>
      <c r="BL1102" s="2" t="s">
        <v>2925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147</v>
      </c>
      <c r="BV1102" s="2" t="s">
        <v>97</v>
      </c>
      <c r="BW1102" s="2" t="s">
        <v>100</v>
      </c>
      <c r="BX1102" s="2" t="s">
        <v>100</v>
      </c>
      <c r="BY1102" s="2" t="s">
        <v>112</v>
      </c>
      <c r="BZ1102" s="2" t="s">
        <v>100</v>
      </c>
    </row>
    <row r="1103">
      <c r="A1103" s="2" t="s">
        <v>3897</v>
      </c>
      <c r="B1103" s="2" t="s">
        <v>87</v>
      </c>
      <c r="C1103" s="2" t="s">
        <v>3586</v>
      </c>
      <c r="D1103" s="2" t="s">
        <v>89</v>
      </c>
      <c r="E1103" s="2" t="s">
        <v>2005</v>
      </c>
      <c r="F1103" s="2" t="s">
        <v>3890</v>
      </c>
      <c r="G1103" s="2" t="s">
        <v>3891</v>
      </c>
      <c r="H1103" s="2" t="s">
        <v>3892</v>
      </c>
      <c r="I1103" s="2" t="s">
        <v>3893</v>
      </c>
      <c r="J1103" s="2" t="s">
        <v>95</v>
      </c>
      <c r="K1103" s="2" t="s">
        <v>3894</v>
      </c>
      <c r="L1103" s="3">
        <v>62.39</v>
      </c>
      <c r="M1103" s="3">
        <v>65.51</v>
      </c>
      <c r="N1103" s="3">
        <v>119.99</v>
      </c>
      <c r="O1103" s="2" t="s">
        <v>229</v>
      </c>
      <c r="P1103" s="2" t="s">
        <v>198</v>
      </c>
      <c r="Q1103" s="2" t="s">
        <v>99</v>
      </c>
      <c r="R1103" s="2" t="s">
        <v>100</v>
      </c>
      <c r="S1103" s="2" t="s">
        <v>3895</v>
      </c>
      <c r="T1103" s="2" t="s">
        <v>100</v>
      </c>
      <c r="U1103" s="2" t="s">
        <v>807</v>
      </c>
      <c r="V1103" s="2" t="s">
        <v>491</v>
      </c>
      <c r="W1103" s="2" t="s">
        <v>3896</v>
      </c>
      <c r="X1103" s="2" t="s">
        <v>759</v>
      </c>
      <c r="Y1103" s="2" t="s">
        <v>734</v>
      </c>
      <c r="Z1103" s="4"/>
      <c r="AA1103" s="4">
        <f>=ROUNDDOWN({0},0)</f>
      </c>
      <c r="AB1103" s="5">
        <v>8</v>
      </c>
      <c r="AC1103" s="2" t="s">
        <v>100</v>
      </c>
      <c r="AD1103" s="4"/>
      <c r="AE1103" s="4"/>
      <c r="AF1103" s="6">
        <v>64</v>
      </c>
      <c r="AG1103" s="6"/>
      <c r="AH1103" s="7">
        <v>0.7879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>
        <v>0</v>
      </c>
      <c r="AP1103" s="4">
        <v>3</v>
      </c>
      <c r="AQ1103" s="8">
        <v>196.53</v>
      </c>
      <c r="AR1103" s="4">
        <v>10</v>
      </c>
      <c r="AS1103" s="8">
        <v>655.1</v>
      </c>
      <c r="AT1103" s="7">
        <v>-0.7</v>
      </c>
      <c r="AU1103" s="7">
        <v>-0.7</v>
      </c>
      <c r="AV1103" s="4" t="s">
        <v>100</v>
      </c>
      <c r="AW1103" s="8" t="s">
        <v>100</v>
      </c>
      <c r="AX1103" s="4" t="s">
        <v>100</v>
      </c>
      <c r="AY1103" s="8" t="s">
        <v>100</v>
      </c>
      <c r="AZ1103" s="7" t="s">
        <v>100</v>
      </c>
      <c r="BA1103" s="7" t="s">
        <v>100</v>
      </c>
      <c r="BB1103" s="7">
        <v>0.5806</v>
      </c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 t="s">
        <v>100</v>
      </c>
      <c r="BJ1103" s="4">
        <v>132</v>
      </c>
      <c r="BK1103" s="8">
        <v>7287.31</v>
      </c>
      <c r="BL1103" s="2" t="s">
        <v>3790</v>
      </c>
      <c r="BM1103" s="7">
        <v>0.0227</v>
      </c>
      <c r="BN1103" s="7">
        <v>0.027</v>
      </c>
      <c r="BO1103" s="4">
        <v>3</v>
      </c>
      <c r="BP1103" s="8">
        <v>196.53</v>
      </c>
      <c r="BQ1103" s="4">
        <v>10</v>
      </c>
      <c r="BR1103" s="8">
        <v>655.1</v>
      </c>
      <c r="BS1103" s="7">
        <v>-0.7</v>
      </c>
      <c r="BT1103" s="7">
        <v>-0.7</v>
      </c>
      <c r="BU1103" s="2" t="s">
        <v>109</v>
      </c>
      <c r="BV1103" s="2" t="s">
        <v>552</v>
      </c>
      <c r="BW1103" s="2" t="s">
        <v>3610</v>
      </c>
      <c r="BX1103" s="2" t="s">
        <v>966</v>
      </c>
      <c r="BY1103" s="2" t="s">
        <v>112</v>
      </c>
      <c r="BZ1103" s="2" t="s">
        <v>100</v>
      </c>
    </row>
    <row r="1104">
      <c r="A1104" s="2" t="s">
        <v>3898</v>
      </c>
      <c r="B1104" s="2" t="s">
        <v>87</v>
      </c>
      <c r="C1104" s="2" t="s">
        <v>3586</v>
      </c>
      <c r="D1104" s="2" t="s">
        <v>89</v>
      </c>
      <c r="E1104" s="2" t="s">
        <v>2005</v>
      </c>
      <c r="F1104" s="2" t="s">
        <v>3890</v>
      </c>
      <c r="G1104" s="2" t="s">
        <v>3891</v>
      </c>
      <c r="H1104" s="2" t="s">
        <v>3892</v>
      </c>
      <c r="I1104" s="2" t="s">
        <v>3893</v>
      </c>
      <c r="J1104" s="2" t="s">
        <v>114</v>
      </c>
      <c r="K1104" s="2" t="s">
        <v>3894</v>
      </c>
      <c r="L1104" s="3">
        <v>67.59</v>
      </c>
      <c r="M1104" s="3">
        <v>70.97</v>
      </c>
      <c r="N1104" s="3">
        <v>129.99</v>
      </c>
      <c r="O1104" s="2" t="s">
        <v>229</v>
      </c>
      <c r="P1104" s="2" t="s">
        <v>198</v>
      </c>
      <c r="Q1104" s="2" t="s">
        <v>99</v>
      </c>
      <c r="R1104" s="2" t="s">
        <v>100</v>
      </c>
      <c r="S1104" s="2" t="s">
        <v>3895</v>
      </c>
      <c r="T1104" s="2" t="s">
        <v>100</v>
      </c>
      <c r="U1104" s="2" t="s">
        <v>807</v>
      </c>
      <c r="V1104" s="2" t="s">
        <v>491</v>
      </c>
      <c r="W1104" s="2" t="s">
        <v>3896</v>
      </c>
      <c r="X1104" s="2" t="s">
        <v>759</v>
      </c>
      <c r="Y1104" s="2" t="s">
        <v>734</v>
      </c>
      <c r="Z1104" s="4"/>
      <c r="AA1104" s="4">
        <f>=ROUNDDOWN({0},0)</f>
      </c>
      <c r="AB1104" s="5">
        <v>6</v>
      </c>
      <c r="AC1104" s="2" t="s">
        <v>100</v>
      </c>
      <c r="AD1104" s="4"/>
      <c r="AE1104" s="4"/>
      <c r="AF1104" s="6">
        <v>64</v>
      </c>
      <c r="AG1104" s="6"/>
      <c r="AH1104" s="7">
        <v>0.5515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>
        <v>0</v>
      </c>
      <c r="AP1104" s="4">
        <v>1</v>
      </c>
      <c r="AQ1104" s="8">
        <v>70.97</v>
      </c>
      <c r="AR1104" s="4">
        <v>9</v>
      </c>
      <c r="AS1104" s="8">
        <v>638.73</v>
      </c>
      <c r="AT1104" s="7">
        <v>-0.8889</v>
      </c>
      <c r="AU1104" s="7">
        <v>-0.8889</v>
      </c>
      <c r="AV1104" s="4" t="s">
        <v>100</v>
      </c>
      <c r="AW1104" s="8" t="s">
        <v>100</v>
      </c>
      <c r="AX1104" s="4" t="s">
        <v>100</v>
      </c>
      <c r="AY1104" s="8" t="s">
        <v>100</v>
      </c>
      <c r="AZ1104" s="7" t="s">
        <v>100</v>
      </c>
      <c r="BA1104" s="7" t="s">
        <v>100</v>
      </c>
      <c r="BB1104" s="7">
        <v>0.2097</v>
      </c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 t="s">
        <v>100</v>
      </c>
      <c r="BJ1104" s="4">
        <v>61</v>
      </c>
      <c r="BK1104" s="8">
        <v>4316.21</v>
      </c>
      <c r="BL1104" s="2" t="s">
        <v>3899</v>
      </c>
      <c r="BM1104" s="7">
        <v>0.0164</v>
      </c>
      <c r="BN1104" s="7">
        <v>0.0164</v>
      </c>
      <c r="BO1104" s="4">
        <v>1</v>
      </c>
      <c r="BP1104" s="8">
        <v>70.97</v>
      </c>
      <c r="BQ1104" s="4">
        <v>9</v>
      </c>
      <c r="BR1104" s="8">
        <v>638.73</v>
      </c>
      <c r="BS1104" s="7">
        <v>-0.8889</v>
      </c>
      <c r="BT1104" s="7">
        <v>-0.8889</v>
      </c>
      <c r="BU1104" s="2" t="s">
        <v>109</v>
      </c>
      <c r="BV1104" s="2" t="s">
        <v>552</v>
      </c>
      <c r="BW1104" s="2" t="s">
        <v>3610</v>
      </c>
      <c r="BX1104" s="2" t="s">
        <v>3900</v>
      </c>
      <c r="BY1104" s="2" t="s">
        <v>112</v>
      </c>
      <c r="BZ1104" s="2" t="s">
        <v>100</v>
      </c>
    </row>
    <row r="1105">
      <c r="A1105" s="2" t="s">
        <v>3901</v>
      </c>
      <c r="B1105" s="2" t="s">
        <v>87</v>
      </c>
      <c r="C1105" s="2" t="s">
        <v>3586</v>
      </c>
      <c r="D1105" s="2" t="s">
        <v>89</v>
      </c>
      <c r="E1105" s="2" t="s">
        <v>2005</v>
      </c>
      <c r="F1105" s="2" t="s">
        <v>3890</v>
      </c>
      <c r="G1105" s="2" t="s">
        <v>3891</v>
      </c>
      <c r="H1105" s="2" t="s">
        <v>3892</v>
      </c>
      <c r="I1105" s="2" t="s">
        <v>3893</v>
      </c>
      <c r="J1105" s="2" t="s">
        <v>118</v>
      </c>
      <c r="K1105" s="2" t="s">
        <v>3894</v>
      </c>
      <c r="L1105" s="3">
        <v>67.59</v>
      </c>
      <c r="M1105" s="3">
        <v>70.97</v>
      </c>
      <c r="N1105" s="3">
        <v>129.99</v>
      </c>
      <c r="O1105" s="2" t="s">
        <v>229</v>
      </c>
      <c r="P1105" s="2" t="s">
        <v>198</v>
      </c>
      <c r="Q1105" s="2" t="s">
        <v>99</v>
      </c>
      <c r="R1105" s="2" t="s">
        <v>100</v>
      </c>
      <c r="S1105" s="2" t="s">
        <v>3895</v>
      </c>
      <c r="T1105" s="2" t="s">
        <v>100</v>
      </c>
      <c r="U1105" s="2" t="s">
        <v>807</v>
      </c>
      <c r="V1105" s="2" t="s">
        <v>491</v>
      </c>
      <c r="W1105" s="2" t="s">
        <v>3896</v>
      </c>
      <c r="X1105" s="2" t="s">
        <v>759</v>
      </c>
      <c r="Y1105" s="2" t="s">
        <v>734</v>
      </c>
      <c r="Z1105" s="4">
        <v>9</v>
      </c>
      <c r="AA1105" s="4">
        <f>=ROUNDDOWN(4.5,0)</f>
      </c>
      <c r="AB1105" s="5">
        <v>2</v>
      </c>
      <c r="AC1105" s="2" t="s">
        <v>100</v>
      </c>
      <c r="AD1105" s="4"/>
      <c r="AE1105" s="4"/>
      <c r="AF1105" s="6">
        <v>64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>
        <v>0</v>
      </c>
      <c r="AP1105" s="4">
        <v>1</v>
      </c>
      <c r="AQ1105" s="8">
        <v>70.97</v>
      </c>
      <c r="AR1105" s="4">
        <v>2</v>
      </c>
      <c r="AS1105" s="8">
        <v>141.94</v>
      </c>
      <c r="AT1105" s="7">
        <v>-0.5</v>
      </c>
      <c r="AU1105" s="7">
        <v>-0.5</v>
      </c>
      <c r="AV1105" s="4" t="s">
        <v>100</v>
      </c>
      <c r="AW1105" s="8" t="s">
        <v>100</v>
      </c>
      <c r="AX1105" s="4" t="s">
        <v>100</v>
      </c>
      <c r="AY1105" s="8" t="s">
        <v>100</v>
      </c>
      <c r="AZ1105" s="7" t="s">
        <v>100</v>
      </c>
      <c r="BA1105" s="7" t="s">
        <v>100</v>
      </c>
      <c r="BB1105" s="7">
        <v>0.2097</v>
      </c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 t="s">
        <v>100</v>
      </c>
      <c r="BJ1105" s="4">
        <v>94</v>
      </c>
      <c r="BK1105" s="8">
        <v>5236.51</v>
      </c>
      <c r="BL1105" s="2" t="s">
        <v>3902</v>
      </c>
      <c r="BM1105" s="7">
        <v>0.0106</v>
      </c>
      <c r="BN1105" s="7">
        <v>0.0136</v>
      </c>
      <c r="BO1105" s="4">
        <v>1</v>
      </c>
      <c r="BP1105" s="8">
        <v>70.97</v>
      </c>
      <c r="BQ1105" s="4">
        <v>2</v>
      </c>
      <c r="BR1105" s="8">
        <v>141.94</v>
      </c>
      <c r="BS1105" s="7">
        <v>-0.5</v>
      </c>
      <c r="BT1105" s="7">
        <v>-0.5</v>
      </c>
      <c r="BU1105" s="2" t="s">
        <v>109</v>
      </c>
      <c r="BV1105" s="2" t="s">
        <v>97</v>
      </c>
      <c r="BW1105" s="2" t="s">
        <v>132</v>
      </c>
      <c r="BX1105" s="2" t="s">
        <v>3903</v>
      </c>
      <c r="BY1105" s="2" t="s">
        <v>112</v>
      </c>
      <c r="BZ1105" s="2" t="s">
        <v>100</v>
      </c>
    </row>
    <row r="1106">
      <c r="A1106" s="2" t="s">
        <v>3904</v>
      </c>
      <c r="B1106" s="2" t="s">
        <v>87</v>
      </c>
      <c r="C1106" s="2" t="s">
        <v>3586</v>
      </c>
      <c r="D1106" s="2" t="s">
        <v>89</v>
      </c>
      <c r="E1106" s="2" t="s">
        <v>2005</v>
      </c>
      <c r="F1106" s="2" t="s">
        <v>3905</v>
      </c>
      <c r="G1106" s="2" t="s">
        <v>1373</v>
      </c>
      <c r="H1106" s="2" t="s">
        <v>3906</v>
      </c>
      <c r="I1106" s="2" t="s">
        <v>3775</v>
      </c>
      <c r="J1106" s="2" t="s">
        <v>3012</v>
      </c>
      <c r="K1106" s="2" t="s">
        <v>168</v>
      </c>
      <c r="L1106" s="3">
        <v>50.77</v>
      </c>
      <c r="M1106" s="3">
        <v>53.31</v>
      </c>
      <c r="N1106" s="3">
        <v>89.99</v>
      </c>
      <c r="O1106" s="2" t="s">
        <v>97</v>
      </c>
      <c r="P1106" s="2" t="s">
        <v>182</v>
      </c>
      <c r="Q1106" s="2" t="s">
        <v>99</v>
      </c>
      <c r="R1106" s="2" t="s">
        <v>100</v>
      </c>
      <c r="S1106" s="2" t="s">
        <v>3907</v>
      </c>
      <c r="T1106" s="2" t="s">
        <v>100</v>
      </c>
      <c r="U1106" s="2" t="s">
        <v>102</v>
      </c>
      <c r="V1106" s="2" t="s">
        <v>491</v>
      </c>
      <c r="W1106" s="2" t="s">
        <v>104</v>
      </c>
      <c r="X1106" s="2" t="s">
        <v>201</v>
      </c>
      <c r="Y1106" s="2" t="s">
        <v>3908</v>
      </c>
      <c r="Z1106" s="4">
        <v>186</v>
      </c>
      <c r="AA1106" s="4">
        <f>=ROUNDDOWN(37.2,0)</f>
      </c>
      <c r="AB1106" s="5">
        <v>5</v>
      </c>
      <c r="AC1106" s="2" t="s">
        <v>874</v>
      </c>
      <c r="AD1106" s="4">
        <v>50</v>
      </c>
      <c r="AE1106" s="4">
        <v>120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>
        <v>3</v>
      </c>
      <c r="AW1106" s="8">
        <v>180.25</v>
      </c>
      <c r="AX1106" s="4">
        <v>3</v>
      </c>
      <c r="AY1106" s="8">
        <v>190.4</v>
      </c>
      <c r="AZ1106" s="7" t="s">
        <v>100</v>
      </c>
      <c r="BA1106" s="7">
        <v>-0.0533</v>
      </c>
      <c r="BB1106" s="7"/>
      <c r="BC1106" s="4">
        <v>5</v>
      </c>
      <c r="BD1106" s="8">
        <v>302.1</v>
      </c>
      <c r="BE1106" s="4">
        <v>5</v>
      </c>
      <c r="BF1106" s="8">
        <v>312.25</v>
      </c>
      <c r="BG1106" s="7" t="s">
        <v>100</v>
      </c>
      <c r="BH1106" s="7">
        <v>-0.0325</v>
      </c>
      <c r="BI1106" s="7">
        <v>0.5967</v>
      </c>
      <c r="BJ1106" s="4">
        <v>92</v>
      </c>
      <c r="BK1106" s="8">
        <v>5031.67</v>
      </c>
      <c r="BL1106" s="2" t="s">
        <v>3909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147</v>
      </c>
      <c r="BV1106" s="2" t="s">
        <v>97</v>
      </c>
      <c r="BW1106" s="2" t="s">
        <v>100</v>
      </c>
      <c r="BX1106" s="2" t="s">
        <v>100</v>
      </c>
      <c r="BY1106" s="2" t="s">
        <v>112</v>
      </c>
      <c r="BZ1106" s="2" t="s">
        <v>100</v>
      </c>
    </row>
    <row r="1107">
      <c r="A1107" s="2" t="s">
        <v>3910</v>
      </c>
      <c r="B1107" s="2" t="s">
        <v>87</v>
      </c>
      <c r="C1107" s="2" t="s">
        <v>3586</v>
      </c>
      <c r="D1107" s="2" t="s">
        <v>89</v>
      </c>
      <c r="E1107" s="2" t="s">
        <v>2005</v>
      </c>
      <c r="F1107" s="2" t="s">
        <v>3905</v>
      </c>
      <c r="G1107" s="2" t="s">
        <v>1373</v>
      </c>
      <c r="H1107" s="2" t="s">
        <v>3906</v>
      </c>
      <c r="I1107" s="2" t="s">
        <v>3783</v>
      </c>
      <c r="J1107" s="2" t="s">
        <v>122</v>
      </c>
      <c r="K1107" s="2" t="s">
        <v>168</v>
      </c>
      <c r="L1107" s="3">
        <v>55.61</v>
      </c>
      <c r="M1107" s="3">
        <v>58.39</v>
      </c>
      <c r="N1107" s="3">
        <v>99.99</v>
      </c>
      <c r="O1107" s="2" t="s">
        <v>97</v>
      </c>
      <c r="P1107" s="2" t="s">
        <v>182</v>
      </c>
      <c r="Q1107" s="2" t="s">
        <v>99</v>
      </c>
      <c r="R1107" s="2" t="s">
        <v>100</v>
      </c>
      <c r="S1107" s="2" t="s">
        <v>3907</v>
      </c>
      <c r="T1107" s="2" t="s">
        <v>100</v>
      </c>
      <c r="U1107" s="2" t="s">
        <v>807</v>
      </c>
      <c r="V1107" s="2" t="s">
        <v>491</v>
      </c>
      <c r="W1107" s="2" t="s">
        <v>104</v>
      </c>
      <c r="X1107" s="2" t="s">
        <v>201</v>
      </c>
      <c r="Y1107" s="2" t="s">
        <v>3908</v>
      </c>
      <c r="Z1107" s="4">
        <v>110</v>
      </c>
      <c r="AA1107" s="4">
        <f>=ROUNDDOWN(13.75,0)</f>
      </c>
      <c r="AB1107" s="5">
        <v>8</v>
      </c>
      <c r="AC1107" s="2" t="s">
        <v>874</v>
      </c>
      <c r="AD1107" s="4">
        <v>120</v>
      </c>
      <c r="AE1107" s="4">
        <v>220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>
        <v>0</v>
      </c>
      <c r="AP1107" s="4">
        <v>2</v>
      </c>
      <c r="AQ1107" s="8">
        <v>116.78</v>
      </c>
      <c r="AR1107" s="4">
        <v>1</v>
      </c>
      <c r="AS1107" s="8">
        <v>58.39</v>
      </c>
      <c r="AT1107" s="7">
        <v>1</v>
      </c>
      <c r="AU1107" s="7">
        <v>1</v>
      </c>
      <c r="AV1107" s="4" t="s">
        <v>100</v>
      </c>
      <c r="AW1107" s="8" t="s">
        <v>100</v>
      </c>
      <c r="AX1107" s="4" t="s">
        <v>100</v>
      </c>
      <c r="AY1107" s="8" t="s">
        <v>100</v>
      </c>
      <c r="AZ1107" s="7" t="s">
        <v>100</v>
      </c>
      <c r="BA1107" s="7" t="s">
        <v>100</v>
      </c>
      <c r="BB1107" s="7">
        <v>0.6479</v>
      </c>
      <c r="BC1107" s="4" t="s">
        <v>100</v>
      </c>
      <c r="BD1107" s="8" t="s">
        <v>100</v>
      </c>
      <c r="BE1107" s="4" t="s">
        <v>100</v>
      </c>
      <c r="BF1107" s="8" t="s">
        <v>100</v>
      </c>
      <c r="BG1107" s="7" t="s">
        <v>100</v>
      </c>
      <c r="BH1107" s="7" t="s">
        <v>100</v>
      </c>
      <c r="BI1107" s="7" t="s">
        <v>100</v>
      </c>
      <c r="BJ1107" s="4">
        <v>149</v>
      </c>
      <c r="BK1107" s="8">
        <v>8996.79</v>
      </c>
      <c r="BL1107" s="2" t="s">
        <v>3911</v>
      </c>
      <c r="BM1107" s="7">
        <v>0.0134</v>
      </c>
      <c r="BN1107" s="7">
        <v>0.013</v>
      </c>
      <c r="BO1107" s="4">
        <v>2</v>
      </c>
      <c r="BP1107" s="8">
        <v>116.78</v>
      </c>
      <c r="BQ1107" s="4">
        <v>1</v>
      </c>
      <c r="BR1107" s="8">
        <v>58.39</v>
      </c>
      <c r="BS1107" s="7">
        <v>1</v>
      </c>
      <c r="BT1107" s="7">
        <v>1</v>
      </c>
      <c r="BU1107" s="2" t="s">
        <v>109</v>
      </c>
      <c r="BV1107" s="2" t="s">
        <v>97</v>
      </c>
      <c r="BW1107" s="2" t="s">
        <v>737</v>
      </c>
      <c r="BX1107" s="2" t="s">
        <v>3912</v>
      </c>
      <c r="BY1107" s="2" t="s">
        <v>112</v>
      </c>
      <c r="BZ1107" s="2" t="s">
        <v>100</v>
      </c>
    </row>
    <row r="1108">
      <c r="A1108" s="2" t="s">
        <v>3913</v>
      </c>
      <c r="B1108" s="2" t="s">
        <v>87</v>
      </c>
      <c r="C1108" s="2" t="s">
        <v>3586</v>
      </c>
      <c r="D1108" s="2" t="s">
        <v>89</v>
      </c>
      <c r="E1108" s="2" t="s">
        <v>2005</v>
      </c>
      <c r="F1108" s="2" t="s">
        <v>3905</v>
      </c>
      <c r="G1108" s="2" t="s">
        <v>1373</v>
      </c>
      <c r="H1108" s="2" t="s">
        <v>3906</v>
      </c>
      <c r="I1108" s="2" t="s">
        <v>3783</v>
      </c>
      <c r="J1108" s="2" t="s">
        <v>95</v>
      </c>
      <c r="K1108" s="2" t="s">
        <v>168</v>
      </c>
      <c r="L1108" s="3">
        <v>60.44</v>
      </c>
      <c r="M1108" s="3">
        <v>63.46</v>
      </c>
      <c r="N1108" s="3">
        <v>109.99</v>
      </c>
      <c r="O1108" s="2" t="s">
        <v>97</v>
      </c>
      <c r="P1108" s="2" t="s">
        <v>182</v>
      </c>
      <c r="Q1108" s="2" t="s">
        <v>99</v>
      </c>
      <c r="R1108" s="2" t="s">
        <v>100</v>
      </c>
      <c r="S1108" s="2" t="s">
        <v>3907</v>
      </c>
      <c r="T1108" s="2" t="s">
        <v>100</v>
      </c>
      <c r="U1108" s="2" t="s">
        <v>807</v>
      </c>
      <c r="V1108" s="2" t="s">
        <v>491</v>
      </c>
      <c r="W1108" s="2" t="s">
        <v>104</v>
      </c>
      <c r="X1108" s="2" t="s">
        <v>201</v>
      </c>
      <c r="Y1108" s="2" t="s">
        <v>3908</v>
      </c>
      <c r="Z1108" s="4">
        <v>349</v>
      </c>
      <c r="AA1108" s="4">
        <f>=ROUNDDOWN(26.8461538461538,0)</f>
      </c>
      <c r="AB1108" s="5">
        <v>13</v>
      </c>
      <c r="AC1108" s="2" t="s">
        <v>874</v>
      </c>
      <c r="AD1108" s="4">
        <v>100</v>
      </c>
      <c r="AE1108" s="4">
        <v>250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>
        <v>0</v>
      </c>
      <c r="AP1108" s="4">
        <v>1</v>
      </c>
      <c r="AQ1108" s="8">
        <v>63.47</v>
      </c>
      <c r="AR1108" s="4">
        <v>1</v>
      </c>
      <c r="AS1108" s="8">
        <v>63.47</v>
      </c>
      <c r="AT1108" s="7"/>
      <c r="AU1108" s="7"/>
      <c r="AV1108" s="4" t="s">
        <v>100</v>
      </c>
      <c r="AW1108" s="8" t="s">
        <v>100</v>
      </c>
      <c r="AX1108" s="4" t="s">
        <v>100</v>
      </c>
      <c r="AY1108" s="8" t="s">
        <v>100</v>
      </c>
      <c r="AZ1108" s="7" t="s">
        <v>100</v>
      </c>
      <c r="BA1108" s="7" t="s">
        <v>100</v>
      </c>
      <c r="BB1108" s="7">
        <v>0.3521</v>
      </c>
      <c r="BC1108" s="4" t="s">
        <v>100</v>
      </c>
      <c r="BD1108" s="8" t="s">
        <v>100</v>
      </c>
      <c r="BE1108" s="4" t="s">
        <v>100</v>
      </c>
      <c r="BF1108" s="8" t="s">
        <v>100</v>
      </c>
      <c r="BG1108" s="7" t="s">
        <v>100</v>
      </c>
      <c r="BH1108" s="7" t="s">
        <v>100</v>
      </c>
      <c r="BI1108" s="7" t="s">
        <v>100</v>
      </c>
      <c r="BJ1108" s="4">
        <v>320</v>
      </c>
      <c r="BK1108" s="8">
        <v>21069.35</v>
      </c>
      <c r="BL1108" s="2" t="s">
        <v>3914</v>
      </c>
      <c r="BM1108" s="7">
        <v>0.0031</v>
      </c>
      <c r="BN1108" s="7">
        <v>0.003</v>
      </c>
      <c r="BO1108" s="4">
        <v>1</v>
      </c>
      <c r="BP1108" s="8">
        <v>63.47</v>
      </c>
      <c r="BQ1108" s="4">
        <v>1</v>
      </c>
      <c r="BR1108" s="8">
        <v>63.47</v>
      </c>
      <c r="BS1108" s="7"/>
      <c r="BT1108" s="7"/>
      <c r="BU1108" s="2" t="s">
        <v>109</v>
      </c>
      <c r="BV1108" s="2" t="s">
        <v>97</v>
      </c>
      <c r="BW1108" s="2" t="s">
        <v>737</v>
      </c>
      <c r="BX1108" s="2" t="s">
        <v>3915</v>
      </c>
      <c r="BY1108" s="2" t="s">
        <v>112</v>
      </c>
      <c r="BZ1108" s="2" t="s">
        <v>100</v>
      </c>
    </row>
    <row r="1109">
      <c r="A1109" s="2" t="s">
        <v>3916</v>
      </c>
      <c r="B1109" s="2" t="s">
        <v>87</v>
      </c>
      <c r="C1109" s="2" t="s">
        <v>3586</v>
      </c>
      <c r="D1109" s="2" t="s">
        <v>89</v>
      </c>
      <c r="E1109" s="2" t="s">
        <v>2005</v>
      </c>
      <c r="F1109" s="2" t="s">
        <v>3905</v>
      </c>
      <c r="G1109" s="2" t="s">
        <v>1373</v>
      </c>
      <c r="H1109" s="2" t="s">
        <v>3906</v>
      </c>
      <c r="I1109" s="2" t="s">
        <v>3783</v>
      </c>
      <c r="J1109" s="2" t="s">
        <v>114</v>
      </c>
      <c r="K1109" s="2" t="s">
        <v>168</v>
      </c>
      <c r="L1109" s="3">
        <v>65.28</v>
      </c>
      <c r="M1109" s="3">
        <v>68.54</v>
      </c>
      <c r="N1109" s="3">
        <v>119.99</v>
      </c>
      <c r="O1109" s="2" t="s">
        <v>97</v>
      </c>
      <c r="P1109" s="2" t="s">
        <v>182</v>
      </c>
      <c r="Q1109" s="2" t="s">
        <v>99</v>
      </c>
      <c r="R1109" s="2" t="s">
        <v>100</v>
      </c>
      <c r="S1109" s="2" t="s">
        <v>3907</v>
      </c>
      <c r="T1109" s="2" t="s">
        <v>100</v>
      </c>
      <c r="U1109" s="2" t="s">
        <v>807</v>
      </c>
      <c r="V1109" s="2" t="s">
        <v>491</v>
      </c>
      <c r="W1109" s="2" t="s">
        <v>104</v>
      </c>
      <c r="X1109" s="2" t="s">
        <v>201</v>
      </c>
      <c r="Y1109" s="2" t="s">
        <v>3908</v>
      </c>
      <c r="Z1109" s="4">
        <v>215</v>
      </c>
      <c r="AA1109" s="4">
        <f>=ROUNDDOWN(19.5454545454545,0)</f>
      </c>
      <c r="AB1109" s="5">
        <v>11</v>
      </c>
      <c r="AC1109" s="2" t="s">
        <v>874</v>
      </c>
      <c r="AD1109" s="4">
        <v>50</v>
      </c>
      <c r="AE1109" s="4">
        <v>170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 t="s">
        <v>100</v>
      </c>
      <c r="BJ1109" s="4">
        <v>202</v>
      </c>
      <c r="BK1109" s="8">
        <v>14454.1</v>
      </c>
      <c r="BL1109" s="2" t="s">
        <v>3917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109</v>
      </c>
      <c r="BV1109" s="2" t="s">
        <v>97</v>
      </c>
      <c r="BW1109" s="2" t="s">
        <v>737</v>
      </c>
      <c r="BX1109" s="2" t="s">
        <v>100</v>
      </c>
      <c r="BY1109" s="2" t="s">
        <v>112</v>
      </c>
      <c r="BZ1109" s="2" t="s">
        <v>100</v>
      </c>
    </row>
    <row r="1110">
      <c r="A1110" s="2" t="s">
        <v>3918</v>
      </c>
      <c r="B1110" s="2" t="s">
        <v>87</v>
      </c>
      <c r="C1110" s="2" t="s">
        <v>3586</v>
      </c>
      <c r="D1110" s="2" t="s">
        <v>89</v>
      </c>
      <c r="E1110" s="2" t="s">
        <v>2005</v>
      </c>
      <c r="F1110" s="2" t="s">
        <v>3905</v>
      </c>
      <c r="G1110" s="2" t="s">
        <v>1373</v>
      </c>
      <c r="H1110" s="2" t="s">
        <v>3906</v>
      </c>
      <c r="I1110" s="2" t="s">
        <v>3783</v>
      </c>
      <c r="J1110" s="2" t="s">
        <v>118</v>
      </c>
      <c r="K1110" s="2" t="s">
        <v>168</v>
      </c>
      <c r="L1110" s="3">
        <v>65.28</v>
      </c>
      <c r="M1110" s="3">
        <v>68.54</v>
      </c>
      <c r="N1110" s="3">
        <v>119.99</v>
      </c>
      <c r="O1110" s="2" t="s">
        <v>97</v>
      </c>
      <c r="P1110" s="2" t="s">
        <v>182</v>
      </c>
      <c r="Q1110" s="2" t="s">
        <v>99</v>
      </c>
      <c r="R1110" s="2" t="s">
        <v>100</v>
      </c>
      <c r="S1110" s="2" t="s">
        <v>3907</v>
      </c>
      <c r="T1110" s="2" t="s">
        <v>100</v>
      </c>
      <c r="U1110" s="2" t="s">
        <v>807</v>
      </c>
      <c r="V1110" s="2" t="s">
        <v>491</v>
      </c>
      <c r="W1110" s="2" t="s">
        <v>104</v>
      </c>
      <c r="X1110" s="2" t="s">
        <v>201</v>
      </c>
      <c r="Y1110" s="2" t="s">
        <v>3908</v>
      </c>
      <c r="Z1110" s="4">
        <v>136</v>
      </c>
      <c r="AA1110" s="4">
        <f>=ROUNDDOWN(34,0)</f>
      </c>
      <c r="AB1110" s="5">
        <v>4</v>
      </c>
      <c r="AC1110" s="2" t="s">
        <v>325</v>
      </c>
      <c r="AD1110" s="4">
        <v>40</v>
      </c>
      <c r="AE1110" s="4">
        <v>40</v>
      </c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>
        <v>0</v>
      </c>
      <c r="AP1110" s="4"/>
      <c r="AQ1110" s="8"/>
      <c r="AR1110" s="4">
        <v>1</v>
      </c>
      <c r="AS1110" s="8">
        <v>68.54</v>
      </c>
      <c r="AT1110" s="7">
        <v>-1</v>
      </c>
      <c r="AU1110" s="7">
        <v>-1</v>
      </c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 t="s">
        <v>100</v>
      </c>
      <c r="BJ1110" s="4">
        <v>75</v>
      </c>
      <c r="BK1110" s="8">
        <v>5207.27</v>
      </c>
      <c r="BL1110" s="2" t="s">
        <v>3919</v>
      </c>
      <c r="BM1110" s="7"/>
      <c r="BN1110" s="7"/>
      <c r="BO1110" s="4"/>
      <c r="BP1110" s="8"/>
      <c r="BQ1110" s="4">
        <v>1</v>
      </c>
      <c r="BR1110" s="8">
        <v>68.54</v>
      </c>
      <c r="BS1110" s="7">
        <v>-1</v>
      </c>
      <c r="BT1110" s="7">
        <v>-1</v>
      </c>
      <c r="BU1110" s="2" t="s">
        <v>109</v>
      </c>
      <c r="BV1110" s="2" t="s">
        <v>97</v>
      </c>
      <c r="BW1110" s="2" t="s">
        <v>737</v>
      </c>
      <c r="BX1110" s="2" t="s">
        <v>3920</v>
      </c>
      <c r="BY1110" s="2" t="s">
        <v>112</v>
      </c>
      <c r="BZ1110" s="2" t="s">
        <v>100</v>
      </c>
    </row>
    <row r="1111">
      <c r="A1111" s="2" t="s">
        <v>3921</v>
      </c>
      <c r="B1111" s="2" t="s">
        <v>87</v>
      </c>
      <c r="C1111" s="2" t="s">
        <v>3586</v>
      </c>
      <c r="D1111" s="2" t="s">
        <v>89</v>
      </c>
      <c r="E1111" s="2" t="s">
        <v>2005</v>
      </c>
      <c r="F1111" s="2" t="s">
        <v>3905</v>
      </c>
      <c r="G1111" s="2" t="s">
        <v>1373</v>
      </c>
      <c r="H1111" s="2" t="s">
        <v>3906</v>
      </c>
      <c r="I1111" s="2" t="s">
        <v>3775</v>
      </c>
      <c r="J1111" s="2" t="s">
        <v>3012</v>
      </c>
      <c r="K1111" s="2" t="s">
        <v>267</v>
      </c>
      <c r="L1111" s="3">
        <v>50.77</v>
      </c>
      <c r="M1111" s="3">
        <v>53.31</v>
      </c>
      <c r="N1111" s="3">
        <v>89.99</v>
      </c>
      <c r="O1111" s="2" t="s">
        <v>97</v>
      </c>
      <c r="P1111" s="2" t="s">
        <v>182</v>
      </c>
      <c r="Q1111" s="2" t="s">
        <v>99</v>
      </c>
      <c r="R1111" s="2" t="s">
        <v>100</v>
      </c>
      <c r="S1111" s="2" t="s">
        <v>3922</v>
      </c>
      <c r="T1111" s="2" t="s">
        <v>100</v>
      </c>
      <c r="U1111" s="2" t="s">
        <v>102</v>
      </c>
      <c r="V1111" s="2" t="s">
        <v>491</v>
      </c>
      <c r="W1111" s="2" t="s">
        <v>104</v>
      </c>
      <c r="X1111" s="2" t="s">
        <v>201</v>
      </c>
      <c r="Y1111" s="2" t="s">
        <v>3908</v>
      </c>
      <c r="Z1111" s="4">
        <v>158</v>
      </c>
      <c r="AA1111" s="4">
        <f>=ROUNDDOWN(31.6,0)</f>
      </c>
      <c r="AB1111" s="5">
        <v>5</v>
      </c>
      <c r="AC1111" s="2" t="s">
        <v>1328</v>
      </c>
      <c r="AD1111" s="4">
        <v>30</v>
      </c>
      <c r="AE1111" s="4">
        <v>90</v>
      </c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>
        <v>0</v>
      </c>
      <c r="AP1111" s="4">
        <v>1</v>
      </c>
      <c r="AQ1111" s="8">
        <v>53.31</v>
      </c>
      <c r="AR1111" s="4">
        <v>1</v>
      </c>
      <c r="AS1111" s="8">
        <v>53.31</v>
      </c>
      <c r="AT1111" s="7"/>
      <c r="AU1111" s="7"/>
      <c r="AV1111" s="4">
        <v>2</v>
      </c>
      <c r="AW1111" s="8">
        <v>121.85</v>
      </c>
      <c r="AX1111" s="4">
        <v>2</v>
      </c>
      <c r="AY1111" s="8">
        <v>121.85</v>
      </c>
      <c r="AZ1111" s="7" t="s">
        <v>100</v>
      </c>
      <c r="BA1111" s="7" t="s">
        <v>100</v>
      </c>
      <c r="BB1111" s="7">
        <v>0.4375</v>
      </c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>
        <v>0.4033</v>
      </c>
      <c r="BJ1111" s="4">
        <v>79</v>
      </c>
      <c r="BK1111" s="8">
        <v>4199.09</v>
      </c>
      <c r="BL1111" s="2" t="s">
        <v>3923</v>
      </c>
      <c r="BM1111" s="7">
        <v>0.0127</v>
      </c>
      <c r="BN1111" s="7">
        <v>0.0127</v>
      </c>
      <c r="BO1111" s="4">
        <v>1</v>
      </c>
      <c r="BP1111" s="8">
        <v>53.31</v>
      </c>
      <c r="BQ1111" s="4">
        <v>1</v>
      </c>
      <c r="BR1111" s="8">
        <v>53.31</v>
      </c>
      <c r="BS1111" s="7"/>
      <c r="BT1111" s="7"/>
      <c r="BU1111" s="2" t="s">
        <v>109</v>
      </c>
      <c r="BV1111" s="2" t="s">
        <v>97</v>
      </c>
      <c r="BW1111" s="2" t="s">
        <v>737</v>
      </c>
      <c r="BX1111" s="2" t="s">
        <v>3924</v>
      </c>
      <c r="BY1111" s="2" t="s">
        <v>112</v>
      </c>
      <c r="BZ1111" s="2" t="s">
        <v>100</v>
      </c>
    </row>
    <row r="1112">
      <c r="A1112" s="2" t="s">
        <v>3925</v>
      </c>
      <c r="B1112" s="2" t="s">
        <v>87</v>
      </c>
      <c r="C1112" s="2" t="s">
        <v>3586</v>
      </c>
      <c r="D1112" s="2" t="s">
        <v>89</v>
      </c>
      <c r="E1112" s="2" t="s">
        <v>2005</v>
      </c>
      <c r="F1112" s="2" t="s">
        <v>3905</v>
      </c>
      <c r="G1112" s="2" t="s">
        <v>1373</v>
      </c>
      <c r="H1112" s="2" t="s">
        <v>3906</v>
      </c>
      <c r="I1112" s="2" t="s">
        <v>3783</v>
      </c>
      <c r="J1112" s="2" t="s">
        <v>122</v>
      </c>
      <c r="K1112" s="2" t="s">
        <v>267</v>
      </c>
      <c r="L1112" s="3">
        <v>55.61</v>
      </c>
      <c r="M1112" s="3">
        <v>58.39</v>
      </c>
      <c r="N1112" s="3">
        <v>99.99</v>
      </c>
      <c r="O1112" s="2" t="s">
        <v>97</v>
      </c>
      <c r="P1112" s="2" t="s">
        <v>182</v>
      </c>
      <c r="Q1112" s="2" t="s">
        <v>99</v>
      </c>
      <c r="R1112" s="2" t="s">
        <v>100</v>
      </c>
      <c r="S1112" s="2" t="s">
        <v>3922</v>
      </c>
      <c r="T1112" s="2" t="s">
        <v>100</v>
      </c>
      <c r="U1112" s="2" t="s">
        <v>807</v>
      </c>
      <c r="V1112" s="2" t="s">
        <v>491</v>
      </c>
      <c r="W1112" s="2" t="s">
        <v>104</v>
      </c>
      <c r="X1112" s="2" t="s">
        <v>201</v>
      </c>
      <c r="Y1112" s="2" t="s">
        <v>3908</v>
      </c>
      <c r="Z1112" s="4">
        <v>257</v>
      </c>
      <c r="AA1112" s="4">
        <f>=ROUNDDOWN(28.5555555555556,0)</f>
      </c>
      <c r="AB1112" s="5">
        <v>9</v>
      </c>
      <c r="AC1112" s="2" t="s">
        <v>335</v>
      </c>
      <c r="AD1112" s="4">
        <v>50</v>
      </c>
      <c r="AE1112" s="4">
        <v>180</v>
      </c>
      <c r="AF1112" s="6">
        <v>65</v>
      </c>
      <c r="AG1112" s="6">
        <v>73</v>
      </c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 t="s">
        <v>100</v>
      </c>
      <c r="BJ1112" s="4">
        <v>160</v>
      </c>
      <c r="BK1112" s="8">
        <v>9739.31</v>
      </c>
      <c r="BL1112" s="2" t="s">
        <v>3926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</v>
      </c>
      <c r="BV1112" s="2" t="s">
        <v>97</v>
      </c>
      <c r="BW1112" s="2" t="s">
        <v>737</v>
      </c>
      <c r="BX1112" s="2" t="s">
        <v>100</v>
      </c>
      <c r="BY1112" s="2" t="s">
        <v>112</v>
      </c>
      <c r="BZ1112" s="2" t="s">
        <v>100</v>
      </c>
    </row>
    <row r="1113">
      <c r="A1113" s="2" t="s">
        <v>3927</v>
      </c>
      <c r="B1113" s="2" t="s">
        <v>87</v>
      </c>
      <c r="C1113" s="2" t="s">
        <v>3586</v>
      </c>
      <c r="D1113" s="2" t="s">
        <v>89</v>
      </c>
      <c r="E1113" s="2" t="s">
        <v>2005</v>
      </c>
      <c r="F1113" s="2" t="s">
        <v>3905</v>
      </c>
      <c r="G1113" s="2" t="s">
        <v>1373</v>
      </c>
      <c r="H1113" s="2" t="s">
        <v>3906</v>
      </c>
      <c r="I1113" s="2" t="s">
        <v>3783</v>
      </c>
      <c r="J1113" s="2" t="s">
        <v>95</v>
      </c>
      <c r="K1113" s="2" t="s">
        <v>267</v>
      </c>
      <c r="L1113" s="3">
        <v>60.44</v>
      </c>
      <c r="M1113" s="3">
        <v>63.46</v>
      </c>
      <c r="N1113" s="3">
        <v>109.99</v>
      </c>
      <c r="O1113" s="2" t="s">
        <v>97</v>
      </c>
      <c r="P1113" s="2" t="s">
        <v>182</v>
      </c>
      <c r="Q1113" s="2" t="s">
        <v>99</v>
      </c>
      <c r="R1113" s="2" t="s">
        <v>100</v>
      </c>
      <c r="S1113" s="2" t="s">
        <v>3922</v>
      </c>
      <c r="T1113" s="2" t="s">
        <v>100</v>
      </c>
      <c r="U1113" s="2" t="s">
        <v>807</v>
      </c>
      <c r="V1113" s="2" t="s">
        <v>491</v>
      </c>
      <c r="W1113" s="2" t="s">
        <v>104</v>
      </c>
      <c r="X1113" s="2" t="s">
        <v>201</v>
      </c>
      <c r="Y1113" s="2" t="s">
        <v>3908</v>
      </c>
      <c r="Z1113" s="4">
        <v>523</v>
      </c>
      <c r="AA1113" s="4">
        <f>=ROUNDDOWN(27.5263157894737,0)</f>
      </c>
      <c r="AB1113" s="5">
        <v>19</v>
      </c>
      <c r="AC1113" s="2" t="s">
        <v>792</v>
      </c>
      <c r="AD1113" s="4">
        <v>30</v>
      </c>
      <c r="AE1113" s="4">
        <v>190</v>
      </c>
      <c r="AF1113" s="6">
        <v>65</v>
      </c>
      <c r="AG1113" s="6">
        <v>73</v>
      </c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 t="s">
        <v>100</v>
      </c>
      <c r="BJ1113" s="4">
        <v>371</v>
      </c>
      <c r="BK1113" s="8">
        <v>25000.33</v>
      </c>
      <c r="BL1113" s="2" t="s">
        <v>3928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109</v>
      </c>
      <c r="BV1113" s="2" t="s">
        <v>97</v>
      </c>
      <c r="BW1113" s="2" t="s">
        <v>737</v>
      </c>
      <c r="BX1113" s="2" t="s">
        <v>100</v>
      </c>
      <c r="BY1113" s="2" t="s">
        <v>112</v>
      </c>
      <c r="BZ1113" s="2" t="s">
        <v>100</v>
      </c>
    </row>
    <row r="1114">
      <c r="A1114" s="2" t="s">
        <v>3929</v>
      </c>
      <c r="B1114" s="2" t="s">
        <v>87</v>
      </c>
      <c r="C1114" s="2" t="s">
        <v>3586</v>
      </c>
      <c r="D1114" s="2" t="s">
        <v>89</v>
      </c>
      <c r="E1114" s="2" t="s">
        <v>2005</v>
      </c>
      <c r="F1114" s="2" t="s">
        <v>3905</v>
      </c>
      <c r="G1114" s="2" t="s">
        <v>1373</v>
      </c>
      <c r="H1114" s="2" t="s">
        <v>3906</v>
      </c>
      <c r="I1114" s="2" t="s">
        <v>3783</v>
      </c>
      <c r="J1114" s="2" t="s">
        <v>114</v>
      </c>
      <c r="K1114" s="2" t="s">
        <v>267</v>
      </c>
      <c r="L1114" s="3">
        <v>65.28</v>
      </c>
      <c r="M1114" s="3">
        <v>68.54</v>
      </c>
      <c r="N1114" s="3">
        <v>119.99</v>
      </c>
      <c r="O1114" s="2" t="s">
        <v>97</v>
      </c>
      <c r="P1114" s="2" t="s">
        <v>182</v>
      </c>
      <c r="Q1114" s="2" t="s">
        <v>99</v>
      </c>
      <c r="R1114" s="2" t="s">
        <v>100</v>
      </c>
      <c r="S1114" s="2" t="s">
        <v>3922</v>
      </c>
      <c r="T1114" s="2" t="s">
        <v>100</v>
      </c>
      <c r="U1114" s="2" t="s">
        <v>807</v>
      </c>
      <c r="V1114" s="2" t="s">
        <v>491</v>
      </c>
      <c r="W1114" s="2" t="s">
        <v>104</v>
      </c>
      <c r="X1114" s="2" t="s">
        <v>201</v>
      </c>
      <c r="Y1114" s="2" t="s">
        <v>3908</v>
      </c>
      <c r="Z1114" s="4">
        <v>317</v>
      </c>
      <c r="AA1114" s="4">
        <f>=ROUNDDOWN(21.1333333333333,0)</f>
      </c>
      <c r="AB1114" s="5">
        <v>15</v>
      </c>
      <c r="AC1114" s="2" t="s">
        <v>3872</v>
      </c>
      <c r="AD1114" s="4">
        <v>30</v>
      </c>
      <c r="AE1114" s="4">
        <v>270</v>
      </c>
      <c r="AF1114" s="6">
        <v>65</v>
      </c>
      <c r="AG1114" s="6">
        <v>73</v>
      </c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>
        <v>0</v>
      </c>
      <c r="AP1114" s="4"/>
      <c r="AQ1114" s="8"/>
      <c r="AR1114" s="4">
        <v>1</v>
      </c>
      <c r="AS1114" s="8">
        <v>68.54</v>
      </c>
      <c r="AT1114" s="7">
        <v>-1</v>
      </c>
      <c r="AU1114" s="7">
        <v>-1</v>
      </c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 t="s">
        <v>100</v>
      </c>
      <c r="BJ1114" s="4">
        <v>252</v>
      </c>
      <c r="BK1114" s="8">
        <v>18746.96</v>
      </c>
      <c r="BL1114" s="2" t="s">
        <v>3930</v>
      </c>
      <c r="BM1114" s="7"/>
      <c r="BN1114" s="7"/>
      <c r="BO1114" s="4"/>
      <c r="BP1114" s="8"/>
      <c r="BQ1114" s="4">
        <v>1</v>
      </c>
      <c r="BR1114" s="8">
        <v>68.54</v>
      </c>
      <c r="BS1114" s="7">
        <v>-1</v>
      </c>
      <c r="BT1114" s="7">
        <v>-1</v>
      </c>
      <c r="BU1114" s="2" t="s">
        <v>109</v>
      </c>
      <c r="BV1114" s="2" t="s">
        <v>97</v>
      </c>
      <c r="BW1114" s="2" t="s">
        <v>737</v>
      </c>
      <c r="BX1114" s="2" t="s">
        <v>2109</v>
      </c>
      <c r="BY1114" s="2" t="s">
        <v>112</v>
      </c>
      <c r="BZ1114" s="2" t="s">
        <v>100</v>
      </c>
    </row>
    <row r="1115">
      <c r="A1115" s="2" t="s">
        <v>3931</v>
      </c>
      <c r="B1115" s="2" t="s">
        <v>87</v>
      </c>
      <c r="C1115" s="2" t="s">
        <v>3586</v>
      </c>
      <c r="D1115" s="2" t="s">
        <v>89</v>
      </c>
      <c r="E1115" s="2" t="s">
        <v>2005</v>
      </c>
      <c r="F1115" s="2" t="s">
        <v>3905</v>
      </c>
      <c r="G1115" s="2" t="s">
        <v>1373</v>
      </c>
      <c r="H1115" s="2" t="s">
        <v>3906</v>
      </c>
      <c r="I1115" s="2" t="s">
        <v>3783</v>
      </c>
      <c r="J1115" s="2" t="s">
        <v>118</v>
      </c>
      <c r="K1115" s="2" t="s">
        <v>267</v>
      </c>
      <c r="L1115" s="3">
        <v>65.28</v>
      </c>
      <c r="M1115" s="3">
        <v>68.54</v>
      </c>
      <c r="N1115" s="3">
        <v>119.99</v>
      </c>
      <c r="O1115" s="2" t="s">
        <v>97</v>
      </c>
      <c r="P1115" s="2" t="s">
        <v>182</v>
      </c>
      <c r="Q1115" s="2" t="s">
        <v>99</v>
      </c>
      <c r="R1115" s="2" t="s">
        <v>100</v>
      </c>
      <c r="S1115" s="2" t="s">
        <v>3922</v>
      </c>
      <c r="T1115" s="2" t="s">
        <v>100</v>
      </c>
      <c r="U1115" s="2" t="s">
        <v>807</v>
      </c>
      <c r="V1115" s="2" t="s">
        <v>491</v>
      </c>
      <c r="W1115" s="2" t="s">
        <v>104</v>
      </c>
      <c r="X1115" s="2" t="s">
        <v>201</v>
      </c>
      <c r="Y1115" s="2" t="s">
        <v>3908</v>
      </c>
      <c r="Z1115" s="4">
        <v>140</v>
      </c>
      <c r="AA1115" s="4">
        <f>=ROUNDDOWN(23.3333333333333,0)</f>
      </c>
      <c r="AB1115" s="5">
        <v>6</v>
      </c>
      <c r="AC1115" s="2" t="s">
        <v>325</v>
      </c>
      <c r="AD1115" s="4">
        <v>70</v>
      </c>
      <c r="AE1115" s="4">
        <v>70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>
        <v>0</v>
      </c>
      <c r="AP1115" s="4">
        <v>1</v>
      </c>
      <c r="AQ1115" s="8">
        <v>68.54</v>
      </c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>
        <v>0.5625</v>
      </c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 t="s">
        <v>100</v>
      </c>
      <c r="BJ1115" s="4">
        <v>85</v>
      </c>
      <c r="BK1115" s="8">
        <v>6304.9</v>
      </c>
      <c r="BL1115" s="2" t="s">
        <v>3932</v>
      </c>
      <c r="BM1115" s="7">
        <v>0.0118</v>
      </c>
      <c r="BN1115" s="7">
        <v>0.0109</v>
      </c>
      <c r="BO1115" s="4">
        <v>1</v>
      </c>
      <c r="BP1115" s="8">
        <v>68.54</v>
      </c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737</v>
      </c>
      <c r="BX1115" s="2" t="s">
        <v>3795</v>
      </c>
      <c r="BY1115" s="2" t="s">
        <v>112</v>
      </c>
      <c r="BZ1115" s="2" t="s">
        <v>100</v>
      </c>
    </row>
    <row r="1116">
      <c r="A1116" s="2" t="s">
        <v>3933</v>
      </c>
      <c r="B1116" s="2" t="s">
        <v>87</v>
      </c>
      <c r="C1116" s="2" t="s">
        <v>3586</v>
      </c>
      <c r="D1116" s="2" t="s">
        <v>89</v>
      </c>
      <c r="E1116" s="2" t="s">
        <v>2005</v>
      </c>
      <c r="F1116" s="2" t="s">
        <v>3905</v>
      </c>
      <c r="G1116" s="2" t="s">
        <v>1373</v>
      </c>
      <c r="H1116" s="2" t="s">
        <v>3906</v>
      </c>
      <c r="I1116" s="2" t="s">
        <v>3775</v>
      </c>
      <c r="J1116" s="2" t="s">
        <v>3012</v>
      </c>
      <c r="K1116" s="2" t="s">
        <v>3934</v>
      </c>
      <c r="L1116" s="3">
        <v>50.77</v>
      </c>
      <c r="M1116" s="3">
        <v>53.31</v>
      </c>
      <c r="N1116" s="3">
        <v>89.99</v>
      </c>
      <c r="O1116" s="2" t="s">
        <v>97</v>
      </c>
      <c r="P1116" s="2" t="s">
        <v>182</v>
      </c>
      <c r="Q1116" s="2" t="s">
        <v>99</v>
      </c>
      <c r="R1116" s="2" t="s">
        <v>100</v>
      </c>
      <c r="S1116" s="2" t="s">
        <v>3935</v>
      </c>
      <c r="T1116" s="2" t="s">
        <v>100</v>
      </c>
      <c r="U1116" s="2" t="s">
        <v>102</v>
      </c>
      <c r="V1116" s="2" t="s">
        <v>491</v>
      </c>
      <c r="W1116" s="2" t="s">
        <v>104</v>
      </c>
      <c r="X1116" s="2" t="s">
        <v>284</v>
      </c>
      <c r="Y1116" s="2" t="s">
        <v>3936</v>
      </c>
      <c r="Z1116" s="4">
        <v>132</v>
      </c>
      <c r="AA1116" s="4">
        <f>=ROUNDDOWN(18.8571428571429,0)</f>
      </c>
      <c r="AB1116" s="5">
        <v>7</v>
      </c>
      <c r="AC1116" s="2" t="s">
        <v>792</v>
      </c>
      <c r="AD1116" s="4">
        <v>60</v>
      </c>
      <c r="AE1116" s="4">
        <v>187</v>
      </c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 t="s">
        <v>100</v>
      </c>
      <c r="BJ1116" s="4">
        <v>90</v>
      </c>
      <c r="BK1116" s="8">
        <v>4678.99</v>
      </c>
      <c r="BL1116" s="2" t="s">
        <v>3937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147</v>
      </c>
      <c r="BV1116" s="2" t="s">
        <v>97</v>
      </c>
      <c r="BW1116" s="2" t="s">
        <v>100</v>
      </c>
      <c r="BX1116" s="2" t="s">
        <v>100</v>
      </c>
      <c r="BY1116" s="2" t="s">
        <v>112</v>
      </c>
      <c r="BZ1116" s="2" t="s">
        <v>100</v>
      </c>
    </row>
    <row r="1117">
      <c r="A1117" s="2" t="s">
        <v>3938</v>
      </c>
      <c r="B1117" s="2" t="s">
        <v>87</v>
      </c>
      <c r="C1117" s="2" t="s">
        <v>3586</v>
      </c>
      <c r="D1117" s="2" t="s">
        <v>89</v>
      </c>
      <c r="E1117" s="2" t="s">
        <v>2005</v>
      </c>
      <c r="F1117" s="2" t="s">
        <v>3905</v>
      </c>
      <c r="G1117" s="2" t="s">
        <v>1373</v>
      </c>
      <c r="H1117" s="2" t="s">
        <v>3906</v>
      </c>
      <c r="I1117" s="2" t="s">
        <v>3783</v>
      </c>
      <c r="J1117" s="2" t="s">
        <v>122</v>
      </c>
      <c r="K1117" s="2" t="s">
        <v>3934</v>
      </c>
      <c r="L1117" s="3">
        <v>55.61</v>
      </c>
      <c r="M1117" s="3">
        <v>58.39</v>
      </c>
      <c r="N1117" s="3">
        <v>99.99</v>
      </c>
      <c r="O1117" s="2" t="s">
        <v>97</v>
      </c>
      <c r="P1117" s="2" t="s">
        <v>182</v>
      </c>
      <c r="Q1117" s="2" t="s">
        <v>99</v>
      </c>
      <c r="R1117" s="2" t="s">
        <v>100</v>
      </c>
      <c r="S1117" s="2" t="s">
        <v>3935</v>
      </c>
      <c r="T1117" s="2" t="s">
        <v>100</v>
      </c>
      <c r="U1117" s="2" t="s">
        <v>807</v>
      </c>
      <c r="V1117" s="2" t="s">
        <v>491</v>
      </c>
      <c r="W1117" s="2" t="s">
        <v>104</v>
      </c>
      <c r="X1117" s="2" t="s">
        <v>284</v>
      </c>
      <c r="Y1117" s="2" t="s">
        <v>3936</v>
      </c>
      <c r="Z1117" s="4">
        <v>214</v>
      </c>
      <c r="AA1117" s="4">
        <f>=ROUNDDOWN(23.7777777777778,0)</f>
      </c>
      <c r="AB1117" s="5">
        <v>9</v>
      </c>
      <c r="AC1117" s="2" t="s">
        <v>792</v>
      </c>
      <c r="AD1117" s="4">
        <v>50</v>
      </c>
      <c r="AE1117" s="4">
        <v>233</v>
      </c>
      <c r="AF1117" s="6">
        <v>65</v>
      </c>
      <c r="AG1117" s="6"/>
      <c r="AH1117" s="7">
        <v>0.8485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100</v>
      </c>
      <c r="AW1117" s="8" t="s">
        <v>100</v>
      </c>
      <c r="AX1117" s="4" t="s">
        <v>100</v>
      </c>
      <c r="AY1117" s="8" t="s">
        <v>100</v>
      </c>
      <c r="AZ1117" s="7" t="s">
        <v>100</v>
      </c>
      <c r="BA1117" s="7" t="s">
        <v>100</v>
      </c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 t="s">
        <v>100</v>
      </c>
      <c r="BJ1117" s="4">
        <v>158</v>
      </c>
      <c r="BK1117" s="8">
        <v>9460.15</v>
      </c>
      <c r="BL1117" s="2" t="s">
        <v>3939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147</v>
      </c>
      <c r="BV1117" s="2" t="s">
        <v>97</v>
      </c>
      <c r="BW1117" s="2" t="s">
        <v>100</v>
      </c>
      <c r="BX1117" s="2" t="s">
        <v>100</v>
      </c>
      <c r="BY1117" s="2" t="s">
        <v>112</v>
      </c>
      <c r="BZ1117" s="2" t="s">
        <v>100</v>
      </c>
    </row>
    <row r="1118">
      <c r="A1118" s="2" t="s">
        <v>3940</v>
      </c>
      <c r="B1118" s="2" t="s">
        <v>87</v>
      </c>
      <c r="C1118" s="2" t="s">
        <v>3586</v>
      </c>
      <c r="D1118" s="2" t="s">
        <v>89</v>
      </c>
      <c r="E1118" s="2" t="s">
        <v>2005</v>
      </c>
      <c r="F1118" s="2" t="s">
        <v>3905</v>
      </c>
      <c r="G1118" s="2" t="s">
        <v>1373</v>
      </c>
      <c r="H1118" s="2" t="s">
        <v>3906</v>
      </c>
      <c r="I1118" s="2" t="s">
        <v>3783</v>
      </c>
      <c r="J1118" s="2" t="s">
        <v>95</v>
      </c>
      <c r="K1118" s="2" t="s">
        <v>3934</v>
      </c>
      <c r="L1118" s="3">
        <v>60.44</v>
      </c>
      <c r="M1118" s="3">
        <v>63.46</v>
      </c>
      <c r="N1118" s="3">
        <v>109.99</v>
      </c>
      <c r="O1118" s="2" t="s">
        <v>97</v>
      </c>
      <c r="P1118" s="2" t="s">
        <v>182</v>
      </c>
      <c r="Q1118" s="2" t="s">
        <v>99</v>
      </c>
      <c r="R1118" s="2" t="s">
        <v>100</v>
      </c>
      <c r="S1118" s="2" t="s">
        <v>3935</v>
      </c>
      <c r="T1118" s="2" t="s">
        <v>100</v>
      </c>
      <c r="U1118" s="2" t="s">
        <v>807</v>
      </c>
      <c r="V1118" s="2" t="s">
        <v>491</v>
      </c>
      <c r="W1118" s="2" t="s">
        <v>104</v>
      </c>
      <c r="X1118" s="2" t="s">
        <v>284</v>
      </c>
      <c r="Y1118" s="2" t="s">
        <v>3936</v>
      </c>
      <c r="Z1118" s="4">
        <v>267</v>
      </c>
      <c r="AA1118" s="4">
        <f>=ROUNDDOWN(12.7142857142857,0)</f>
      </c>
      <c r="AB1118" s="5">
        <v>21</v>
      </c>
      <c r="AC1118" s="2" t="s">
        <v>792</v>
      </c>
      <c r="AD1118" s="4">
        <v>160</v>
      </c>
      <c r="AE1118" s="4">
        <v>656</v>
      </c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 t="s">
        <v>100</v>
      </c>
      <c r="BJ1118" s="4">
        <v>441</v>
      </c>
      <c r="BK1118" s="8">
        <v>29477.08</v>
      </c>
      <c r="BL1118" s="2" t="s">
        <v>3941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147</v>
      </c>
      <c r="BV1118" s="2" t="s">
        <v>97</v>
      </c>
      <c r="BW1118" s="2" t="s">
        <v>100</v>
      </c>
      <c r="BX1118" s="2" t="s">
        <v>100</v>
      </c>
      <c r="BY1118" s="2" t="s">
        <v>112</v>
      </c>
      <c r="BZ1118" s="2" t="s">
        <v>100</v>
      </c>
    </row>
    <row r="1119">
      <c r="A1119" s="2" t="s">
        <v>3942</v>
      </c>
      <c r="B1119" s="2" t="s">
        <v>87</v>
      </c>
      <c r="C1119" s="2" t="s">
        <v>3586</v>
      </c>
      <c r="D1119" s="2" t="s">
        <v>89</v>
      </c>
      <c r="E1119" s="2" t="s">
        <v>2005</v>
      </c>
      <c r="F1119" s="2" t="s">
        <v>3905</v>
      </c>
      <c r="G1119" s="2" t="s">
        <v>1373</v>
      </c>
      <c r="H1119" s="2" t="s">
        <v>3906</v>
      </c>
      <c r="I1119" s="2" t="s">
        <v>3783</v>
      </c>
      <c r="J1119" s="2" t="s">
        <v>114</v>
      </c>
      <c r="K1119" s="2" t="s">
        <v>3934</v>
      </c>
      <c r="L1119" s="3">
        <v>65.28</v>
      </c>
      <c r="M1119" s="3">
        <v>68.54</v>
      </c>
      <c r="N1119" s="3">
        <v>119.99</v>
      </c>
      <c r="O1119" s="2" t="s">
        <v>97</v>
      </c>
      <c r="P1119" s="2" t="s">
        <v>182</v>
      </c>
      <c r="Q1119" s="2" t="s">
        <v>99</v>
      </c>
      <c r="R1119" s="2" t="s">
        <v>100</v>
      </c>
      <c r="S1119" s="2" t="s">
        <v>3935</v>
      </c>
      <c r="T1119" s="2" t="s">
        <v>100</v>
      </c>
      <c r="U1119" s="2" t="s">
        <v>807</v>
      </c>
      <c r="V1119" s="2" t="s">
        <v>491</v>
      </c>
      <c r="W1119" s="2" t="s">
        <v>104</v>
      </c>
      <c r="X1119" s="2" t="s">
        <v>284</v>
      </c>
      <c r="Y1119" s="2" t="s">
        <v>3936</v>
      </c>
      <c r="Z1119" s="4">
        <v>426</v>
      </c>
      <c r="AA1119" s="4">
        <f>=ROUNDDOWN(30.4285714285714,0)</f>
      </c>
      <c r="AB1119" s="5">
        <v>14</v>
      </c>
      <c r="AC1119" s="2" t="s">
        <v>2709</v>
      </c>
      <c r="AD1119" s="4">
        <v>267</v>
      </c>
      <c r="AE1119" s="4">
        <v>297</v>
      </c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 t="s">
        <v>100</v>
      </c>
      <c r="BJ1119" s="4">
        <v>275</v>
      </c>
      <c r="BK1119" s="8">
        <v>20497.21</v>
      </c>
      <c r="BL1119" s="2" t="s">
        <v>3943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147</v>
      </c>
      <c r="BV1119" s="2" t="s">
        <v>97</v>
      </c>
      <c r="BW1119" s="2" t="s">
        <v>100</v>
      </c>
      <c r="BX1119" s="2" t="s">
        <v>100</v>
      </c>
      <c r="BY1119" s="2" t="s">
        <v>112</v>
      </c>
      <c r="BZ1119" s="2" t="s">
        <v>100</v>
      </c>
    </row>
    <row r="1120">
      <c r="A1120" s="2" t="s">
        <v>3944</v>
      </c>
      <c r="B1120" s="2" t="s">
        <v>87</v>
      </c>
      <c r="C1120" s="2" t="s">
        <v>3586</v>
      </c>
      <c r="D1120" s="2" t="s">
        <v>89</v>
      </c>
      <c r="E1120" s="2" t="s">
        <v>2005</v>
      </c>
      <c r="F1120" s="2" t="s">
        <v>3905</v>
      </c>
      <c r="G1120" s="2" t="s">
        <v>1373</v>
      </c>
      <c r="H1120" s="2" t="s">
        <v>3906</v>
      </c>
      <c r="I1120" s="2" t="s">
        <v>3783</v>
      </c>
      <c r="J1120" s="2" t="s">
        <v>118</v>
      </c>
      <c r="K1120" s="2" t="s">
        <v>3934</v>
      </c>
      <c r="L1120" s="3">
        <v>65.28</v>
      </c>
      <c r="M1120" s="3">
        <v>68.54</v>
      </c>
      <c r="N1120" s="3">
        <v>119.99</v>
      </c>
      <c r="O1120" s="2" t="s">
        <v>97</v>
      </c>
      <c r="P1120" s="2" t="s">
        <v>182</v>
      </c>
      <c r="Q1120" s="2" t="s">
        <v>99</v>
      </c>
      <c r="R1120" s="2" t="s">
        <v>100</v>
      </c>
      <c r="S1120" s="2" t="s">
        <v>3935</v>
      </c>
      <c r="T1120" s="2" t="s">
        <v>100</v>
      </c>
      <c r="U1120" s="2" t="s">
        <v>807</v>
      </c>
      <c r="V1120" s="2" t="s">
        <v>491</v>
      </c>
      <c r="W1120" s="2" t="s">
        <v>104</v>
      </c>
      <c r="X1120" s="2" t="s">
        <v>284</v>
      </c>
      <c r="Y1120" s="2" t="s">
        <v>3936</v>
      </c>
      <c r="Z1120" s="4">
        <v>182</v>
      </c>
      <c r="AA1120" s="4">
        <f>=ROUNDDOWN(20.2222222222222,0)</f>
      </c>
      <c r="AB1120" s="5">
        <v>9</v>
      </c>
      <c r="AC1120" s="2" t="s">
        <v>792</v>
      </c>
      <c r="AD1120" s="4">
        <v>80</v>
      </c>
      <c r="AE1120" s="4">
        <v>313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 t="s">
        <v>100</v>
      </c>
      <c r="BJ1120" s="4">
        <v>161</v>
      </c>
      <c r="BK1120" s="8">
        <v>12028.51</v>
      </c>
      <c r="BL1120" s="2" t="s">
        <v>3945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147</v>
      </c>
      <c r="BV1120" s="2" t="s">
        <v>97</v>
      </c>
      <c r="BW1120" s="2" t="s">
        <v>100</v>
      </c>
      <c r="BX1120" s="2" t="s">
        <v>100</v>
      </c>
      <c r="BY1120" s="2" t="s">
        <v>112</v>
      </c>
      <c r="BZ1120" s="2" t="s">
        <v>100</v>
      </c>
    </row>
    <row r="1121">
      <c r="A1121" s="2" t="s">
        <v>3946</v>
      </c>
      <c r="B1121" s="2" t="s">
        <v>87</v>
      </c>
      <c r="C1121" s="2" t="s">
        <v>3586</v>
      </c>
      <c r="D1121" s="2" t="s">
        <v>89</v>
      </c>
      <c r="E1121" s="2" t="s">
        <v>2005</v>
      </c>
      <c r="F1121" s="2" t="s">
        <v>3947</v>
      </c>
      <c r="G1121" s="2" t="s">
        <v>3948</v>
      </c>
      <c r="H1121" s="2" t="s">
        <v>3949</v>
      </c>
      <c r="I1121" s="2" t="s">
        <v>3775</v>
      </c>
      <c r="J1121" s="2" t="s">
        <v>3012</v>
      </c>
      <c r="K1121" s="2" t="s">
        <v>333</v>
      </c>
      <c r="L1121" s="3">
        <v>51.99</v>
      </c>
      <c r="M1121" s="3">
        <v>54.59</v>
      </c>
      <c r="N1121" s="3">
        <v>99.99</v>
      </c>
      <c r="O1121" s="2" t="s">
        <v>97</v>
      </c>
      <c r="P1121" s="2" t="s">
        <v>198</v>
      </c>
      <c r="Q1121" s="2" t="s">
        <v>99</v>
      </c>
      <c r="R1121" s="2" t="s">
        <v>100</v>
      </c>
      <c r="S1121" s="2" t="s">
        <v>3950</v>
      </c>
      <c r="T1121" s="2" t="s">
        <v>100</v>
      </c>
      <c r="U1121" s="2" t="s">
        <v>102</v>
      </c>
      <c r="V1121" s="2" t="s">
        <v>991</v>
      </c>
      <c r="W1121" s="2" t="s">
        <v>104</v>
      </c>
      <c r="X1121" s="2" t="s">
        <v>201</v>
      </c>
      <c r="Y1121" s="2" t="s">
        <v>106</v>
      </c>
      <c r="Z1121" s="4">
        <v>25</v>
      </c>
      <c r="AA1121" s="4">
        <f>=ROUNDDOWN(12.5,0)</f>
      </c>
      <c r="AB1121" s="5">
        <v>2</v>
      </c>
      <c r="AC1121" s="2" t="s">
        <v>100</v>
      </c>
      <c r="AD1121" s="4"/>
      <c r="AE1121" s="4"/>
      <c r="AF1121" s="6">
        <v>65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>
        <v>4</v>
      </c>
      <c r="AW1121" s="8">
        <v>272.96</v>
      </c>
      <c r="AX1121" s="4">
        <v>6</v>
      </c>
      <c r="AY1121" s="8">
        <v>398.52</v>
      </c>
      <c r="AZ1121" s="7">
        <v>-0.3333</v>
      </c>
      <c r="BA1121" s="7">
        <v>-0.3151</v>
      </c>
      <c r="BB1121" s="7"/>
      <c r="BC1121" s="4">
        <v>4</v>
      </c>
      <c r="BD1121" s="8">
        <v>272.96</v>
      </c>
      <c r="BE1121" s="4">
        <v>6</v>
      </c>
      <c r="BF1121" s="8">
        <v>398.52</v>
      </c>
      <c r="BG1121" s="7">
        <v>-0.3333</v>
      </c>
      <c r="BH1121" s="7">
        <v>-0.3151</v>
      </c>
      <c r="BI1121" s="7">
        <v>1</v>
      </c>
      <c r="BJ1121" s="4">
        <v>49</v>
      </c>
      <c r="BK1121" s="8">
        <v>1724.95</v>
      </c>
      <c r="BL1121" s="2" t="s">
        <v>3951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147</v>
      </c>
      <c r="BV1121" s="2" t="s">
        <v>97</v>
      </c>
      <c r="BW1121" s="2" t="s">
        <v>100</v>
      </c>
      <c r="BX1121" s="2" t="s">
        <v>100</v>
      </c>
      <c r="BY1121" s="2" t="s">
        <v>112</v>
      </c>
      <c r="BZ1121" s="2" t="s">
        <v>100</v>
      </c>
    </row>
    <row r="1122">
      <c r="A1122" s="2" t="s">
        <v>3952</v>
      </c>
      <c r="B1122" s="2" t="s">
        <v>87</v>
      </c>
      <c r="C1122" s="2" t="s">
        <v>3586</v>
      </c>
      <c r="D1122" s="2" t="s">
        <v>89</v>
      </c>
      <c r="E1122" s="2" t="s">
        <v>2005</v>
      </c>
      <c r="F1122" s="2" t="s">
        <v>3947</v>
      </c>
      <c r="G1122" s="2" t="s">
        <v>3948</v>
      </c>
      <c r="H1122" s="2" t="s">
        <v>3949</v>
      </c>
      <c r="I1122" s="2" t="s">
        <v>3775</v>
      </c>
      <c r="J1122" s="2" t="s">
        <v>3779</v>
      </c>
      <c r="K1122" s="2" t="s">
        <v>333</v>
      </c>
      <c r="L1122" s="3">
        <v>54.59</v>
      </c>
      <c r="M1122" s="3">
        <v>57.32</v>
      </c>
      <c r="N1122" s="3">
        <v>104.99</v>
      </c>
      <c r="O1122" s="2" t="s">
        <v>97</v>
      </c>
      <c r="P1122" s="2" t="s">
        <v>198</v>
      </c>
      <c r="Q1122" s="2" t="s">
        <v>99</v>
      </c>
      <c r="R1122" s="2" t="s">
        <v>100</v>
      </c>
      <c r="S1122" s="2" t="s">
        <v>3953</v>
      </c>
      <c r="T1122" s="2" t="s">
        <v>100</v>
      </c>
      <c r="U1122" s="2" t="s">
        <v>102</v>
      </c>
      <c r="V1122" s="2" t="s">
        <v>991</v>
      </c>
      <c r="W1122" s="2" t="s">
        <v>104</v>
      </c>
      <c r="X1122" s="2" t="s">
        <v>201</v>
      </c>
      <c r="Y1122" s="2" t="s">
        <v>3954</v>
      </c>
      <c r="Z1122" s="4">
        <v>54</v>
      </c>
      <c r="AA1122" s="4">
        <f>=ROUNDDOWN(27,0)</f>
      </c>
      <c r="AB1122" s="5">
        <v>2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 t="s">
        <v>100</v>
      </c>
      <c r="AW1122" s="8" t="s">
        <v>100</v>
      </c>
      <c r="AX1122" s="4" t="s">
        <v>100</v>
      </c>
      <c r="AY1122" s="8" t="s">
        <v>100</v>
      </c>
      <c r="AZ1122" s="7" t="s">
        <v>100</v>
      </c>
      <c r="BA1122" s="7" t="s">
        <v>100</v>
      </c>
      <c r="BB1122" s="7"/>
      <c r="BC1122" s="4" t="s">
        <v>100</v>
      </c>
      <c r="BD1122" s="8" t="s">
        <v>100</v>
      </c>
      <c r="BE1122" s="4" t="s">
        <v>100</v>
      </c>
      <c r="BF1122" s="8" t="s">
        <v>100</v>
      </c>
      <c r="BG1122" s="7" t="s">
        <v>100</v>
      </c>
      <c r="BH1122" s="7" t="s">
        <v>100</v>
      </c>
      <c r="BI1122" s="7" t="s">
        <v>100</v>
      </c>
      <c r="BJ1122" s="4">
        <v>45</v>
      </c>
      <c r="BK1122" s="8">
        <v>1541.59</v>
      </c>
      <c r="BL1122" s="2" t="s">
        <v>3955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147</v>
      </c>
      <c r="BV1122" s="2" t="s">
        <v>97</v>
      </c>
      <c r="BW1122" s="2" t="s">
        <v>100</v>
      </c>
      <c r="BX1122" s="2" t="s">
        <v>100</v>
      </c>
      <c r="BY1122" s="2" t="s">
        <v>112</v>
      </c>
      <c r="BZ1122" s="2" t="s">
        <v>100</v>
      </c>
    </row>
    <row r="1123">
      <c r="A1123" s="2" t="s">
        <v>3956</v>
      </c>
      <c r="B1123" s="2" t="s">
        <v>87</v>
      </c>
      <c r="C1123" s="2" t="s">
        <v>3586</v>
      </c>
      <c r="D1123" s="2" t="s">
        <v>89</v>
      </c>
      <c r="E1123" s="2" t="s">
        <v>2005</v>
      </c>
      <c r="F1123" s="2" t="s">
        <v>3947</v>
      </c>
      <c r="G1123" s="2" t="s">
        <v>3948</v>
      </c>
      <c r="H1123" s="2" t="s">
        <v>3949</v>
      </c>
      <c r="I1123" s="2" t="s">
        <v>3783</v>
      </c>
      <c r="J1123" s="2" t="s">
        <v>122</v>
      </c>
      <c r="K1123" s="2" t="s">
        <v>333</v>
      </c>
      <c r="L1123" s="3">
        <v>57.19</v>
      </c>
      <c r="M1123" s="3">
        <v>60.05</v>
      </c>
      <c r="N1123" s="3">
        <v>109.99</v>
      </c>
      <c r="O1123" s="2" t="s">
        <v>229</v>
      </c>
      <c r="P1123" s="2" t="s">
        <v>198</v>
      </c>
      <c r="Q1123" s="2" t="s">
        <v>99</v>
      </c>
      <c r="R1123" s="2" t="s">
        <v>100</v>
      </c>
      <c r="S1123" s="2" t="s">
        <v>3950</v>
      </c>
      <c r="T1123" s="2" t="s">
        <v>100</v>
      </c>
      <c r="U1123" s="2" t="s">
        <v>807</v>
      </c>
      <c r="V1123" s="2" t="s">
        <v>991</v>
      </c>
      <c r="W1123" s="2" t="s">
        <v>104</v>
      </c>
      <c r="X1123" s="2" t="s">
        <v>201</v>
      </c>
      <c r="Y1123" s="2" t="s">
        <v>106</v>
      </c>
      <c r="Z1123" s="4">
        <v>384</v>
      </c>
      <c r="AA1123" s="4">
        <f>=ROUNDDOWN(128,0)</f>
      </c>
      <c r="AB1123" s="5">
        <v>3</v>
      </c>
      <c r="AC1123" s="2" t="s">
        <v>100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100</v>
      </c>
      <c r="AW1123" s="8" t="s">
        <v>100</v>
      </c>
      <c r="AX1123" s="4" t="s">
        <v>100</v>
      </c>
      <c r="AY1123" s="8" t="s">
        <v>100</v>
      </c>
      <c r="AZ1123" s="7" t="s">
        <v>100</v>
      </c>
      <c r="BA1123" s="7" t="s">
        <v>100</v>
      </c>
      <c r="BB1123" s="7"/>
      <c r="BC1123" s="4" t="s">
        <v>100</v>
      </c>
      <c r="BD1123" s="8" t="s">
        <v>100</v>
      </c>
      <c r="BE1123" s="4" t="s">
        <v>100</v>
      </c>
      <c r="BF1123" s="8" t="s">
        <v>100</v>
      </c>
      <c r="BG1123" s="7" t="s">
        <v>100</v>
      </c>
      <c r="BH1123" s="7" t="s">
        <v>100</v>
      </c>
      <c r="BI1123" s="7" t="s">
        <v>100</v>
      </c>
      <c r="BJ1123" s="4">
        <v>79</v>
      </c>
      <c r="BK1123" s="8">
        <v>2880.57</v>
      </c>
      <c r="BL1123" s="2" t="s">
        <v>3957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147</v>
      </c>
      <c r="BV1123" s="2" t="s">
        <v>97</v>
      </c>
      <c r="BW1123" s="2" t="s">
        <v>100</v>
      </c>
      <c r="BX1123" s="2" t="s">
        <v>100</v>
      </c>
      <c r="BY1123" s="2" t="s">
        <v>112</v>
      </c>
      <c r="BZ1123" s="2" t="s">
        <v>100</v>
      </c>
    </row>
    <row r="1124">
      <c r="A1124" s="2" t="s">
        <v>3958</v>
      </c>
      <c r="B1124" s="2" t="s">
        <v>87</v>
      </c>
      <c r="C1124" s="2" t="s">
        <v>3586</v>
      </c>
      <c r="D1124" s="2" t="s">
        <v>89</v>
      </c>
      <c r="E1124" s="2" t="s">
        <v>2005</v>
      </c>
      <c r="F1124" s="2" t="s">
        <v>3947</v>
      </c>
      <c r="G1124" s="2" t="s">
        <v>3948</v>
      </c>
      <c r="H1124" s="2" t="s">
        <v>3949</v>
      </c>
      <c r="I1124" s="2" t="s">
        <v>3783</v>
      </c>
      <c r="J1124" s="2" t="s">
        <v>95</v>
      </c>
      <c r="K1124" s="2" t="s">
        <v>333</v>
      </c>
      <c r="L1124" s="3">
        <v>62.39</v>
      </c>
      <c r="M1124" s="3">
        <v>65.51</v>
      </c>
      <c r="N1124" s="3">
        <v>119.99</v>
      </c>
      <c r="O1124" s="2" t="s">
        <v>229</v>
      </c>
      <c r="P1124" s="2" t="s">
        <v>198</v>
      </c>
      <c r="Q1124" s="2" t="s">
        <v>99</v>
      </c>
      <c r="R1124" s="2" t="s">
        <v>100</v>
      </c>
      <c r="S1124" s="2" t="s">
        <v>3950</v>
      </c>
      <c r="T1124" s="2" t="s">
        <v>100</v>
      </c>
      <c r="U1124" s="2" t="s">
        <v>807</v>
      </c>
      <c r="V1124" s="2" t="s">
        <v>991</v>
      </c>
      <c r="W1124" s="2" t="s">
        <v>104</v>
      </c>
      <c r="X1124" s="2" t="s">
        <v>201</v>
      </c>
      <c r="Y1124" s="2" t="s">
        <v>106</v>
      </c>
      <c r="Z1124" s="4"/>
      <c r="AA1124" s="4">
        <f>=ROUNDDOWN({0},0)</f>
      </c>
      <c r="AB1124" s="5">
        <v>5</v>
      </c>
      <c r="AC1124" s="2" t="s">
        <v>100</v>
      </c>
      <c r="AD1124" s="4"/>
      <c r="AE1124" s="4"/>
      <c r="AF1124" s="6">
        <v>65</v>
      </c>
      <c r="AG1124" s="6"/>
      <c r="AH1124" s="7">
        <v>0.8909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>
        <v>0</v>
      </c>
      <c r="AP1124" s="4">
        <v>2</v>
      </c>
      <c r="AQ1124" s="8">
        <v>131.02</v>
      </c>
      <c r="AR1124" s="4">
        <v>5</v>
      </c>
      <c r="AS1124" s="8">
        <v>327.55</v>
      </c>
      <c r="AT1124" s="7">
        <v>-0.6</v>
      </c>
      <c r="AU1124" s="7">
        <v>-0.6</v>
      </c>
      <c r="AV1124" s="4" t="s">
        <v>100</v>
      </c>
      <c r="AW1124" s="8" t="s">
        <v>100</v>
      </c>
      <c r="AX1124" s="4" t="s">
        <v>100</v>
      </c>
      <c r="AY1124" s="8" t="s">
        <v>100</v>
      </c>
      <c r="AZ1124" s="7" t="s">
        <v>100</v>
      </c>
      <c r="BA1124" s="7" t="s">
        <v>100</v>
      </c>
      <c r="BB1124" s="7">
        <v>0.48</v>
      </c>
      <c r="BC1124" s="4" t="s">
        <v>100</v>
      </c>
      <c r="BD1124" s="8" t="s">
        <v>100</v>
      </c>
      <c r="BE1124" s="4" t="s">
        <v>100</v>
      </c>
      <c r="BF1124" s="8" t="s">
        <v>100</v>
      </c>
      <c r="BG1124" s="7" t="s">
        <v>100</v>
      </c>
      <c r="BH1124" s="7" t="s">
        <v>100</v>
      </c>
      <c r="BI1124" s="7" t="s">
        <v>100</v>
      </c>
      <c r="BJ1124" s="4">
        <v>132</v>
      </c>
      <c r="BK1124" s="8">
        <v>6373.67</v>
      </c>
      <c r="BL1124" s="2" t="s">
        <v>3959</v>
      </c>
      <c r="BM1124" s="7">
        <v>0.0152</v>
      </c>
      <c r="BN1124" s="7">
        <v>0.0206</v>
      </c>
      <c r="BO1124" s="4">
        <v>2</v>
      </c>
      <c r="BP1124" s="8">
        <v>131.02</v>
      </c>
      <c r="BQ1124" s="4">
        <v>5</v>
      </c>
      <c r="BR1124" s="8">
        <v>327.55</v>
      </c>
      <c r="BS1124" s="7">
        <v>-0.6</v>
      </c>
      <c r="BT1124" s="7">
        <v>-0.6</v>
      </c>
      <c r="BU1124" s="2" t="s">
        <v>109</v>
      </c>
      <c r="BV1124" s="2" t="s">
        <v>552</v>
      </c>
      <c r="BW1124" s="2" t="s">
        <v>217</v>
      </c>
      <c r="BX1124" s="2" t="s">
        <v>3960</v>
      </c>
      <c r="BY1124" s="2" t="s">
        <v>112</v>
      </c>
      <c r="BZ1124" s="2" t="s">
        <v>100</v>
      </c>
    </row>
    <row r="1125">
      <c r="A1125" s="2" t="s">
        <v>3961</v>
      </c>
      <c r="B1125" s="2" t="s">
        <v>87</v>
      </c>
      <c r="C1125" s="2" t="s">
        <v>3586</v>
      </c>
      <c r="D1125" s="2" t="s">
        <v>89</v>
      </c>
      <c r="E1125" s="2" t="s">
        <v>2005</v>
      </c>
      <c r="F1125" s="2" t="s">
        <v>3947</v>
      </c>
      <c r="G1125" s="2" t="s">
        <v>3948</v>
      </c>
      <c r="H1125" s="2" t="s">
        <v>3949</v>
      </c>
      <c r="I1125" s="2" t="s">
        <v>3783</v>
      </c>
      <c r="J1125" s="2" t="s">
        <v>114</v>
      </c>
      <c r="K1125" s="2" t="s">
        <v>333</v>
      </c>
      <c r="L1125" s="3">
        <v>67.59</v>
      </c>
      <c r="M1125" s="3">
        <v>70.97</v>
      </c>
      <c r="N1125" s="3">
        <v>129.99</v>
      </c>
      <c r="O1125" s="2" t="s">
        <v>97</v>
      </c>
      <c r="P1125" s="2" t="s">
        <v>198</v>
      </c>
      <c r="Q1125" s="2" t="s">
        <v>99</v>
      </c>
      <c r="R1125" s="2" t="s">
        <v>100</v>
      </c>
      <c r="S1125" s="2" t="s">
        <v>3950</v>
      </c>
      <c r="T1125" s="2" t="s">
        <v>100</v>
      </c>
      <c r="U1125" s="2" t="s">
        <v>807</v>
      </c>
      <c r="V1125" s="2" t="s">
        <v>991</v>
      </c>
      <c r="W1125" s="2" t="s">
        <v>104</v>
      </c>
      <c r="X1125" s="2" t="s">
        <v>201</v>
      </c>
      <c r="Y1125" s="2" t="s">
        <v>106</v>
      </c>
      <c r="Z1125" s="4">
        <v>45</v>
      </c>
      <c r="AA1125" s="4">
        <f>=ROUNDDOWN(15,0)</f>
      </c>
      <c r="AB1125" s="5">
        <v>3</v>
      </c>
      <c r="AC1125" s="2" t="s">
        <v>100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>
        <v>0</v>
      </c>
      <c r="AP1125" s="4">
        <v>2</v>
      </c>
      <c r="AQ1125" s="8">
        <v>141.94</v>
      </c>
      <c r="AR1125" s="4">
        <v>1</v>
      </c>
      <c r="AS1125" s="8">
        <v>70.97</v>
      </c>
      <c r="AT1125" s="7">
        <v>1</v>
      </c>
      <c r="AU1125" s="7">
        <v>1</v>
      </c>
      <c r="AV1125" s="4" t="s">
        <v>100</v>
      </c>
      <c r="AW1125" s="8" t="s">
        <v>100</v>
      </c>
      <c r="AX1125" s="4" t="s">
        <v>100</v>
      </c>
      <c r="AY1125" s="8" t="s">
        <v>100</v>
      </c>
      <c r="AZ1125" s="7" t="s">
        <v>100</v>
      </c>
      <c r="BA1125" s="7" t="s">
        <v>100</v>
      </c>
      <c r="BB1125" s="7">
        <v>0.52</v>
      </c>
      <c r="BC1125" s="4" t="s">
        <v>100</v>
      </c>
      <c r="BD1125" s="8" t="s">
        <v>100</v>
      </c>
      <c r="BE1125" s="4" t="s">
        <v>100</v>
      </c>
      <c r="BF1125" s="8" t="s">
        <v>100</v>
      </c>
      <c r="BG1125" s="7" t="s">
        <v>100</v>
      </c>
      <c r="BH1125" s="7" t="s">
        <v>100</v>
      </c>
      <c r="BI1125" s="7" t="s">
        <v>100</v>
      </c>
      <c r="BJ1125" s="4">
        <v>105</v>
      </c>
      <c r="BK1125" s="8">
        <v>4993.41</v>
      </c>
      <c r="BL1125" s="2" t="s">
        <v>3962</v>
      </c>
      <c r="BM1125" s="7">
        <v>0.019</v>
      </c>
      <c r="BN1125" s="7">
        <v>0.0284</v>
      </c>
      <c r="BO1125" s="4">
        <v>2</v>
      </c>
      <c r="BP1125" s="8">
        <v>141.94</v>
      </c>
      <c r="BQ1125" s="4">
        <v>1</v>
      </c>
      <c r="BR1125" s="8">
        <v>70.97</v>
      </c>
      <c r="BS1125" s="7">
        <v>1</v>
      </c>
      <c r="BT1125" s="7">
        <v>1</v>
      </c>
      <c r="BU1125" s="2" t="s">
        <v>109</v>
      </c>
      <c r="BV1125" s="2" t="s">
        <v>97</v>
      </c>
      <c r="BW1125" s="2" t="s">
        <v>217</v>
      </c>
      <c r="BX1125" s="2" t="s">
        <v>516</v>
      </c>
      <c r="BY1125" s="2" t="s">
        <v>112</v>
      </c>
      <c r="BZ1125" s="2" t="s">
        <v>100</v>
      </c>
    </row>
    <row r="1126">
      <c r="A1126" s="2" t="s">
        <v>3963</v>
      </c>
      <c r="B1126" s="2" t="s">
        <v>87</v>
      </c>
      <c r="C1126" s="2" t="s">
        <v>3586</v>
      </c>
      <c r="D1126" s="2" t="s">
        <v>89</v>
      </c>
      <c r="E1126" s="2" t="s">
        <v>2005</v>
      </c>
      <c r="F1126" s="2" t="s">
        <v>3947</v>
      </c>
      <c r="G1126" s="2" t="s">
        <v>3948</v>
      </c>
      <c r="H1126" s="2" t="s">
        <v>3949</v>
      </c>
      <c r="I1126" s="2" t="s">
        <v>3783</v>
      </c>
      <c r="J1126" s="2" t="s">
        <v>118</v>
      </c>
      <c r="K1126" s="2" t="s">
        <v>333</v>
      </c>
      <c r="L1126" s="3">
        <v>67.59</v>
      </c>
      <c r="M1126" s="3">
        <v>70.97</v>
      </c>
      <c r="N1126" s="3">
        <v>129.99</v>
      </c>
      <c r="O1126" s="2" t="s">
        <v>97</v>
      </c>
      <c r="P1126" s="2" t="s">
        <v>198</v>
      </c>
      <c r="Q1126" s="2" t="s">
        <v>99</v>
      </c>
      <c r="R1126" s="2" t="s">
        <v>100</v>
      </c>
      <c r="S1126" s="2" t="s">
        <v>3950</v>
      </c>
      <c r="T1126" s="2" t="s">
        <v>100</v>
      </c>
      <c r="U1126" s="2" t="s">
        <v>807</v>
      </c>
      <c r="V1126" s="2" t="s">
        <v>991</v>
      </c>
      <c r="W1126" s="2" t="s">
        <v>104</v>
      </c>
      <c r="X1126" s="2" t="s">
        <v>201</v>
      </c>
      <c r="Y1126" s="2" t="s">
        <v>106</v>
      </c>
      <c r="Z1126" s="4">
        <v>84</v>
      </c>
      <c r="AA1126" s="4">
        <f>=ROUNDDOWN(25.4545454545455,0)</f>
      </c>
      <c r="AB1126" s="5">
        <v>3.3</v>
      </c>
      <c r="AC1126" s="2" t="s">
        <v>100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100</v>
      </c>
      <c r="AW1126" s="8" t="s">
        <v>100</v>
      </c>
      <c r="AX1126" s="4" t="s">
        <v>100</v>
      </c>
      <c r="AY1126" s="8" t="s">
        <v>100</v>
      </c>
      <c r="AZ1126" s="7" t="s">
        <v>100</v>
      </c>
      <c r="BA1126" s="7" t="s">
        <v>100</v>
      </c>
      <c r="BB1126" s="7"/>
      <c r="BC1126" s="4" t="s">
        <v>100</v>
      </c>
      <c r="BD1126" s="8" t="s">
        <v>100</v>
      </c>
      <c r="BE1126" s="4" t="s">
        <v>100</v>
      </c>
      <c r="BF1126" s="8" t="s">
        <v>100</v>
      </c>
      <c r="BG1126" s="7" t="s">
        <v>100</v>
      </c>
      <c r="BH1126" s="7" t="s">
        <v>100</v>
      </c>
      <c r="BI1126" s="7" t="s">
        <v>100</v>
      </c>
      <c r="BJ1126" s="4">
        <v>40</v>
      </c>
      <c r="BK1126" s="8">
        <v>1777.73</v>
      </c>
      <c r="BL1126" s="2" t="s">
        <v>3964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147</v>
      </c>
      <c r="BV1126" s="2" t="s">
        <v>97</v>
      </c>
      <c r="BW1126" s="2" t="s">
        <v>100</v>
      </c>
      <c r="BX1126" s="2" t="s">
        <v>100</v>
      </c>
      <c r="BY1126" s="2" t="s">
        <v>112</v>
      </c>
      <c r="BZ1126" s="2" t="s">
        <v>100</v>
      </c>
    </row>
    <row r="1127">
      <c r="A1127" s="2" t="s">
        <v>3965</v>
      </c>
      <c r="B1127" s="2" t="s">
        <v>87</v>
      </c>
      <c r="C1127" s="2" t="s">
        <v>3586</v>
      </c>
      <c r="D1127" s="2" t="s">
        <v>89</v>
      </c>
      <c r="E1127" s="2" t="s">
        <v>2005</v>
      </c>
      <c r="F1127" s="2" t="s">
        <v>3947</v>
      </c>
      <c r="G1127" s="2" t="s">
        <v>3948</v>
      </c>
      <c r="H1127" s="2" t="s">
        <v>3949</v>
      </c>
      <c r="I1127" s="2" t="s">
        <v>3775</v>
      </c>
      <c r="J1127" s="2" t="s">
        <v>3012</v>
      </c>
      <c r="K1127" s="2" t="s">
        <v>197</v>
      </c>
      <c r="L1127" s="3">
        <v>51.99</v>
      </c>
      <c r="M1127" s="3">
        <v>54.59</v>
      </c>
      <c r="N1127" s="3">
        <v>99.99</v>
      </c>
      <c r="O1127" s="2" t="s">
        <v>97</v>
      </c>
      <c r="P1127" s="2" t="s">
        <v>198</v>
      </c>
      <c r="Q1127" s="2" t="s">
        <v>99</v>
      </c>
      <c r="R1127" s="2" t="s">
        <v>100</v>
      </c>
      <c r="S1127" s="2" t="s">
        <v>3966</v>
      </c>
      <c r="T1127" s="2" t="s">
        <v>100</v>
      </c>
      <c r="U1127" s="2" t="s">
        <v>102</v>
      </c>
      <c r="V1127" s="2" t="s">
        <v>991</v>
      </c>
      <c r="W1127" s="2" t="s">
        <v>104</v>
      </c>
      <c r="X1127" s="2" t="s">
        <v>201</v>
      </c>
      <c r="Y1127" s="2" t="s">
        <v>106</v>
      </c>
      <c r="Z1127" s="4">
        <v>18</v>
      </c>
      <c r="AA1127" s="4">
        <f>=ROUNDDOWN(9,0)</f>
      </c>
      <c r="AB1127" s="5">
        <v>2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100</v>
      </c>
      <c r="AW1127" s="8" t="s">
        <v>100</v>
      </c>
      <c r="AX1127" s="4" t="s">
        <v>100</v>
      </c>
      <c r="AY1127" s="8" t="s">
        <v>100</v>
      </c>
      <c r="AZ1127" s="7" t="s">
        <v>100</v>
      </c>
      <c r="BA1127" s="7" t="s">
        <v>100</v>
      </c>
      <c r="BB1127" s="7"/>
      <c r="BC1127" s="4" t="s">
        <v>100</v>
      </c>
      <c r="BD1127" s="8" t="s">
        <v>100</v>
      </c>
      <c r="BE1127" s="4" t="s">
        <v>100</v>
      </c>
      <c r="BF1127" s="8" t="s">
        <v>100</v>
      </c>
      <c r="BG1127" s="7" t="s">
        <v>100</v>
      </c>
      <c r="BH1127" s="7" t="s">
        <v>100</v>
      </c>
      <c r="BI1127" s="7" t="s">
        <v>100</v>
      </c>
      <c r="BJ1127" s="4">
        <v>84</v>
      </c>
      <c r="BK1127" s="8">
        <v>3078.76</v>
      </c>
      <c r="BL1127" s="2" t="s">
        <v>3967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147</v>
      </c>
      <c r="BV1127" s="2" t="s">
        <v>97</v>
      </c>
      <c r="BW1127" s="2" t="s">
        <v>100</v>
      </c>
      <c r="BX1127" s="2" t="s">
        <v>100</v>
      </c>
      <c r="BY1127" s="2" t="s">
        <v>112</v>
      </c>
      <c r="BZ1127" s="2" t="s">
        <v>100</v>
      </c>
    </row>
    <row r="1128">
      <c r="A1128" s="2" t="s">
        <v>3968</v>
      </c>
      <c r="B1128" s="2" t="s">
        <v>87</v>
      </c>
      <c r="C1128" s="2" t="s">
        <v>3586</v>
      </c>
      <c r="D1128" s="2" t="s">
        <v>89</v>
      </c>
      <c r="E1128" s="2" t="s">
        <v>2005</v>
      </c>
      <c r="F1128" s="2" t="s">
        <v>3947</v>
      </c>
      <c r="G1128" s="2" t="s">
        <v>3948</v>
      </c>
      <c r="H1128" s="2" t="s">
        <v>3949</v>
      </c>
      <c r="I1128" s="2" t="s">
        <v>3783</v>
      </c>
      <c r="J1128" s="2" t="s">
        <v>95</v>
      </c>
      <c r="K1128" s="2" t="s">
        <v>197</v>
      </c>
      <c r="L1128" s="3">
        <v>62.39</v>
      </c>
      <c r="M1128" s="3">
        <v>65.51</v>
      </c>
      <c r="N1128" s="3">
        <v>119.99</v>
      </c>
      <c r="O1128" s="2" t="s">
        <v>97</v>
      </c>
      <c r="P1128" s="2" t="s">
        <v>198</v>
      </c>
      <c r="Q1128" s="2" t="s">
        <v>99</v>
      </c>
      <c r="R1128" s="2" t="s">
        <v>100</v>
      </c>
      <c r="S1128" s="2" t="s">
        <v>3966</v>
      </c>
      <c r="T1128" s="2" t="s">
        <v>100</v>
      </c>
      <c r="U1128" s="2" t="s">
        <v>807</v>
      </c>
      <c r="V1128" s="2" t="s">
        <v>991</v>
      </c>
      <c r="W1128" s="2" t="s">
        <v>104</v>
      </c>
      <c r="X1128" s="2" t="s">
        <v>201</v>
      </c>
      <c r="Y1128" s="2" t="s">
        <v>106</v>
      </c>
      <c r="Z1128" s="4">
        <v>40</v>
      </c>
      <c r="AA1128" s="4">
        <f>=ROUNDDOWN(6.66666666666667,0)</f>
      </c>
      <c r="AB1128" s="5">
        <v>6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100</v>
      </c>
      <c r="AW1128" s="8" t="s">
        <v>100</v>
      </c>
      <c r="AX1128" s="4" t="s">
        <v>100</v>
      </c>
      <c r="AY1128" s="8" t="s">
        <v>100</v>
      </c>
      <c r="AZ1128" s="7" t="s">
        <v>100</v>
      </c>
      <c r="BA1128" s="7" t="s">
        <v>100</v>
      </c>
      <c r="BB1128" s="7"/>
      <c r="BC1128" s="4" t="s">
        <v>100</v>
      </c>
      <c r="BD1128" s="8" t="s">
        <v>100</v>
      </c>
      <c r="BE1128" s="4" t="s">
        <v>100</v>
      </c>
      <c r="BF1128" s="8" t="s">
        <v>100</v>
      </c>
      <c r="BG1128" s="7" t="s">
        <v>100</v>
      </c>
      <c r="BH1128" s="7" t="s">
        <v>100</v>
      </c>
      <c r="BI1128" s="7" t="s">
        <v>100</v>
      </c>
      <c r="BJ1128" s="4">
        <v>173</v>
      </c>
      <c r="BK1128" s="8">
        <v>7730.19</v>
      </c>
      <c r="BL1128" s="2" t="s">
        <v>3969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147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3970</v>
      </c>
      <c r="B1129" s="2" t="s">
        <v>87</v>
      </c>
      <c r="C1129" s="2" t="s">
        <v>3586</v>
      </c>
      <c r="D1129" s="2" t="s">
        <v>89</v>
      </c>
      <c r="E1129" s="2" t="s">
        <v>2005</v>
      </c>
      <c r="F1129" s="2" t="s">
        <v>3947</v>
      </c>
      <c r="G1129" s="2" t="s">
        <v>3948</v>
      </c>
      <c r="H1129" s="2" t="s">
        <v>3949</v>
      </c>
      <c r="I1129" s="2" t="s">
        <v>3783</v>
      </c>
      <c r="J1129" s="2" t="s">
        <v>114</v>
      </c>
      <c r="K1129" s="2" t="s">
        <v>197</v>
      </c>
      <c r="L1129" s="3">
        <v>67.59</v>
      </c>
      <c r="M1129" s="3">
        <v>70.97</v>
      </c>
      <c r="N1129" s="3">
        <v>129.99</v>
      </c>
      <c r="O1129" s="2" t="s">
        <v>97</v>
      </c>
      <c r="P1129" s="2" t="s">
        <v>198</v>
      </c>
      <c r="Q1129" s="2" t="s">
        <v>99</v>
      </c>
      <c r="R1129" s="2" t="s">
        <v>100</v>
      </c>
      <c r="S1129" s="2" t="s">
        <v>3966</v>
      </c>
      <c r="T1129" s="2" t="s">
        <v>100</v>
      </c>
      <c r="U1129" s="2" t="s">
        <v>807</v>
      </c>
      <c r="V1129" s="2" t="s">
        <v>991</v>
      </c>
      <c r="W1129" s="2" t="s">
        <v>104</v>
      </c>
      <c r="X1129" s="2" t="s">
        <v>201</v>
      </c>
      <c r="Y1129" s="2" t="s">
        <v>106</v>
      </c>
      <c r="Z1129" s="4">
        <v>31</v>
      </c>
      <c r="AA1129" s="4">
        <f>=ROUNDDOWN(3.1,0)</f>
      </c>
      <c r="AB1129" s="5">
        <v>10</v>
      </c>
      <c r="AC1129" s="2" t="s">
        <v>100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100</v>
      </c>
      <c r="AW1129" s="8" t="s">
        <v>100</v>
      </c>
      <c r="AX1129" s="4" t="s">
        <v>100</v>
      </c>
      <c r="AY1129" s="8" t="s">
        <v>100</v>
      </c>
      <c r="AZ1129" s="7" t="s">
        <v>100</v>
      </c>
      <c r="BA1129" s="7" t="s">
        <v>100</v>
      </c>
      <c r="BB1129" s="7"/>
      <c r="BC1129" s="4" t="s">
        <v>100</v>
      </c>
      <c r="BD1129" s="8" t="s">
        <v>100</v>
      </c>
      <c r="BE1129" s="4" t="s">
        <v>100</v>
      </c>
      <c r="BF1129" s="8" t="s">
        <v>100</v>
      </c>
      <c r="BG1129" s="7" t="s">
        <v>100</v>
      </c>
      <c r="BH1129" s="7" t="s">
        <v>100</v>
      </c>
      <c r="BI1129" s="7" t="s">
        <v>100</v>
      </c>
      <c r="BJ1129" s="4">
        <v>145</v>
      </c>
      <c r="BK1129" s="8">
        <v>7586.03</v>
      </c>
      <c r="BL1129" s="2" t="s">
        <v>3971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147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3972</v>
      </c>
      <c r="B1130" s="2" t="s">
        <v>87</v>
      </c>
      <c r="C1130" s="2" t="s">
        <v>3586</v>
      </c>
      <c r="D1130" s="2" t="s">
        <v>89</v>
      </c>
      <c r="E1130" s="2" t="s">
        <v>2005</v>
      </c>
      <c r="F1130" s="2" t="s">
        <v>3947</v>
      </c>
      <c r="G1130" s="2" t="s">
        <v>3948</v>
      </c>
      <c r="H1130" s="2" t="s">
        <v>3949</v>
      </c>
      <c r="I1130" s="2" t="s">
        <v>3783</v>
      </c>
      <c r="J1130" s="2" t="s">
        <v>118</v>
      </c>
      <c r="K1130" s="2" t="s">
        <v>197</v>
      </c>
      <c r="L1130" s="3">
        <v>67.59</v>
      </c>
      <c r="M1130" s="3">
        <v>70.97</v>
      </c>
      <c r="N1130" s="3">
        <v>129.99</v>
      </c>
      <c r="O1130" s="2" t="s">
        <v>97</v>
      </c>
      <c r="P1130" s="2" t="s">
        <v>198</v>
      </c>
      <c r="Q1130" s="2" t="s">
        <v>99</v>
      </c>
      <c r="R1130" s="2" t="s">
        <v>100</v>
      </c>
      <c r="S1130" s="2" t="s">
        <v>3966</v>
      </c>
      <c r="T1130" s="2" t="s">
        <v>100</v>
      </c>
      <c r="U1130" s="2" t="s">
        <v>807</v>
      </c>
      <c r="V1130" s="2" t="s">
        <v>991</v>
      </c>
      <c r="W1130" s="2" t="s">
        <v>104</v>
      </c>
      <c r="X1130" s="2" t="s">
        <v>201</v>
      </c>
      <c r="Y1130" s="2" t="s">
        <v>106</v>
      </c>
      <c r="Z1130" s="4">
        <v>34</v>
      </c>
      <c r="AA1130" s="4">
        <f>=ROUNDDOWN(17,0)</f>
      </c>
      <c r="AB1130" s="5">
        <v>2</v>
      </c>
      <c r="AC1130" s="2" t="s">
        <v>100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100</v>
      </c>
      <c r="AW1130" s="8" t="s">
        <v>100</v>
      </c>
      <c r="AX1130" s="4" t="s">
        <v>100</v>
      </c>
      <c r="AY1130" s="8" t="s">
        <v>100</v>
      </c>
      <c r="AZ1130" s="7" t="s">
        <v>100</v>
      </c>
      <c r="BA1130" s="7" t="s">
        <v>100</v>
      </c>
      <c r="BB1130" s="7"/>
      <c r="BC1130" s="4" t="s">
        <v>100</v>
      </c>
      <c r="BD1130" s="8" t="s">
        <v>100</v>
      </c>
      <c r="BE1130" s="4" t="s">
        <v>100</v>
      </c>
      <c r="BF1130" s="8" t="s">
        <v>100</v>
      </c>
      <c r="BG1130" s="7" t="s">
        <v>100</v>
      </c>
      <c r="BH1130" s="7" t="s">
        <v>100</v>
      </c>
      <c r="BI1130" s="7" t="s">
        <v>100</v>
      </c>
      <c r="BJ1130" s="4">
        <v>57</v>
      </c>
      <c r="BK1130" s="8">
        <v>2964.54</v>
      </c>
      <c r="BL1130" s="2" t="s">
        <v>3973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147</v>
      </c>
      <c r="BV1130" s="2" t="s">
        <v>97</v>
      </c>
      <c r="BW1130" s="2" t="s">
        <v>100</v>
      </c>
      <c r="BX1130" s="2" t="s">
        <v>100</v>
      </c>
      <c r="BY1130" s="2" t="s">
        <v>112</v>
      </c>
      <c r="BZ1130" s="2" t="s">
        <v>100</v>
      </c>
    </row>
    <row r="1131">
      <c r="A1131" s="2" t="s">
        <v>3974</v>
      </c>
      <c r="B1131" s="2" t="s">
        <v>87</v>
      </c>
      <c r="C1131" s="2" t="s">
        <v>3586</v>
      </c>
      <c r="D1131" s="2" t="s">
        <v>89</v>
      </c>
      <c r="E1131" s="2" t="s">
        <v>2005</v>
      </c>
      <c r="F1131" s="2" t="s">
        <v>3947</v>
      </c>
      <c r="G1131" s="2" t="s">
        <v>3948</v>
      </c>
      <c r="H1131" s="2" t="s">
        <v>3949</v>
      </c>
      <c r="I1131" s="2" t="s">
        <v>3783</v>
      </c>
      <c r="J1131" s="2" t="s">
        <v>95</v>
      </c>
      <c r="K1131" s="2" t="s">
        <v>622</v>
      </c>
      <c r="L1131" s="3">
        <v>62.39</v>
      </c>
      <c r="M1131" s="3">
        <v>65.51</v>
      </c>
      <c r="N1131" s="3">
        <v>119.99</v>
      </c>
      <c r="O1131" s="2" t="s">
        <v>550</v>
      </c>
      <c r="P1131" s="2" t="s">
        <v>198</v>
      </c>
      <c r="Q1131" s="2" t="s">
        <v>99</v>
      </c>
      <c r="R1131" s="2" t="s">
        <v>100</v>
      </c>
      <c r="S1131" s="2" t="s">
        <v>3975</v>
      </c>
      <c r="T1131" s="2" t="s">
        <v>100</v>
      </c>
      <c r="U1131" s="2" t="s">
        <v>807</v>
      </c>
      <c r="V1131" s="2" t="s">
        <v>991</v>
      </c>
      <c r="W1131" s="2" t="s">
        <v>104</v>
      </c>
      <c r="X1131" s="2" t="s">
        <v>201</v>
      </c>
      <c r="Y1131" s="2" t="s">
        <v>106</v>
      </c>
      <c r="Z1131" s="4"/>
      <c r="AA1131" s="4">
        <f>=ROUNDDOWN({0},0)</f>
      </c>
      <c r="AB1131" s="5">
        <v>2.9</v>
      </c>
      <c r="AC1131" s="2" t="s">
        <v>100</v>
      </c>
      <c r="AD1131" s="4"/>
      <c r="AE1131" s="4"/>
      <c r="AF1131" s="6">
        <v>64</v>
      </c>
      <c r="AG1131" s="6"/>
      <c r="AH1131" s="7">
        <v>0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100</v>
      </c>
      <c r="BD1131" s="8" t="s">
        <v>100</v>
      </c>
      <c r="BE1131" s="4" t="s">
        <v>100</v>
      </c>
      <c r="BF1131" s="8" t="s">
        <v>100</v>
      </c>
      <c r="BG1131" s="7" t="s">
        <v>100</v>
      </c>
      <c r="BH1131" s="7" t="s">
        <v>100</v>
      </c>
      <c r="BI1131" s="7"/>
      <c r="BJ1131" s="4"/>
      <c r="BK1131" s="8"/>
      <c r="BL1131" s="2" t="s">
        <v>3976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147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3977</v>
      </c>
      <c r="B1132" s="2" t="s">
        <v>87</v>
      </c>
      <c r="C1132" s="2" t="s">
        <v>3586</v>
      </c>
      <c r="D1132" s="2" t="s">
        <v>89</v>
      </c>
      <c r="E1132" s="2" t="s">
        <v>2005</v>
      </c>
      <c r="F1132" s="2" t="s">
        <v>3978</v>
      </c>
      <c r="G1132" s="2" t="s">
        <v>3979</v>
      </c>
      <c r="H1132" s="2" t="s">
        <v>3980</v>
      </c>
      <c r="I1132" s="2" t="s">
        <v>3775</v>
      </c>
      <c r="J1132" s="2" t="s">
        <v>3012</v>
      </c>
      <c r="K1132" s="2" t="s">
        <v>168</v>
      </c>
      <c r="L1132" s="3">
        <v>51.99</v>
      </c>
      <c r="M1132" s="3">
        <v>54.59</v>
      </c>
      <c r="N1132" s="3">
        <v>114.99</v>
      </c>
      <c r="O1132" s="2" t="s">
        <v>97</v>
      </c>
      <c r="P1132" s="2" t="s">
        <v>182</v>
      </c>
      <c r="Q1132" s="2" t="s">
        <v>99</v>
      </c>
      <c r="R1132" s="2" t="s">
        <v>100</v>
      </c>
      <c r="S1132" s="2" t="s">
        <v>3981</v>
      </c>
      <c r="T1132" s="2" t="s">
        <v>100</v>
      </c>
      <c r="U1132" s="2" t="s">
        <v>102</v>
      </c>
      <c r="V1132" s="2" t="s">
        <v>491</v>
      </c>
      <c r="W1132" s="2" t="s">
        <v>104</v>
      </c>
      <c r="X1132" s="2" t="s">
        <v>284</v>
      </c>
      <c r="Y1132" s="2" t="s">
        <v>106</v>
      </c>
      <c r="Z1132" s="4">
        <v>143</v>
      </c>
      <c r="AA1132" s="4">
        <f>=ROUNDDOWN(20.4285714285714,0)</f>
      </c>
      <c r="AB1132" s="5">
        <v>7</v>
      </c>
      <c r="AC1132" s="2" t="s">
        <v>874</v>
      </c>
      <c r="AD1132" s="4">
        <v>150</v>
      </c>
      <c r="AE1132" s="4">
        <v>230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>
        <v>1</v>
      </c>
      <c r="AW1132" s="8">
        <v>60.05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/>
      <c r="BC1132" s="4">
        <v>1</v>
      </c>
      <c r="BD1132" s="8">
        <v>60.05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1</v>
      </c>
      <c r="BJ1132" s="4">
        <v>146</v>
      </c>
      <c r="BK1132" s="8">
        <v>8131.49</v>
      </c>
      <c r="BL1132" s="2" t="s">
        <v>3982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737</v>
      </c>
      <c r="BX1132" s="2" t="s">
        <v>100</v>
      </c>
      <c r="BY1132" s="2" t="s">
        <v>112</v>
      </c>
      <c r="BZ1132" s="2" t="s">
        <v>100</v>
      </c>
    </row>
    <row r="1133">
      <c r="A1133" s="2" t="s">
        <v>3983</v>
      </c>
      <c r="B1133" s="2" t="s">
        <v>87</v>
      </c>
      <c r="C1133" s="2" t="s">
        <v>3586</v>
      </c>
      <c r="D1133" s="2" t="s">
        <v>89</v>
      </c>
      <c r="E1133" s="2" t="s">
        <v>2005</v>
      </c>
      <c r="F1133" s="2" t="s">
        <v>3978</v>
      </c>
      <c r="G1133" s="2" t="s">
        <v>3979</v>
      </c>
      <c r="H1133" s="2" t="s">
        <v>3980</v>
      </c>
      <c r="I1133" s="2" t="s">
        <v>3783</v>
      </c>
      <c r="J1133" s="2" t="s">
        <v>122</v>
      </c>
      <c r="K1133" s="2" t="s">
        <v>168</v>
      </c>
      <c r="L1133" s="3">
        <v>57.19</v>
      </c>
      <c r="M1133" s="3">
        <v>60.05</v>
      </c>
      <c r="N1133" s="3">
        <v>124.99</v>
      </c>
      <c r="O1133" s="2" t="s">
        <v>97</v>
      </c>
      <c r="P1133" s="2" t="s">
        <v>182</v>
      </c>
      <c r="Q1133" s="2" t="s">
        <v>99</v>
      </c>
      <c r="R1133" s="2" t="s">
        <v>100</v>
      </c>
      <c r="S1133" s="2" t="s">
        <v>3981</v>
      </c>
      <c r="T1133" s="2" t="s">
        <v>100</v>
      </c>
      <c r="U1133" s="2" t="s">
        <v>807</v>
      </c>
      <c r="V1133" s="2" t="s">
        <v>491</v>
      </c>
      <c r="W1133" s="2" t="s">
        <v>104</v>
      </c>
      <c r="X1133" s="2" t="s">
        <v>284</v>
      </c>
      <c r="Y1133" s="2" t="s">
        <v>106</v>
      </c>
      <c r="Z1133" s="4">
        <v>177</v>
      </c>
      <c r="AA1133" s="4">
        <f>=ROUNDDOWN(19.6666666666667,0)</f>
      </c>
      <c r="AB1133" s="5">
        <v>9</v>
      </c>
      <c r="AC1133" s="2" t="s">
        <v>874</v>
      </c>
      <c r="AD1133" s="4">
        <v>60</v>
      </c>
      <c r="AE1133" s="4">
        <v>130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>
        <v>0</v>
      </c>
      <c r="AP1133" s="4">
        <v>1</v>
      </c>
      <c r="AQ1133" s="8">
        <v>60.05</v>
      </c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>
        <v>1</v>
      </c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 t="s">
        <v>100</v>
      </c>
      <c r="BJ1133" s="4">
        <v>147</v>
      </c>
      <c r="BK1133" s="8">
        <v>9326.44</v>
      </c>
      <c r="BL1133" s="2" t="s">
        <v>3984</v>
      </c>
      <c r="BM1133" s="7">
        <v>0.0068</v>
      </c>
      <c r="BN1133" s="7">
        <v>0.0064</v>
      </c>
      <c r="BO1133" s="4">
        <v>1</v>
      </c>
      <c r="BP1133" s="8">
        <v>60.05</v>
      </c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737</v>
      </c>
      <c r="BX1133" s="2" t="s">
        <v>3985</v>
      </c>
      <c r="BY1133" s="2" t="s">
        <v>112</v>
      </c>
      <c r="BZ1133" s="2" t="s">
        <v>100</v>
      </c>
    </row>
    <row r="1134">
      <c r="A1134" s="2" t="s">
        <v>3986</v>
      </c>
      <c r="B1134" s="2" t="s">
        <v>87</v>
      </c>
      <c r="C1134" s="2" t="s">
        <v>3586</v>
      </c>
      <c r="D1134" s="2" t="s">
        <v>89</v>
      </c>
      <c r="E1134" s="2" t="s">
        <v>2005</v>
      </c>
      <c r="F1134" s="2" t="s">
        <v>3978</v>
      </c>
      <c r="G1134" s="2" t="s">
        <v>3979</v>
      </c>
      <c r="H1134" s="2" t="s">
        <v>3980</v>
      </c>
      <c r="I1134" s="2" t="s">
        <v>3783</v>
      </c>
      <c r="J1134" s="2" t="s">
        <v>95</v>
      </c>
      <c r="K1134" s="2" t="s">
        <v>168</v>
      </c>
      <c r="L1134" s="3">
        <v>62.39</v>
      </c>
      <c r="M1134" s="3">
        <v>65.51</v>
      </c>
      <c r="N1134" s="3">
        <v>134.99</v>
      </c>
      <c r="O1134" s="2" t="s">
        <v>97</v>
      </c>
      <c r="P1134" s="2" t="s">
        <v>182</v>
      </c>
      <c r="Q1134" s="2" t="s">
        <v>99</v>
      </c>
      <c r="R1134" s="2" t="s">
        <v>100</v>
      </c>
      <c r="S1134" s="2" t="s">
        <v>3981</v>
      </c>
      <c r="T1134" s="2" t="s">
        <v>100</v>
      </c>
      <c r="U1134" s="2" t="s">
        <v>807</v>
      </c>
      <c r="V1134" s="2" t="s">
        <v>491</v>
      </c>
      <c r="W1134" s="2" t="s">
        <v>104</v>
      </c>
      <c r="X1134" s="2" t="s">
        <v>284</v>
      </c>
      <c r="Y1134" s="2" t="s">
        <v>106</v>
      </c>
      <c r="Z1134" s="4">
        <v>305</v>
      </c>
      <c r="AA1134" s="4">
        <f>=ROUNDDOWN(17.9411764705882,0)</f>
      </c>
      <c r="AB1134" s="5">
        <v>17</v>
      </c>
      <c r="AC1134" s="2" t="s">
        <v>874</v>
      </c>
      <c r="AD1134" s="4">
        <v>120</v>
      </c>
      <c r="AE1134" s="4">
        <v>260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326</v>
      </c>
      <c r="BK1134" s="8">
        <v>22480.38</v>
      </c>
      <c r="BL1134" s="2" t="s">
        <v>3987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737</v>
      </c>
      <c r="BX1134" s="2" t="s">
        <v>100</v>
      </c>
      <c r="BY1134" s="2" t="s">
        <v>112</v>
      </c>
      <c r="BZ1134" s="2" t="s">
        <v>100</v>
      </c>
    </row>
    <row r="1135">
      <c r="A1135" s="2" t="s">
        <v>3988</v>
      </c>
      <c r="B1135" s="2" t="s">
        <v>87</v>
      </c>
      <c r="C1135" s="2" t="s">
        <v>3586</v>
      </c>
      <c r="D1135" s="2" t="s">
        <v>89</v>
      </c>
      <c r="E1135" s="2" t="s">
        <v>2005</v>
      </c>
      <c r="F1135" s="2" t="s">
        <v>3978</v>
      </c>
      <c r="G1135" s="2" t="s">
        <v>3979</v>
      </c>
      <c r="H1135" s="2" t="s">
        <v>3980</v>
      </c>
      <c r="I1135" s="2" t="s">
        <v>3783</v>
      </c>
      <c r="J1135" s="2" t="s">
        <v>114</v>
      </c>
      <c r="K1135" s="2" t="s">
        <v>168</v>
      </c>
      <c r="L1135" s="3">
        <v>67.59</v>
      </c>
      <c r="M1135" s="3">
        <v>70.97</v>
      </c>
      <c r="N1135" s="3">
        <v>144.99</v>
      </c>
      <c r="O1135" s="2" t="s">
        <v>97</v>
      </c>
      <c r="P1135" s="2" t="s">
        <v>182</v>
      </c>
      <c r="Q1135" s="2" t="s">
        <v>99</v>
      </c>
      <c r="R1135" s="2" t="s">
        <v>100</v>
      </c>
      <c r="S1135" s="2" t="s">
        <v>3981</v>
      </c>
      <c r="T1135" s="2" t="s">
        <v>100</v>
      </c>
      <c r="U1135" s="2" t="s">
        <v>807</v>
      </c>
      <c r="V1135" s="2" t="s">
        <v>491</v>
      </c>
      <c r="W1135" s="2" t="s">
        <v>104</v>
      </c>
      <c r="X1135" s="2" t="s">
        <v>284</v>
      </c>
      <c r="Y1135" s="2" t="s">
        <v>106</v>
      </c>
      <c r="Z1135" s="4">
        <v>214</v>
      </c>
      <c r="AA1135" s="4">
        <f>=ROUNDDOWN(30.5714285714286,0)</f>
      </c>
      <c r="AB1135" s="5">
        <v>7</v>
      </c>
      <c r="AC1135" s="2" t="s">
        <v>874</v>
      </c>
      <c r="AD1135" s="4">
        <v>70</v>
      </c>
      <c r="AE1135" s="4">
        <v>140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101</v>
      </c>
      <c r="BK1135" s="8">
        <v>7561.29</v>
      </c>
      <c r="BL1135" s="2" t="s">
        <v>3989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737</v>
      </c>
      <c r="BX1135" s="2" t="s">
        <v>100</v>
      </c>
      <c r="BY1135" s="2" t="s">
        <v>112</v>
      </c>
      <c r="BZ1135" s="2" t="s">
        <v>100</v>
      </c>
    </row>
    <row r="1136">
      <c r="A1136" s="2" t="s">
        <v>3990</v>
      </c>
      <c r="B1136" s="2" t="s">
        <v>87</v>
      </c>
      <c r="C1136" s="2" t="s">
        <v>3586</v>
      </c>
      <c r="D1136" s="2" t="s">
        <v>89</v>
      </c>
      <c r="E1136" s="2" t="s">
        <v>2005</v>
      </c>
      <c r="F1136" s="2" t="s">
        <v>3978</v>
      </c>
      <c r="G1136" s="2" t="s">
        <v>3979</v>
      </c>
      <c r="H1136" s="2" t="s">
        <v>3980</v>
      </c>
      <c r="I1136" s="2" t="s">
        <v>3783</v>
      </c>
      <c r="J1136" s="2" t="s">
        <v>118</v>
      </c>
      <c r="K1136" s="2" t="s">
        <v>168</v>
      </c>
      <c r="L1136" s="3">
        <v>67.59</v>
      </c>
      <c r="M1136" s="3">
        <v>70.97</v>
      </c>
      <c r="N1136" s="3">
        <v>144.99</v>
      </c>
      <c r="O1136" s="2" t="s">
        <v>97</v>
      </c>
      <c r="P1136" s="2" t="s">
        <v>182</v>
      </c>
      <c r="Q1136" s="2" t="s">
        <v>99</v>
      </c>
      <c r="R1136" s="2" t="s">
        <v>100</v>
      </c>
      <c r="S1136" s="2" t="s">
        <v>3981</v>
      </c>
      <c r="T1136" s="2" t="s">
        <v>100</v>
      </c>
      <c r="U1136" s="2" t="s">
        <v>807</v>
      </c>
      <c r="V1136" s="2" t="s">
        <v>491</v>
      </c>
      <c r="W1136" s="2" t="s">
        <v>104</v>
      </c>
      <c r="X1136" s="2" t="s">
        <v>284</v>
      </c>
      <c r="Y1136" s="2" t="s">
        <v>106</v>
      </c>
      <c r="Z1136" s="4">
        <v>129</v>
      </c>
      <c r="AA1136" s="4">
        <f>=ROUNDDOWN(43,0)</f>
      </c>
      <c r="AB1136" s="5">
        <v>3</v>
      </c>
      <c r="AC1136" s="2" t="s">
        <v>874</v>
      </c>
      <c r="AD1136" s="4">
        <v>40</v>
      </c>
      <c r="AE1136" s="4">
        <v>40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 t="s">
        <v>100</v>
      </c>
      <c r="BJ1136" s="4">
        <v>41</v>
      </c>
      <c r="BK1136" s="8">
        <v>3055.85</v>
      </c>
      <c r="BL1136" s="2" t="s">
        <v>3991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109</v>
      </c>
      <c r="BV1136" s="2" t="s">
        <v>97</v>
      </c>
      <c r="BW1136" s="2" t="s">
        <v>737</v>
      </c>
      <c r="BX1136" s="2" t="s">
        <v>100</v>
      </c>
      <c r="BY1136" s="2" t="s">
        <v>112</v>
      </c>
      <c r="BZ1136" s="2" t="s">
        <v>100</v>
      </c>
    </row>
    <row r="1137">
      <c r="A1137" s="2" t="s">
        <v>3992</v>
      </c>
      <c r="B1137" s="2" t="s">
        <v>87</v>
      </c>
      <c r="C1137" s="2" t="s">
        <v>3586</v>
      </c>
      <c r="D1137" s="2" t="s">
        <v>89</v>
      </c>
      <c r="E1137" s="2" t="s">
        <v>2005</v>
      </c>
      <c r="F1137" s="2" t="s">
        <v>787</v>
      </c>
      <c r="G1137" s="2" t="s">
        <v>3993</v>
      </c>
      <c r="H1137" s="2" t="s">
        <v>3994</v>
      </c>
      <c r="I1137" s="2" t="s">
        <v>3995</v>
      </c>
      <c r="J1137" s="2" t="s">
        <v>3012</v>
      </c>
      <c r="K1137" s="2" t="s">
        <v>158</v>
      </c>
      <c r="L1137" s="3">
        <v>24</v>
      </c>
      <c r="M1137" s="3">
        <v>25.2</v>
      </c>
      <c r="N1137" s="3">
        <v>49.99</v>
      </c>
      <c r="O1137" s="2" t="s">
        <v>97</v>
      </c>
      <c r="P1137" s="2" t="s">
        <v>1166</v>
      </c>
      <c r="Q1137" s="2" t="s">
        <v>99</v>
      </c>
      <c r="R1137" s="2" t="s">
        <v>100</v>
      </c>
      <c r="S1137" s="2" t="s">
        <v>3996</v>
      </c>
      <c r="T1137" s="2" t="s">
        <v>184</v>
      </c>
      <c r="U1137" s="2" t="s">
        <v>490</v>
      </c>
      <c r="V1137" s="2" t="s">
        <v>491</v>
      </c>
      <c r="W1137" s="2" t="s">
        <v>759</v>
      </c>
      <c r="X1137" s="2" t="s">
        <v>602</v>
      </c>
      <c r="Y1137" s="2" t="s">
        <v>2826</v>
      </c>
      <c r="Z1137" s="4"/>
      <c r="AA1137" s="4">
        <f>=ROUNDDOWN({0},0)</f>
      </c>
      <c r="AB1137" s="5"/>
      <c r="AC1137" s="2" t="s">
        <v>145</v>
      </c>
      <c r="AD1137" s="4">
        <v>120</v>
      </c>
      <c r="AE1137" s="4">
        <v>390</v>
      </c>
      <c r="AF1137" s="6">
        <v>65</v>
      </c>
      <c r="AG1137" s="6"/>
      <c r="AH1137" s="7">
        <v>0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/>
      <c r="BK1137" s="8"/>
      <c r="BL1137" s="2" t="s">
        <v>100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1171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3997</v>
      </c>
      <c r="B1138" s="2" t="s">
        <v>87</v>
      </c>
      <c r="C1138" s="2" t="s">
        <v>3586</v>
      </c>
      <c r="D1138" s="2" t="s">
        <v>89</v>
      </c>
      <c r="E1138" s="2" t="s">
        <v>2005</v>
      </c>
      <c r="F1138" s="2" t="s">
        <v>787</v>
      </c>
      <c r="G1138" s="2" t="s">
        <v>3993</v>
      </c>
      <c r="H1138" s="2" t="s">
        <v>3994</v>
      </c>
      <c r="I1138" s="2" t="s">
        <v>3995</v>
      </c>
      <c r="J1138" s="2" t="s">
        <v>3779</v>
      </c>
      <c r="K1138" s="2" t="s">
        <v>158</v>
      </c>
      <c r="L1138" s="3">
        <v>24</v>
      </c>
      <c r="M1138" s="3">
        <v>25.2</v>
      </c>
      <c r="N1138" s="3">
        <v>49.99</v>
      </c>
      <c r="O1138" s="2" t="s">
        <v>97</v>
      </c>
      <c r="P1138" s="2" t="s">
        <v>1166</v>
      </c>
      <c r="Q1138" s="2" t="s">
        <v>99</v>
      </c>
      <c r="R1138" s="2" t="s">
        <v>100</v>
      </c>
      <c r="S1138" s="2" t="s">
        <v>3996</v>
      </c>
      <c r="T1138" s="2" t="s">
        <v>184</v>
      </c>
      <c r="U1138" s="2" t="s">
        <v>490</v>
      </c>
      <c r="V1138" s="2" t="s">
        <v>491</v>
      </c>
      <c r="W1138" s="2" t="s">
        <v>759</v>
      </c>
      <c r="X1138" s="2" t="s">
        <v>602</v>
      </c>
      <c r="Y1138" s="2" t="s">
        <v>2826</v>
      </c>
      <c r="Z1138" s="4"/>
      <c r="AA1138" s="4">
        <f>=ROUNDDOWN({0},0)</f>
      </c>
      <c r="AB1138" s="5"/>
      <c r="AC1138" s="2" t="s">
        <v>145</v>
      </c>
      <c r="AD1138" s="4">
        <v>90</v>
      </c>
      <c r="AE1138" s="4">
        <v>300</v>
      </c>
      <c r="AF1138" s="6">
        <v>65</v>
      </c>
      <c r="AG1138" s="6"/>
      <c r="AH1138" s="7">
        <v>0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/>
      <c r="BK1138" s="8"/>
      <c r="BL1138" s="2" t="s">
        <v>100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1171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3998</v>
      </c>
      <c r="B1139" s="2" t="s">
        <v>87</v>
      </c>
      <c r="C1139" s="2" t="s">
        <v>3586</v>
      </c>
      <c r="D1139" s="2" t="s">
        <v>89</v>
      </c>
      <c r="E1139" s="2" t="s">
        <v>2005</v>
      </c>
      <c r="F1139" s="2" t="s">
        <v>787</v>
      </c>
      <c r="G1139" s="2" t="s">
        <v>3993</v>
      </c>
      <c r="H1139" s="2" t="s">
        <v>3994</v>
      </c>
      <c r="I1139" s="2" t="s">
        <v>3995</v>
      </c>
      <c r="J1139" s="2" t="s">
        <v>122</v>
      </c>
      <c r="K1139" s="2" t="s">
        <v>158</v>
      </c>
      <c r="L1139" s="3">
        <v>26.4</v>
      </c>
      <c r="M1139" s="3">
        <v>27.72</v>
      </c>
      <c r="N1139" s="3">
        <v>54.99</v>
      </c>
      <c r="O1139" s="2" t="s">
        <v>97</v>
      </c>
      <c r="P1139" s="2" t="s">
        <v>1166</v>
      </c>
      <c r="Q1139" s="2" t="s">
        <v>99</v>
      </c>
      <c r="R1139" s="2" t="s">
        <v>100</v>
      </c>
      <c r="S1139" s="2" t="s">
        <v>3996</v>
      </c>
      <c r="T1139" s="2" t="s">
        <v>184</v>
      </c>
      <c r="U1139" s="2" t="s">
        <v>807</v>
      </c>
      <c r="V1139" s="2" t="s">
        <v>491</v>
      </c>
      <c r="W1139" s="2" t="s">
        <v>759</v>
      </c>
      <c r="X1139" s="2" t="s">
        <v>602</v>
      </c>
      <c r="Y1139" s="2" t="s">
        <v>2826</v>
      </c>
      <c r="Z1139" s="4"/>
      <c r="AA1139" s="4">
        <f>=ROUNDDOWN({0},0)</f>
      </c>
      <c r="AB1139" s="5"/>
      <c r="AC1139" s="2" t="s">
        <v>145</v>
      </c>
      <c r="AD1139" s="4">
        <v>130</v>
      </c>
      <c r="AE1139" s="4">
        <v>410</v>
      </c>
      <c r="AF1139" s="6">
        <v>65</v>
      </c>
      <c r="AG1139" s="6"/>
      <c r="AH1139" s="7">
        <v>0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/>
      <c r="BK1139" s="8"/>
      <c r="BL1139" s="2" t="s">
        <v>100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1171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3999</v>
      </c>
      <c r="B1140" s="2" t="s">
        <v>87</v>
      </c>
      <c r="C1140" s="2" t="s">
        <v>3586</v>
      </c>
      <c r="D1140" s="2" t="s">
        <v>89</v>
      </c>
      <c r="E1140" s="2" t="s">
        <v>2005</v>
      </c>
      <c r="F1140" s="2" t="s">
        <v>787</v>
      </c>
      <c r="G1140" s="2" t="s">
        <v>3993</v>
      </c>
      <c r="H1140" s="2" t="s">
        <v>3994</v>
      </c>
      <c r="I1140" s="2" t="s">
        <v>3995</v>
      </c>
      <c r="J1140" s="2" t="s">
        <v>95</v>
      </c>
      <c r="K1140" s="2" t="s">
        <v>158</v>
      </c>
      <c r="L1140" s="3">
        <v>28.8</v>
      </c>
      <c r="M1140" s="3">
        <v>30.24</v>
      </c>
      <c r="N1140" s="3">
        <v>59.99</v>
      </c>
      <c r="O1140" s="2" t="s">
        <v>97</v>
      </c>
      <c r="P1140" s="2" t="s">
        <v>1166</v>
      </c>
      <c r="Q1140" s="2" t="s">
        <v>99</v>
      </c>
      <c r="R1140" s="2" t="s">
        <v>100</v>
      </c>
      <c r="S1140" s="2" t="s">
        <v>3996</v>
      </c>
      <c r="T1140" s="2" t="s">
        <v>184</v>
      </c>
      <c r="U1140" s="2" t="s">
        <v>807</v>
      </c>
      <c r="V1140" s="2" t="s">
        <v>491</v>
      </c>
      <c r="W1140" s="2" t="s">
        <v>759</v>
      </c>
      <c r="X1140" s="2" t="s">
        <v>602</v>
      </c>
      <c r="Y1140" s="2" t="s">
        <v>2826</v>
      </c>
      <c r="Z1140" s="4"/>
      <c r="AA1140" s="4">
        <f>=ROUNDDOWN({0},0)</f>
      </c>
      <c r="AB1140" s="5"/>
      <c r="AC1140" s="2" t="s">
        <v>145</v>
      </c>
      <c r="AD1140" s="4">
        <v>200</v>
      </c>
      <c r="AE1140" s="4">
        <v>620</v>
      </c>
      <c r="AF1140" s="6">
        <v>65</v>
      </c>
      <c r="AG1140" s="6"/>
      <c r="AH1140" s="7">
        <v>0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/>
      <c r="BK1140" s="8"/>
      <c r="BL1140" s="2" t="s">
        <v>100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1171</v>
      </c>
      <c r="BV1140" s="2" t="s">
        <v>97</v>
      </c>
      <c r="BW1140" s="2" t="s">
        <v>100</v>
      </c>
      <c r="BX1140" s="2" t="s">
        <v>100</v>
      </c>
      <c r="BY1140" s="2" t="s">
        <v>112</v>
      </c>
      <c r="BZ1140" s="2" t="s">
        <v>100</v>
      </c>
    </row>
    <row r="1141">
      <c r="A1141" s="2" t="s">
        <v>4000</v>
      </c>
      <c r="B1141" s="2" t="s">
        <v>87</v>
      </c>
      <c r="C1141" s="2" t="s">
        <v>3586</v>
      </c>
      <c r="D1141" s="2" t="s">
        <v>89</v>
      </c>
      <c r="E1141" s="2" t="s">
        <v>2005</v>
      </c>
      <c r="F1141" s="2" t="s">
        <v>787</v>
      </c>
      <c r="G1141" s="2" t="s">
        <v>3993</v>
      </c>
      <c r="H1141" s="2" t="s">
        <v>3994</v>
      </c>
      <c r="I1141" s="2" t="s">
        <v>3995</v>
      </c>
      <c r="J1141" s="2" t="s">
        <v>114</v>
      </c>
      <c r="K1141" s="2" t="s">
        <v>158</v>
      </c>
      <c r="L1141" s="3">
        <v>33.6</v>
      </c>
      <c r="M1141" s="3">
        <v>35.28</v>
      </c>
      <c r="N1141" s="3">
        <v>69.99</v>
      </c>
      <c r="O1141" s="2" t="s">
        <v>97</v>
      </c>
      <c r="P1141" s="2" t="s">
        <v>1166</v>
      </c>
      <c r="Q1141" s="2" t="s">
        <v>99</v>
      </c>
      <c r="R1141" s="2" t="s">
        <v>100</v>
      </c>
      <c r="S1141" s="2" t="s">
        <v>3996</v>
      </c>
      <c r="T1141" s="2" t="s">
        <v>184</v>
      </c>
      <c r="U1141" s="2" t="s">
        <v>807</v>
      </c>
      <c r="V1141" s="2" t="s">
        <v>491</v>
      </c>
      <c r="W1141" s="2" t="s">
        <v>759</v>
      </c>
      <c r="X1141" s="2" t="s">
        <v>602</v>
      </c>
      <c r="Y1141" s="2" t="s">
        <v>2826</v>
      </c>
      <c r="Z1141" s="4"/>
      <c r="AA1141" s="4">
        <f>=ROUNDDOWN({0},0)</f>
      </c>
      <c r="AB1141" s="5"/>
      <c r="AC1141" s="2" t="s">
        <v>145</v>
      </c>
      <c r="AD1141" s="4">
        <v>140</v>
      </c>
      <c r="AE1141" s="4">
        <v>440</v>
      </c>
      <c r="AF1141" s="6">
        <v>65</v>
      </c>
      <c r="AG1141" s="6"/>
      <c r="AH1141" s="7">
        <v>0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/>
      <c r="BK1141" s="8"/>
      <c r="BL1141" s="2" t="s">
        <v>100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1171</v>
      </c>
      <c r="BV1141" s="2" t="s">
        <v>97</v>
      </c>
      <c r="BW1141" s="2" t="s">
        <v>100</v>
      </c>
      <c r="BX1141" s="2" t="s">
        <v>100</v>
      </c>
      <c r="BY1141" s="2" t="s">
        <v>112</v>
      </c>
      <c r="BZ1141" s="2" t="s">
        <v>100</v>
      </c>
    </row>
    <row r="1142">
      <c r="A1142" s="2" t="s">
        <v>4001</v>
      </c>
      <c r="B1142" s="2" t="s">
        <v>87</v>
      </c>
      <c r="C1142" s="2" t="s">
        <v>3586</v>
      </c>
      <c r="D1142" s="2" t="s">
        <v>89</v>
      </c>
      <c r="E1142" s="2" t="s">
        <v>2005</v>
      </c>
      <c r="F1142" s="2" t="s">
        <v>787</v>
      </c>
      <c r="G1142" s="2" t="s">
        <v>3993</v>
      </c>
      <c r="H1142" s="2" t="s">
        <v>3994</v>
      </c>
      <c r="I1142" s="2" t="s">
        <v>3995</v>
      </c>
      <c r="J1142" s="2" t="s">
        <v>3012</v>
      </c>
      <c r="K1142" s="2" t="s">
        <v>298</v>
      </c>
      <c r="L1142" s="3">
        <v>24</v>
      </c>
      <c r="M1142" s="3">
        <v>25.2</v>
      </c>
      <c r="N1142" s="3">
        <v>49.99</v>
      </c>
      <c r="O1142" s="2" t="s">
        <v>97</v>
      </c>
      <c r="P1142" s="2" t="s">
        <v>182</v>
      </c>
      <c r="Q1142" s="2" t="s">
        <v>99</v>
      </c>
      <c r="R1142" s="2" t="s">
        <v>100</v>
      </c>
      <c r="S1142" s="2" t="s">
        <v>4002</v>
      </c>
      <c r="T1142" s="2" t="s">
        <v>184</v>
      </c>
      <c r="U1142" s="2" t="s">
        <v>490</v>
      </c>
      <c r="V1142" s="2" t="s">
        <v>1275</v>
      </c>
      <c r="W1142" s="2" t="s">
        <v>759</v>
      </c>
      <c r="X1142" s="2" t="s">
        <v>602</v>
      </c>
      <c r="Y1142" s="2" t="s">
        <v>2623</v>
      </c>
      <c r="Z1142" s="4">
        <v>558</v>
      </c>
      <c r="AA1142" s="4">
        <f>=ROUNDDOWN(55.8,0)</f>
      </c>
      <c r="AB1142" s="5">
        <v>10</v>
      </c>
      <c r="AC1142" s="2" t="s">
        <v>100</v>
      </c>
      <c r="AD1142" s="4"/>
      <c r="AE1142" s="4"/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100</v>
      </c>
      <c r="AW1142" s="8" t="s">
        <v>100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 t="s">
        <v>100</v>
      </c>
      <c r="BD1142" s="8" t="s">
        <v>100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/>
      <c r="BJ1142" s="4">
        <v>144</v>
      </c>
      <c r="BK1142" s="8">
        <v>4255.91</v>
      </c>
      <c r="BL1142" s="2" t="s">
        <v>4003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147</v>
      </c>
      <c r="BV1142" s="2" t="s">
        <v>97</v>
      </c>
      <c r="BW1142" s="2" t="s">
        <v>100</v>
      </c>
      <c r="BX1142" s="2" t="s">
        <v>100</v>
      </c>
      <c r="BY1142" s="2" t="s">
        <v>112</v>
      </c>
      <c r="BZ1142" s="2" t="s">
        <v>100</v>
      </c>
    </row>
    <row r="1143">
      <c r="A1143" s="2" t="s">
        <v>4004</v>
      </c>
      <c r="B1143" s="2" t="s">
        <v>87</v>
      </c>
      <c r="C1143" s="2" t="s">
        <v>3586</v>
      </c>
      <c r="D1143" s="2" t="s">
        <v>89</v>
      </c>
      <c r="E1143" s="2" t="s">
        <v>2005</v>
      </c>
      <c r="F1143" s="2" t="s">
        <v>787</v>
      </c>
      <c r="G1143" s="2" t="s">
        <v>3993</v>
      </c>
      <c r="H1143" s="2" t="s">
        <v>3994</v>
      </c>
      <c r="I1143" s="2" t="s">
        <v>3995</v>
      </c>
      <c r="J1143" s="2" t="s">
        <v>3779</v>
      </c>
      <c r="K1143" s="2" t="s">
        <v>298</v>
      </c>
      <c r="L1143" s="3">
        <v>24</v>
      </c>
      <c r="M1143" s="3">
        <v>25.2</v>
      </c>
      <c r="N1143" s="3">
        <v>49.99</v>
      </c>
      <c r="O1143" s="2" t="s">
        <v>97</v>
      </c>
      <c r="P1143" s="2" t="s">
        <v>182</v>
      </c>
      <c r="Q1143" s="2" t="s">
        <v>99</v>
      </c>
      <c r="R1143" s="2" t="s">
        <v>100</v>
      </c>
      <c r="S1143" s="2" t="s">
        <v>4002</v>
      </c>
      <c r="T1143" s="2" t="s">
        <v>184</v>
      </c>
      <c r="U1143" s="2" t="s">
        <v>490</v>
      </c>
      <c r="V1143" s="2" t="s">
        <v>1275</v>
      </c>
      <c r="W1143" s="2" t="s">
        <v>759</v>
      </c>
      <c r="X1143" s="2" t="s">
        <v>602</v>
      </c>
      <c r="Y1143" s="2" t="s">
        <v>2623</v>
      </c>
      <c r="Z1143" s="4">
        <v>583</v>
      </c>
      <c r="AA1143" s="4">
        <f>=ROUNDDOWN(64.7777777777778,0)</f>
      </c>
      <c r="AB1143" s="5">
        <v>9</v>
      </c>
      <c r="AC1143" s="2" t="s">
        <v>100</v>
      </c>
      <c r="AD1143" s="4"/>
      <c r="AE1143" s="4"/>
      <c r="AF1143" s="6">
        <v>64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/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/>
      <c r="BJ1143" s="4">
        <v>116</v>
      </c>
      <c r="BK1143" s="8">
        <v>4361.43</v>
      </c>
      <c r="BL1143" s="2" t="s">
        <v>4005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147</v>
      </c>
      <c r="BV1143" s="2" t="s">
        <v>97</v>
      </c>
      <c r="BW1143" s="2" t="s">
        <v>100</v>
      </c>
      <c r="BX1143" s="2" t="s">
        <v>100</v>
      </c>
      <c r="BY1143" s="2" t="s">
        <v>112</v>
      </c>
      <c r="BZ1143" s="2" t="s">
        <v>100</v>
      </c>
    </row>
    <row r="1144">
      <c r="A1144" s="2" t="s">
        <v>4006</v>
      </c>
      <c r="B1144" s="2" t="s">
        <v>87</v>
      </c>
      <c r="C1144" s="2" t="s">
        <v>3586</v>
      </c>
      <c r="D1144" s="2" t="s">
        <v>89</v>
      </c>
      <c r="E1144" s="2" t="s">
        <v>2005</v>
      </c>
      <c r="F1144" s="2" t="s">
        <v>787</v>
      </c>
      <c r="G1144" s="2" t="s">
        <v>3993</v>
      </c>
      <c r="H1144" s="2" t="s">
        <v>3994</v>
      </c>
      <c r="I1144" s="2" t="s">
        <v>3995</v>
      </c>
      <c r="J1144" s="2" t="s">
        <v>122</v>
      </c>
      <c r="K1144" s="2" t="s">
        <v>298</v>
      </c>
      <c r="L1144" s="3">
        <v>26.4</v>
      </c>
      <c r="M1144" s="3">
        <v>27.72</v>
      </c>
      <c r="N1144" s="3">
        <v>54.99</v>
      </c>
      <c r="O1144" s="2" t="s">
        <v>97</v>
      </c>
      <c r="P1144" s="2" t="s">
        <v>182</v>
      </c>
      <c r="Q1144" s="2" t="s">
        <v>99</v>
      </c>
      <c r="R1144" s="2" t="s">
        <v>100</v>
      </c>
      <c r="S1144" s="2" t="s">
        <v>4002</v>
      </c>
      <c r="T1144" s="2" t="s">
        <v>184</v>
      </c>
      <c r="U1144" s="2" t="s">
        <v>807</v>
      </c>
      <c r="V1144" s="2" t="s">
        <v>1275</v>
      </c>
      <c r="W1144" s="2" t="s">
        <v>759</v>
      </c>
      <c r="X1144" s="2" t="s">
        <v>602</v>
      </c>
      <c r="Y1144" s="2" t="s">
        <v>4007</v>
      </c>
      <c r="Z1144" s="4">
        <v>1254</v>
      </c>
      <c r="AA1144" s="4">
        <f>=ROUNDDOWN(62.7,0)</f>
      </c>
      <c r="AB1144" s="5">
        <v>20</v>
      </c>
      <c r="AC1144" s="2" t="s">
        <v>100</v>
      </c>
      <c r="AD1144" s="4"/>
      <c r="AE1144" s="4"/>
      <c r="AF1144" s="6">
        <v>64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100</v>
      </c>
      <c r="AW1144" s="8" t="s">
        <v>100</v>
      </c>
      <c r="AX1144" s="4" t="s">
        <v>100</v>
      </c>
      <c r="AY1144" s="8" t="s">
        <v>100</v>
      </c>
      <c r="AZ1144" s="7" t="s">
        <v>100</v>
      </c>
      <c r="BA1144" s="7" t="s">
        <v>100</v>
      </c>
      <c r="BB1144" s="7"/>
      <c r="BC1144" s="4" t="s">
        <v>100</v>
      </c>
      <c r="BD1144" s="8" t="s">
        <v>100</v>
      </c>
      <c r="BE1144" s="4" t="s">
        <v>100</v>
      </c>
      <c r="BF1144" s="8" t="s">
        <v>100</v>
      </c>
      <c r="BG1144" s="7" t="s">
        <v>100</v>
      </c>
      <c r="BH1144" s="7" t="s">
        <v>100</v>
      </c>
      <c r="BI1144" s="7"/>
      <c r="BJ1144" s="4">
        <v>235</v>
      </c>
      <c r="BK1144" s="8">
        <v>7892.21</v>
      </c>
      <c r="BL1144" s="2" t="s">
        <v>4008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147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4009</v>
      </c>
      <c r="B1145" s="2" t="s">
        <v>87</v>
      </c>
      <c r="C1145" s="2" t="s">
        <v>3586</v>
      </c>
      <c r="D1145" s="2" t="s">
        <v>89</v>
      </c>
      <c r="E1145" s="2" t="s">
        <v>2005</v>
      </c>
      <c r="F1145" s="2" t="s">
        <v>787</v>
      </c>
      <c r="G1145" s="2" t="s">
        <v>3993</v>
      </c>
      <c r="H1145" s="2" t="s">
        <v>3994</v>
      </c>
      <c r="I1145" s="2" t="s">
        <v>3995</v>
      </c>
      <c r="J1145" s="2" t="s">
        <v>95</v>
      </c>
      <c r="K1145" s="2" t="s">
        <v>298</v>
      </c>
      <c r="L1145" s="3">
        <v>28.8</v>
      </c>
      <c r="M1145" s="3">
        <v>30.24</v>
      </c>
      <c r="N1145" s="3">
        <v>59.99</v>
      </c>
      <c r="O1145" s="2" t="s">
        <v>97</v>
      </c>
      <c r="P1145" s="2" t="s">
        <v>182</v>
      </c>
      <c r="Q1145" s="2" t="s">
        <v>99</v>
      </c>
      <c r="R1145" s="2" t="s">
        <v>100</v>
      </c>
      <c r="S1145" s="2" t="s">
        <v>4002</v>
      </c>
      <c r="T1145" s="2" t="s">
        <v>184</v>
      </c>
      <c r="U1145" s="2" t="s">
        <v>807</v>
      </c>
      <c r="V1145" s="2" t="s">
        <v>1275</v>
      </c>
      <c r="W1145" s="2" t="s">
        <v>759</v>
      </c>
      <c r="X1145" s="2" t="s">
        <v>602</v>
      </c>
      <c r="Y1145" s="2" t="s">
        <v>2623</v>
      </c>
      <c r="Z1145" s="4">
        <v>2098</v>
      </c>
      <c r="AA1145" s="4">
        <f>=ROUNDDOWN(36.8070175438597,0)</f>
      </c>
      <c r="AB1145" s="5">
        <v>57</v>
      </c>
      <c r="AC1145" s="2" t="s">
        <v>100</v>
      </c>
      <c r="AD1145" s="4"/>
      <c r="AE1145" s="4"/>
      <c r="AF1145" s="6">
        <v>64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100</v>
      </c>
      <c r="AW1145" s="8" t="s">
        <v>100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 t="s">
        <v>100</v>
      </c>
      <c r="BD1145" s="8" t="s">
        <v>100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/>
      <c r="BJ1145" s="4">
        <v>921</v>
      </c>
      <c r="BK1145" s="8">
        <v>33418.27</v>
      </c>
      <c r="BL1145" s="2" t="s">
        <v>4010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147</v>
      </c>
      <c r="BV1145" s="2" t="s">
        <v>97</v>
      </c>
      <c r="BW1145" s="2" t="s">
        <v>100</v>
      </c>
      <c r="BX1145" s="2" t="s">
        <v>100</v>
      </c>
      <c r="BY1145" s="2" t="s">
        <v>112</v>
      </c>
      <c r="BZ1145" s="2" t="s">
        <v>100</v>
      </c>
    </row>
    <row r="1146">
      <c r="A1146" s="2" t="s">
        <v>4011</v>
      </c>
      <c r="B1146" s="2" t="s">
        <v>87</v>
      </c>
      <c r="C1146" s="2" t="s">
        <v>3586</v>
      </c>
      <c r="D1146" s="2" t="s">
        <v>89</v>
      </c>
      <c r="E1146" s="2" t="s">
        <v>2005</v>
      </c>
      <c r="F1146" s="2" t="s">
        <v>787</v>
      </c>
      <c r="G1146" s="2" t="s">
        <v>3993</v>
      </c>
      <c r="H1146" s="2" t="s">
        <v>3994</v>
      </c>
      <c r="I1146" s="2" t="s">
        <v>3995</v>
      </c>
      <c r="J1146" s="2" t="s">
        <v>114</v>
      </c>
      <c r="K1146" s="2" t="s">
        <v>298</v>
      </c>
      <c r="L1146" s="3">
        <v>33.6</v>
      </c>
      <c r="M1146" s="3">
        <v>35.28</v>
      </c>
      <c r="N1146" s="3">
        <v>69.99</v>
      </c>
      <c r="O1146" s="2" t="s">
        <v>97</v>
      </c>
      <c r="P1146" s="2" t="s">
        <v>182</v>
      </c>
      <c r="Q1146" s="2" t="s">
        <v>99</v>
      </c>
      <c r="R1146" s="2" t="s">
        <v>100</v>
      </c>
      <c r="S1146" s="2" t="s">
        <v>4002</v>
      </c>
      <c r="T1146" s="2" t="s">
        <v>184</v>
      </c>
      <c r="U1146" s="2" t="s">
        <v>807</v>
      </c>
      <c r="V1146" s="2" t="s">
        <v>1275</v>
      </c>
      <c r="W1146" s="2" t="s">
        <v>759</v>
      </c>
      <c r="X1146" s="2" t="s">
        <v>602</v>
      </c>
      <c r="Y1146" s="2" t="s">
        <v>4007</v>
      </c>
      <c r="Z1146" s="4">
        <v>1622</v>
      </c>
      <c r="AA1146" s="4">
        <f>=ROUNDDOWN(43.8378378378378,0)</f>
      </c>
      <c r="AB1146" s="5">
        <v>37</v>
      </c>
      <c r="AC1146" s="2" t="s">
        <v>100</v>
      </c>
      <c r="AD1146" s="4"/>
      <c r="AE1146" s="4"/>
      <c r="AF1146" s="6">
        <v>64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/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/>
      <c r="BJ1146" s="4">
        <v>580</v>
      </c>
      <c r="BK1146" s="8">
        <v>23354.53</v>
      </c>
      <c r="BL1146" s="2" t="s">
        <v>4005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147</v>
      </c>
      <c r="BV1146" s="2" t="s">
        <v>97</v>
      </c>
      <c r="BW1146" s="2" t="s">
        <v>100</v>
      </c>
      <c r="BX1146" s="2" t="s">
        <v>100</v>
      </c>
      <c r="BY1146" s="2" t="s">
        <v>112</v>
      </c>
      <c r="BZ1146" s="2" t="s">
        <v>100</v>
      </c>
    </row>
    <row r="1147">
      <c r="A1147" s="2" t="s">
        <v>4012</v>
      </c>
      <c r="B1147" s="2" t="s">
        <v>87</v>
      </c>
      <c r="C1147" s="2" t="s">
        <v>3586</v>
      </c>
      <c r="D1147" s="2" t="s">
        <v>89</v>
      </c>
      <c r="E1147" s="2" t="s">
        <v>2005</v>
      </c>
      <c r="F1147" s="2" t="s">
        <v>4013</v>
      </c>
      <c r="G1147" s="2" t="s">
        <v>2271</v>
      </c>
      <c r="H1147" s="2" t="s">
        <v>3171</v>
      </c>
      <c r="I1147" s="2" t="s">
        <v>4014</v>
      </c>
      <c r="J1147" s="2" t="s">
        <v>3012</v>
      </c>
      <c r="K1147" s="2" t="s">
        <v>4015</v>
      </c>
      <c r="L1147" s="3">
        <v>26.19</v>
      </c>
      <c r="M1147" s="3">
        <v>27.5</v>
      </c>
      <c r="N1147" s="3">
        <v>54.99</v>
      </c>
      <c r="O1147" s="2" t="s">
        <v>97</v>
      </c>
      <c r="P1147" s="2" t="s">
        <v>182</v>
      </c>
      <c r="Q1147" s="2" t="s">
        <v>99</v>
      </c>
      <c r="R1147" s="2" t="s">
        <v>100</v>
      </c>
      <c r="S1147" s="2" t="s">
        <v>4016</v>
      </c>
      <c r="T1147" s="2" t="s">
        <v>184</v>
      </c>
      <c r="U1147" s="2" t="s">
        <v>790</v>
      </c>
      <c r="V1147" s="2" t="s">
        <v>491</v>
      </c>
      <c r="W1147" s="2" t="s">
        <v>104</v>
      </c>
      <c r="X1147" s="2" t="s">
        <v>759</v>
      </c>
      <c r="Y1147" s="2" t="s">
        <v>4017</v>
      </c>
      <c r="Z1147" s="4">
        <v>183</v>
      </c>
      <c r="AA1147" s="4">
        <f>=ROUNDDOWN(22.875,0)</f>
      </c>
      <c r="AB1147" s="5">
        <v>8</v>
      </c>
      <c r="AC1147" s="2" t="s">
        <v>766</v>
      </c>
      <c r="AD1147" s="4">
        <v>120</v>
      </c>
      <c r="AE1147" s="4">
        <v>120</v>
      </c>
      <c r="AF1147" s="6">
        <v>64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100</v>
      </c>
      <c r="AW1147" s="8" t="s">
        <v>100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/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/>
      <c r="BJ1147" s="4">
        <v>131</v>
      </c>
      <c r="BK1147" s="8">
        <v>3859.54</v>
      </c>
      <c r="BL1147" s="2" t="s">
        <v>2578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147</v>
      </c>
      <c r="BV1147" s="2" t="s">
        <v>97</v>
      </c>
      <c r="BW1147" s="2" t="s">
        <v>100</v>
      </c>
      <c r="BX1147" s="2" t="s">
        <v>100</v>
      </c>
      <c r="BY1147" s="2" t="s">
        <v>112</v>
      </c>
      <c r="BZ1147" s="2" t="s">
        <v>100</v>
      </c>
    </row>
    <row r="1148">
      <c r="A1148" s="2" t="s">
        <v>4018</v>
      </c>
      <c r="B1148" s="2" t="s">
        <v>87</v>
      </c>
      <c r="C1148" s="2" t="s">
        <v>3586</v>
      </c>
      <c r="D1148" s="2" t="s">
        <v>89</v>
      </c>
      <c r="E1148" s="2" t="s">
        <v>2005</v>
      </c>
      <c r="F1148" s="2" t="s">
        <v>4013</v>
      </c>
      <c r="G1148" s="2" t="s">
        <v>2271</v>
      </c>
      <c r="H1148" s="2" t="s">
        <v>3171</v>
      </c>
      <c r="I1148" s="2" t="s">
        <v>4014</v>
      </c>
      <c r="J1148" s="2" t="s">
        <v>122</v>
      </c>
      <c r="K1148" s="2" t="s">
        <v>4015</v>
      </c>
      <c r="L1148" s="3">
        <v>28.57</v>
      </c>
      <c r="M1148" s="3">
        <v>30</v>
      </c>
      <c r="N1148" s="3">
        <v>59.99</v>
      </c>
      <c r="O1148" s="2" t="s">
        <v>97</v>
      </c>
      <c r="P1148" s="2" t="s">
        <v>182</v>
      </c>
      <c r="Q1148" s="2" t="s">
        <v>99</v>
      </c>
      <c r="R1148" s="2" t="s">
        <v>100</v>
      </c>
      <c r="S1148" s="2" t="s">
        <v>4016</v>
      </c>
      <c r="T1148" s="2" t="s">
        <v>184</v>
      </c>
      <c r="U1148" s="2" t="s">
        <v>102</v>
      </c>
      <c r="V1148" s="2" t="s">
        <v>491</v>
      </c>
      <c r="W1148" s="2" t="s">
        <v>104</v>
      </c>
      <c r="X1148" s="2" t="s">
        <v>759</v>
      </c>
      <c r="Y1148" s="2" t="s">
        <v>4017</v>
      </c>
      <c r="Z1148" s="4">
        <v>293</v>
      </c>
      <c r="AA1148" s="4">
        <f>=ROUNDDOWN(29.3,0)</f>
      </c>
      <c r="AB1148" s="5">
        <v>10</v>
      </c>
      <c r="AC1148" s="2" t="s">
        <v>766</v>
      </c>
      <c r="AD1148" s="4">
        <v>100</v>
      </c>
      <c r="AE1148" s="4">
        <v>100</v>
      </c>
      <c r="AF1148" s="6">
        <v>64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/>
      <c r="BJ1148" s="4">
        <v>151</v>
      </c>
      <c r="BK1148" s="8">
        <v>4822.36</v>
      </c>
      <c r="BL1148" s="2" t="s">
        <v>4019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147</v>
      </c>
      <c r="BV1148" s="2" t="s">
        <v>97</v>
      </c>
      <c r="BW1148" s="2" t="s">
        <v>100</v>
      </c>
      <c r="BX1148" s="2" t="s">
        <v>100</v>
      </c>
      <c r="BY1148" s="2" t="s">
        <v>112</v>
      </c>
      <c r="BZ1148" s="2" t="s">
        <v>100</v>
      </c>
    </row>
    <row r="1149">
      <c r="A1149" s="2" t="s">
        <v>4020</v>
      </c>
      <c r="B1149" s="2" t="s">
        <v>87</v>
      </c>
      <c r="C1149" s="2" t="s">
        <v>3586</v>
      </c>
      <c r="D1149" s="2" t="s">
        <v>89</v>
      </c>
      <c r="E1149" s="2" t="s">
        <v>2005</v>
      </c>
      <c r="F1149" s="2" t="s">
        <v>4013</v>
      </c>
      <c r="G1149" s="2" t="s">
        <v>2271</v>
      </c>
      <c r="H1149" s="2" t="s">
        <v>3171</v>
      </c>
      <c r="I1149" s="2" t="s">
        <v>4014</v>
      </c>
      <c r="J1149" s="2" t="s">
        <v>95</v>
      </c>
      <c r="K1149" s="2" t="s">
        <v>4015</v>
      </c>
      <c r="L1149" s="3">
        <v>30.95</v>
      </c>
      <c r="M1149" s="3">
        <v>32.5</v>
      </c>
      <c r="N1149" s="3">
        <v>64.99</v>
      </c>
      <c r="O1149" s="2" t="s">
        <v>97</v>
      </c>
      <c r="P1149" s="2" t="s">
        <v>182</v>
      </c>
      <c r="Q1149" s="2" t="s">
        <v>99</v>
      </c>
      <c r="R1149" s="2" t="s">
        <v>100</v>
      </c>
      <c r="S1149" s="2" t="s">
        <v>4016</v>
      </c>
      <c r="T1149" s="2" t="s">
        <v>184</v>
      </c>
      <c r="U1149" s="2" t="s">
        <v>102</v>
      </c>
      <c r="V1149" s="2" t="s">
        <v>491</v>
      </c>
      <c r="W1149" s="2" t="s">
        <v>104</v>
      </c>
      <c r="X1149" s="2" t="s">
        <v>759</v>
      </c>
      <c r="Y1149" s="2" t="s">
        <v>4017</v>
      </c>
      <c r="Z1149" s="4">
        <v>508</v>
      </c>
      <c r="AA1149" s="4">
        <f>=ROUNDDOWN(18.1428571428571,0)</f>
      </c>
      <c r="AB1149" s="5">
        <v>28</v>
      </c>
      <c r="AC1149" s="2" t="s">
        <v>766</v>
      </c>
      <c r="AD1149" s="4">
        <v>400</v>
      </c>
      <c r="AE1149" s="4">
        <v>400</v>
      </c>
      <c r="AF1149" s="6">
        <v>64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523</v>
      </c>
      <c r="BK1149" s="8">
        <v>17738.1</v>
      </c>
      <c r="BL1149" s="2" t="s">
        <v>4021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147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4022</v>
      </c>
      <c r="B1150" s="2" t="s">
        <v>87</v>
      </c>
      <c r="C1150" s="2" t="s">
        <v>3586</v>
      </c>
      <c r="D1150" s="2" t="s">
        <v>89</v>
      </c>
      <c r="E1150" s="2" t="s">
        <v>2005</v>
      </c>
      <c r="F1150" s="2" t="s">
        <v>4013</v>
      </c>
      <c r="G1150" s="2" t="s">
        <v>2271</v>
      </c>
      <c r="H1150" s="2" t="s">
        <v>3171</v>
      </c>
      <c r="I1150" s="2" t="s">
        <v>4014</v>
      </c>
      <c r="J1150" s="2" t="s">
        <v>114</v>
      </c>
      <c r="K1150" s="2" t="s">
        <v>4015</v>
      </c>
      <c r="L1150" s="3">
        <v>35.71</v>
      </c>
      <c r="M1150" s="3">
        <v>37.5</v>
      </c>
      <c r="N1150" s="3">
        <v>74.99</v>
      </c>
      <c r="O1150" s="2" t="s">
        <v>97</v>
      </c>
      <c r="P1150" s="2" t="s">
        <v>182</v>
      </c>
      <c r="Q1150" s="2" t="s">
        <v>99</v>
      </c>
      <c r="R1150" s="2" t="s">
        <v>100</v>
      </c>
      <c r="S1150" s="2" t="s">
        <v>4016</v>
      </c>
      <c r="T1150" s="2" t="s">
        <v>184</v>
      </c>
      <c r="U1150" s="2" t="s">
        <v>102</v>
      </c>
      <c r="V1150" s="2" t="s">
        <v>491</v>
      </c>
      <c r="W1150" s="2" t="s">
        <v>104</v>
      </c>
      <c r="X1150" s="2" t="s">
        <v>759</v>
      </c>
      <c r="Y1150" s="2" t="s">
        <v>4017</v>
      </c>
      <c r="Z1150" s="4">
        <v>358</v>
      </c>
      <c r="AA1150" s="4">
        <f>=ROUNDDOWN(21.0588235294118,0)</f>
      </c>
      <c r="AB1150" s="5">
        <v>17</v>
      </c>
      <c r="AC1150" s="2" t="s">
        <v>766</v>
      </c>
      <c r="AD1150" s="4">
        <v>120</v>
      </c>
      <c r="AE1150" s="4">
        <v>120</v>
      </c>
      <c r="AF1150" s="6">
        <v>64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261</v>
      </c>
      <c r="BK1150" s="8">
        <v>10436.17</v>
      </c>
      <c r="BL1150" s="2" t="s">
        <v>4023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147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4024</v>
      </c>
      <c r="B1151" s="2" t="s">
        <v>87</v>
      </c>
      <c r="C1151" s="2" t="s">
        <v>3586</v>
      </c>
      <c r="D1151" s="2" t="s">
        <v>89</v>
      </c>
      <c r="E1151" s="2" t="s">
        <v>2005</v>
      </c>
      <c r="F1151" s="2" t="s">
        <v>4013</v>
      </c>
      <c r="G1151" s="2" t="s">
        <v>2271</v>
      </c>
      <c r="H1151" s="2" t="s">
        <v>3171</v>
      </c>
      <c r="I1151" s="2" t="s">
        <v>4014</v>
      </c>
      <c r="J1151" s="2" t="s">
        <v>118</v>
      </c>
      <c r="K1151" s="2" t="s">
        <v>4015</v>
      </c>
      <c r="L1151" s="3">
        <v>35.71</v>
      </c>
      <c r="M1151" s="3">
        <v>37.5</v>
      </c>
      <c r="N1151" s="3">
        <v>74.99</v>
      </c>
      <c r="O1151" s="2" t="s">
        <v>97</v>
      </c>
      <c r="P1151" s="2" t="s">
        <v>182</v>
      </c>
      <c r="Q1151" s="2" t="s">
        <v>99</v>
      </c>
      <c r="R1151" s="2" t="s">
        <v>100</v>
      </c>
      <c r="S1151" s="2" t="s">
        <v>4016</v>
      </c>
      <c r="T1151" s="2" t="s">
        <v>184</v>
      </c>
      <c r="U1151" s="2" t="s">
        <v>102</v>
      </c>
      <c r="V1151" s="2" t="s">
        <v>491</v>
      </c>
      <c r="W1151" s="2" t="s">
        <v>104</v>
      </c>
      <c r="X1151" s="2" t="s">
        <v>759</v>
      </c>
      <c r="Y1151" s="2" t="s">
        <v>4017</v>
      </c>
      <c r="Z1151" s="4">
        <v>247</v>
      </c>
      <c r="AA1151" s="4">
        <f>=ROUNDDOWN(27.4444444444444,0)</f>
      </c>
      <c r="AB1151" s="5">
        <v>9</v>
      </c>
      <c r="AC1151" s="2" t="s">
        <v>766</v>
      </c>
      <c r="AD1151" s="4">
        <v>90</v>
      </c>
      <c r="AE1151" s="4">
        <v>90</v>
      </c>
      <c r="AF1151" s="6">
        <v>64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131</v>
      </c>
      <c r="BK1151" s="8">
        <v>5178.7</v>
      </c>
      <c r="BL1151" s="2" t="s">
        <v>4025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147</v>
      </c>
      <c r="BV1151" s="2" t="s">
        <v>97</v>
      </c>
      <c r="BW1151" s="2" t="s">
        <v>100</v>
      </c>
      <c r="BX1151" s="2" t="s">
        <v>100</v>
      </c>
      <c r="BY1151" s="2" t="s">
        <v>112</v>
      </c>
      <c r="BZ1151" s="2" t="s">
        <v>100</v>
      </c>
    </row>
    <row r="1152">
      <c r="A1152" s="2" t="s">
        <v>4026</v>
      </c>
      <c r="B1152" s="2" t="s">
        <v>87</v>
      </c>
      <c r="C1152" s="2" t="s">
        <v>3586</v>
      </c>
      <c r="D1152" s="2" t="s">
        <v>89</v>
      </c>
      <c r="E1152" s="2" t="s">
        <v>2005</v>
      </c>
      <c r="F1152" s="2" t="s">
        <v>4027</v>
      </c>
      <c r="G1152" s="2" t="s">
        <v>3248</v>
      </c>
      <c r="H1152" s="2" t="s">
        <v>4028</v>
      </c>
      <c r="I1152" s="2" t="s">
        <v>3775</v>
      </c>
      <c r="J1152" s="2" t="s">
        <v>3012</v>
      </c>
      <c r="K1152" s="2" t="s">
        <v>168</v>
      </c>
      <c r="L1152" s="3">
        <v>51.99</v>
      </c>
      <c r="M1152" s="3">
        <v>54.59</v>
      </c>
      <c r="N1152" s="3">
        <v>99.99</v>
      </c>
      <c r="O1152" s="2" t="s">
        <v>97</v>
      </c>
      <c r="P1152" s="2" t="s">
        <v>198</v>
      </c>
      <c r="Q1152" s="2" t="s">
        <v>99</v>
      </c>
      <c r="R1152" s="2" t="s">
        <v>100</v>
      </c>
      <c r="S1152" s="2" t="s">
        <v>4029</v>
      </c>
      <c r="T1152" s="2" t="s">
        <v>100</v>
      </c>
      <c r="U1152" s="2" t="s">
        <v>102</v>
      </c>
      <c r="V1152" s="2" t="s">
        <v>491</v>
      </c>
      <c r="W1152" s="2" t="s">
        <v>104</v>
      </c>
      <c r="X1152" s="2" t="s">
        <v>201</v>
      </c>
      <c r="Y1152" s="2" t="s">
        <v>106</v>
      </c>
      <c r="Z1152" s="4">
        <v>110</v>
      </c>
      <c r="AA1152" s="4">
        <f>=ROUNDDOWN(110,0)</f>
      </c>
      <c r="AB1152" s="5">
        <v>1</v>
      </c>
      <c r="AC1152" s="2" t="s">
        <v>100</v>
      </c>
      <c r="AD1152" s="4"/>
      <c r="AE1152" s="4"/>
      <c r="AF1152" s="6">
        <v>65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/>
      <c r="BJ1152" s="4">
        <v>27</v>
      </c>
      <c r="BK1152" s="8">
        <v>1393.1</v>
      </c>
      <c r="BL1152" s="2" t="s">
        <v>4030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147</v>
      </c>
      <c r="BV1152" s="2" t="s">
        <v>97</v>
      </c>
      <c r="BW1152" s="2" t="s">
        <v>100</v>
      </c>
      <c r="BX1152" s="2" t="s">
        <v>100</v>
      </c>
      <c r="BY1152" s="2" t="s">
        <v>112</v>
      </c>
      <c r="BZ1152" s="2" t="s">
        <v>100</v>
      </c>
    </row>
    <row r="1153">
      <c r="A1153" s="2" t="s">
        <v>4031</v>
      </c>
      <c r="B1153" s="2" t="s">
        <v>87</v>
      </c>
      <c r="C1153" s="2" t="s">
        <v>3586</v>
      </c>
      <c r="D1153" s="2" t="s">
        <v>89</v>
      </c>
      <c r="E1153" s="2" t="s">
        <v>2005</v>
      </c>
      <c r="F1153" s="2" t="s">
        <v>4027</v>
      </c>
      <c r="G1153" s="2" t="s">
        <v>3248</v>
      </c>
      <c r="H1153" s="2" t="s">
        <v>4028</v>
      </c>
      <c r="I1153" s="2" t="s">
        <v>3783</v>
      </c>
      <c r="J1153" s="2" t="s">
        <v>122</v>
      </c>
      <c r="K1153" s="2" t="s">
        <v>168</v>
      </c>
      <c r="L1153" s="3">
        <v>57.19</v>
      </c>
      <c r="M1153" s="3">
        <v>60.05</v>
      </c>
      <c r="N1153" s="3">
        <v>109.99</v>
      </c>
      <c r="O1153" s="2" t="s">
        <v>97</v>
      </c>
      <c r="P1153" s="2" t="s">
        <v>198</v>
      </c>
      <c r="Q1153" s="2" t="s">
        <v>99</v>
      </c>
      <c r="R1153" s="2" t="s">
        <v>100</v>
      </c>
      <c r="S1153" s="2" t="s">
        <v>4029</v>
      </c>
      <c r="T1153" s="2" t="s">
        <v>100</v>
      </c>
      <c r="U1153" s="2" t="s">
        <v>807</v>
      </c>
      <c r="V1153" s="2" t="s">
        <v>491</v>
      </c>
      <c r="W1153" s="2" t="s">
        <v>104</v>
      </c>
      <c r="X1153" s="2" t="s">
        <v>201</v>
      </c>
      <c r="Y1153" s="2" t="s">
        <v>106</v>
      </c>
      <c r="Z1153" s="4">
        <v>69</v>
      </c>
      <c r="AA1153" s="4">
        <f>=ROUNDDOWN(13.8,0)</f>
      </c>
      <c r="AB1153" s="5">
        <v>5</v>
      </c>
      <c r="AC1153" s="2" t="s">
        <v>100</v>
      </c>
      <c r="AD1153" s="4"/>
      <c r="AE1153" s="4"/>
      <c r="AF1153" s="6">
        <v>65</v>
      </c>
      <c r="AG1153" s="6"/>
      <c r="AH1153" s="7">
        <v>0.9212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88</v>
      </c>
      <c r="BK1153" s="8">
        <v>5231.9</v>
      </c>
      <c r="BL1153" s="2" t="s">
        <v>4032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147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100</v>
      </c>
    </row>
    <row r="1154">
      <c r="A1154" s="2" t="s">
        <v>4033</v>
      </c>
      <c r="B1154" s="2" t="s">
        <v>87</v>
      </c>
      <c r="C1154" s="2" t="s">
        <v>3586</v>
      </c>
      <c r="D1154" s="2" t="s">
        <v>89</v>
      </c>
      <c r="E1154" s="2" t="s">
        <v>2005</v>
      </c>
      <c r="F1154" s="2" t="s">
        <v>4027</v>
      </c>
      <c r="G1154" s="2" t="s">
        <v>3248</v>
      </c>
      <c r="H1154" s="2" t="s">
        <v>4028</v>
      </c>
      <c r="I1154" s="2" t="s">
        <v>3783</v>
      </c>
      <c r="J1154" s="2" t="s">
        <v>95</v>
      </c>
      <c r="K1154" s="2" t="s">
        <v>168</v>
      </c>
      <c r="L1154" s="3">
        <v>62.39</v>
      </c>
      <c r="M1154" s="3">
        <v>65.51</v>
      </c>
      <c r="N1154" s="3">
        <v>119.99</v>
      </c>
      <c r="O1154" s="2" t="s">
        <v>97</v>
      </c>
      <c r="P1154" s="2" t="s">
        <v>198</v>
      </c>
      <c r="Q1154" s="2" t="s">
        <v>99</v>
      </c>
      <c r="R1154" s="2" t="s">
        <v>100</v>
      </c>
      <c r="S1154" s="2" t="s">
        <v>4029</v>
      </c>
      <c r="T1154" s="2" t="s">
        <v>100</v>
      </c>
      <c r="U1154" s="2" t="s">
        <v>807</v>
      </c>
      <c r="V1154" s="2" t="s">
        <v>491</v>
      </c>
      <c r="W1154" s="2" t="s">
        <v>104</v>
      </c>
      <c r="X1154" s="2" t="s">
        <v>201</v>
      </c>
      <c r="Y1154" s="2" t="s">
        <v>106</v>
      </c>
      <c r="Z1154" s="4">
        <v>319</v>
      </c>
      <c r="AA1154" s="4">
        <f>=ROUNDDOWN(26.5833333333333,0)</f>
      </c>
      <c r="AB1154" s="5">
        <v>12</v>
      </c>
      <c r="AC1154" s="2" t="s">
        <v>100</v>
      </c>
      <c r="AD1154" s="4"/>
      <c r="AE1154" s="4"/>
      <c r="AF1154" s="6">
        <v>65</v>
      </c>
      <c r="AG1154" s="6"/>
      <c r="AH1154" s="7">
        <v>0.6667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179</v>
      </c>
      <c r="BK1154" s="8">
        <v>11640.03</v>
      </c>
      <c r="BL1154" s="2" t="s">
        <v>4034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147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4035</v>
      </c>
      <c r="B1155" s="2" t="s">
        <v>87</v>
      </c>
      <c r="C1155" s="2" t="s">
        <v>3586</v>
      </c>
      <c r="D1155" s="2" t="s">
        <v>89</v>
      </c>
      <c r="E1155" s="2" t="s">
        <v>2005</v>
      </c>
      <c r="F1155" s="2" t="s">
        <v>4027</v>
      </c>
      <c r="G1155" s="2" t="s">
        <v>3248</v>
      </c>
      <c r="H1155" s="2" t="s">
        <v>4028</v>
      </c>
      <c r="I1155" s="2" t="s">
        <v>3783</v>
      </c>
      <c r="J1155" s="2" t="s">
        <v>114</v>
      </c>
      <c r="K1155" s="2" t="s">
        <v>168</v>
      </c>
      <c r="L1155" s="3">
        <v>67.59</v>
      </c>
      <c r="M1155" s="3">
        <v>70.97</v>
      </c>
      <c r="N1155" s="3">
        <v>129.99</v>
      </c>
      <c r="O1155" s="2" t="s">
        <v>97</v>
      </c>
      <c r="P1155" s="2" t="s">
        <v>198</v>
      </c>
      <c r="Q1155" s="2" t="s">
        <v>99</v>
      </c>
      <c r="R1155" s="2" t="s">
        <v>100</v>
      </c>
      <c r="S1155" s="2" t="s">
        <v>4029</v>
      </c>
      <c r="T1155" s="2" t="s">
        <v>100</v>
      </c>
      <c r="U1155" s="2" t="s">
        <v>807</v>
      </c>
      <c r="V1155" s="2" t="s">
        <v>491</v>
      </c>
      <c r="W1155" s="2" t="s">
        <v>104</v>
      </c>
      <c r="X1155" s="2" t="s">
        <v>201</v>
      </c>
      <c r="Y1155" s="2" t="s">
        <v>106</v>
      </c>
      <c r="Z1155" s="4">
        <v>174</v>
      </c>
      <c r="AA1155" s="4">
        <f>=ROUNDDOWN(31.6363636363636,0)</f>
      </c>
      <c r="AB1155" s="5">
        <v>5.5</v>
      </c>
      <c r="AC1155" s="2" t="s">
        <v>100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100</v>
      </c>
      <c r="AW1155" s="8" t="s">
        <v>100</v>
      </c>
      <c r="AX1155" s="4" t="s">
        <v>100</v>
      </c>
      <c r="AY1155" s="8" t="s">
        <v>100</v>
      </c>
      <c r="AZ1155" s="7" t="s">
        <v>100</v>
      </c>
      <c r="BA1155" s="7" t="s">
        <v>100</v>
      </c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>
        <v>111</v>
      </c>
      <c r="BK1155" s="8">
        <v>8049.27</v>
      </c>
      <c r="BL1155" s="2" t="s">
        <v>4036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147</v>
      </c>
      <c r="BV1155" s="2" t="s">
        <v>97</v>
      </c>
      <c r="BW1155" s="2" t="s">
        <v>100</v>
      </c>
      <c r="BX1155" s="2" t="s">
        <v>100</v>
      </c>
      <c r="BY1155" s="2" t="s">
        <v>112</v>
      </c>
      <c r="BZ1155" s="2" t="s">
        <v>100</v>
      </c>
    </row>
    <row r="1156">
      <c r="A1156" s="2" t="s">
        <v>4037</v>
      </c>
      <c r="B1156" s="2" t="s">
        <v>87</v>
      </c>
      <c r="C1156" s="2" t="s">
        <v>3586</v>
      </c>
      <c r="D1156" s="2" t="s">
        <v>89</v>
      </c>
      <c r="E1156" s="2" t="s">
        <v>2005</v>
      </c>
      <c r="F1156" s="2" t="s">
        <v>4027</v>
      </c>
      <c r="G1156" s="2" t="s">
        <v>3248</v>
      </c>
      <c r="H1156" s="2" t="s">
        <v>4028</v>
      </c>
      <c r="I1156" s="2" t="s">
        <v>3783</v>
      </c>
      <c r="J1156" s="2" t="s">
        <v>118</v>
      </c>
      <c r="K1156" s="2" t="s">
        <v>168</v>
      </c>
      <c r="L1156" s="3">
        <v>67.59</v>
      </c>
      <c r="M1156" s="3">
        <v>70.97</v>
      </c>
      <c r="N1156" s="3">
        <v>129.99</v>
      </c>
      <c r="O1156" s="2" t="s">
        <v>97</v>
      </c>
      <c r="P1156" s="2" t="s">
        <v>198</v>
      </c>
      <c r="Q1156" s="2" t="s">
        <v>99</v>
      </c>
      <c r="R1156" s="2" t="s">
        <v>100</v>
      </c>
      <c r="S1156" s="2" t="s">
        <v>4029</v>
      </c>
      <c r="T1156" s="2" t="s">
        <v>100</v>
      </c>
      <c r="U1156" s="2" t="s">
        <v>807</v>
      </c>
      <c r="V1156" s="2" t="s">
        <v>491</v>
      </c>
      <c r="W1156" s="2" t="s">
        <v>104</v>
      </c>
      <c r="X1156" s="2" t="s">
        <v>201</v>
      </c>
      <c r="Y1156" s="2" t="s">
        <v>106</v>
      </c>
      <c r="Z1156" s="4">
        <v>89</v>
      </c>
      <c r="AA1156" s="4">
        <f>=ROUNDDOWN(22.25,0)</f>
      </c>
      <c r="AB1156" s="5">
        <v>4</v>
      </c>
      <c r="AC1156" s="2" t="s">
        <v>100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>
        <v>89</v>
      </c>
      <c r="BK1156" s="8">
        <v>6244.53</v>
      </c>
      <c r="BL1156" s="2" t="s">
        <v>4038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147</v>
      </c>
      <c r="BV1156" s="2" t="s">
        <v>97</v>
      </c>
      <c r="BW1156" s="2" t="s">
        <v>100</v>
      </c>
      <c r="BX1156" s="2" t="s">
        <v>100</v>
      </c>
      <c r="BY1156" s="2" t="s">
        <v>112</v>
      </c>
      <c r="BZ1156" s="2" t="s">
        <v>100</v>
      </c>
    </row>
    <row r="1157">
      <c r="A1157" s="2" t="s">
        <v>4039</v>
      </c>
      <c r="B1157" s="2" t="s">
        <v>87</v>
      </c>
      <c r="C1157" s="2" t="s">
        <v>3586</v>
      </c>
      <c r="D1157" s="2" t="s">
        <v>89</v>
      </c>
      <c r="E1157" s="2" t="s">
        <v>2005</v>
      </c>
      <c r="F1157" s="2" t="s">
        <v>4040</v>
      </c>
      <c r="G1157" s="2" t="s">
        <v>4041</v>
      </c>
      <c r="H1157" s="2" t="s">
        <v>4042</v>
      </c>
      <c r="I1157" s="2" t="s">
        <v>4043</v>
      </c>
      <c r="J1157" s="2" t="s">
        <v>95</v>
      </c>
      <c r="K1157" s="2" t="s">
        <v>4044</v>
      </c>
      <c r="L1157" s="3">
        <v>40.71</v>
      </c>
      <c r="M1157" s="3">
        <v>42.75</v>
      </c>
      <c r="N1157" s="3">
        <v>99.99</v>
      </c>
      <c r="O1157" s="2" t="s">
        <v>550</v>
      </c>
      <c r="P1157" s="2" t="s">
        <v>1608</v>
      </c>
      <c r="Q1157" s="2" t="s">
        <v>99</v>
      </c>
      <c r="R1157" s="2" t="s">
        <v>1609</v>
      </c>
      <c r="S1157" s="2" t="s">
        <v>4045</v>
      </c>
      <c r="T1157" s="2" t="s">
        <v>100</v>
      </c>
      <c r="U1157" s="2" t="s">
        <v>790</v>
      </c>
      <c r="V1157" s="2" t="s">
        <v>561</v>
      </c>
      <c r="W1157" s="2" t="s">
        <v>602</v>
      </c>
      <c r="X1157" s="2" t="s">
        <v>759</v>
      </c>
      <c r="Y1157" s="2" t="s">
        <v>4046</v>
      </c>
      <c r="Z1157" s="4">
        <v>454</v>
      </c>
      <c r="AA1157" s="4">
        <f>=ROUNDDOWN({0},0)</f>
      </c>
      <c r="AB1157" s="5"/>
      <c r="AC1157" s="2" t="s">
        <v>100</v>
      </c>
      <c r="AD1157" s="4"/>
      <c r="AE1157" s="4"/>
      <c r="AF1157" s="6"/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/>
      <c r="BK1157" s="8"/>
      <c r="BL1157" s="2" t="s">
        <v>1609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147</v>
      </c>
      <c r="BV1157" s="2" t="s">
        <v>97</v>
      </c>
      <c r="BW1157" s="2" t="s">
        <v>100</v>
      </c>
      <c r="BX1157" s="2" t="s">
        <v>100</v>
      </c>
      <c r="BY1157" s="2" t="s">
        <v>112</v>
      </c>
      <c r="BZ1157" s="2" t="s">
        <v>100</v>
      </c>
    </row>
    <row r="1158">
      <c r="A1158" s="2" t="s">
        <v>4047</v>
      </c>
      <c r="B1158" s="2" t="s">
        <v>87</v>
      </c>
      <c r="C1158" s="2" t="s">
        <v>3586</v>
      </c>
      <c r="D1158" s="2" t="s">
        <v>89</v>
      </c>
      <c r="E1158" s="2" t="s">
        <v>2005</v>
      </c>
      <c r="F1158" s="2" t="s">
        <v>4048</v>
      </c>
      <c r="G1158" s="2" t="s">
        <v>4049</v>
      </c>
      <c r="H1158" s="2" t="s">
        <v>4050</v>
      </c>
      <c r="I1158" s="2" t="s">
        <v>4051</v>
      </c>
      <c r="J1158" s="2" t="s">
        <v>3012</v>
      </c>
      <c r="K1158" s="2" t="s">
        <v>4052</v>
      </c>
      <c r="L1158" s="3">
        <v>39.99</v>
      </c>
      <c r="M1158" s="3">
        <v>41.99</v>
      </c>
      <c r="N1158" s="3">
        <v>79.99</v>
      </c>
      <c r="O1158" s="2" t="s">
        <v>97</v>
      </c>
      <c r="P1158" s="2" t="s">
        <v>198</v>
      </c>
      <c r="Q1158" s="2" t="s">
        <v>99</v>
      </c>
      <c r="R1158" s="2" t="s">
        <v>100</v>
      </c>
      <c r="S1158" s="2" t="s">
        <v>4053</v>
      </c>
      <c r="T1158" s="2" t="s">
        <v>184</v>
      </c>
      <c r="U1158" s="2" t="s">
        <v>490</v>
      </c>
      <c r="V1158" s="2" t="s">
        <v>1287</v>
      </c>
      <c r="W1158" s="2" t="s">
        <v>312</v>
      </c>
      <c r="X1158" s="2" t="s">
        <v>759</v>
      </c>
      <c r="Y1158" s="2" t="s">
        <v>4054</v>
      </c>
      <c r="Z1158" s="4">
        <v>238</v>
      </c>
      <c r="AA1158" s="4">
        <f>=ROUNDDOWN(119,0)</f>
      </c>
      <c r="AB1158" s="5">
        <v>2</v>
      </c>
      <c r="AC1158" s="2" t="s">
        <v>2049</v>
      </c>
      <c r="AD1158" s="4">
        <v>130</v>
      </c>
      <c r="AE1158" s="4">
        <v>130</v>
      </c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100</v>
      </c>
      <c r="AW1158" s="8" t="s">
        <v>100</v>
      </c>
      <c r="AX1158" s="4" t="s">
        <v>100</v>
      </c>
      <c r="AY1158" s="8" t="s">
        <v>100</v>
      </c>
      <c r="AZ1158" s="7" t="s">
        <v>100</v>
      </c>
      <c r="BA1158" s="7" t="s">
        <v>100</v>
      </c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>
        <v>41</v>
      </c>
      <c r="BK1158" s="8">
        <v>1775.77</v>
      </c>
      <c r="BL1158" s="2" t="s">
        <v>4055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147</v>
      </c>
      <c r="BV1158" s="2" t="s">
        <v>97</v>
      </c>
      <c r="BW1158" s="2" t="s">
        <v>100</v>
      </c>
      <c r="BX1158" s="2" t="s">
        <v>100</v>
      </c>
      <c r="BY1158" s="2" t="s">
        <v>112</v>
      </c>
      <c r="BZ1158" s="2" t="s">
        <v>100</v>
      </c>
    </row>
    <row r="1159">
      <c r="A1159" s="2" t="s">
        <v>4056</v>
      </c>
      <c r="B1159" s="2" t="s">
        <v>87</v>
      </c>
      <c r="C1159" s="2" t="s">
        <v>3586</v>
      </c>
      <c r="D1159" s="2" t="s">
        <v>89</v>
      </c>
      <c r="E1159" s="2" t="s">
        <v>2005</v>
      </c>
      <c r="F1159" s="2" t="s">
        <v>4048</v>
      </c>
      <c r="G1159" s="2" t="s">
        <v>4049</v>
      </c>
      <c r="H1159" s="2" t="s">
        <v>4050</v>
      </c>
      <c r="I1159" s="2" t="s">
        <v>4057</v>
      </c>
      <c r="J1159" s="2" t="s">
        <v>122</v>
      </c>
      <c r="K1159" s="2" t="s">
        <v>4052</v>
      </c>
      <c r="L1159" s="3">
        <v>44.99</v>
      </c>
      <c r="M1159" s="3">
        <v>47.24</v>
      </c>
      <c r="N1159" s="3">
        <v>89.99</v>
      </c>
      <c r="O1159" s="2" t="s">
        <v>97</v>
      </c>
      <c r="P1159" s="2" t="s">
        <v>198</v>
      </c>
      <c r="Q1159" s="2" t="s">
        <v>99</v>
      </c>
      <c r="R1159" s="2" t="s">
        <v>100</v>
      </c>
      <c r="S1159" s="2" t="s">
        <v>4053</v>
      </c>
      <c r="T1159" s="2" t="s">
        <v>184</v>
      </c>
      <c r="U1159" s="2" t="s">
        <v>403</v>
      </c>
      <c r="V1159" s="2" t="s">
        <v>1287</v>
      </c>
      <c r="W1159" s="2" t="s">
        <v>312</v>
      </c>
      <c r="X1159" s="2" t="s">
        <v>759</v>
      </c>
      <c r="Y1159" s="2" t="s">
        <v>4054</v>
      </c>
      <c r="Z1159" s="4">
        <v>170</v>
      </c>
      <c r="AA1159" s="4">
        <f>=ROUNDDOWN(34,0)</f>
      </c>
      <c r="AB1159" s="5">
        <v>5</v>
      </c>
      <c r="AC1159" s="2" t="s">
        <v>2049</v>
      </c>
      <c r="AD1159" s="4">
        <v>80</v>
      </c>
      <c r="AE1159" s="4">
        <v>80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100</v>
      </c>
      <c r="AW1159" s="8" t="s">
        <v>100</v>
      </c>
      <c r="AX1159" s="4" t="s">
        <v>100</v>
      </c>
      <c r="AY1159" s="8" t="s">
        <v>100</v>
      </c>
      <c r="AZ1159" s="7" t="s">
        <v>100</v>
      </c>
      <c r="BA1159" s="7" t="s">
        <v>100</v>
      </c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74</v>
      </c>
      <c r="BK1159" s="8">
        <v>3567.97</v>
      </c>
      <c r="BL1159" s="2" t="s">
        <v>4058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147</v>
      </c>
      <c r="BV1159" s="2" t="s">
        <v>97</v>
      </c>
      <c r="BW1159" s="2" t="s">
        <v>100</v>
      </c>
      <c r="BX1159" s="2" t="s">
        <v>100</v>
      </c>
      <c r="BY1159" s="2" t="s">
        <v>112</v>
      </c>
      <c r="BZ1159" s="2" t="s">
        <v>100</v>
      </c>
    </row>
    <row r="1160">
      <c r="A1160" s="2" t="s">
        <v>4059</v>
      </c>
      <c r="B1160" s="2" t="s">
        <v>87</v>
      </c>
      <c r="C1160" s="2" t="s">
        <v>3586</v>
      </c>
      <c r="D1160" s="2" t="s">
        <v>89</v>
      </c>
      <c r="E1160" s="2" t="s">
        <v>2005</v>
      </c>
      <c r="F1160" s="2" t="s">
        <v>4048</v>
      </c>
      <c r="G1160" s="2" t="s">
        <v>4049</v>
      </c>
      <c r="H1160" s="2" t="s">
        <v>4050</v>
      </c>
      <c r="I1160" s="2" t="s">
        <v>4057</v>
      </c>
      <c r="J1160" s="2" t="s">
        <v>95</v>
      </c>
      <c r="K1160" s="2" t="s">
        <v>4052</v>
      </c>
      <c r="L1160" s="3">
        <v>49.99</v>
      </c>
      <c r="M1160" s="3">
        <v>52.49</v>
      </c>
      <c r="N1160" s="3">
        <v>99.99</v>
      </c>
      <c r="O1160" s="2" t="s">
        <v>97</v>
      </c>
      <c r="P1160" s="2" t="s">
        <v>198</v>
      </c>
      <c r="Q1160" s="2" t="s">
        <v>99</v>
      </c>
      <c r="R1160" s="2" t="s">
        <v>100</v>
      </c>
      <c r="S1160" s="2" t="s">
        <v>4053</v>
      </c>
      <c r="T1160" s="2" t="s">
        <v>184</v>
      </c>
      <c r="U1160" s="2" t="s">
        <v>403</v>
      </c>
      <c r="V1160" s="2" t="s">
        <v>1287</v>
      </c>
      <c r="W1160" s="2" t="s">
        <v>312</v>
      </c>
      <c r="X1160" s="2" t="s">
        <v>759</v>
      </c>
      <c r="Y1160" s="2" t="s">
        <v>4054</v>
      </c>
      <c r="Z1160" s="4">
        <v>303</v>
      </c>
      <c r="AA1160" s="4">
        <f>=ROUNDDOWN(75.75,0)</f>
      </c>
      <c r="AB1160" s="5">
        <v>4</v>
      </c>
      <c r="AC1160" s="2" t="s">
        <v>2049</v>
      </c>
      <c r="AD1160" s="4">
        <v>160</v>
      </c>
      <c r="AE1160" s="4">
        <v>160</v>
      </c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100</v>
      </c>
      <c r="AW1160" s="8" t="s">
        <v>100</v>
      </c>
      <c r="AX1160" s="4" t="s">
        <v>100</v>
      </c>
      <c r="AY1160" s="8" t="s">
        <v>100</v>
      </c>
      <c r="AZ1160" s="7" t="s">
        <v>100</v>
      </c>
      <c r="BA1160" s="7" t="s">
        <v>100</v>
      </c>
      <c r="BB1160" s="7"/>
      <c r="BC1160" s="4" t="s">
        <v>100</v>
      </c>
      <c r="BD1160" s="8" t="s">
        <v>100</v>
      </c>
      <c r="BE1160" s="4" t="s">
        <v>100</v>
      </c>
      <c r="BF1160" s="8" t="s">
        <v>100</v>
      </c>
      <c r="BG1160" s="7" t="s">
        <v>100</v>
      </c>
      <c r="BH1160" s="7" t="s">
        <v>100</v>
      </c>
      <c r="BI1160" s="7"/>
      <c r="BJ1160" s="4">
        <v>81</v>
      </c>
      <c r="BK1160" s="8">
        <v>4382.41</v>
      </c>
      <c r="BL1160" s="2" t="s">
        <v>4060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147</v>
      </c>
      <c r="BV1160" s="2" t="s">
        <v>97</v>
      </c>
      <c r="BW1160" s="2" t="s">
        <v>100</v>
      </c>
      <c r="BX1160" s="2" t="s">
        <v>100</v>
      </c>
      <c r="BY1160" s="2" t="s">
        <v>112</v>
      </c>
      <c r="BZ1160" s="2" t="s">
        <v>100</v>
      </c>
    </row>
    <row r="1161">
      <c r="A1161" s="2" t="s">
        <v>4061</v>
      </c>
      <c r="B1161" s="2" t="s">
        <v>87</v>
      </c>
      <c r="C1161" s="2" t="s">
        <v>3586</v>
      </c>
      <c r="D1161" s="2" t="s">
        <v>89</v>
      </c>
      <c r="E1161" s="2" t="s">
        <v>2005</v>
      </c>
      <c r="F1161" s="2" t="s">
        <v>4048</v>
      </c>
      <c r="G1161" s="2" t="s">
        <v>4049</v>
      </c>
      <c r="H1161" s="2" t="s">
        <v>4050</v>
      </c>
      <c r="I1161" s="2" t="s">
        <v>4057</v>
      </c>
      <c r="J1161" s="2" t="s">
        <v>114</v>
      </c>
      <c r="K1161" s="2" t="s">
        <v>4052</v>
      </c>
      <c r="L1161" s="3">
        <v>54.99</v>
      </c>
      <c r="M1161" s="3">
        <v>57.74</v>
      </c>
      <c r="N1161" s="3">
        <v>109.99</v>
      </c>
      <c r="O1161" s="2" t="s">
        <v>97</v>
      </c>
      <c r="P1161" s="2" t="s">
        <v>198</v>
      </c>
      <c r="Q1161" s="2" t="s">
        <v>99</v>
      </c>
      <c r="R1161" s="2" t="s">
        <v>100</v>
      </c>
      <c r="S1161" s="2" t="s">
        <v>4053</v>
      </c>
      <c r="T1161" s="2" t="s">
        <v>184</v>
      </c>
      <c r="U1161" s="2" t="s">
        <v>403</v>
      </c>
      <c r="V1161" s="2" t="s">
        <v>1287</v>
      </c>
      <c r="W1161" s="2" t="s">
        <v>312</v>
      </c>
      <c r="X1161" s="2" t="s">
        <v>759</v>
      </c>
      <c r="Y1161" s="2" t="s">
        <v>4054</v>
      </c>
      <c r="Z1161" s="4">
        <v>295</v>
      </c>
      <c r="AA1161" s="4">
        <f>=ROUNDDOWN(98.3333333333333,0)</f>
      </c>
      <c r="AB1161" s="5">
        <v>3</v>
      </c>
      <c r="AC1161" s="2" t="s">
        <v>2049</v>
      </c>
      <c r="AD1161" s="4">
        <v>150</v>
      </c>
      <c r="AE1161" s="4">
        <v>150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100</v>
      </c>
      <c r="AW1161" s="8" t="s">
        <v>100</v>
      </c>
      <c r="AX1161" s="4" t="s">
        <v>100</v>
      </c>
      <c r="AY1161" s="8" t="s">
        <v>100</v>
      </c>
      <c r="AZ1161" s="7" t="s">
        <v>100</v>
      </c>
      <c r="BA1161" s="7" t="s">
        <v>100</v>
      </c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>
        <v>37</v>
      </c>
      <c r="BK1161" s="8">
        <v>2145.99</v>
      </c>
      <c r="BL1161" s="2" t="s">
        <v>4062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147</v>
      </c>
      <c r="BV1161" s="2" t="s">
        <v>97</v>
      </c>
      <c r="BW1161" s="2" t="s">
        <v>100</v>
      </c>
      <c r="BX1161" s="2" t="s">
        <v>100</v>
      </c>
      <c r="BY1161" s="2" t="s">
        <v>112</v>
      </c>
      <c r="BZ1161" s="2" t="s">
        <v>100</v>
      </c>
    </row>
    <row r="1162">
      <c r="A1162" s="2" t="s">
        <v>4063</v>
      </c>
      <c r="B1162" s="2" t="s">
        <v>87</v>
      </c>
      <c r="C1162" s="2" t="s">
        <v>3586</v>
      </c>
      <c r="D1162" s="2" t="s">
        <v>89</v>
      </c>
      <c r="E1162" s="2" t="s">
        <v>2005</v>
      </c>
      <c r="F1162" s="2" t="s">
        <v>4048</v>
      </c>
      <c r="G1162" s="2" t="s">
        <v>4049</v>
      </c>
      <c r="H1162" s="2" t="s">
        <v>4050</v>
      </c>
      <c r="I1162" s="2" t="s">
        <v>4057</v>
      </c>
      <c r="J1162" s="2" t="s">
        <v>118</v>
      </c>
      <c r="K1162" s="2" t="s">
        <v>4052</v>
      </c>
      <c r="L1162" s="3">
        <v>54.99</v>
      </c>
      <c r="M1162" s="3">
        <v>57.74</v>
      </c>
      <c r="N1162" s="3">
        <v>109.99</v>
      </c>
      <c r="O1162" s="2" t="s">
        <v>97</v>
      </c>
      <c r="P1162" s="2" t="s">
        <v>198</v>
      </c>
      <c r="Q1162" s="2" t="s">
        <v>99</v>
      </c>
      <c r="R1162" s="2" t="s">
        <v>100</v>
      </c>
      <c r="S1162" s="2" t="s">
        <v>4053</v>
      </c>
      <c r="T1162" s="2" t="s">
        <v>184</v>
      </c>
      <c r="U1162" s="2" t="s">
        <v>403</v>
      </c>
      <c r="V1162" s="2" t="s">
        <v>1287</v>
      </c>
      <c r="W1162" s="2" t="s">
        <v>312</v>
      </c>
      <c r="X1162" s="2" t="s">
        <v>759</v>
      </c>
      <c r="Y1162" s="2" t="s">
        <v>4054</v>
      </c>
      <c r="Z1162" s="4">
        <v>238</v>
      </c>
      <c r="AA1162" s="4">
        <f>=ROUNDDOWN(79.3333333333333,0)</f>
      </c>
      <c r="AB1162" s="5">
        <v>3</v>
      </c>
      <c r="AC1162" s="2" t="s">
        <v>2049</v>
      </c>
      <c r="AD1162" s="4">
        <v>110</v>
      </c>
      <c r="AE1162" s="4">
        <v>110</v>
      </c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100</v>
      </c>
      <c r="AW1162" s="8" t="s">
        <v>100</v>
      </c>
      <c r="AX1162" s="4" t="s">
        <v>100</v>
      </c>
      <c r="AY1162" s="8" t="s">
        <v>100</v>
      </c>
      <c r="AZ1162" s="7" t="s">
        <v>100</v>
      </c>
      <c r="BA1162" s="7" t="s">
        <v>100</v>
      </c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42</v>
      </c>
      <c r="BK1162" s="8">
        <v>2414.69</v>
      </c>
      <c r="BL1162" s="2" t="s">
        <v>620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147</v>
      </c>
      <c r="BV1162" s="2" t="s">
        <v>97</v>
      </c>
      <c r="BW1162" s="2" t="s">
        <v>100</v>
      </c>
      <c r="BX1162" s="2" t="s">
        <v>100</v>
      </c>
      <c r="BY1162" s="2" t="s">
        <v>112</v>
      </c>
      <c r="BZ1162" s="2" t="s">
        <v>100</v>
      </c>
    </row>
    <row r="1163">
      <c r="A1163" s="2" t="s">
        <v>4064</v>
      </c>
      <c r="B1163" s="2" t="s">
        <v>87</v>
      </c>
      <c r="C1163" s="2" t="s">
        <v>3586</v>
      </c>
      <c r="D1163" s="2" t="s">
        <v>89</v>
      </c>
      <c r="E1163" s="2" t="s">
        <v>2005</v>
      </c>
      <c r="F1163" s="2" t="s">
        <v>4065</v>
      </c>
      <c r="G1163" s="2" t="s">
        <v>4066</v>
      </c>
      <c r="H1163" s="2" t="s">
        <v>4067</v>
      </c>
      <c r="I1163" s="2" t="s">
        <v>4068</v>
      </c>
      <c r="J1163" s="2" t="s">
        <v>3012</v>
      </c>
      <c r="K1163" s="2" t="s">
        <v>4069</v>
      </c>
      <c r="L1163" s="3">
        <v>30.95</v>
      </c>
      <c r="M1163" s="3">
        <v>32.5</v>
      </c>
      <c r="N1163" s="3">
        <v>64.99</v>
      </c>
      <c r="O1163" s="2" t="s">
        <v>97</v>
      </c>
      <c r="P1163" s="2" t="s">
        <v>182</v>
      </c>
      <c r="Q1163" s="2" t="s">
        <v>99</v>
      </c>
      <c r="R1163" s="2" t="s">
        <v>100</v>
      </c>
      <c r="S1163" s="2" t="s">
        <v>4070</v>
      </c>
      <c r="T1163" s="2" t="s">
        <v>184</v>
      </c>
      <c r="U1163" s="2" t="s">
        <v>790</v>
      </c>
      <c r="V1163" s="2" t="s">
        <v>561</v>
      </c>
      <c r="W1163" s="2" t="s">
        <v>759</v>
      </c>
      <c r="X1163" s="2" t="s">
        <v>100</v>
      </c>
      <c r="Y1163" s="2" t="s">
        <v>4071</v>
      </c>
      <c r="Z1163" s="4">
        <v>155</v>
      </c>
      <c r="AA1163" s="4">
        <f>=ROUNDDOWN(17.2222222222222,0)</f>
      </c>
      <c r="AB1163" s="5">
        <v>9</v>
      </c>
      <c r="AC1163" s="2" t="s">
        <v>145</v>
      </c>
      <c r="AD1163" s="4">
        <v>50</v>
      </c>
      <c r="AE1163" s="4">
        <v>270</v>
      </c>
      <c r="AF1163" s="6">
        <v>64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100</v>
      </c>
      <c r="AW1163" s="8" t="s">
        <v>100</v>
      </c>
      <c r="AX1163" s="4" t="s">
        <v>100</v>
      </c>
      <c r="AY1163" s="8" t="s">
        <v>100</v>
      </c>
      <c r="AZ1163" s="7" t="s">
        <v>100</v>
      </c>
      <c r="BA1163" s="7" t="s">
        <v>100</v>
      </c>
      <c r="BB1163" s="7"/>
      <c r="BC1163" s="4" t="s">
        <v>100</v>
      </c>
      <c r="BD1163" s="8" t="s">
        <v>100</v>
      </c>
      <c r="BE1163" s="4" t="s">
        <v>100</v>
      </c>
      <c r="BF1163" s="8" t="s">
        <v>100</v>
      </c>
      <c r="BG1163" s="7" t="s">
        <v>100</v>
      </c>
      <c r="BH1163" s="7" t="s">
        <v>100</v>
      </c>
      <c r="BI1163" s="7"/>
      <c r="BJ1163" s="4">
        <v>135</v>
      </c>
      <c r="BK1163" s="8">
        <v>4613.96</v>
      </c>
      <c r="BL1163" s="2" t="s">
        <v>4072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1171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100</v>
      </c>
    </row>
    <row r="1164">
      <c r="A1164" s="2" t="s">
        <v>4073</v>
      </c>
      <c r="B1164" s="2" t="s">
        <v>87</v>
      </c>
      <c r="C1164" s="2" t="s">
        <v>3586</v>
      </c>
      <c r="D1164" s="2" t="s">
        <v>89</v>
      </c>
      <c r="E1164" s="2" t="s">
        <v>2005</v>
      </c>
      <c r="F1164" s="2" t="s">
        <v>4065</v>
      </c>
      <c r="G1164" s="2" t="s">
        <v>4066</v>
      </c>
      <c r="H1164" s="2" t="s">
        <v>4067</v>
      </c>
      <c r="I1164" s="2" t="s">
        <v>4068</v>
      </c>
      <c r="J1164" s="2" t="s">
        <v>122</v>
      </c>
      <c r="K1164" s="2" t="s">
        <v>4069</v>
      </c>
      <c r="L1164" s="3">
        <v>35.71</v>
      </c>
      <c r="M1164" s="3">
        <v>37.5</v>
      </c>
      <c r="N1164" s="3">
        <v>74.99</v>
      </c>
      <c r="O1164" s="2" t="s">
        <v>97</v>
      </c>
      <c r="P1164" s="2" t="s">
        <v>182</v>
      </c>
      <c r="Q1164" s="2" t="s">
        <v>99</v>
      </c>
      <c r="R1164" s="2" t="s">
        <v>100</v>
      </c>
      <c r="S1164" s="2" t="s">
        <v>4070</v>
      </c>
      <c r="T1164" s="2" t="s">
        <v>184</v>
      </c>
      <c r="U1164" s="2" t="s">
        <v>102</v>
      </c>
      <c r="V1164" s="2" t="s">
        <v>561</v>
      </c>
      <c r="W1164" s="2" t="s">
        <v>759</v>
      </c>
      <c r="X1164" s="2" t="s">
        <v>100</v>
      </c>
      <c r="Y1164" s="2" t="s">
        <v>4071</v>
      </c>
      <c r="Z1164" s="4">
        <v>248</v>
      </c>
      <c r="AA1164" s="4">
        <f>=ROUNDDOWN(27.5555555555556,0)</f>
      </c>
      <c r="AB1164" s="5">
        <v>9</v>
      </c>
      <c r="AC1164" s="2" t="s">
        <v>145</v>
      </c>
      <c r="AD1164" s="4">
        <v>70</v>
      </c>
      <c r="AE1164" s="4">
        <v>224</v>
      </c>
      <c r="AF1164" s="6">
        <v>64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100</v>
      </c>
      <c r="AW1164" s="8" t="s">
        <v>100</v>
      </c>
      <c r="AX1164" s="4" t="s">
        <v>100</v>
      </c>
      <c r="AY1164" s="8" t="s">
        <v>100</v>
      </c>
      <c r="AZ1164" s="7" t="s">
        <v>100</v>
      </c>
      <c r="BA1164" s="7" t="s">
        <v>100</v>
      </c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143</v>
      </c>
      <c r="BK1164" s="8">
        <v>5677.51</v>
      </c>
      <c r="BL1164" s="2" t="s">
        <v>1463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1171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100</v>
      </c>
    </row>
    <row r="1165">
      <c r="A1165" s="2" t="s">
        <v>4074</v>
      </c>
      <c r="B1165" s="2" t="s">
        <v>87</v>
      </c>
      <c r="C1165" s="2" t="s">
        <v>3586</v>
      </c>
      <c r="D1165" s="2" t="s">
        <v>89</v>
      </c>
      <c r="E1165" s="2" t="s">
        <v>2005</v>
      </c>
      <c r="F1165" s="2" t="s">
        <v>4065</v>
      </c>
      <c r="G1165" s="2" t="s">
        <v>4066</v>
      </c>
      <c r="H1165" s="2" t="s">
        <v>4067</v>
      </c>
      <c r="I1165" s="2" t="s">
        <v>4068</v>
      </c>
      <c r="J1165" s="2" t="s">
        <v>95</v>
      </c>
      <c r="K1165" s="2" t="s">
        <v>4069</v>
      </c>
      <c r="L1165" s="3">
        <v>38.09</v>
      </c>
      <c r="M1165" s="3">
        <v>39.99</v>
      </c>
      <c r="N1165" s="3">
        <v>79.99</v>
      </c>
      <c r="O1165" s="2" t="s">
        <v>97</v>
      </c>
      <c r="P1165" s="2" t="s">
        <v>182</v>
      </c>
      <c r="Q1165" s="2" t="s">
        <v>99</v>
      </c>
      <c r="R1165" s="2" t="s">
        <v>100</v>
      </c>
      <c r="S1165" s="2" t="s">
        <v>4070</v>
      </c>
      <c r="T1165" s="2" t="s">
        <v>184</v>
      </c>
      <c r="U1165" s="2" t="s">
        <v>102</v>
      </c>
      <c r="V1165" s="2" t="s">
        <v>561</v>
      </c>
      <c r="W1165" s="2" t="s">
        <v>759</v>
      </c>
      <c r="X1165" s="2" t="s">
        <v>100</v>
      </c>
      <c r="Y1165" s="2" t="s">
        <v>4071</v>
      </c>
      <c r="Z1165" s="4">
        <v>250</v>
      </c>
      <c r="AA1165" s="4">
        <f>=ROUNDDOWN(11.3636363636364,0)</f>
      </c>
      <c r="AB1165" s="5">
        <v>22</v>
      </c>
      <c r="AC1165" s="2" t="s">
        <v>145</v>
      </c>
      <c r="AD1165" s="4">
        <v>100</v>
      </c>
      <c r="AE1165" s="4">
        <v>558</v>
      </c>
      <c r="AF1165" s="6">
        <v>64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100</v>
      </c>
      <c r="AW1165" s="8" t="s">
        <v>100</v>
      </c>
      <c r="AX1165" s="4" t="s">
        <v>100</v>
      </c>
      <c r="AY1165" s="8" t="s">
        <v>100</v>
      </c>
      <c r="AZ1165" s="7" t="s">
        <v>100</v>
      </c>
      <c r="BA1165" s="7" t="s">
        <v>100</v>
      </c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463</v>
      </c>
      <c r="BK1165" s="8">
        <v>19553.98</v>
      </c>
      <c r="BL1165" s="2" t="s">
        <v>4072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1171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4075</v>
      </c>
      <c r="B1166" s="2" t="s">
        <v>87</v>
      </c>
      <c r="C1166" s="2" t="s">
        <v>3586</v>
      </c>
      <c r="D1166" s="2" t="s">
        <v>89</v>
      </c>
      <c r="E1166" s="2" t="s">
        <v>2005</v>
      </c>
      <c r="F1166" s="2" t="s">
        <v>4065</v>
      </c>
      <c r="G1166" s="2" t="s">
        <v>4066</v>
      </c>
      <c r="H1166" s="2" t="s">
        <v>4067</v>
      </c>
      <c r="I1166" s="2" t="s">
        <v>4068</v>
      </c>
      <c r="J1166" s="2" t="s">
        <v>114</v>
      </c>
      <c r="K1166" s="2" t="s">
        <v>4069</v>
      </c>
      <c r="L1166" s="3">
        <v>42.85</v>
      </c>
      <c r="M1166" s="3">
        <v>44.99</v>
      </c>
      <c r="N1166" s="3">
        <v>89.99</v>
      </c>
      <c r="O1166" s="2" t="s">
        <v>97</v>
      </c>
      <c r="P1166" s="2" t="s">
        <v>182</v>
      </c>
      <c r="Q1166" s="2" t="s">
        <v>99</v>
      </c>
      <c r="R1166" s="2" t="s">
        <v>100</v>
      </c>
      <c r="S1166" s="2" t="s">
        <v>4070</v>
      </c>
      <c r="T1166" s="2" t="s">
        <v>184</v>
      </c>
      <c r="U1166" s="2" t="s">
        <v>102</v>
      </c>
      <c r="V1166" s="2" t="s">
        <v>561</v>
      </c>
      <c r="W1166" s="2" t="s">
        <v>759</v>
      </c>
      <c r="X1166" s="2" t="s">
        <v>100</v>
      </c>
      <c r="Y1166" s="2" t="s">
        <v>4071</v>
      </c>
      <c r="Z1166" s="4">
        <v>69</v>
      </c>
      <c r="AA1166" s="4">
        <f>=ROUNDDOWN(4.3125,0)</f>
      </c>
      <c r="AB1166" s="5">
        <v>16</v>
      </c>
      <c r="AC1166" s="2" t="s">
        <v>145</v>
      </c>
      <c r="AD1166" s="4">
        <v>180</v>
      </c>
      <c r="AE1166" s="4">
        <v>410</v>
      </c>
      <c r="AF1166" s="6">
        <v>64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100</v>
      </c>
      <c r="AW1166" s="8" t="s">
        <v>100</v>
      </c>
      <c r="AX1166" s="4" t="s">
        <v>100</v>
      </c>
      <c r="AY1166" s="8" t="s">
        <v>100</v>
      </c>
      <c r="AZ1166" s="7" t="s">
        <v>100</v>
      </c>
      <c r="BA1166" s="7" t="s">
        <v>100</v>
      </c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>
        <v>264</v>
      </c>
      <c r="BK1166" s="8">
        <v>12640.35</v>
      </c>
      <c r="BL1166" s="2" t="s">
        <v>4076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1171</v>
      </c>
      <c r="BV1166" s="2" t="s">
        <v>97</v>
      </c>
      <c r="BW1166" s="2" t="s">
        <v>100</v>
      </c>
      <c r="BX1166" s="2" t="s">
        <v>100</v>
      </c>
      <c r="BY1166" s="2" t="s">
        <v>112</v>
      </c>
      <c r="BZ1166" s="2" t="s">
        <v>100</v>
      </c>
    </row>
    <row r="1167">
      <c r="A1167" s="2" t="s">
        <v>4077</v>
      </c>
      <c r="B1167" s="2" t="s">
        <v>87</v>
      </c>
      <c r="C1167" s="2" t="s">
        <v>3586</v>
      </c>
      <c r="D1167" s="2" t="s">
        <v>89</v>
      </c>
      <c r="E1167" s="2" t="s">
        <v>2005</v>
      </c>
      <c r="F1167" s="2" t="s">
        <v>4065</v>
      </c>
      <c r="G1167" s="2" t="s">
        <v>4066</v>
      </c>
      <c r="H1167" s="2" t="s">
        <v>4067</v>
      </c>
      <c r="I1167" s="2" t="s">
        <v>4068</v>
      </c>
      <c r="J1167" s="2" t="s">
        <v>118</v>
      </c>
      <c r="K1167" s="2" t="s">
        <v>4069</v>
      </c>
      <c r="L1167" s="3">
        <v>42.85</v>
      </c>
      <c r="M1167" s="3">
        <v>44.99</v>
      </c>
      <c r="N1167" s="3">
        <v>89.99</v>
      </c>
      <c r="O1167" s="2" t="s">
        <v>97</v>
      </c>
      <c r="P1167" s="2" t="s">
        <v>182</v>
      </c>
      <c r="Q1167" s="2" t="s">
        <v>99</v>
      </c>
      <c r="R1167" s="2" t="s">
        <v>100</v>
      </c>
      <c r="S1167" s="2" t="s">
        <v>4070</v>
      </c>
      <c r="T1167" s="2" t="s">
        <v>184</v>
      </c>
      <c r="U1167" s="2" t="s">
        <v>102</v>
      </c>
      <c r="V1167" s="2" t="s">
        <v>561</v>
      </c>
      <c r="W1167" s="2" t="s">
        <v>759</v>
      </c>
      <c r="X1167" s="2" t="s">
        <v>100</v>
      </c>
      <c r="Y1167" s="2" t="s">
        <v>4071</v>
      </c>
      <c r="Z1167" s="4">
        <v>104</v>
      </c>
      <c r="AA1167" s="4">
        <f>=ROUNDDOWN(11.5555555555556,0)</f>
      </c>
      <c r="AB1167" s="5">
        <v>9</v>
      </c>
      <c r="AC1167" s="2" t="s">
        <v>145</v>
      </c>
      <c r="AD1167" s="4">
        <v>50</v>
      </c>
      <c r="AE1167" s="4">
        <v>282</v>
      </c>
      <c r="AF1167" s="6">
        <v>64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100</v>
      </c>
      <c r="AW1167" s="8" t="s">
        <v>100</v>
      </c>
      <c r="AX1167" s="4" t="s">
        <v>100</v>
      </c>
      <c r="AY1167" s="8" t="s">
        <v>100</v>
      </c>
      <c r="AZ1167" s="7" t="s">
        <v>100</v>
      </c>
      <c r="BA1167" s="7" t="s">
        <v>100</v>
      </c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111</v>
      </c>
      <c r="BK1167" s="8">
        <v>5296.78</v>
      </c>
      <c r="BL1167" s="2" t="s">
        <v>4078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1171</v>
      </c>
      <c r="BV1167" s="2" t="s">
        <v>97</v>
      </c>
      <c r="BW1167" s="2" t="s">
        <v>100</v>
      </c>
      <c r="BX1167" s="2" t="s">
        <v>100</v>
      </c>
      <c r="BY1167" s="2" t="s">
        <v>112</v>
      </c>
      <c r="BZ1167" s="2" t="s">
        <v>100</v>
      </c>
    </row>
    <row r="1168">
      <c r="A1168" s="2" t="s">
        <v>4079</v>
      </c>
      <c r="B1168" s="2" t="s">
        <v>87</v>
      </c>
      <c r="C1168" s="2" t="s">
        <v>3586</v>
      </c>
      <c r="D1168" s="2" t="s">
        <v>89</v>
      </c>
      <c r="E1168" s="2" t="s">
        <v>2005</v>
      </c>
      <c r="F1168" s="2" t="s">
        <v>4065</v>
      </c>
      <c r="G1168" s="2" t="s">
        <v>4066</v>
      </c>
      <c r="H1168" s="2" t="s">
        <v>4067</v>
      </c>
      <c r="I1168" s="2" t="s">
        <v>4068</v>
      </c>
      <c r="J1168" s="2" t="s">
        <v>3012</v>
      </c>
      <c r="K1168" s="2" t="s">
        <v>4080</v>
      </c>
      <c r="L1168" s="3">
        <v>30.95</v>
      </c>
      <c r="M1168" s="3">
        <v>32.5</v>
      </c>
      <c r="N1168" s="3">
        <v>64.99</v>
      </c>
      <c r="O1168" s="2" t="s">
        <v>97</v>
      </c>
      <c r="P1168" s="2" t="s">
        <v>124</v>
      </c>
      <c r="Q1168" s="2" t="s">
        <v>99</v>
      </c>
      <c r="R1168" s="2" t="s">
        <v>100</v>
      </c>
      <c r="S1168" s="2" t="s">
        <v>4081</v>
      </c>
      <c r="T1168" s="2" t="s">
        <v>184</v>
      </c>
      <c r="U1168" s="2" t="s">
        <v>790</v>
      </c>
      <c r="V1168" s="2" t="s">
        <v>561</v>
      </c>
      <c r="W1168" s="2" t="s">
        <v>759</v>
      </c>
      <c r="X1168" s="2" t="s">
        <v>100</v>
      </c>
      <c r="Y1168" s="2" t="s">
        <v>4082</v>
      </c>
      <c r="Z1168" s="4">
        <v>559</v>
      </c>
      <c r="AA1168" s="4">
        <f>=ROUNDDOWN(13.975,0)</f>
      </c>
      <c r="AB1168" s="5">
        <v>40</v>
      </c>
      <c r="AC1168" s="2" t="s">
        <v>126</v>
      </c>
      <c r="AD1168" s="4">
        <v>200</v>
      </c>
      <c r="AE1168" s="4">
        <v>1150</v>
      </c>
      <c r="AF1168" s="6">
        <v>64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100</v>
      </c>
      <c r="AW1168" s="8" t="s">
        <v>100</v>
      </c>
      <c r="AX1168" s="4" t="s">
        <v>100</v>
      </c>
      <c r="AY1168" s="8" t="s">
        <v>100</v>
      </c>
      <c r="AZ1168" s="7" t="s">
        <v>100</v>
      </c>
      <c r="BA1168" s="7" t="s">
        <v>100</v>
      </c>
      <c r="BB1168" s="7"/>
      <c r="BC1168" s="4" t="s">
        <v>100</v>
      </c>
      <c r="BD1168" s="8" t="s">
        <v>100</v>
      </c>
      <c r="BE1168" s="4" t="s">
        <v>100</v>
      </c>
      <c r="BF1168" s="8" t="s">
        <v>100</v>
      </c>
      <c r="BG1168" s="7" t="s">
        <v>100</v>
      </c>
      <c r="BH1168" s="7" t="s">
        <v>100</v>
      </c>
      <c r="BI1168" s="7"/>
      <c r="BJ1168" s="4">
        <v>809</v>
      </c>
      <c r="BK1168" s="8">
        <v>27501.95</v>
      </c>
      <c r="BL1168" s="2" t="s">
        <v>4083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147</v>
      </c>
      <c r="BV1168" s="2" t="s">
        <v>97</v>
      </c>
      <c r="BW1168" s="2" t="s">
        <v>100</v>
      </c>
      <c r="BX1168" s="2" t="s">
        <v>100</v>
      </c>
      <c r="BY1168" s="2" t="s">
        <v>112</v>
      </c>
      <c r="BZ1168" s="2" t="s">
        <v>100</v>
      </c>
    </row>
    <row r="1169">
      <c r="A1169" s="2" t="s">
        <v>4084</v>
      </c>
      <c r="B1169" s="2" t="s">
        <v>87</v>
      </c>
      <c r="C1169" s="2" t="s">
        <v>3586</v>
      </c>
      <c r="D1169" s="2" t="s">
        <v>89</v>
      </c>
      <c r="E1169" s="2" t="s">
        <v>2005</v>
      </c>
      <c r="F1169" s="2" t="s">
        <v>4065</v>
      </c>
      <c r="G1169" s="2" t="s">
        <v>4066</v>
      </c>
      <c r="H1169" s="2" t="s">
        <v>4067</v>
      </c>
      <c r="I1169" s="2" t="s">
        <v>4068</v>
      </c>
      <c r="J1169" s="2" t="s">
        <v>122</v>
      </c>
      <c r="K1169" s="2" t="s">
        <v>4080</v>
      </c>
      <c r="L1169" s="3">
        <v>35.71</v>
      </c>
      <c r="M1169" s="3">
        <v>37.5</v>
      </c>
      <c r="N1169" s="3">
        <v>74.99</v>
      </c>
      <c r="O1169" s="2" t="s">
        <v>97</v>
      </c>
      <c r="P1169" s="2" t="s">
        <v>124</v>
      </c>
      <c r="Q1169" s="2" t="s">
        <v>99</v>
      </c>
      <c r="R1169" s="2" t="s">
        <v>100</v>
      </c>
      <c r="S1169" s="2" t="s">
        <v>4081</v>
      </c>
      <c r="T1169" s="2" t="s">
        <v>184</v>
      </c>
      <c r="U1169" s="2" t="s">
        <v>102</v>
      </c>
      <c r="V1169" s="2" t="s">
        <v>561</v>
      </c>
      <c r="W1169" s="2" t="s">
        <v>759</v>
      </c>
      <c r="X1169" s="2" t="s">
        <v>100</v>
      </c>
      <c r="Y1169" s="2" t="s">
        <v>4082</v>
      </c>
      <c r="Z1169" s="4">
        <v>985</v>
      </c>
      <c r="AA1169" s="4">
        <f>=ROUNDDOWN(18.5849056603774,0)</f>
      </c>
      <c r="AB1169" s="5">
        <v>53</v>
      </c>
      <c r="AC1169" s="2" t="s">
        <v>1698</v>
      </c>
      <c r="AD1169" s="4">
        <v>100</v>
      </c>
      <c r="AE1169" s="4">
        <v>1100</v>
      </c>
      <c r="AF1169" s="6">
        <v>64</v>
      </c>
      <c r="AG1169" s="6"/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100</v>
      </c>
      <c r="AW1169" s="8" t="s">
        <v>100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 t="s">
        <v>100</v>
      </c>
      <c r="BD1169" s="8" t="s">
        <v>100</v>
      </c>
      <c r="BE1169" s="4" t="s">
        <v>100</v>
      </c>
      <c r="BF1169" s="8" t="s">
        <v>100</v>
      </c>
      <c r="BG1169" s="7" t="s">
        <v>100</v>
      </c>
      <c r="BH1169" s="7" t="s">
        <v>100</v>
      </c>
      <c r="BI1169" s="7"/>
      <c r="BJ1169" s="4">
        <v>1002</v>
      </c>
      <c r="BK1169" s="8">
        <v>39295.23</v>
      </c>
      <c r="BL1169" s="2" t="s">
        <v>4085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147</v>
      </c>
      <c r="BV1169" s="2" t="s">
        <v>97</v>
      </c>
      <c r="BW1169" s="2" t="s">
        <v>100</v>
      </c>
      <c r="BX1169" s="2" t="s">
        <v>100</v>
      </c>
      <c r="BY1169" s="2" t="s">
        <v>112</v>
      </c>
      <c r="BZ1169" s="2" t="s">
        <v>100</v>
      </c>
    </row>
    <row r="1170">
      <c r="A1170" s="2" t="s">
        <v>4086</v>
      </c>
      <c r="B1170" s="2" t="s">
        <v>87</v>
      </c>
      <c r="C1170" s="2" t="s">
        <v>3586</v>
      </c>
      <c r="D1170" s="2" t="s">
        <v>89</v>
      </c>
      <c r="E1170" s="2" t="s">
        <v>2005</v>
      </c>
      <c r="F1170" s="2" t="s">
        <v>4065</v>
      </c>
      <c r="G1170" s="2" t="s">
        <v>4066</v>
      </c>
      <c r="H1170" s="2" t="s">
        <v>4067</v>
      </c>
      <c r="I1170" s="2" t="s">
        <v>4068</v>
      </c>
      <c r="J1170" s="2" t="s">
        <v>95</v>
      </c>
      <c r="K1170" s="2" t="s">
        <v>4080</v>
      </c>
      <c r="L1170" s="3">
        <v>38.09</v>
      </c>
      <c r="M1170" s="3">
        <v>39.99</v>
      </c>
      <c r="N1170" s="3">
        <v>79.99</v>
      </c>
      <c r="O1170" s="2" t="s">
        <v>97</v>
      </c>
      <c r="P1170" s="2" t="s">
        <v>124</v>
      </c>
      <c r="Q1170" s="2" t="s">
        <v>99</v>
      </c>
      <c r="R1170" s="2" t="s">
        <v>100</v>
      </c>
      <c r="S1170" s="2" t="s">
        <v>4081</v>
      </c>
      <c r="T1170" s="2" t="s">
        <v>184</v>
      </c>
      <c r="U1170" s="2" t="s">
        <v>102</v>
      </c>
      <c r="V1170" s="2" t="s">
        <v>561</v>
      </c>
      <c r="W1170" s="2" t="s">
        <v>759</v>
      </c>
      <c r="X1170" s="2" t="s">
        <v>100</v>
      </c>
      <c r="Y1170" s="2" t="s">
        <v>4082</v>
      </c>
      <c r="Z1170" s="4">
        <v>1383</v>
      </c>
      <c r="AA1170" s="4">
        <f>=ROUNDDOWN(18.6891891891892,0)</f>
      </c>
      <c r="AB1170" s="5">
        <v>74</v>
      </c>
      <c r="AC1170" s="2" t="s">
        <v>126</v>
      </c>
      <c r="AD1170" s="4">
        <v>250</v>
      </c>
      <c r="AE1170" s="4">
        <v>1450</v>
      </c>
      <c r="AF1170" s="6">
        <v>64</v>
      </c>
      <c r="AG1170" s="6"/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/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/>
      <c r="BJ1170" s="4">
        <v>1721</v>
      </c>
      <c r="BK1170" s="8">
        <v>72731.94</v>
      </c>
      <c r="BL1170" s="2" t="s">
        <v>4087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147</v>
      </c>
      <c r="BV1170" s="2" t="s">
        <v>97</v>
      </c>
      <c r="BW1170" s="2" t="s">
        <v>100</v>
      </c>
      <c r="BX1170" s="2" t="s">
        <v>100</v>
      </c>
      <c r="BY1170" s="2" t="s">
        <v>112</v>
      </c>
      <c r="BZ1170" s="2" t="s">
        <v>100</v>
      </c>
    </row>
    <row r="1171">
      <c r="A1171" s="2" t="s">
        <v>4088</v>
      </c>
      <c r="B1171" s="2" t="s">
        <v>87</v>
      </c>
      <c r="C1171" s="2" t="s">
        <v>3586</v>
      </c>
      <c r="D1171" s="2" t="s">
        <v>89</v>
      </c>
      <c r="E1171" s="2" t="s">
        <v>2005</v>
      </c>
      <c r="F1171" s="2" t="s">
        <v>4065</v>
      </c>
      <c r="G1171" s="2" t="s">
        <v>4066</v>
      </c>
      <c r="H1171" s="2" t="s">
        <v>4067</v>
      </c>
      <c r="I1171" s="2" t="s">
        <v>4068</v>
      </c>
      <c r="J1171" s="2" t="s">
        <v>114</v>
      </c>
      <c r="K1171" s="2" t="s">
        <v>4080</v>
      </c>
      <c r="L1171" s="3">
        <v>42.85</v>
      </c>
      <c r="M1171" s="3">
        <v>44.99</v>
      </c>
      <c r="N1171" s="3">
        <v>89.99</v>
      </c>
      <c r="O1171" s="2" t="s">
        <v>97</v>
      </c>
      <c r="P1171" s="2" t="s">
        <v>124</v>
      </c>
      <c r="Q1171" s="2" t="s">
        <v>99</v>
      </c>
      <c r="R1171" s="2" t="s">
        <v>100</v>
      </c>
      <c r="S1171" s="2" t="s">
        <v>4081</v>
      </c>
      <c r="T1171" s="2" t="s">
        <v>184</v>
      </c>
      <c r="U1171" s="2" t="s">
        <v>102</v>
      </c>
      <c r="V1171" s="2" t="s">
        <v>561</v>
      </c>
      <c r="W1171" s="2" t="s">
        <v>759</v>
      </c>
      <c r="X1171" s="2" t="s">
        <v>100</v>
      </c>
      <c r="Y1171" s="2" t="s">
        <v>4082</v>
      </c>
      <c r="Z1171" s="4">
        <v>678</v>
      </c>
      <c r="AA1171" s="4">
        <f>=ROUNDDOWN(19.3714285714286,0)</f>
      </c>
      <c r="AB1171" s="5">
        <v>35</v>
      </c>
      <c r="AC1171" s="2" t="s">
        <v>1698</v>
      </c>
      <c r="AD1171" s="4">
        <v>100</v>
      </c>
      <c r="AE1171" s="4">
        <v>700</v>
      </c>
      <c r="AF1171" s="6">
        <v>64</v>
      </c>
      <c r="AG1171" s="6"/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/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/>
      <c r="BJ1171" s="4">
        <v>664</v>
      </c>
      <c r="BK1171" s="8">
        <v>31556.05</v>
      </c>
      <c r="BL1171" s="2" t="s">
        <v>4087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147</v>
      </c>
      <c r="BV1171" s="2" t="s">
        <v>97</v>
      </c>
      <c r="BW1171" s="2" t="s">
        <v>100</v>
      </c>
      <c r="BX1171" s="2" t="s">
        <v>100</v>
      </c>
      <c r="BY1171" s="2" t="s">
        <v>112</v>
      </c>
      <c r="BZ1171" s="2" t="s">
        <v>100</v>
      </c>
    </row>
    <row r="1172">
      <c r="A1172" s="2" t="s">
        <v>4089</v>
      </c>
      <c r="B1172" s="2" t="s">
        <v>87</v>
      </c>
      <c r="C1172" s="2" t="s">
        <v>3586</v>
      </c>
      <c r="D1172" s="2" t="s">
        <v>89</v>
      </c>
      <c r="E1172" s="2" t="s">
        <v>2005</v>
      </c>
      <c r="F1172" s="2" t="s">
        <v>4065</v>
      </c>
      <c r="G1172" s="2" t="s">
        <v>4066</v>
      </c>
      <c r="H1172" s="2" t="s">
        <v>4067</v>
      </c>
      <c r="I1172" s="2" t="s">
        <v>4068</v>
      </c>
      <c r="J1172" s="2" t="s">
        <v>118</v>
      </c>
      <c r="K1172" s="2" t="s">
        <v>4080</v>
      </c>
      <c r="L1172" s="3">
        <v>42.85</v>
      </c>
      <c r="M1172" s="3">
        <v>44.99</v>
      </c>
      <c r="N1172" s="3">
        <v>89.99</v>
      </c>
      <c r="O1172" s="2" t="s">
        <v>97</v>
      </c>
      <c r="P1172" s="2" t="s">
        <v>124</v>
      </c>
      <c r="Q1172" s="2" t="s">
        <v>99</v>
      </c>
      <c r="R1172" s="2" t="s">
        <v>100</v>
      </c>
      <c r="S1172" s="2" t="s">
        <v>4081</v>
      </c>
      <c r="T1172" s="2" t="s">
        <v>184</v>
      </c>
      <c r="U1172" s="2" t="s">
        <v>102</v>
      </c>
      <c r="V1172" s="2" t="s">
        <v>561</v>
      </c>
      <c r="W1172" s="2" t="s">
        <v>759</v>
      </c>
      <c r="X1172" s="2" t="s">
        <v>100</v>
      </c>
      <c r="Y1172" s="2" t="s">
        <v>4082</v>
      </c>
      <c r="Z1172" s="4">
        <v>354</v>
      </c>
      <c r="AA1172" s="4">
        <f>=ROUNDDOWN(22.125,0)</f>
      </c>
      <c r="AB1172" s="5">
        <v>16</v>
      </c>
      <c r="AC1172" s="2" t="s">
        <v>126</v>
      </c>
      <c r="AD1172" s="4">
        <v>30</v>
      </c>
      <c r="AE1172" s="4">
        <v>320</v>
      </c>
      <c r="AF1172" s="6">
        <v>64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100</v>
      </c>
      <c r="AW1172" s="8" t="s">
        <v>100</v>
      </c>
      <c r="AX1172" s="4" t="s">
        <v>100</v>
      </c>
      <c r="AY1172" s="8" t="s">
        <v>100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/>
      <c r="BJ1172" s="4">
        <v>319</v>
      </c>
      <c r="BK1172" s="8">
        <v>15181.2</v>
      </c>
      <c r="BL1172" s="2" t="s">
        <v>2842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147</v>
      </c>
      <c r="BV1172" s="2" t="s">
        <v>97</v>
      </c>
      <c r="BW1172" s="2" t="s">
        <v>100</v>
      </c>
      <c r="BX1172" s="2" t="s">
        <v>100</v>
      </c>
      <c r="BY1172" s="2" t="s">
        <v>112</v>
      </c>
      <c r="BZ1172" s="2" t="s">
        <v>100</v>
      </c>
    </row>
    <row r="1173">
      <c r="A1173" s="2" t="s">
        <v>4090</v>
      </c>
      <c r="B1173" s="2" t="s">
        <v>87</v>
      </c>
      <c r="C1173" s="2" t="s">
        <v>3586</v>
      </c>
      <c r="D1173" s="2" t="s">
        <v>89</v>
      </c>
      <c r="E1173" s="2" t="s">
        <v>2005</v>
      </c>
      <c r="F1173" s="2" t="s">
        <v>4065</v>
      </c>
      <c r="G1173" s="2" t="s">
        <v>4066</v>
      </c>
      <c r="H1173" s="2" t="s">
        <v>4067</v>
      </c>
      <c r="I1173" s="2" t="s">
        <v>4068</v>
      </c>
      <c r="J1173" s="2" t="s">
        <v>3012</v>
      </c>
      <c r="K1173" s="2" t="s">
        <v>4091</v>
      </c>
      <c r="L1173" s="3">
        <v>30.95</v>
      </c>
      <c r="M1173" s="3">
        <v>32.5</v>
      </c>
      <c r="N1173" s="3">
        <v>64.99</v>
      </c>
      <c r="O1173" s="2" t="s">
        <v>97</v>
      </c>
      <c r="P1173" s="2" t="s">
        <v>1166</v>
      </c>
      <c r="Q1173" s="2" t="s">
        <v>99</v>
      </c>
      <c r="R1173" s="2" t="s">
        <v>100</v>
      </c>
      <c r="S1173" s="2" t="s">
        <v>4092</v>
      </c>
      <c r="T1173" s="2" t="s">
        <v>184</v>
      </c>
      <c r="U1173" s="2" t="s">
        <v>790</v>
      </c>
      <c r="V1173" s="2" t="s">
        <v>561</v>
      </c>
      <c r="W1173" s="2" t="s">
        <v>759</v>
      </c>
      <c r="X1173" s="2" t="s">
        <v>100</v>
      </c>
      <c r="Y1173" s="2" t="s">
        <v>100</v>
      </c>
      <c r="Z1173" s="4"/>
      <c r="AA1173" s="4">
        <f>=ROUNDDOWN({0},0)</f>
      </c>
      <c r="AB1173" s="5"/>
      <c r="AC1173" s="2" t="s">
        <v>4093</v>
      </c>
      <c r="AD1173" s="4">
        <v>120</v>
      </c>
      <c r="AE1173" s="4">
        <v>370</v>
      </c>
      <c r="AF1173" s="6">
        <v>65</v>
      </c>
      <c r="AG1173" s="6"/>
      <c r="AH1173" s="7">
        <v>0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/>
      <c r="BJ1173" s="4"/>
      <c r="BK1173" s="8"/>
      <c r="BL1173" s="2" t="s">
        <v>100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1171</v>
      </c>
      <c r="BV1173" s="2" t="s">
        <v>97</v>
      </c>
      <c r="BW1173" s="2" t="s">
        <v>100</v>
      </c>
      <c r="BX1173" s="2" t="s">
        <v>100</v>
      </c>
      <c r="BY1173" s="2" t="s">
        <v>112</v>
      </c>
      <c r="BZ1173" s="2" t="s">
        <v>100</v>
      </c>
    </row>
    <row r="1174">
      <c r="A1174" s="2" t="s">
        <v>4094</v>
      </c>
      <c r="B1174" s="2" t="s">
        <v>87</v>
      </c>
      <c r="C1174" s="2" t="s">
        <v>3586</v>
      </c>
      <c r="D1174" s="2" t="s">
        <v>89</v>
      </c>
      <c r="E1174" s="2" t="s">
        <v>2005</v>
      </c>
      <c r="F1174" s="2" t="s">
        <v>4065</v>
      </c>
      <c r="G1174" s="2" t="s">
        <v>4066</v>
      </c>
      <c r="H1174" s="2" t="s">
        <v>4067</v>
      </c>
      <c r="I1174" s="2" t="s">
        <v>4068</v>
      </c>
      <c r="J1174" s="2" t="s">
        <v>122</v>
      </c>
      <c r="K1174" s="2" t="s">
        <v>4091</v>
      </c>
      <c r="L1174" s="3">
        <v>35.71</v>
      </c>
      <c r="M1174" s="3">
        <v>37.5</v>
      </c>
      <c r="N1174" s="3">
        <v>74.99</v>
      </c>
      <c r="O1174" s="2" t="s">
        <v>97</v>
      </c>
      <c r="P1174" s="2" t="s">
        <v>1166</v>
      </c>
      <c r="Q1174" s="2" t="s">
        <v>99</v>
      </c>
      <c r="R1174" s="2" t="s">
        <v>100</v>
      </c>
      <c r="S1174" s="2" t="s">
        <v>4092</v>
      </c>
      <c r="T1174" s="2" t="s">
        <v>184</v>
      </c>
      <c r="U1174" s="2" t="s">
        <v>102</v>
      </c>
      <c r="V1174" s="2" t="s">
        <v>561</v>
      </c>
      <c r="W1174" s="2" t="s">
        <v>759</v>
      </c>
      <c r="X1174" s="2" t="s">
        <v>100</v>
      </c>
      <c r="Y1174" s="2" t="s">
        <v>4095</v>
      </c>
      <c r="Z1174" s="4"/>
      <c r="AA1174" s="4">
        <f>=ROUNDDOWN({0},0)</f>
      </c>
      <c r="AB1174" s="5">
        <v>14</v>
      </c>
      <c r="AC1174" s="2" t="s">
        <v>4093</v>
      </c>
      <c r="AD1174" s="4">
        <v>160</v>
      </c>
      <c r="AE1174" s="4">
        <v>500</v>
      </c>
      <c r="AF1174" s="6">
        <v>65</v>
      </c>
      <c r="AG1174" s="6"/>
      <c r="AH1174" s="7">
        <v>0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/>
      <c r="BJ1174" s="4"/>
      <c r="BK1174" s="8"/>
      <c r="BL1174" s="2" t="s">
        <v>100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1171</v>
      </c>
      <c r="BV1174" s="2" t="s">
        <v>97</v>
      </c>
      <c r="BW1174" s="2" t="s">
        <v>100</v>
      </c>
      <c r="BX1174" s="2" t="s">
        <v>100</v>
      </c>
      <c r="BY1174" s="2" t="s">
        <v>112</v>
      </c>
      <c r="BZ1174" s="2" t="s">
        <v>100</v>
      </c>
    </row>
    <row r="1175">
      <c r="A1175" s="2" t="s">
        <v>4096</v>
      </c>
      <c r="B1175" s="2" t="s">
        <v>87</v>
      </c>
      <c r="C1175" s="2" t="s">
        <v>3586</v>
      </c>
      <c r="D1175" s="2" t="s">
        <v>89</v>
      </c>
      <c r="E1175" s="2" t="s">
        <v>2005</v>
      </c>
      <c r="F1175" s="2" t="s">
        <v>4065</v>
      </c>
      <c r="G1175" s="2" t="s">
        <v>4066</v>
      </c>
      <c r="H1175" s="2" t="s">
        <v>4067</v>
      </c>
      <c r="I1175" s="2" t="s">
        <v>4068</v>
      </c>
      <c r="J1175" s="2" t="s">
        <v>95</v>
      </c>
      <c r="K1175" s="2" t="s">
        <v>4091</v>
      </c>
      <c r="L1175" s="3">
        <v>38.09</v>
      </c>
      <c r="M1175" s="3">
        <v>39.99</v>
      </c>
      <c r="N1175" s="3">
        <v>79.99</v>
      </c>
      <c r="O1175" s="2" t="s">
        <v>97</v>
      </c>
      <c r="P1175" s="2" t="s">
        <v>1166</v>
      </c>
      <c r="Q1175" s="2" t="s">
        <v>99</v>
      </c>
      <c r="R1175" s="2" t="s">
        <v>100</v>
      </c>
      <c r="S1175" s="2" t="s">
        <v>4092</v>
      </c>
      <c r="T1175" s="2" t="s">
        <v>184</v>
      </c>
      <c r="U1175" s="2" t="s">
        <v>102</v>
      </c>
      <c r="V1175" s="2" t="s">
        <v>561</v>
      </c>
      <c r="W1175" s="2" t="s">
        <v>759</v>
      </c>
      <c r="X1175" s="2" t="s">
        <v>100</v>
      </c>
      <c r="Y1175" s="2" t="s">
        <v>4095</v>
      </c>
      <c r="Z1175" s="4"/>
      <c r="AA1175" s="4">
        <f>=ROUNDDOWN({0},0)</f>
      </c>
      <c r="AB1175" s="5">
        <v>7</v>
      </c>
      <c r="AC1175" s="2" t="s">
        <v>4093</v>
      </c>
      <c r="AD1175" s="4">
        <v>280</v>
      </c>
      <c r="AE1175" s="4">
        <v>870</v>
      </c>
      <c r="AF1175" s="6">
        <v>65</v>
      </c>
      <c r="AG1175" s="6"/>
      <c r="AH1175" s="7">
        <v>0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/>
      <c r="BJ1175" s="4"/>
      <c r="BK1175" s="8"/>
      <c r="BL1175" s="2" t="s">
        <v>100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1171</v>
      </c>
      <c r="BV1175" s="2" t="s">
        <v>97</v>
      </c>
      <c r="BW1175" s="2" t="s">
        <v>100</v>
      </c>
      <c r="BX1175" s="2" t="s">
        <v>100</v>
      </c>
      <c r="BY1175" s="2" t="s">
        <v>112</v>
      </c>
      <c r="BZ1175" s="2" t="s">
        <v>100</v>
      </c>
    </row>
    <row r="1176">
      <c r="A1176" s="2" t="s">
        <v>4097</v>
      </c>
      <c r="B1176" s="2" t="s">
        <v>87</v>
      </c>
      <c r="C1176" s="2" t="s">
        <v>3586</v>
      </c>
      <c r="D1176" s="2" t="s">
        <v>89</v>
      </c>
      <c r="E1176" s="2" t="s">
        <v>2005</v>
      </c>
      <c r="F1176" s="2" t="s">
        <v>4065</v>
      </c>
      <c r="G1176" s="2" t="s">
        <v>4066</v>
      </c>
      <c r="H1176" s="2" t="s">
        <v>4067</v>
      </c>
      <c r="I1176" s="2" t="s">
        <v>4068</v>
      </c>
      <c r="J1176" s="2" t="s">
        <v>114</v>
      </c>
      <c r="K1176" s="2" t="s">
        <v>4091</v>
      </c>
      <c r="L1176" s="3">
        <v>42.85</v>
      </c>
      <c r="M1176" s="3">
        <v>44.99</v>
      </c>
      <c r="N1176" s="3">
        <v>89.99</v>
      </c>
      <c r="O1176" s="2" t="s">
        <v>97</v>
      </c>
      <c r="P1176" s="2" t="s">
        <v>1166</v>
      </c>
      <c r="Q1176" s="2" t="s">
        <v>99</v>
      </c>
      <c r="R1176" s="2" t="s">
        <v>100</v>
      </c>
      <c r="S1176" s="2" t="s">
        <v>4092</v>
      </c>
      <c r="T1176" s="2" t="s">
        <v>184</v>
      </c>
      <c r="U1176" s="2" t="s">
        <v>102</v>
      </c>
      <c r="V1176" s="2" t="s">
        <v>561</v>
      </c>
      <c r="W1176" s="2" t="s">
        <v>759</v>
      </c>
      <c r="X1176" s="2" t="s">
        <v>100</v>
      </c>
      <c r="Y1176" s="2" t="s">
        <v>100</v>
      </c>
      <c r="Z1176" s="4"/>
      <c r="AA1176" s="4">
        <f>=ROUNDDOWN({0},0)</f>
      </c>
      <c r="AB1176" s="5"/>
      <c r="AC1176" s="2" t="s">
        <v>4093</v>
      </c>
      <c r="AD1176" s="4">
        <v>160</v>
      </c>
      <c r="AE1176" s="4">
        <v>500</v>
      </c>
      <c r="AF1176" s="6">
        <v>65</v>
      </c>
      <c r="AG1176" s="6"/>
      <c r="AH1176" s="7">
        <v>0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/>
      <c r="BJ1176" s="4"/>
      <c r="BK1176" s="8"/>
      <c r="BL1176" s="2" t="s">
        <v>100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1171</v>
      </c>
      <c r="BV1176" s="2" t="s">
        <v>97</v>
      </c>
      <c r="BW1176" s="2" t="s">
        <v>100</v>
      </c>
      <c r="BX1176" s="2" t="s">
        <v>100</v>
      </c>
      <c r="BY1176" s="2" t="s">
        <v>112</v>
      </c>
      <c r="BZ1176" s="2" t="s">
        <v>100</v>
      </c>
    </row>
    <row r="1177">
      <c r="A1177" s="2" t="s">
        <v>4098</v>
      </c>
      <c r="B1177" s="2" t="s">
        <v>87</v>
      </c>
      <c r="C1177" s="2" t="s">
        <v>3586</v>
      </c>
      <c r="D1177" s="2" t="s">
        <v>89</v>
      </c>
      <c r="E1177" s="2" t="s">
        <v>2005</v>
      </c>
      <c r="F1177" s="2" t="s">
        <v>4065</v>
      </c>
      <c r="G1177" s="2" t="s">
        <v>4066</v>
      </c>
      <c r="H1177" s="2" t="s">
        <v>4067</v>
      </c>
      <c r="I1177" s="2" t="s">
        <v>4068</v>
      </c>
      <c r="J1177" s="2" t="s">
        <v>118</v>
      </c>
      <c r="K1177" s="2" t="s">
        <v>4091</v>
      </c>
      <c r="L1177" s="3">
        <v>42.85</v>
      </c>
      <c r="M1177" s="3">
        <v>44.99</v>
      </c>
      <c r="N1177" s="3">
        <v>89.99</v>
      </c>
      <c r="O1177" s="2" t="s">
        <v>97</v>
      </c>
      <c r="P1177" s="2" t="s">
        <v>1166</v>
      </c>
      <c r="Q1177" s="2" t="s">
        <v>99</v>
      </c>
      <c r="R1177" s="2" t="s">
        <v>100</v>
      </c>
      <c r="S1177" s="2" t="s">
        <v>4092</v>
      </c>
      <c r="T1177" s="2" t="s">
        <v>184</v>
      </c>
      <c r="U1177" s="2" t="s">
        <v>102</v>
      </c>
      <c r="V1177" s="2" t="s">
        <v>561</v>
      </c>
      <c r="W1177" s="2" t="s">
        <v>759</v>
      </c>
      <c r="X1177" s="2" t="s">
        <v>100</v>
      </c>
      <c r="Y1177" s="2" t="s">
        <v>100</v>
      </c>
      <c r="Z1177" s="4"/>
      <c r="AA1177" s="4">
        <f>=ROUNDDOWN({0},0)</f>
      </c>
      <c r="AB1177" s="5"/>
      <c r="AC1177" s="2" t="s">
        <v>4093</v>
      </c>
      <c r="AD1177" s="4">
        <v>80</v>
      </c>
      <c r="AE1177" s="4">
        <v>260</v>
      </c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/>
      <c r="BJ1177" s="4"/>
      <c r="BK1177" s="8"/>
      <c r="BL1177" s="2" t="s">
        <v>100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1171</v>
      </c>
      <c r="BV1177" s="2" t="s">
        <v>97</v>
      </c>
      <c r="BW1177" s="2" t="s">
        <v>100</v>
      </c>
      <c r="BX1177" s="2" t="s">
        <v>100</v>
      </c>
      <c r="BY1177" s="2" t="s">
        <v>112</v>
      </c>
      <c r="BZ1177" s="2" t="s">
        <v>100</v>
      </c>
    </row>
    <row r="1178">
      <c r="A1178" s="2" t="s">
        <v>4099</v>
      </c>
      <c r="B1178" s="2" t="s">
        <v>87</v>
      </c>
      <c r="C1178" s="2" t="s">
        <v>3586</v>
      </c>
      <c r="D1178" s="2" t="s">
        <v>89</v>
      </c>
      <c r="E1178" s="2" t="s">
        <v>2005</v>
      </c>
      <c r="F1178" s="2" t="s">
        <v>4065</v>
      </c>
      <c r="G1178" s="2" t="s">
        <v>4066</v>
      </c>
      <c r="H1178" s="2" t="s">
        <v>4067</v>
      </c>
      <c r="I1178" s="2" t="s">
        <v>4068</v>
      </c>
      <c r="J1178" s="2" t="s">
        <v>3012</v>
      </c>
      <c r="K1178" s="2" t="s">
        <v>4100</v>
      </c>
      <c r="L1178" s="3">
        <v>30.95</v>
      </c>
      <c r="M1178" s="3">
        <v>32.5</v>
      </c>
      <c r="N1178" s="3">
        <v>64.99</v>
      </c>
      <c r="O1178" s="2" t="s">
        <v>97</v>
      </c>
      <c r="P1178" s="2" t="s">
        <v>1166</v>
      </c>
      <c r="Q1178" s="2" t="s">
        <v>99</v>
      </c>
      <c r="R1178" s="2" t="s">
        <v>100</v>
      </c>
      <c r="S1178" s="2" t="s">
        <v>4101</v>
      </c>
      <c r="T1178" s="2" t="s">
        <v>184</v>
      </c>
      <c r="U1178" s="2" t="s">
        <v>790</v>
      </c>
      <c r="V1178" s="2" t="s">
        <v>561</v>
      </c>
      <c r="W1178" s="2" t="s">
        <v>759</v>
      </c>
      <c r="X1178" s="2" t="s">
        <v>100</v>
      </c>
      <c r="Y1178" s="2" t="s">
        <v>100</v>
      </c>
      <c r="Z1178" s="4"/>
      <c r="AA1178" s="4">
        <f>=ROUNDDOWN({0},0)</f>
      </c>
      <c r="AB1178" s="5"/>
      <c r="AC1178" s="2" t="s">
        <v>4093</v>
      </c>
      <c r="AD1178" s="4">
        <v>150</v>
      </c>
      <c r="AE1178" s="4">
        <v>450</v>
      </c>
      <c r="AF1178" s="6">
        <v>65</v>
      </c>
      <c r="AG1178" s="6"/>
      <c r="AH1178" s="7">
        <v>0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100</v>
      </c>
      <c r="AW1178" s="8" t="s">
        <v>100</v>
      </c>
      <c r="AX1178" s="4" t="s">
        <v>100</v>
      </c>
      <c r="AY1178" s="8" t="s">
        <v>100</v>
      </c>
      <c r="AZ1178" s="7" t="s">
        <v>100</v>
      </c>
      <c r="BA1178" s="7" t="s">
        <v>100</v>
      </c>
      <c r="BB1178" s="7"/>
      <c r="BC1178" s="4" t="s">
        <v>100</v>
      </c>
      <c r="BD1178" s="8" t="s">
        <v>100</v>
      </c>
      <c r="BE1178" s="4" t="s">
        <v>100</v>
      </c>
      <c r="BF1178" s="8" t="s">
        <v>100</v>
      </c>
      <c r="BG1178" s="7" t="s">
        <v>100</v>
      </c>
      <c r="BH1178" s="7" t="s">
        <v>100</v>
      </c>
      <c r="BI1178" s="7"/>
      <c r="BJ1178" s="4"/>
      <c r="BK1178" s="8"/>
      <c r="BL1178" s="2" t="s">
        <v>100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1171</v>
      </c>
      <c r="BV1178" s="2" t="s">
        <v>97</v>
      </c>
      <c r="BW1178" s="2" t="s">
        <v>100</v>
      </c>
      <c r="BX1178" s="2" t="s">
        <v>100</v>
      </c>
      <c r="BY1178" s="2" t="s">
        <v>112</v>
      </c>
      <c r="BZ1178" s="2" t="s">
        <v>100</v>
      </c>
    </row>
    <row r="1179">
      <c r="A1179" s="2" t="s">
        <v>4102</v>
      </c>
      <c r="B1179" s="2" t="s">
        <v>87</v>
      </c>
      <c r="C1179" s="2" t="s">
        <v>3586</v>
      </c>
      <c r="D1179" s="2" t="s">
        <v>89</v>
      </c>
      <c r="E1179" s="2" t="s">
        <v>2005</v>
      </c>
      <c r="F1179" s="2" t="s">
        <v>4065</v>
      </c>
      <c r="G1179" s="2" t="s">
        <v>4066</v>
      </c>
      <c r="H1179" s="2" t="s">
        <v>4067</v>
      </c>
      <c r="I1179" s="2" t="s">
        <v>4068</v>
      </c>
      <c r="J1179" s="2" t="s">
        <v>122</v>
      </c>
      <c r="K1179" s="2" t="s">
        <v>4100</v>
      </c>
      <c r="L1179" s="3">
        <v>35.71</v>
      </c>
      <c r="M1179" s="3">
        <v>37.5</v>
      </c>
      <c r="N1179" s="3">
        <v>74.99</v>
      </c>
      <c r="O1179" s="2" t="s">
        <v>97</v>
      </c>
      <c r="P1179" s="2" t="s">
        <v>1166</v>
      </c>
      <c r="Q1179" s="2" t="s">
        <v>99</v>
      </c>
      <c r="R1179" s="2" t="s">
        <v>100</v>
      </c>
      <c r="S1179" s="2" t="s">
        <v>4101</v>
      </c>
      <c r="T1179" s="2" t="s">
        <v>184</v>
      </c>
      <c r="U1179" s="2" t="s">
        <v>102</v>
      </c>
      <c r="V1179" s="2" t="s">
        <v>561</v>
      </c>
      <c r="W1179" s="2" t="s">
        <v>759</v>
      </c>
      <c r="X1179" s="2" t="s">
        <v>100</v>
      </c>
      <c r="Y1179" s="2" t="s">
        <v>100</v>
      </c>
      <c r="Z1179" s="4"/>
      <c r="AA1179" s="4">
        <f>=ROUNDDOWN({0},0)</f>
      </c>
      <c r="AB1179" s="5"/>
      <c r="AC1179" s="2" t="s">
        <v>4093</v>
      </c>
      <c r="AD1179" s="4">
        <v>200</v>
      </c>
      <c r="AE1179" s="4">
        <v>600</v>
      </c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/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/>
      <c r="BJ1179" s="4"/>
      <c r="BK1179" s="8"/>
      <c r="BL1179" s="2" t="s">
        <v>100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1171</v>
      </c>
      <c r="BV1179" s="2" t="s">
        <v>97</v>
      </c>
      <c r="BW1179" s="2" t="s">
        <v>100</v>
      </c>
      <c r="BX1179" s="2" t="s">
        <v>100</v>
      </c>
      <c r="BY1179" s="2" t="s">
        <v>112</v>
      </c>
      <c r="BZ1179" s="2" t="s">
        <v>100</v>
      </c>
    </row>
    <row r="1180">
      <c r="A1180" s="2" t="s">
        <v>4103</v>
      </c>
      <c r="B1180" s="2" t="s">
        <v>87</v>
      </c>
      <c r="C1180" s="2" t="s">
        <v>3586</v>
      </c>
      <c r="D1180" s="2" t="s">
        <v>89</v>
      </c>
      <c r="E1180" s="2" t="s">
        <v>2005</v>
      </c>
      <c r="F1180" s="2" t="s">
        <v>4065</v>
      </c>
      <c r="G1180" s="2" t="s">
        <v>4066</v>
      </c>
      <c r="H1180" s="2" t="s">
        <v>4067</v>
      </c>
      <c r="I1180" s="2" t="s">
        <v>4068</v>
      </c>
      <c r="J1180" s="2" t="s">
        <v>95</v>
      </c>
      <c r="K1180" s="2" t="s">
        <v>4100</v>
      </c>
      <c r="L1180" s="3">
        <v>38.09</v>
      </c>
      <c r="M1180" s="3">
        <v>39.99</v>
      </c>
      <c r="N1180" s="3">
        <v>79.99</v>
      </c>
      <c r="O1180" s="2" t="s">
        <v>97</v>
      </c>
      <c r="P1180" s="2" t="s">
        <v>1166</v>
      </c>
      <c r="Q1180" s="2" t="s">
        <v>99</v>
      </c>
      <c r="R1180" s="2" t="s">
        <v>100</v>
      </c>
      <c r="S1180" s="2" t="s">
        <v>4101</v>
      </c>
      <c r="T1180" s="2" t="s">
        <v>184</v>
      </c>
      <c r="U1180" s="2" t="s">
        <v>102</v>
      </c>
      <c r="V1180" s="2" t="s">
        <v>561</v>
      </c>
      <c r="W1180" s="2" t="s">
        <v>759</v>
      </c>
      <c r="X1180" s="2" t="s">
        <v>100</v>
      </c>
      <c r="Y1180" s="2" t="s">
        <v>4095</v>
      </c>
      <c r="Z1180" s="4"/>
      <c r="AA1180" s="4">
        <f>=ROUNDDOWN({0},0)</f>
      </c>
      <c r="AB1180" s="5">
        <v>14</v>
      </c>
      <c r="AC1180" s="2" t="s">
        <v>4093</v>
      </c>
      <c r="AD1180" s="4">
        <v>350</v>
      </c>
      <c r="AE1180" s="4">
        <v>1050</v>
      </c>
      <c r="AF1180" s="6">
        <v>65</v>
      </c>
      <c r="AG1180" s="6"/>
      <c r="AH1180" s="7">
        <v>0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/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/>
      <c r="BJ1180" s="4"/>
      <c r="BK1180" s="8"/>
      <c r="BL1180" s="2" t="s">
        <v>100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1171</v>
      </c>
      <c r="BV1180" s="2" t="s">
        <v>97</v>
      </c>
      <c r="BW1180" s="2" t="s">
        <v>100</v>
      </c>
      <c r="BX1180" s="2" t="s">
        <v>100</v>
      </c>
      <c r="BY1180" s="2" t="s">
        <v>112</v>
      </c>
      <c r="BZ1180" s="2" t="s">
        <v>100</v>
      </c>
    </row>
    <row r="1181">
      <c r="A1181" s="2" t="s">
        <v>4104</v>
      </c>
      <c r="B1181" s="2" t="s">
        <v>87</v>
      </c>
      <c r="C1181" s="2" t="s">
        <v>3586</v>
      </c>
      <c r="D1181" s="2" t="s">
        <v>89</v>
      </c>
      <c r="E1181" s="2" t="s">
        <v>2005</v>
      </c>
      <c r="F1181" s="2" t="s">
        <v>4065</v>
      </c>
      <c r="G1181" s="2" t="s">
        <v>4066</v>
      </c>
      <c r="H1181" s="2" t="s">
        <v>4067</v>
      </c>
      <c r="I1181" s="2" t="s">
        <v>4068</v>
      </c>
      <c r="J1181" s="2" t="s">
        <v>114</v>
      </c>
      <c r="K1181" s="2" t="s">
        <v>4100</v>
      </c>
      <c r="L1181" s="3">
        <v>42.85</v>
      </c>
      <c r="M1181" s="3">
        <v>44.99</v>
      </c>
      <c r="N1181" s="3">
        <v>89.99</v>
      </c>
      <c r="O1181" s="2" t="s">
        <v>97</v>
      </c>
      <c r="P1181" s="2" t="s">
        <v>1166</v>
      </c>
      <c r="Q1181" s="2" t="s">
        <v>99</v>
      </c>
      <c r="R1181" s="2" t="s">
        <v>100</v>
      </c>
      <c r="S1181" s="2" t="s">
        <v>4101</v>
      </c>
      <c r="T1181" s="2" t="s">
        <v>184</v>
      </c>
      <c r="U1181" s="2" t="s">
        <v>102</v>
      </c>
      <c r="V1181" s="2" t="s">
        <v>561</v>
      </c>
      <c r="W1181" s="2" t="s">
        <v>759</v>
      </c>
      <c r="X1181" s="2" t="s">
        <v>100</v>
      </c>
      <c r="Y1181" s="2" t="s">
        <v>4095</v>
      </c>
      <c r="Z1181" s="4"/>
      <c r="AA1181" s="4">
        <f>=ROUNDDOWN({0},0)</f>
      </c>
      <c r="AB1181" s="5">
        <v>7</v>
      </c>
      <c r="AC1181" s="2" t="s">
        <v>4093</v>
      </c>
      <c r="AD1181" s="4">
        <v>200</v>
      </c>
      <c r="AE1181" s="4">
        <v>600</v>
      </c>
      <c r="AF1181" s="6">
        <v>65</v>
      </c>
      <c r="AG1181" s="6"/>
      <c r="AH1181" s="7">
        <v>0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/>
      <c r="BJ1181" s="4"/>
      <c r="BK1181" s="8"/>
      <c r="BL1181" s="2" t="s">
        <v>100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1171</v>
      </c>
      <c r="BV1181" s="2" t="s">
        <v>97</v>
      </c>
      <c r="BW1181" s="2" t="s">
        <v>100</v>
      </c>
      <c r="BX1181" s="2" t="s">
        <v>100</v>
      </c>
      <c r="BY1181" s="2" t="s">
        <v>112</v>
      </c>
      <c r="BZ1181" s="2" t="s">
        <v>100</v>
      </c>
    </row>
    <row r="1182">
      <c r="A1182" s="2" t="s">
        <v>4105</v>
      </c>
      <c r="B1182" s="2" t="s">
        <v>87</v>
      </c>
      <c r="C1182" s="2" t="s">
        <v>3586</v>
      </c>
      <c r="D1182" s="2" t="s">
        <v>89</v>
      </c>
      <c r="E1182" s="2" t="s">
        <v>2005</v>
      </c>
      <c r="F1182" s="2" t="s">
        <v>4065</v>
      </c>
      <c r="G1182" s="2" t="s">
        <v>4066</v>
      </c>
      <c r="H1182" s="2" t="s">
        <v>4067</v>
      </c>
      <c r="I1182" s="2" t="s">
        <v>4068</v>
      </c>
      <c r="J1182" s="2" t="s">
        <v>118</v>
      </c>
      <c r="K1182" s="2" t="s">
        <v>4100</v>
      </c>
      <c r="L1182" s="3">
        <v>42.85</v>
      </c>
      <c r="M1182" s="3">
        <v>44.99</v>
      </c>
      <c r="N1182" s="3">
        <v>89.99</v>
      </c>
      <c r="O1182" s="2" t="s">
        <v>97</v>
      </c>
      <c r="P1182" s="2" t="s">
        <v>1166</v>
      </c>
      <c r="Q1182" s="2" t="s">
        <v>99</v>
      </c>
      <c r="R1182" s="2" t="s">
        <v>100</v>
      </c>
      <c r="S1182" s="2" t="s">
        <v>4101</v>
      </c>
      <c r="T1182" s="2" t="s">
        <v>184</v>
      </c>
      <c r="U1182" s="2" t="s">
        <v>102</v>
      </c>
      <c r="V1182" s="2" t="s">
        <v>561</v>
      </c>
      <c r="W1182" s="2" t="s">
        <v>759</v>
      </c>
      <c r="X1182" s="2" t="s">
        <v>100</v>
      </c>
      <c r="Y1182" s="2" t="s">
        <v>100</v>
      </c>
      <c r="Z1182" s="4"/>
      <c r="AA1182" s="4">
        <f>=ROUNDDOWN({0},0)</f>
      </c>
      <c r="AB1182" s="5"/>
      <c r="AC1182" s="2" t="s">
        <v>4093</v>
      </c>
      <c r="AD1182" s="4">
        <v>100</v>
      </c>
      <c r="AE1182" s="4">
        <v>300</v>
      </c>
      <c r="AF1182" s="6">
        <v>65</v>
      </c>
      <c r="AG1182" s="6"/>
      <c r="AH1182" s="7">
        <v>0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/>
      <c r="BJ1182" s="4"/>
      <c r="BK1182" s="8"/>
      <c r="BL1182" s="2" t="s">
        <v>100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1171</v>
      </c>
      <c r="BV1182" s="2" t="s">
        <v>97</v>
      </c>
      <c r="BW1182" s="2" t="s">
        <v>100</v>
      </c>
      <c r="BX1182" s="2" t="s">
        <v>100</v>
      </c>
      <c r="BY1182" s="2" t="s">
        <v>112</v>
      </c>
      <c r="BZ1182" s="2" t="s">
        <v>100</v>
      </c>
    </row>
    <row r="1183">
      <c r="A1183" s="2" t="s">
        <v>4106</v>
      </c>
      <c r="B1183" s="2" t="s">
        <v>87</v>
      </c>
      <c r="C1183" s="2" t="s">
        <v>3586</v>
      </c>
      <c r="D1183" s="2" t="s">
        <v>89</v>
      </c>
      <c r="E1183" s="2" t="s">
        <v>2005</v>
      </c>
      <c r="F1183" s="2" t="s">
        <v>4065</v>
      </c>
      <c r="G1183" s="2" t="s">
        <v>4066</v>
      </c>
      <c r="H1183" s="2" t="s">
        <v>4067</v>
      </c>
      <c r="I1183" s="2" t="s">
        <v>4068</v>
      </c>
      <c r="J1183" s="2" t="s">
        <v>3012</v>
      </c>
      <c r="K1183" s="2" t="s">
        <v>4107</v>
      </c>
      <c r="L1183" s="3">
        <v>30.95</v>
      </c>
      <c r="M1183" s="3">
        <v>32.5</v>
      </c>
      <c r="N1183" s="3">
        <v>64.99</v>
      </c>
      <c r="O1183" s="2" t="s">
        <v>97</v>
      </c>
      <c r="P1183" s="2" t="s">
        <v>182</v>
      </c>
      <c r="Q1183" s="2" t="s">
        <v>99</v>
      </c>
      <c r="R1183" s="2" t="s">
        <v>100</v>
      </c>
      <c r="S1183" s="2" t="s">
        <v>4108</v>
      </c>
      <c r="T1183" s="2" t="s">
        <v>184</v>
      </c>
      <c r="U1183" s="2" t="s">
        <v>790</v>
      </c>
      <c r="V1183" s="2" t="s">
        <v>561</v>
      </c>
      <c r="W1183" s="2" t="s">
        <v>759</v>
      </c>
      <c r="X1183" s="2" t="s">
        <v>100</v>
      </c>
      <c r="Y1183" s="2" t="s">
        <v>4071</v>
      </c>
      <c r="Z1183" s="4"/>
      <c r="AA1183" s="4">
        <f>=ROUNDDOWN({0},0)</f>
      </c>
      <c r="AB1183" s="5">
        <v>16</v>
      </c>
      <c r="AC1183" s="2" t="s">
        <v>145</v>
      </c>
      <c r="AD1183" s="4">
        <v>80</v>
      </c>
      <c r="AE1183" s="4">
        <v>545</v>
      </c>
      <c r="AF1183" s="6">
        <v>64</v>
      </c>
      <c r="AG1183" s="6"/>
      <c r="AH1183" s="7">
        <v>0.6788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/>
      <c r="BJ1183" s="4">
        <v>189</v>
      </c>
      <c r="BK1183" s="8">
        <v>6525.64</v>
      </c>
      <c r="BL1183" s="2" t="s">
        <v>1461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1171</v>
      </c>
      <c r="BV1183" s="2" t="s">
        <v>97</v>
      </c>
      <c r="BW1183" s="2" t="s">
        <v>100</v>
      </c>
      <c r="BX1183" s="2" t="s">
        <v>100</v>
      </c>
      <c r="BY1183" s="2" t="s">
        <v>112</v>
      </c>
      <c r="BZ1183" s="2" t="s">
        <v>100</v>
      </c>
    </row>
    <row r="1184">
      <c r="A1184" s="2" t="s">
        <v>4109</v>
      </c>
      <c r="B1184" s="2" t="s">
        <v>87</v>
      </c>
      <c r="C1184" s="2" t="s">
        <v>3586</v>
      </c>
      <c r="D1184" s="2" t="s">
        <v>89</v>
      </c>
      <c r="E1184" s="2" t="s">
        <v>2005</v>
      </c>
      <c r="F1184" s="2" t="s">
        <v>4065</v>
      </c>
      <c r="G1184" s="2" t="s">
        <v>4066</v>
      </c>
      <c r="H1184" s="2" t="s">
        <v>4067</v>
      </c>
      <c r="I1184" s="2" t="s">
        <v>4068</v>
      </c>
      <c r="J1184" s="2" t="s">
        <v>122</v>
      </c>
      <c r="K1184" s="2" t="s">
        <v>4107</v>
      </c>
      <c r="L1184" s="3">
        <v>35.71</v>
      </c>
      <c r="M1184" s="3">
        <v>37.5</v>
      </c>
      <c r="N1184" s="3">
        <v>74.99</v>
      </c>
      <c r="O1184" s="2" t="s">
        <v>97</v>
      </c>
      <c r="P1184" s="2" t="s">
        <v>182</v>
      </c>
      <c r="Q1184" s="2" t="s">
        <v>99</v>
      </c>
      <c r="R1184" s="2" t="s">
        <v>100</v>
      </c>
      <c r="S1184" s="2" t="s">
        <v>4108</v>
      </c>
      <c r="T1184" s="2" t="s">
        <v>184</v>
      </c>
      <c r="U1184" s="2" t="s">
        <v>102</v>
      </c>
      <c r="V1184" s="2" t="s">
        <v>561</v>
      </c>
      <c r="W1184" s="2" t="s">
        <v>759</v>
      </c>
      <c r="X1184" s="2" t="s">
        <v>100</v>
      </c>
      <c r="Y1184" s="2" t="s">
        <v>4071</v>
      </c>
      <c r="Z1184" s="4"/>
      <c r="AA1184" s="4">
        <f>=ROUNDDOWN({0},0)</f>
      </c>
      <c r="AB1184" s="5">
        <v>25</v>
      </c>
      <c r="AC1184" s="2" t="s">
        <v>145</v>
      </c>
      <c r="AD1184" s="4">
        <v>100</v>
      </c>
      <c r="AE1184" s="4">
        <v>767</v>
      </c>
      <c r="AF1184" s="6">
        <v>64</v>
      </c>
      <c r="AG1184" s="6"/>
      <c r="AH1184" s="7">
        <v>0.5576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/>
      <c r="BJ1184" s="4">
        <v>223</v>
      </c>
      <c r="BK1184" s="8">
        <v>8870.25</v>
      </c>
      <c r="BL1184" s="2" t="s">
        <v>2050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1171</v>
      </c>
      <c r="BV1184" s="2" t="s">
        <v>97</v>
      </c>
      <c r="BW1184" s="2" t="s">
        <v>100</v>
      </c>
      <c r="BX1184" s="2" t="s">
        <v>100</v>
      </c>
      <c r="BY1184" s="2" t="s">
        <v>112</v>
      </c>
      <c r="BZ1184" s="2" t="s">
        <v>100</v>
      </c>
    </row>
    <row r="1185">
      <c r="A1185" s="2" t="s">
        <v>4110</v>
      </c>
      <c r="B1185" s="2" t="s">
        <v>87</v>
      </c>
      <c r="C1185" s="2" t="s">
        <v>3586</v>
      </c>
      <c r="D1185" s="2" t="s">
        <v>89</v>
      </c>
      <c r="E1185" s="2" t="s">
        <v>2005</v>
      </c>
      <c r="F1185" s="2" t="s">
        <v>4065</v>
      </c>
      <c r="G1185" s="2" t="s">
        <v>4066</v>
      </c>
      <c r="H1185" s="2" t="s">
        <v>4067</v>
      </c>
      <c r="I1185" s="2" t="s">
        <v>4068</v>
      </c>
      <c r="J1185" s="2" t="s">
        <v>95</v>
      </c>
      <c r="K1185" s="2" t="s">
        <v>4107</v>
      </c>
      <c r="L1185" s="3">
        <v>38.09</v>
      </c>
      <c r="M1185" s="3">
        <v>39.99</v>
      </c>
      <c r="N1185" s="3">
        <v>79.99</v>
      </c>
      <c r="O1185" s="2" t="s">
        <v>97</v>
      </c>
      <c r="P1185" s="2" t="s">
        <v>182</v>
      </c>
      <c r="Q1185" s="2" t="s">
        <v>99</v>
      </c>
      <c r="R1185" s="2" t="s">
        <v>100</v>
      </c>
      <c r="S1185" s="2" t="s">
        <v>4108</v>
      </c>
      <c r="T1185" s="2" t="s">
        <v>184</v>
      </c>
      <c r="U1185" s="2" t="s">
        <v>102</v>
      </c>
      <c r="V1185" s="2" t="s">
        <v>561</v>
      </c>
      <c r="W1185" s="2" t="s">
        <v>759</v>
      </c>
      <c r="X1185" s="2" t="s">
        <v>100</v>
      </c>
      <c r="Y1185" s="2" t="s">
        <v>4071</v>
      </c>
      <c r="Z1185" s="4"/>
      <c r="AA1185" s="4">
        <f>=ROUNDDOWN({0},0)</f>
      </c>
      <c r="AB1185" s="5">
        <v>47</v>
      </c>
      <c r="AC1185" s="2" t="s">
        <v>145</v>
      </c>
      <c r="AD1185" s="4">
        <v>240</v>
      </c>
      <c r="AE1185" s="4">
        <v>1390</v>
      </c>
      <c r="AF1185" s="6">
        <v>64</v>
      </c>
      <c r="AG1185" s="6"/>
      <c r="AH1185" s="7">
        <v>0.5273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466</v>
      </c>
      <c r="BK1185" s="8">
        <v>19871.04</v>
      </c>
      <c r="BL1185" s="2" t="s">
        <v>2050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1171</v>
      </c>
      <c r="BV1185" s="2" t="s">
        <v>97</v>
      </c>
      <c r="BW1185" s="2" t="s">
        <v>100</v>
      </c>
      <c r="BX1185" s="2" t="s">
        <v>100</v>
      </c>
      <c r="BY1185" s="2" t="s">
        <v>112</v>
      </c>
      <c r="BZ1185" s="2" t="s">
        <v>100</v>
      </c>
    </row>
    <row r="1186">
      <c r="A1186" s="2" t="s">
        <v>4111</v>
      </c>
      <c r="B1186" s="2" t="s">
        <v>87</v>
      </c>
      <c r="C1186" s="2" t="s">
        <v>3586</v>
      </c>
      <c r="D1186" s="2" t="s">
        <v>89</v>
      </c>
      <c r="E1186" s="2" t="s">
        <v>2005</v>
      </c>
      <c r="F1186" s="2" t="s">
        <v>4065</v>
      </c>
      <c r="G1186" s="2" t="s">
        <v>4066</v>
      </c>
      <c r="H1186" s="2" t="s">
        <v>4067</v>
      </c>
      <c r="I1186" s="2" t="s">
        <v>4068</v>
      </c>
      <c r="J1186" s="2" t="s">
        <v>114</v>
      </c>
      <c r="K1186" s="2" t="s">
        <v>4107</v>
      </c>
      <c r="L1186" s="3">
        <v>42.85</v>
      </c>
      <c r="M1186" s="3">
        <v>44.99</v>
      </c>
      <c r="N1186" s="3">
        <v>89.99</v>
      </c>
      <c r="O1186" s="2" t="s">
        <v>97</v>
      </c>
      <c r="P1186" s="2" t="s">
        <v>182</v>
      </c>
      <c r="Q1186" s="2" t="s">
        <v>99</v>
      </c>
      <c r="R1186" s="2" t="s">
        <v>100</v>
      </c>
      <c r="S1186" s="2" t="s">
        <v>4108</v>
      </c>
      <c r="T1186" s="2" t="s">
        <v>184</v>
      </c>
      <c r="U1186" s="2" t="s">
        <v>102</v>
      </c>
      <c r="V1186" s="2" t="s">
        <v>561</v>
      </c>
      <c r="W1186" s="2" t="s">
        <v>759</v>
      </c>
      <c r="X1186" s="2" t="s">
        <v>100</v>
      </c>
      <c r="Y1186" s="2" t="s">
        <v>4071</v>
      </c>
      <c r="Z1186" s="4"/>
      <c r="AA1186" s="4">
        <f>=ROUNDDOWN({0},0)</f>
      </c>
      <c r="AB1186" s="5">
        <v>25</v>
      </c>
      <c r="AC1186" s="2" t="s">
        <v>145</v>
      </c>
      <c r="AD1186" s="4">
        <v>160</v>
      </c>
      <c r="AE1186" s="4">
        <v>758</v>
      </c>
      <c r="AF1186" s="6">
        <v>64</v>
      </c>
      <c r="AG1186" s="6"/>
      <c r="AH1186" s="7">
        <v>0.3697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/>
      <c r="BJ1186" s="4">
        <v>216</v>
      </c>
      <c r="BK1186" s="8">
        <v>10445.33</v>
      </c>
      <c r="BL1186" s="2" t="s">
        <v>4072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1171</v>
      </c>
      <c r="BV1186" s="2" t="s">
        <v>97</v>
      </c>
      <c r="BW1186" s="2" t="s">
        <v>100</v>
      </c>
      <c r="BX1186" s="2" t="s">
        <v>100</v>
      </c>
      <c r="BY1186" s="2" t="s">
        <v>112</v>
      </c>
      <c r="BZ1186" s="2" t="s">
        <v>100</v>
      </c>
    </row>
    <row r="1187">
      <c r="A1187" s="2" t="s">
        <v>4112</v>
      </c>
      <c r="B1187" s="2" t="s">
        <v>87</v>
      </c>
      <c r="C1187" s="2" t="s">
        <v>3586</v>
      </c>
      <c r="D1187" s="2" t="s">
        <v>89</v>
      </c>
      <c r="E1187" s="2" t="s">
        <v>2005</v>
      </c>
      <c r="F1187" s="2" t="s">
        <v>4065</v>
      </c>
      <c r="G1187" s="2" t="s">
        <v>4066</v>
      </c>
      <c r="H1187" s="2" t="s">
        <v>4067</v>
      </c>
      <c r="I1187" s="2" t="s">
        <v>4068</v>
      </c>
      <c r="J1187" s="2" t="s">
        <v>118</v>
      </c>
      <c r="K1187" s="2" t="s">
        <v>4107</v>
      </c>
      <c r="L1187" s="3">
        <v>42.85</v>
      </c>
      <c r="M1187" s="3">
        <v>44.99</v>
      </c>
      <c r="N1187" s="3">
        <v>89.99</v>
      </c>
      <c r="O1187" s="2" t="s">
        <v>97</v>
      </c>
      <c r="P1187" s="2" t="s">
        <v>182</v>
      </c>
      <c r="Q1187" s="2" t="s">
        <v>99</v>
      </c>
      <c r="R1187" s="2" t="s">
        <v>100</v>
      </c>
      <c r="S1187" s="2" t="s">
        <v>4108</v>
      </c>
      <c r="T1187" s="2" t="s">
        <v>184</v>
      </c>
      <c r="U1187" s="2" t="s">
        <v>102</v>
      </c>
      <c r="V1187" s="2" t="s">
        <v>561</v>
      </c>
      <c r="W1187" s="2" t="s">
        <v>759</v>
      </c>
      <c r="X1187" s="2" t="s">
        <v>100</v>
      </c>
      <c r="Y1187" s="2" t="s">
        <v>4071</v>
      </c>
      <c r="Z1187" s="4"/>
      <c r="AA1187" s="4">
        <f>=ROUNDDOWN({0},0)</f>
      </c>
      <c r="AB1187" s="5">
        <v>17</v>
      </c>
      <c r="AC1187" s="2" t="s">
        <v>145</v>
      </c>
      <c r="AD1187" s="4">
        <v>100</v>
      </c>
      <c r="AE1187" s="4">
        <v>520</v>
      </c>
      <c r="AF1187" s="6">
        <v>64</v>
      </c>
      <c r="AG1187" s="6"/>
      <c r="AH1187" s="7">
        <v>0.4788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/>
      <c r="BJ1187" s="4">
        <v>128</v>
      </c>
      <c r="BK1187" s="8">
        <v>6145.97</v>
      </c>
      <c r="BL1187" s="2" t="s">
        <v>4072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1171</v>
      </c>
      <c r="BV1187" s="2" t="s">
        <v>97</v>
      </c>
      <c r="BW1187" s="2" t="s">
        <v>100</v>
      </c>
      <c r="BX1187" s="2" t="s">
        <v>100</v>
      </c>
      <c r="BY1187" s="2" t="s">
        <v>112</v>
      </c>
      <c r="BZ1187" s="2" t="s">
        <v>100</v>
      </c>
    </row>
    <row r="1188">
      <c r="A1188" s="2" t="s">
        <v>4113</v>
      </c>
      <c r="B1188" s="2" t="s">
        <v>87</v>
      </c>
      <c r="C1188" s="2" t="s">
        <v>3586</v>
      </c>
      <c r="D1188" s="2" t="s">
        <v>89</v>
      </c>
      <c r="E1188" s="2" t="s">
        <v>2005</v>
      </c>
      <c r="F1188" s="2" t="s">
        <v>4114</v>
      </c>
      <c r="G1188" s="2" t="s">
        <v>4115</v>
      </c>
      <c r="H1188" s="2" t="s">
        <v>4116</v>
      </c>
      <c r="I1188" s="2" t="s">
        <v>3775</v>
      </c>
      <c r="J1188" s="2" t="s">
        <v>3012</v>
      </c>
      <c r="K1188" s="2" t="s">
        <v>267</v>
      </c>
      <c r="L1188" s="3">
        <v>51.99</v>
      </c>
      <c r="M1188" s="3">
        <v>54.59</v>
      </c>
      <c r="N1188" s="3">
        <v>99.99</v>
      </c>
      <c r="O1188" s="2" t="s">
        <v>97</v>
      </c>
      <c r="P1188" s="2" t="s">
        <v>182</v>
      </c>
      <c r="Q1188" s="2" t="s">
        <v>99</v>
      </c>
      <c r="R1188" s="2" t="s">
        <v>100</v>
      </c>
      <c r="S1188" s="2" t="s">
        <v>4117</v>
      </c>
      <c r="T1188" s="2" t="s">
        <v>100</v>
      </c>
      <c r="U1188" s="2" t="s">
        <v>102</v>
      </c>
      <c r="V1188" s="2" t="s">
        <v>991</v>
      </c>
      <c r="W1188" s="2" t="s">
        <v>759</v>
      </c>
      <c r="X1188" s="2" t="s">
        <v>3303</v>
      </c>
      <c r="Y1188" s="2" t="s">
        <v>106</v>
      </c>
      <c r="Z1188" s="4">
        <v>70</v>
      </c>
      <c r="AA1188" s="4">
        <f>=ROUNDDOWN(10,0)</f>
      </c>
      <c r="AB1188" s="5">
        <v>7</v>
      </c>
      <c r="AC1188" s="2" t="s">
        <v>874</v>
      </c>
      <c r="AD1188" s="4">
        <v>60</v>
      </c>
      <c r="AE1188" s="4">
        <v>280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>
        <v>104</v>
      </c>
      <c r="BK1188" s="8">
        <v>5424.93</v>
      </c>
      <c r="BL1188" s="2" t="s">
        <v>4118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147</v>
      </c>
      <c r="BV1188" s="2" t="s">
        <v>97</v>
      </c>
      <c r="BW1188" s="2" t="s">
        <v>100</v>
      </c>
      <c r="BX1188" s="2" t="s">
        <v>100</v>
      </c>
      <c r="BY1188" s="2" t="s">
        <v>112</v>
      </c>
      <c r="BZ1188" s="2" t="s">
        <v>100</v>
      </c>
    </row>
    <row r="1189">
      <c r="A1189" s="2" t="s">
        <v>4119</v>
      </c>
      <c r="B1189" s="2" t="s">
        <v>87</v>
      </c>
      <c r="C1189" s="2" t="s">
        <v>3586</v>
      </c>
      <c r="D1189" s="2" t="s">
        <v>89</v>
      </c>
      <c r="E1189" s="2" t="s">
        <v>2005</v>
      </c>
      <c r="F1189" s="2" t="s">
        <v>4114</v>
      </c>
      <c r="G1189" s="2" t="s">
        <v>4115</v>
      </c>
      <c r="H1189" s="2" t="s">
        <v>4116</v>
      </c>
      <c r="I1189" s="2" t="s">
        <v>3783</v>
      </c>
      <c r="J1189" s="2" t="s">
        <v>122</v>
      </c>
      <c r="K1189" s="2" t="s">
        <v>267</v>
      </c>
      <c r="L1189" s="3">
        <v>57.19</v>
      </c>
      <c r="M1189" s="3">
        <v>60.05</v>
      </c>
      <c r="N1189" s="3">
        <v>109.99</v>
      </c>
      <c r="O1189" s="2" t="s">
        <v>97</v>
      </c>
      <c r="P1189" s="2" t="s">
        <v>182</v>
      </c>
      <c r="Q1189" s="2" t="s">
        <v>99</v>
      </c>
      <c r="R1189" s="2" t="s">
        <v>100</v>
      </c>
      <c r="S1189" s="2" t="s">
        <v>4117</v>
      </c>
      <c r="T1189" s="2" t="s">
        <v>100</v>
      </c>
      <c r="U1189" s="2" t="s">
        <v>807</v>
      </c>
      <c r="V1189" s="2" t="s">
        <v>991</v>
      </c>
      <c r="W1189" s="2" t="s">
        <v>759</v>
      </c>
      <c r="X1189" s="2" t="s">
        <v>3303</v>
      </c>
      <c r="Y1189" s="2" t="s">
        <v>106</v>
      </c>
      <c r="Z1189" s="4">
        <v>76</v>
      </c>
      <c r="AA1189" s="4">
        <f>=ROUNDDOWN(8.44444444444444,0)</f>
      </c>
      <c r="AB1189" s="5">
        <v>9</v>
      </c>
      <c r="AC1189" s="2" t="s">
        <v>874</v>
      </c>
      <c r="AD1189" s="4">
        <v>90</v>
      </c>
      <c r="AE1189" s="4">
        <v>340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/>
      <c r="BJ1189" s="4">
        <v>118</v>
      </c>
      <c r="BK1189" s="8">
        <v>6951.95</v>
      </c>
      <c r="BL1189" s="2" t="s">
        <v>3331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147</v>
      </c>
      <c r="BV1189" s="2" t="s">
        <v>97</v>
      </c>
      <c r="BW1189" s="2" t="s">
        <v>100</v>
      </c>
      <c r="BX1189" s="2" t="s">
        <v>100</v>
      </c>
      <c r="BY1189" s="2" t="s">
        <v>112</v>
      </c>
      <c r="BZ1189" s="2" t="s">
        <v>100</v>
      </c>
    </row>
    <row r="1190">
      <c r="A1190" s="2" t="s">
        <v>4120</v>
      </c>
      <c r="B1190" s="2" t="s">
        <v>87</v>
      </c>
      <c r="C1190" s="2" t="s">
        <v>3586</v>
      </c>
      <c r="D1190" s="2" t="s">
        <v>89</v>
      </c>
      <c r="E1190" s="2" t="s">
        <v>2005</v>
      </c>
      <c r="F1190" s="2" t="s">
        <v>4114</v>
      </c>
      <c r="G1190" s="2" t="s">
        <v>4115</v>
      </c>
      <c r="H1190" s="2" t="s">
        <v>4116</v>
      </c>
      <c r="I1190" s="2" t="s">
        <v>3783</v>
      </c>
      <c r="J1190" s="2" t="s">
        <v>95</v>
      </c>
      <c r="K1190" s="2" t="s">
        <v>267</v>
      </c>
      <c r="L1190" s="3">
        <v>62.39</v>
      </c>
      <c r="M1190" s="3">
        <v>65.51</v>
      </c>
      <c r="N1190" s="3">
        <v>119.99</v>
      </c>
      <c r="O1190" s="2" t="s">
        <v>97</v>
      </c>
      <c r="P1190" s="2" t="s">
        <v>182</v>
      </c>
      <c r="Q1190" s="2" t="s">
        <v>99</v>
      </c>
      <c r="R1190" s="2" t="s">
        <v>100</v>
      </c>
      <c r="S1190" s="2" t="s">
        <v>4117</v>
      </c>
      <c r="T1190" s="2" t="s">
        <v>100</v>
      </c>
      <c r="U1190" s="2" t="s">
        <v>807</v>
      </c>
      <c r="V1190" s="2" t="s">
        <v>991</v>
      </c>
      <c r="W1190" s="2" t="s">
        <v>759</v>
      </c>
      <c r="X1190" s="2" t="s">
        <v>3303</v>
      </c>
      <c r="Y1190" s="2" t="s">
        <v>106</v>
      </c>
      <c r="Z1190" s="4">
        <v>260</v>
      </c>
      <c r="AA1190" s="4">
        <f>=ROUNDDOWN(12.3809523809524,0)</f>
      </c>
      <c r="AB1190" s="5">
        <v>21</v>
      </c>
      <c r="AC1190" s="2" t="s">
        <v>874</v>
      </c>
      <c r="AD1190" s="4">
        <v>100</v>
      </c>
      <c r="AE1190" s="4">
        <v>600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/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/>
      <c r="BJ1190" s="4">
        <v>368</v>
      </c>
      <c r="BK1190" s="8">
        <v>23692.35</v>
      </c>
      <c r="BL1190" s="2" t="s">
        <v>4121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147</v>
      </c>
      <c r="BV1190" s="2" t="s">
        <v>97</v>
      </c>
      <c r="BW1190" s="2" t="s">
        <v>100</v>
      </c>
      <c r="BX1190" s="2" t="s">
        <v>100</v>
      </c>
      <c r="BY1190" s="2" t="s">
        <v>112</v>
      </c>
      <c r="BZ1190" s="2" t="s">
        <v>100</v>
      </c>
    </row>
    <row r="1191">
      <c r="A1191" s="2" t="s">
        <v>4122</v>
      </c>
      <c r="B1191" s="2" t="s">
        <v>87</v>
      </c>
      <c r="C1191" s="2" t="s">
        <v>3586</v>
      </c>
      <c r="D1191" s="2" t="s">
        <v>89</v>
      </c>
      <c r="E1191" s="2" t="s">
        <v>2005</v>
      </c>
      <c r="F1191" s="2" t="s">
        <v>4114</v>
      </c>
      <c r="G1191" s="2" t="s">
        <v>4115</v>
      </c>
      <c r="H1191" s="2" t="s">
        <v>4116</v>
      </c>
      <c r="I1191" s="2" t="s">
        <v>3783</v>
      </c>
      <c r="J1191" s="2" t="s">
        <v>114</v>
      </c>
      <c r="K1191" s="2" t="s">
        <v>267</v>
      </c>
      <c r="L1191" s="3">
        <v>67.59</v>
      </c>
      <c r="M1191" s="3">
        <v>70.97</v>
      </c>
      <c r="N1191" s="3">
        <v>129.99</v>
      </c>
      <c r="O1191" s="2" t="s">
        <v>97</v>
      </c>
      <c r="P1191" s="2" t="s">
        <v>182</v>
      </c>
      <c r="Q1191" s="2" t="s">
        <v>99</v>
      </c>
      <c r="R1191" s="2" t="s">
        <v>100</v>
      </c>
      <c r="S1191" s="2" t="s">
        <v>4117</v>
      </c>
      <c r="T1191" s="2" t="s">
        <v>100</v>
      </c>
      <c r="U1191" s="2" t="s">
        <v>807</v>
      </c>
      <c r="V1191" s="2" t="s">
        <v>991</v>
      </c>
      <c r="W1191" s="2" t="s">
        <v>759</v>
      </c>
      <c r="X1191" s="2" t="s">
        <v>3303</v>
      </c>
      <c r="Y1191" s="2" t="s">
        <v>106</v>
      </c>
      <c r="Z1191" s="4">
        <v>211</v>
      </c>
      <c r="AA1191" s="4">
        <f>=ROUNDDOWN(16.2307692307692,0)</f>
      </c>
      <c r="AB1191" s="5">
        <v>13</v>
      </c>
      <c r="AC1191" s="2" t="s">
        <v>874</v>
      </c>
      <c r="AD1191" s="4">
        <v>60</v>
      </c>
      <c r="AE1191" s="4">
        <v>340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187</v>
      </c>
      <c r="BK1191" s="8">
        <v>13114.3</v>
      </c>
      <c r="BL1191" s="2" t="s">
        <v>4123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147</v>
      </c>
      <c r="BV1191" s="2" t="s">
        <v>97</v>
      </c>
      <c r="BW1191" s="2" t="s">
        <v>100</v>
      </c>
      <c r="BX1191" s="2" t="s">
        <v>100</v>
      </c>
      <c r="BY1191" s="2" t="s">
        <v>112</v>
      </c>
      <c r="BZ1191" s="2" t="s">
        <v>100</v>
      </c>
    </row>
    <row r="1192">
      <c r="A1192" s="2" t="s">
        <v>4124</v>
      </c>
      <c r="B1192" s="2" t="s">
        <v>87</v>
      </c>
      <c r="C1192" s="2" t="s">
        <v>3586</v>
      </c>
      <c r="D1192" s="2" t="s">
        <v>89</v>
      </c>
      <c r="E1192" s="2" t="s">
        <v>2005</v>
      </c>
      <c r="F1192" s="2" t="s">
        <v>4114</v>
      </c>
      <c r="G1192" s="2" t="s">
        <v>4115</v>
      </c>
      <c r="H1192" s="2" t="s">
        <v>4116</v>
      </c>
      <c r="I1192" s="2" t="s">
        <v>3783</v>
      </c>
      <c r="J1192" s="2" t="s">
        <v>118</v>
      </c>
      <c r="K1192" s="2" t="s">
        <v>267</v>
      </c>
      <c r="L1192" s="3">
        <v>67.59</v>
      </c>
      <c r="M1192" s="3">
        <v>70.97</v>
      </c>
      <c r="N1192" s="3">
        <v>129.99</v>
      </c>
      <c r="O1192" s="2" t="s">
        <v>97</v>
      </c>
      <c r="P1192" s="2" t="s">
        <v>182</v>
      </c>
      <c r="Q1192" s="2" t="s">
        <v>99</v>
      </c>
      <c r="R1192" s="2" t="s">
        <v>100</v>
      </c>
      <c r="S1192" s="2" t="s">
        <v>4117</v>
      </c>
      <c r="T1192" s="2" t="s">
        <v>100</v>
      </c>
      <c r="U1192" s="2" t="s">
        <v>807</v>
      </c>
      <c r="V1192" s="2" t="s">
        <v>991</v>
      </c>
      <c r="W1192" s="2" t="s">
        <v>759</v>
      </c>
      <c r="X1192" s="2" t="s">
        <v>3303</v>
      </c>
      <c r="Y1192" s="2" t="s">
        <v>106</v>
      </c>
      <c r="Z1192" s="4">
        <v>48</v>
      </c>
      <c r="AA1192" s="4">
        <f>=ROUNDDOWN(6.85714285714286,0)</f>
      </c>
      <c r="AB1192" s="5">
        <v>7</v>
      </c>
      <c r="AC1192" s="2" t="s">
        <v>874</v>
      </c>
      <c r="AD1192" s="4">
        <v>50</v>
      </c>
      <c r="AE1192" s="4">
        <v>280</v>
      </c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111</v>
      </c>
      <c r="BK1192" s="8">
        <v>7876.2</v>
      </c>
      <c r="BL1192" s="2" t="s">
        <v>4125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147</v>
      </c>
      <c r="BV1192" s="2" t="s">
        <v>97</v>
      </c>
      <c r="BW1192" s="2" t="s">
        <v>100</v>
      </c>
      <c r="BX1192" s="2" t="s">
        <v>100</v>
      </c>
      <c r="BY1192" s="2" t="s">
        <v>112</v>
      </c>
      <c r="BZ1192" s="2" t="s">
        <v>100</v>
      </c>
    </row>
    <row r="1193">
      <c r="A1193" s="2" t="s">
        <v>4126</v>
      </c>
      <c r="B1193" s="2" t="s">
        <v>87</v>
      </c>
      <c r="C1193" s="2" t="s">
        <v>3586</v>
      </c>
      <c r="D1193" s="2" t="s">
        <v>89</v>
      </c>
      <c r="E1193" s="2" t="s">
        <v>2005</v>
      </c>
      <c r="F1193" s="2" t="s">
        <v>4114</v>
      </c>
      <c r="G1193" s="2" t="s">
        <v>4127</v>
      </c>
      <c r="H1193" s="2" t="s">
        <v>4116</v>
      </c>
      <c r="I1193" s="2" t="s">
        <v>4128</v>
      </c>
      <c r="J1193" s="2" t="s">
        <v>95</v>
      </c>
      <c r="K1193" s="2" t="s">
        <v>247</v>
      </c>
      <c r="L1193" s="3">
        <v>54.54</v>
      </c>
      <c r="M1193" s="3">
        <v>57.27</v>
      </c>
      <c r="N1193" s="3">
        <v>99</v>
      </c>
      <c r="O1193" s="2" t="s">
        <v>1148</v>
      </c>
      <c r="P1193" s="2" t="s">
        <v>1602</v>
      </c>
      <c r="Q1193" s="2" t="s">
        <v>99</v>
      </c>
      <c r="R1193" s="2" t="s">
        <v>100</v>
      </c>
      <c r="S1193" s="2" t="s">
        <v>4129</v>
      </c>
      <c r="T1193" s="2" t="s">
        <v>100</v>
      </c>
      <c r="U1193" s="2" t="s">
        <v>807</v>
      </c>
      <c r="V1193" s="2" t="s">
        <v>3244</v>
      </c>
      <c r="W1193" s="2" t="s">
        <v>759</v>
      </c>
      <c r="X1193" s="2" t="s">
        <v>3303</v>
      </c>
      <c r="Y1193" s="2" t="s">
        <v>106</v>
      </c>
      <c r="Z1193" s="4"/>
      <c r="AA1193" s="4">
        <f>=ROUNDDOWN({0},0)</f>
      </c>
      <c r="AB1193" s="5"/>
      <c r="AC1193" s="2" t="s">
        <v>100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/>
      <c r="BK1193" s="8"/>
      <c r="BL1193" s="2" t="s">
        <v>100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147</v>
      </c>
      <c r="BV1193" s="2" t="s">
        <v>97</v>
      </c>
      <c r="BW1193" s="2" t="s">
        <v>100</v>
      </c>
      <c r="BX1193" s="2" t="s">
        <v>100</v>
      </c>
      <c r="BY1193" s="2" t="s">
        <v>112</v>
      </c>
      <c r="BZ1193" s="2" t="s">
        <v>100</v>
      </c>
    </row>
    <row r="1194">
      <c r="A1194" s="2" t="s">
        <v>4130</v>
      </c>
      <c r="B1194" s="2" t="s">
        <v>87</v>
      </c>
      <c r="C1194" s="2" t="s">
        <v>3586</v>
      </c>
      <c r="D1194" s="2" t="s">
        <v>89</v>
      </c>
      <c r="E1194" s="2" t="s">
        <v>2005</v>
      </c>
      <c r="F1194" s="2" t="s">
        <v>4114</v>
      </c>
      <c r="G1194" s="2" t="s">
        <v>4115</v>
      </c>
      <c r="H1194" s="2" t="s">
        <v>4116</v>
      </c>
      <c r="I1194" s="2" t="s">
        <v>3775</v>
      </c>
      <c r="J1194" s="2" t="s">
        <v>3012</v>
      </c>
      <c r="K1194" s="2" t="s">
        <v>333</v>
      </c>
      <c r="L1194" s="3">
        <v>51.99</v>
      </c>
      <c r="M1194" s="3">
        <v>54.59</v>
      </c>
      <c r="N1194" s="3">
        <v>99.99</v>
      </c>
      <c r="O1194" s="2" t="s">
        <v>97</v>
      </c>
      <c r="P1194" s="2" t="s">
        <v>182</v>
      </c>
      <c r="Q1194" s="2" t="s">
        <v>99</v>
      </c>
      <c r="R1194" s="2" t="s">
        <v>100</v>
      </c>
      <c r="S1194" s="2" t="s">
        <v>4131</v>
      </c>
      <c r="T1194" s="2" t="s">
        <v>100</v>
      </c>
      <c r="U1194" s="2" t="s">
        <v>102</v>
      </c>
      <c r="V1194" s="2" t="s">
        <v>991</v>
      </c>
      <c r="W1194" s="2" t="s">
        <v>759</v>
      </c>
      <c r="X1194" s="2" t="s">
        <v>3303</v>
      </c>
      <c r="Y1194" s="2" t="s">
        <v>106</v>
      </c>
      <c r="Z1194" s="4">
        <v>244</v>
      </c>
      <c r="AA1194" s="4">
        <f>=ROUNDDOWN(61,0)</f>
      </c>
      <c r="AB1194" s="5">
        <v>4</v>
      </c>
      <c r="AC1194" s="2" t="s">
        <v>100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46</v>
      </c>
      <c r="BK1194" s="8">
        <v>2403.28</v>
      </c>
      <c r="BL1194" s="2" t="s">
        <v>4132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147</v>
      </c>
      <c r="BV1194" s="2" t="s">
        <v>97</v>
      </c>
      <c r="BW1194" s="2" t="s">
        <v>100</v>
      </c>
      <c r="BX1194" s="2" t="s">
        <v>100</v>
      </c>
      <c r="BY1194" s="2" t="s">
        <v>112</v>
      </c>
      <c r="BZ1194" s="2" t="s">
        <v>100</v>
      </c>
    </row>
    <row r="1195">
      <c r="A1195" s="2" t="s">
        <v>4133</v>
      </c>
      <c r="B1195" s="2" t="s">
        <v>87</v>
      </c>
      <c r="C1195" s="2" t="s">
        <v>3586</v>
      </c>
      <c r="D1195" s="2" t="s">
        <v>89</v>
      </c>
      <c r="E1195" s="2" t="s">
        <v>2005</v>
      </c>
      <c r="F1195" s="2" t="s">
        <v>4114</v>
      </c>
      <c r="G1195" s="2" t="s">
        <v>4115</v>
      </c>
      <c r="H1195" s="2" t="s">
        <v>4116</v>
      </c>
      <c r="I1195" s="2" t="s">
        <v>3783</v>
      </c>
      <c r="J1195" s="2" t="s">
        <v>122</v>
      </c>
      <c r="K1195" s="2" t="s">
        <v>333</v>
      </c>
      <c r="L1195" s="3">
        <v>57.19</v>
      </c>
      <c r="M1195" s="3">
        <v>60.05</v>
      </c>
      <c r="N1195" s="3">
        <v>109.99</v>
      </c>
      <c r="O1195" s="2" t="s">
        <v>97</v>
      </c>
      <c r="P1195" s="2" t="s">
        <v>182</v>
      </c>
      <c r="Q1195" s="2" t="s">
        <v>99</v>
      </c>
      <c r="R1195" s="2" t="s">
        <v>100</v>
      </c>
      <c r="S1195" s="2" t="s">
        <v>4131</v>
      </c>
      <c r="T1195" s="2" t="s">
        <v>100</v>
      </c>
      <c r="U1195" s="2" t="s">
        <v>807</v>
      </c>
      <c r="V1195" s="2" t="s">
        <v>991</v>
      </c>
      <c r="W1195" s="2" t="s">
        <v>759</v>
      </c>
      <c r="X1195" s="2" t="s">
        <v>3303</v>
      </c>
      <c r="Y1195" s="2" t="s">
        <v>106</v>
      </c>
      <c r="Z1195" s="4">
        <v>194</v>
      </c>
      <c r="AA1195" s="4">
        <f>=ROUNDDOWN(27.7142857142857,0)</f>
      </c>
      <c r="AB1195" s="5">
        <v>7</v>
      </c>
      <c r="AC1195" s="2" t="s">
        <v>533</v>
      </c>
      <c r="AD1195" s="4">
        <v>50</v>
      </c>
      <c r="AE1195" s="4">
        <v>130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106</v>
      </c>
      <c r="BK1195" s="8">
        <v>6262.89</v>
      </c>
      <c r="BL1195" s="2" t="s">
        <v>4134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147</v>
      </c>
      <c r="BV1195" s="2" t="s">
        <v>97</v>
      </c>
      <c r="BW1195" s="2" t="s">
        <v>100</v>
      </c>
      <c r="BX1195" s="2" t="s">
        <v>100</v>
      </c>
      <c r="BY1195" s="2" t="s">
        <v>112</v>
      </c>
      <c r="BZ1195" s="2" t="s">
        <v>100</v>
      </c>
    </row>
    <row r="1196">
      <c r="A1196" s="2" t="s">
        <v>4135</v>
      </c>
      <c r="B1196" s="2" t="s">
        <v>87</v>
      </c>
      <c r="C1196" s="2" t="s">
        <v>3586</v>
      </c>
      <c r="D1196" s="2" t="s">
        <v>89</v>
      </c>
      <c r="E1196" s="2" t="s">
        <v>2005</v>
      </c>
      <c r="F1196" s="2" t="s">
        <v>4114</v>
      </c>
      <c r="G1196" s="2" t="s">
        <v>4115</v>
      </c>
      <c r="H1196" s="2" t="s">
        <v>4116</v>
      </c>
      <c r="I1196" s="2" t="s">
        <v>3783</v>
      </c>
      <c r="J1196" s="2" t="s">
        <v>95</v>
      </c>
      <c r="K1196" s="2" t="s">
        <v>333</v>
      </c>
      <c r="L1196" s="3">
        <v>62.39</v>
      </c>
      <c r="M1196" s="3">
        <v>65.51</v>
      </c>
      <c r="N1196" s="3">
        <v>119.99</v>
      </c>
      <c r="O1196" s="2" t="s">
        <v>97</v>
      </c>
      <c r="P1196" s="2" t="s">
        <v>182</v>
      </c>
      <c r="Q1196" s="2" t="s">
        <v>99</v>
      </c>
      <c r="R1196" s="2" t="s">
        <v>100</v>
      </c>
      <c r="S1196" s="2" t="s">
        <v>4131</v>
      </c>
      <c r="T1196" s="2" t="s">
        <v>100</v>
      </c>
      <c r="U1196" s="2" t="s">
        <v>807</v>
      </c>
      <c r="V1196" s="2" t="s">
        <v>991</v>
      </c>
      <c r="W1196" s="2" t="s">
        <v>759</v>
      </c>
      <c r="X1196" s="2" t="s">
        <v>3303</v>
      </c>
      <c r="Y1196" s="2" t="s">
        <v>106</v>
      </c>
      <c r="Z1196" s="4">
        <v>282</v>
      </c>
      <c r="AA1196" s="4">
        <f>=ROUNDDOWN(20.1428571428571,0)</f>
      </c>
      <c r="AB1196" s="5">
        <v>14</v>
      </c>
      <c r="AC1196" s="2" t="s">
        <v>533</v>
      </c>
      <c r="AD1196" s="4">
        <v>200</v>
      </c>
      <c r="AE1196" s="4">
        <v>340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219</v>
      </c>
      <c r="BK1196" s="8">
        <v>14305.24</v>
      </c>
      <c r="BL1196" s="2" t="s">
        <v>4136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147</v>
      </c>
      <c r="BV1196" s="2" t="s">
        <v>97</v>
      </c>
      <c r="BW1196" s="2" t="s">
        <v>100</v>
      </c>
      <c r="BX1196" s="2" t="s">
        <v>100</v>
      </c>
      <c r="BY1196" s="2" t="s">
        <v>112</v>
      </c>
      <c r="BZ1196" s="2" t="s">
        <v>100</v>
      </c>
    </row>
    <row r="1197">
      <c r="A1197" s="2" t="s">
        <v>4137</v>
      </c>
      <c r="B1197" s="2" t="s">
        <v>87</v>
      </c>
      <c r="C1197" s="2" t="s">
        <v>3586</v>
      </c>
      <c r="D1197" s="2" t="s">
        <v>89</v>
      </c>
      <c r="E1197" s="2" t="s">
        <v>2005</v>
      </c>
      <c r="F1197" s="2" t="s">
        <v>4114</v>
      </c>
      <c r="G1197" s="2" t="s">
        <v>4115</v>
      </c>
      <c r="H1197" s="2" t="s">
        <v>4116</v>
      </c>
      <c r="I1197" s="2" t="s">
        <v>3783</v>
      </c>
      <c r="J1197" s="2" t="s">
        <v>114</v>
      </c>
      <c r="K1197" s="2" t="s">
        <v>333</v>
      </c>
      <c r="L1197" s="3">
        <v>67.59</v>
      </c>
      <c r="M1197" s="3">
        <v>70.97</v>
      </c>
      <c r="N1197" s="3">
        <v>129.99</v>
      </c>
      <c r="O1197" s="2" t="s">
        <v>97</v>
      </c>
      <c r="P1197" s="2" t="s">
        <v>182</v>
      </c>
      <c r="Q1197" s="2" t="s">
        <v>99</v>
      </c>
      <c r="R1197" s="2" t="s">
        <v>100</v>
      </c>
      <c r="S1197" s="2" t="s">
        <v>4131</v>
      </c>
      <c r="T1197" s="2" t="s">
        <v>100</v>
      </c>
      <c r="U1197" s="2" t="s">
        <v>807</v>
      </c>
      <c r="V1197" s="2" t="s">
        <v>991</v>
      </c>
      <c r="W1197" s="2" t="s">
        <v>759</v>
      </c>
      <c r="X1197" s="2" t="s">
        <v>3303</v>
      </c>
      <c r="Y1197" s="2" t="s">
        <v>106</v>
      </c>
      <c r="Z1197" s="4">
        <v>250</v>
      </c>
      <c r="AA1197" s="4">
        <f>=ROUNDDOWN(27.7777777777778,0)</f>
      </c>
      <c r="AB1197" s="5">
        <v>9</v>
      </c>
      <c r="AC1197" s="2" t="s">
        <v>533</v>
      </c>
      <c r="AD1197" s="4">
        <v>100</v>
      </c>
      <c r="AE1197" s="4">
        <v>160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148</v>
      </c>
      <c r="BK1197" s="8">
        <v>10659.52</v>
      </c>
      <c r="BL1197" s="2" t="s">
        <v>4136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147</v>
      </c>
      <c r="BV1197" s="2" t="s">
        <v>97</v>
      </c>
      <c r="BW1197" s="2" t="s">
        <v>100</v>
      </c>
      <c r="BX1197" s="2" t="s">
        <v>100</v>
      </c>
      <c r="BY1197" s="2" t="s">
        <v>112</v>
      </c>
      <c r="BZ1197" s="2" t="s">
        <v>100</v>
      </c>
    </row>
    <row r="1198">
      <c r="A1198" s="2" t="s">
        <v>4138</v>
      </c>
      <c r="B1198" s="2" t="s">
        <v>87</v>
      </c>
      <c r="C1198" s="2" t="s">
        <v>3586</v>
      </c>
      <c r="D1198" s="2" t="s">
        <v>89</v>
      </c>
      <c r="E1198" s="2" t="s">
        <v>2005</v>
      </c>
      <c r="F1198" s="2" t="s">
        <v>4114</v>
      </c>
      <c r="G1198" s="2" t="s">
        <v>4115</v>
      </c>
      <c r="H1198" s="2" t="s">
        <v>4116</v>
      </c>
      <c r="I1198" s="2" t="s">
        <v>3783</v>
      </c>
      <c r="J1198" s="2" t="s">
        <v>118</v>
      </c>
      <c r="K1198" s="2" t="s">
        <v>333</v>
      </c>
      <c r="L1198" s="3">
        <v>67.59</v>
      </c>
      <c r="M1198" s="3">
        <v>70.97</v>
      </c>
      <c r="N1198" s="3">
        <v>129.99</v>
      </c>
      <c r="O1198" s="2" t="s">
        <v>97</v>
      </c>
      <c r="P1198" s="2" t="s">
        <v>182</v>
      </c>
      <c r="Q1198" s="2" t="s">
        <v>99</v>
      </c>
      <c r="R1198" s="2" t="s">
        <v>100</v>
      </c>
      <c r="S1198" s="2" t="s">
        <v>4131</v>
      </c>
      <c r="T1198" s="2" t="s">
        <v>100</v>
      </c>
      <c r="U1198" s="2" t="s">
        <v>807</v>
      </c>
      <c r="V1198" s="2" t="s">
        <v>991</v>
      </c>
      <c r="W1198" s="2" t="s">
        <v>759</v>
      </c>
      <c r="X1198" s="2" t="s">
        <v>3303</v>
      </c>
      <c r="Y1198" s="2" t="s">
        <v>106</v>
      </c>
      <c r="Z1198" s="4">
        <v>136</v>
      </c>
      <c r="AA1198" s="4">
        <f>=ROUNDDOWN(22.6666666666667,0)</f>
      </c>
      <c r="AB1198" s="5">
        <v>6</v>
      </c>
      <c r="AC1198" s="2" t="s">
        <v>533</v>
      </c>
      <c r="AD1198" s="4">
        <v>100</v>
      </c>
      <c r="AE1198" s="4">
        <v>120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89</v>
      </c>
      <c r="BK1198" s="8">
        <v>6143.42</v>
      </c>
      <c r="BL1198" s="2" t="s">
        <v>4139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147</v>
      </c>
      <c r="BV1198" s="2" t="s">
        <v>97</v>
      </c>
      <c r="BW1198" s="2" t="s">
        <v>100</v>
      </c>
      <c r="BX1198" s="2" t="s">
        <v>100</v>
      </c>
      <c r="BY1198" s="2" t="s">
        <v>112</v>
      </c>
      <c r="BZ1198" s="2" t="s">
        <v>100</v>
      </c>
    </row>
    <row r="1199">
      <c r="A1199" s="2" t="s">
        <v>4140</v>
      </c>
      <c r="B1199" s="2" t="s">
        <v>87</v>
      </c>
      <c r="C1199" s="2" t="s">
        <v>3586</v>
      </c>
      <c r="D1199" s="2" t="s">
        <v>89</v>
      </c>
      <c r="E1199" s="2" t="s">
        <v>2005</v>
      </c>
      <c r="F1199" s="2" t="s">
        <v>2240</v>
      </c>
      <c r="G1199" s="2" t="s">
        <v>2704</v>
      </c>
      <c r="H1199" s="2" t="s">
        <v>1163</v>
      </c>
      <c r="I1199" s="2" t="s">
        <v>4014</v>
      </c>
      <c r="J1199" s="2" t="s">
        <v>3012</v>
      </c>
      <c r="K1199" s="2" t="s">
        <v>158</v>
      </c>
      <c r="L1199" s="3">
        <v>26.19</v>
      </c>
      <c r="M1199" s="3">
        <v>27.5</v>
      </c>
      <c r="N1199" s="3">
        <v>54.99</v>
      </c>
      <c r="O1199" s="2" t="s">
        <v>97</v>
      </c>
      <c r="P1199" s="2" t="s">
        <v>1166</v>
      </c>
      <c r="Q1199" s="2" t="s">
        <v>99</v>
      </c>
      <c r="R1199" s="2" t="s">
        <v>100</v>
      </c>
      <c r="S1199" s="2" t="s">
        <v>4141</v>
      </c>
      <c r="T1199" s="2" t="s">
        <v>184</v>
      </c>
      <c r="U1199" s="2" t="s">
        <v>790</v>
      </c>
      <c r="V1199" s="2" t="s">
        <v>491</v>
      </c>
      <c r="W1199" s="2" t="s">
        <v>759</v>
      </c>
      <c r="X1199" s="2" t="s">
        <v>2195</v>
      </c>
      <c r="Y1199" s="2" t="s">
        <v>100</v>
      </c>
      <c r="Z1199" s="4"/>
      <c r="AA1199" s="4">
        <f>=ROUNDDOWN({0},0)</f>
      </c>
      <c r="AB1199" s="5"/>
      <c r="AC1199" s="2" t="s">
        <v>919</v>
      </c>
      <c r="AD1199" s="4">
        <v>62</v>
      </c>
      <c r="AE1199" s="4">
        <v>142</v>
      </c>
      <c r="AF1199" s="6">
        <v>65</v>
      </c>
      <c r="AG1199" s="6"/>
      <c r="AH1199" s="7">
        <v>0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/>
      <c r="BK1199" s="8"/>
      <c r="BL1199" s="2" t="s">
        <v>100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1171</v>
      </c>
      <c r="BV1199" s="2" t="s">
        <v>97</v>
      </c>
      <c r="BW1199" s="2" t="s">
        <v>100</v>
      </c>
      <c r="BX1199" s="2" t="s">
        <v>100</v>
      </c>
      <c r="BY1199" s="2" t="s">
        <v>112</v>
      </c>
      <c r="BZ1199" s="2" t="s">
        <v>100</v>
      </c>
    </row>
    <row r="1200">
      <c r="A1200" s="2" t="s">
        <v>4142</v>
      </c>
      <c r="B1200" s="2" t="s">
        <v>87</v>
      </c>
      <c r="C1200" s="2" t="s">
        <v>3586</v>
      </c>
      <c r="D1200" s="2" t="s">
        <v>89</v>
      </c>
      <c r="E1200" s="2" t="s">
        <v>2005</v>
      </c>
      <c r="F1200" s="2" t="s">
        <v>2240</v>
      </c>
      <c r="G1200" s="2" t="s">
        <v>2704</v>
      </c>
      <c r="H1200" s="2" t="s">
        <v>1163</v>
      </c>
      <c r="I1200" s="2" t="s">
        <v>4014</v>
      </c>
      <c r="J1200" s="2" t="s">
        <v>122</v>
      </c>
      <c r="K1200" s="2" t="s">
        <v>158</v>
      </c>
      <c r="L1200" s="3">
        <v>28.57</v>
      </c>
      <c r="M1200" s="3">
        <v>30</v>
      </c>
      <c r="N1200" s="3">
        <v>59.99</v>
      </c>
      <c r="O1200" s="2" t="s">
        <v>97</v>
      </c>
      <c r="P1200" s="2" t="s">
        <v>1166</v>
      </c>
      <c r="Q1200" s="2" t="s">
        <v>99</v>
      </c>
      <c r="R1200" s="2" t="s">
        <v>100</v>
      </c>
      <c r="S1200" s="2" t="s">
        <v>4141</v>
      </c>
      <c r="T1200" s="2" t="s">
        <v>184</v>
      </c>
      <c r="U1200" s="2" t="s">
        <v>102</v>
      </c>
      <c r="V1200" s="2" t="s">
        <v>491</v>
      </c>
      <c r="W1200" s="2" t="s">
        <v>759</v>
      </c>
      <c r="X1200" s="2" t="s">
        <v>2195</v>
      </c>
      <c r="Y1200" s="2" t="s">
        <v>100</v>
      </c>
      <c r="Z1200" s="4"/>
      <c r="AA1200" s="4">
        <f>=ROUNDDOWN({0},0)</f>
      </c>
      <c r="AB1200" s="5"/>
      <c r="AC1200" s="2" t="s">
        <v>919</v>
      </c>
      <c r="AD1200" s="4">
        <v>82</v>
      </c>
      <c r="AE1200" s="4">
        <v>202</v>
      </c>
      <c r="AF1200" s="6">
        <v>65</v>
      </c>
      <c r="AG1200" s="6"/>
      <c r="AH1200" s="7">
        <v>0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/>
      <c r="BK1200" s="8"/>
      <c r="BL1200" s="2" t="s">
        <v>100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1171</v>
      </c>
      <c r="BV1200" s="2" t="s">
        <v>97</v>
      </c>
      <c r="BW1200" s="2" t="s">
        <v>100</v>
      </c>
      <c r="BX1200" s="2" t="s">
        <v>100</v>
      </c>
      <c r="BY1200" s="2" t="s">
        <v>112</v>
      </c>
      <c r="BZ1200" s="2" t="s">
        <v>100</v>
      </c>
    </row>
    <row r="1201">
      <c r="A1201" s="2" t="s">
        <v>4143</v>
      </c>
      <c r="B1201" s="2" t="s">
        <v>87</v>
      </c>
      <c r="C1201" s="2" t="s">
        <v>3586</v>
      </c>
      <c r="D1201" s="2" t="s">
        <v>89</v>
      </c>
      <c r="E1201" s="2" t="s">
        <v>2005</v>
      </c>
      <c r="F1201" s="2" t="s">
        <v>2240</v>
      </c>
      <c r="G1201" s="2" t="s">
        <v>2704</v>
      </c>
      <c r="H1201" s="2" t="s">
        <v>1163</v>
      </c>
      <c r="I1201" s="2" t="s">
        <v>4014</v>
      </c>
      <c r="J1201" s="2" t="s">
        <v>95</v>
      </c>
      <c r="K1201" s="2" t="s">
        <v>158</v>
      </c>
      <c r="L1201" s="3">
        <v>30.95</v>
      </c>
      <c r="M1201" s="3">
        <v>32.5</v>
      </c>
      <c r="N1201" s="3">
        <v>64.99</v>
      </c>
      <c r="O1201" s="2" t="s">
        <v>97</v>
      </c>
      <c r="P1201" s="2" t="s">
        <v>1166</v>
      </c>
      <c r="Q1201" s="2" t="s">
        <v>99</v>
      </c>
      <c r="R1201" s="2" t="s">
        <v>100</v>
      </c>
      <c r="S1201" s="2" t="s">
        <v>4141</v>
      </c>
      <c r="T1201" s="2" t="s">
        <v>184</v>
      </c>
      <c r="U1201" s="2" t="s">
        <v>102</v>
      </c>
      <c r="V1201" s="2" t="s">
        <v>491</v>
      </c>
      <c r="W1201" s="2" t="s">
        <v>759</v>
      </c>
      <c r="X1201" s="2" t="s">
        <v>2195</v>
      </c>
      <c r="Y1201" s="2" t="s">
        <v>4144</v>
      </c>
      <c r="Z1201" s="4">
        <v>2</v>
      </c>
      <c r="AA1201" s="4">
        <f>=ROUNDDOWN({0},0)</f>
      </c>
      <c r="AB1201" s="5"/>
      <c r="AC1201" s="2" t="s">
        <v>919</v>
      </c>
      <c r="AD1201" s="4">
        <v>230</v>
      </c>
      <c r="AE1201" s="4">
        <v>540</v>
      </c>
      <c r="AF1201" s="6">
        <v>65</v>
      </c>
      <c r="AG1201" s="6"/>
      <c r="AH1201" s="7">
        <v>0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 t="s">
        <v>100</v>
      </c>
      <c r="AY1201" s="8" t="s">
        <v>100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 t="s">
        <v>100</v>
      </c>
      <c r="BF1201" s="8" t="s">
        <v>100</v>
      </c>
      <c r="BG1201" s="7" t="s">
        <v>100</v>
      </c>
      <c r="BH1201" s="7" t="s">
        <v>100</v>
      </c>
      <c r="BI1201" s="7"/>
      <c r="BJ1201" s="4"/>
      <c r="BK1201" s="8"/>
      <c r="BL1201" s="2" t="s">
        <v>100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1171</v>
      </c>
      <c r="BV1201" s="2" t="s">
        <v>97</v>
      </c>
      <c r="BW1201" s="2" t="s">
        <v>100</v>
      </c>
      <c r="BX1201" s="2" t="s">
        <v>100</v>
      </c>
      <c r="BY1201" s="2" t="s">
        <v>112</v>
      </c>
      <c r="BZ1201" s="2" t="s">
        <v>100</v>
      </c>
    </row>
    <row r="1202">
      <c r="A1202" s="2" t="s">
        <v>4145</v>
      </c>
      <c r="B1202" s="2" t="s">
        <v>87</v>
      </c>
      <c r="C1202" s="2" t="s">
        <v>3586</v>
      </c>
      <c r="D1202" s="2" t="s">
        <v>89</v>
      </c>
      <c r="E1202" s="2" t="s">
        <v>2005</v>
      </c>
      <c r="F1202" s="2" t="s">
        <v>2240</v>
      </c>
      <c r="G1202" s="2" t="s">
        <v>2704</v>
      </c>
      <c r="H1202" s="2" t="s">
        <v>1163</v>
      </c>
      <c r="I1202" s="2" t="s">
        <v>4014</v>
      </c>
      <c r="J1202" s="2" t="s">
        <v>114</v>
      </c>
      <c r="K1202" s="2" t="s">
        <v>158</v>
      </c>
      <c r="L1202" s="3">
        <v>35.71</v>
      </c>
      <c r="M1202" s="3">
        <v>37.5</v>
      </c>
      <c r="N1202" s="3">
        <v>74.99</v>
      </c>
      <c r="O1202" s="2" t="s">
        <v>97</v>
      </c>
      <c r="P1202" s="2" t="s">
        <v>1166</v>
      </c>
      <c r="Q1202" s="2" t="s">
        <v>99</v>
      </c>
      <c r="R1202" s="2" t="s">
        <v>100</v>
      </c>
      <c r="S1202" s="2" t="s">
        <v>4141</v>
      </c>
      <c r="T1202" s="2" t="s">
        <v>184</v>
      </c>
      <c r="U1202" s="2" t="s">
        <v>102</v>
      </c>
      <c r="V1202" s="2" t="s">
        <v>491</v>
      </c>
      <c r="W1202" s="2" t="s">
        <v>759</v>
      </c>
      <c r="X1202" s="2" t="s">
        <v>2195</v>
      </c>
      <c r="Y1202" s="2" t="s">
        <v>4144</v>
      </c>
      <c r="Z1202" s="4">
        <v>1</v>
      </c>
      <c r="AA1202" s="4">
        <f>=ROUNDDOWN({0},0)</f>
      </c>
      <c r="AB1202" s="5"/>
      <c r="AC1202" s="2" t="s">
        <v>919</v>
      </c>
      <c r="AD1202" s="4">
        <v>131</v>
      </c>
      <c r="AE1202" s="4">
        <v>331</v>
      </c>
      <c r="AF1202" s="6">
        <v>65</v>
      </c>
      <c r="AG1202" s="6"/>
      <c r="AH1202" s="7">
        <v>0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/>
      <c r="BK1202" s="8"/>
      <c r="BL1202" s="2" t="s">
        <v>100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1171</v>
      </c>
      <c r="BV1202" s="2" t="s">
        <v>97</v>
      </c>
      <c r="BW1202" s="2" t="s">
        <v>100</v>
      </c>
      <c r="BX1202" s="2" t="s">
        <v>100</v>
      </c>
      <c r="BY1202" s="2" t="s">
        <v>112</v>
      </c>
      <c r="BZ1202" s="2" t="s">
        <v>100</v>
      </c>
    </row>
    <row r="1203">
      <c r="A1203" s="2" t="s">
        <v>4146</v>
      </c>
      <c r="B1203" s="2" t="s">
        <v>87</v>
      </c>
      <c r="C1203" s="2" t="s">
        <v>3586</v>
      </c>
      <c r="D1203" s="2" t="s">
        <v>89</v>
      </c>
      <c r="E1203" s="2" t="s">
        <v>2005</v>
      </c>
      <c r="F1203" s="2" t="s">
        <v>2240</v>
      </c>
      <c r="G1203" s="2" t="s">
        <v>2704</v>
      </c>
      <c r="H1203" s="2" t="s">
        <v>1163</v>
      </c>
      <c r="I1203" s="2" t="s">
        <v>4014</v>
      </c>
      <c r="J1203" s="2" t="s">
        <v>118</v>
      </c>
      <c r="K1203" s="2" t="s">
        <v>158</v>
      </c>
      <c r="L1203" s="3">
        <v>35.71</v>
      </c>
      <c r="M1203" s="3">
        <v>37.5</v>
      </c>
      <c r="N1203" s="3">
        <v>74.99</v>
      </c>
      <c r="O1203" s="2" t="s">
        <v>97</v>
      </c>
      <c r="P1203" s="2" t="s">
        <v>1166</v>
      </c>
      <c r="Q1203" s="2" t="s">
        <v>99</v>
      </c>
      <c r="R1203" s="2" t="s">
        <v>100</v>
      </c>
      <c r="S1203" s="2" t="s">
        <v>4141</v>
      </c>
      <c r="T1203" s="2" t="s">
        <v>184</v>
      </c>
      <c r="U1203" s="2" t="s">
        <v>102</v>
      </c>
      <c r="V1203" s="2" t="s">
        <v>491</v>
      </c>
      <c r="W1203" s="2" t="s">
        <v>759</v>
      </c>
      <c r="X1203" s="2" t="s">
        <v>2195</v>
      </c>
      <c r="Y1203" s="2" t="s">
        <v>100</v>
      </c>
      <c r="Z1203" s="4"/>
      <c r="AA1203" s="4">
        <f>=ROUNDDOWN({0},0)</f>
      </c>
      <c r="AB1203" s="5"/>
      <c r="AC1203" s="2" t="s">
        <v>919</v>
      </c>
      <c r="AD1203" s="4">
        <v>82</v>
      </c>
      <c r="AE1203" s="4">
        <v>192</v>
      </c>
      <c r="AF1203" s="6">
        <v>65</v>
      </c>
      <c r="AG1203" s="6"/>
      <c r="AH1203" s="7">
        <v>0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 t="s">
        <v>100</v>
      </c>
      <c r="AY1203" s="8" t="s">
        <v>100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/>
      <c r="BK1203" s="8"/>
      <c r="BL1203" s="2" t="s">
        <v>100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1171</v>
      </c>
      <c r="BV1203" s="2" t="s">
        <v>97</v>
      </c>
      <c r="BW1203" s="2" t="s">
        <v>100</v>
      </c>
      <c r="BX1203" s="2" t="s">
        <v>100</v>
      </c>
      <c r="BY1203" s="2" t="s">
        <v>112</v>
      </c>
      <c r="BZ1203" s="2" t="s">
        <v>100</v>
      </c>
    </row>
    <row r="1204">
      <c r="A1204" s="2" t="s">
        <v>4147</v>
      </c>
      <c r="B1204" s="2" t="s">
        <v>87</v>
      </c>
      <c r="C1204" s="2" t="s">
        <v>3586</v>
      </c>
      <c r="D1204" s="2" t="s">
        <v>89</v>
      </c>
      <c r="E1204" s="2" t="s">
        <v>2005</v>
      </c>
      <c r="F1204" s="2" t="s">
        <v>2240</v>
      </c>
      <c r="G1204" s="2" t="s">
        <v>2704</v>
      </c>
      <c r="H1204" s="2" t="s">
        <v>1163</v>
      </c>
      <c r="I1204" s="2" t="s">
        <v>4014</v>
      </c>
      <c r="J1204" s="2" t="s">
        <v>3012</v>
      </c>
      <c r="K1204" s="2" t="s">
        <v>622</v>
      </c>
      <c r="L1204" s="3">
        <v>26.19</v>
      </c>
      <c r="M1204" s="3">
        <v>27.5</v>
      </c>
      <c r="N1204" s="3">
        <v>54.99</v>
      </c>
      <c r="O1204" s="2" t="s">
        <v>97</v>
      </c>
      <c r="P1204" s="2" t="s">
        <v>1166</v>
      </c>
      <c r="Q1204" s="2" t="s">
        <v>99</v>
      </c>
      <c r="R1204" s="2" t="s">
        <v>100</v>
      </c>
      <c r="S1204" s="2" t="s">
        <v>4148</v>
      </c>
      <c r="T1204" s="2" t="s">
        <v>184</v>
      </c>
      <c r="U1204" s="2" t="s">
        <v>790</v>
      </c>
      <c r="V1204" s="2" t="s">
        <v>491</v>
      </c>
      <c r="W1204" s="2" t="s">
        <v>759</v>
      </c>
      <c r="X1204" s="2" t="s">
        <v>2195</v>
      </c>
      <c r="Y1204" s="2" t="s">
        <v>100</v>
      </c>
      <c r="Z1204" s="4"/>
      <c r="AA1204" s="4">
        <f>=ROUNDDOWN({0},0)</f>
      </c>
      <c r="AB1204" s="5"/>
      <c r="AC1204" s="2" t="s">
        <v>919</v>
      </c>
      <c r="AD1204" s="4">
        <v>62</v>
      </c>
      <c r="AE1204" s="4">
        <v>142</v>
      </c>
      <c r="AF1204" s="6">
        <v>65</v>
      </c>
      <c r="AG1204" s="6"/>
      <c r="AH1204" s="7">
        <v>0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/>
      <c r="BK1204" s="8"/>
      <c r="BL1204" s="2" t="s">
        <v>100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1171</v>
      </c>
      <c r="BV1204" s="2" t="s">
        <v>97</v>
      </c>
      <c r="BW1204" s="2" t="s">
        <v>100</v>
      </c>
      <c r="BX1204" s="2" t="s">
        <v>100</v>
      </c>
      <c r="BY1204" s="2" t="s">
        <v>112</v>
      </c>
      <c r="BZ1204" s="2" t="s">
        <v>100</v>
      </c>
    </row>
    <row r="1205">
      <c r="A1205" s="2" t="s">
        <v>4149</v>
      </c>
      <c r="B1205" s="2" t="s">
        <v>87</v>
      </c>
      <c r="C1205" s="2" t="s">
        <v>3586</v>
      </c>
      <c r="D1205" s="2" t="s">
        <v>89</v>
      </c>
      <c r="E1205" s="2" t="s">
        <v>2005</v>
      </c>
      <c r="F1205" s="2" t="s">
        <v>2240</v>
      </c>
      <c r="G1205" s="2" t="s">
        <v>2704</v>
      </c>
      <c r="H1205" s="2" t="s">
        <v>1163</v>
      </c>
      <c r="I1205" s="2" t="s">
        <v>4014</v>
      </c>
      <c r="J1205" s="2" t="s">
        <v>122</v>
      </c>
      <c r="K1205" s="2" t="s">
        <v>622</v>
      </c>
      <c r="L1205" s="3">
        <v>28.57</v>
      </c>
      <c r="M1205" s="3">
        <v>30</v>
      </c>
      <c r="N1205" s="3">
        <v>59.99</v>
      </c>
      <c r="O1205" s="2" t="s">
        <v>97</v>
      </c>
      <c r="P1205" s="2" t="s">
        <v>1166</v>
      </c>
      <c r="Q1205" s="2" t="s">
        <v>99</v>
      </c>
      <c r="R1205" s="2" t="s">
        <v>100</v>
      </c>
      <c r="S1205" s="2" t="s">
        <v>4148</v>
      </c>
      <c r="T1205" s="2" t="s">
        <v>184</v>
      </c>
      <c r="U1205" s="2" t="s">
        <v>102</v>
      </c>
      <c r="V1205" s="2" t="s">
        <v>491</v>
      </c>
      <c r="W1205" s="2" t="s">
        <v>759</v>
      </c>
      <c r="X1205" s="2" t="s">
        <v>2195</v>
      </c>
      <c r="Y1205" s="2" t="s">
        <v>4144</v>
      </c>
      <c r="Z1205" s="4">
        <v>2</v>
      </c>
      <c r="AA1205" s="4">
        <f>=ROUNDDOWN({0},0)</f>
      </c>
      <c r="AB1205" s="5"/>
      <c r="AC1205" s="2" t="s">
        <v>919</v>
      </c>
      <c r="AD1205" s="4">
        <v>80</v>
      </c>
      <c r="AE1205" s="4">
        <v>200</v>
      </c>
      <c r="AF1205" s="6">
        <v>65</v>
      </c>
      <c r="AG1205" s="6"/>
      <c r="AH1205" s="7">
        <v>0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/>
      <c r="BK1205" s="8"/>
      <c r="BL1205" s="2" t="s">
        <v>100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1171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100</v>
      </c>
    </row>
    <row r="1206">
      <c r="A1206" s="2" t="s">
        <v>4150</v>
      </c>
      <c r="B1206" s="2" t="s">
        <v>87</v>
      </c>
      <c r="C1206" s="2" t="s">
        <v>3586</v>
      </c>
      <c r="D1206" s="2" t="s">
        <v>89</v>
      </c>
      <c r="E1206" s="2" t="s">
        <v>2005</v>
      </c>
      <c r="F1206" s="2" t="s">
        <v>2240</v>
      </c>
      <c r="G1206" s="2" t="s">
        <v>2704</v>
      </c>
      <c r="H1206" s="2" t="s">
        <v>1163</v>
      </c>
      <c r="I1206" s="2" t="s">
        <v>4014</v>
      </c>
      <c r="J1206" s="2" t="s">
        <v>95</v>
      </c>
      <c r="K1206" s="2" t="s">
        <v>622</v>
      </c>
      <c r="L1206" s="3">
        <v>30.95</v>
      </c>
      <c r="M1206" s="3">
        <v>32.5</v>
      </c>
      <c r="N1206" s="3">
        <v>64.99</v>
      </c>
      <c r="O1206" s="2" t="s">
        <v>97</v>
      </c>
      <c r="P1206" s="2" t="s">
        <v>1166</v>
      </c>
      <c r="Q1206" s="2" t="s">
        <v>99</v>
      </c>
      <c r="R1206" s="2" t="s">
        <v>100</v>
      </c>
      <c r="S1206" s="2" t="s">
        <v>4148</v>
      </c>
      <c r="T1206" s="2" t="s">
        <v>184</v>
      </c>
      <c r="U1206" s="2" t="s">
        <v>102</v>
      </c>
      <c r="V1206" s="2" t="s">
        <v>491</v>
      </c>
      <c r="W1206" s="2" t="s">
        <v>759</v>
      </c>
      <c r="X1206" s="2" t="s">
        <v>2195</v>
      </c>
      <c r="Y1206" s="2" t="s">
        <v>4144</v>
      </c>
      <c r="Z1206" s="4">
        <v>1</v>
      </c>
      <c r="AA1206" s="4">
        <f>=ROUNDDOWN({0},0)</f>
      </c>
      <c r="AB1206" s="5"/>
      <c r="AC1206" s="2" t="s">
        <v>919</v>
      </c>
      <c r="AD1206" s="4">
        <v>231</v>
      </c>
      <c r="AE1206" s="4">
        <v>541</v>
      </c>
      <c r="AF1206" s="6">
        <v>65</v>
      </c>
      <c r="AG1206" s="6"/>
      <c r="AH1206" s="7">
        <v>0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/>
      <c r="BK1206" s="8"/>
      <c r="BL1206" s="2" t="s">
        <v>100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1171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4151</v>
      </c>
      <c r="B1207" s="2" t="s">
        <v>87</v>
      </c>
      <c r="C1207" s="2" t="s">
        <v>3586</v>
      </c>
      <c r="D1207" s="2" t="s">
        <v>89</v>
      </c>
      <c r="E1207" s="2" t="s">
        <v>2005</v>
      </c>
      <c r="F1207" s="2" t="s">
        <v>2240</v>
      </c>
      <c r="G1207" s="2" t="s">
        <v>2704</v>
      </c>
      <c r="H1207" s="2" t="s">
        <v>1163</v>
      </c>
      <c r="I1207" s="2" t="s">
        <v>4014</v>
      </c>
      <c r="J1207" s="2" t="s">
        <v>114</v>
      </c>
      <c r="K1207" s="2" t="s">
        <v>622</v>
      </c>
      <c r="L1207" s="3">
        <v>35.71</v>
      </c>
      <c r="M1207" s="3">
        <v>37.5</v>
      </c>
      <c r="N1207" s="3">
        <v>74.99</v>
      </c>
      <c r="O1207" s="2" t="s">
        <v>97</v>
      </c>
      <c r="P1207" s="2" t="s">
        <v>1166</v>
      </c>
      <c r="Q1207" s="2" t="s">
        <v>99</v>
      </c>
      <c r="R1207" s="2" t="s">
        <v>100</v>
      </c>
      <c r="S1207" s="2" t="s">
        <v>4148</v>
      </c>
      <c r="T1207" s="2" t="s">
        <v>184</v>
      </c>
      <c r="U1207" s="2" t="s">
        <v>102</v>
      </c>
      <c r="V1207" s="2" t="s">
        <v>491</v>
      </c>
      <c r="W1207" s="2" t="s">
        <v>759</v>
      </c>
      <c r="X1207" s="2" t="s">
        <v>2195</v>
      </c>
      <c r="Y1207" s="2" t="s">
        <v>100</v>
      </c>
      <c r="Z1207" s="4"/>
      <c r="AA1207" s="4">
        <f>=ROUNDDOWN({0},0)</f>
      </c>
      <c r="AB1207" s="5"/>
      <c r="AC1207" s="2" t="s">
        <v>919</v>
      </c>
      <c r="AD1207" s="4">
        <v>132</v>
      </c>
      <c r="AE1207" s="4">
        <v>332</v>
      </c>
      <c r="AF1207" s="6">
        <v>65</v>
      </c>
      <c r="AG1207" s="6"/>
      <c r="AH1207" s="7">
        <v>0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/>
      <c r="BK1207" s="8"/>
      <c r="BL1207" s="2" t="s">
        <v>100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1171</v>
      </c>
      <c r="BV1207" s="2" t="s">
        <v>97</v>
      </c>
      <c r="BW1207" s="2" t="s">
        <v>100</v>
      </c>
      <c r="BX1207" s="2" t="s">
        <v>100</v>
      </c>
      <c r="BY1207" s="2" t="s">
        <v>112</v>
      </c>
      <c r="BZ1207" s="2" t="s">
        <v>100</v>
      </c>
    </row>
    <row r="1208">
      <c r="A1208" s="2" t="s">
        <v>4152</v>
      </c>
      <c r="B1208" s="2" t="s">
        <v>87</v>
      </c>
      <c r="C1208" s="2" t="s">
        <v>3586</v>
      </c>
      <c r="D1208" s="2" t="s">
        <v>89</v>
      </c>
      <c r="E1208" s="2" t="s">
        <v>2005</v>
      </c>
      <c r="F1208" s="2" t="s">
        <v>2240</v>
      </c>
      <c r="G1208" s="2" t="s">
        <v>2704</v>
      </c>
      <c r="H1208" s="2" t="s">
        <v>1163</v>
      </c>
      <c r="I1208" s="2" t="s">
        <v>4014</v>
      </c>
      <c r="J1208" s="2" t="s">
        <v>118</v>
      </c>
      <c r="K1208" s="2" t="s">
        <v>622</v>
      </c>
      <c r="L1208" s="3">
        <v>35.71</v>
      </c>
      <c r="M1208" s="3">
        <v>37.5</v>
      </c>
      <c r="N1208" s="3">
        <v>74.99</v>
      </c>
      <c r="O1208" s="2" t="s">
        <v>97</v>
      </c>
      <c r="P1208" s="2" t="s">
        <v>1166</v>
      </c>
      <c r="Q1208" s="2" t="s">
        <v>99</v>
      </c>
      <c r="R1208" s="2" t="s">
        <v>100</v>
      </c>
      <c r="S1208" s="2" t="s">
        <v>4148</v>
      </c>
      <c r="T1208" s="2" t="s">
        <v>184</v>
      </c>
      <c r="U1208" s="2" t="s">
        <v>102</v>
      </c>
      <c r="V1208" s="2" t="s">
        <v>491</v>
      </c>
      <c r="W1208" s="2" t="s">
        <v>759</v>
      </c>
      <c r="X1208" s="2" t="s">
        <v>2195</v>
      </c>
      <c r="Y1208" s="2" t="s">
        <v>100</v>
      </c>
      <c r="Z1208" s="4"/>
      <c r="AA1208" s="4">
        <f>=ROUNDDOWN({0},0)</f>
      </c>
      <c r="AB1208" s="5"/>
      <c r="AC1208" s="2" t="s">
        <v>919</v>
      </c>
      <c r="AD1208" s="4">
        <v>82</v>
      </c>
      <c r="AE1208" s="4">
        <v>192</v>
      </c>
      <c r="AF1208" s="6">
        <v>65</v>
      </c>
      <c r="AG1208" s="6"/>
      <c r="AH1208" s="7">
        <v>0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/>
      <c r="BK1208" s="8"/>
      <c r="BL1208" s="2" t="s">
        <v>100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1171</v>
      </c>
      <c r="BV1208" s="2" t="s">
        <v>97</v>
      </c>
      <c r="BW1208" s="2" t="s">
        <v>100</v>
      </c>
      <c r="BX1208" s="2" t="s">
        <v>100</v>
      </c>
      <c r="BY1208" s="2" t="s">
        <v>112</v>
      </c>
      <c r="BZ1208" s="2" t="s">
        <v>100</v>
      </c>
    </row>
    <row r="1209">
      <c r="A1209" s="2" t="s">
        <v>4153</v>
      </c>
      <c r="B1209" s="2" t="s">
        <v>87</v>
      </c>
      <c r="C1209" s="2" t="s">
        <v>3586</v>
      </c>
      <c r="D1209" s="2" t="s">
        <v>89</v>
      </c>
      <c r="E1209" s="2" t="s">
        <v>2005</v>
      </c>
      <c r="F1209" s="2" t="s">
        <v>4154</v>
      </c>
      <c r="G1209" s="2" t="s">
        <v>4155</v>
      </c>
      <c r="H1209" s="2" t="s">
        <v>4156</v>
      </c>
      <c r="I1209" s="2" t="s">
        <v>4157</v>
      </c>
      <c r="J1209" s="2" t="s">
        <v>3012</v>
      </c>
      <c r="K1209" s="2" t="s">
        <v>333</v>
      </c>
      <c r="L1209" s="3">
        <v>38.09</v>
      </c>
      <c r="M1209" s="3">
        <v>39.99</v>
      </c>
      <c r="N1209" s="3">
        <v>79.99</v>
      </c>
      <c r="O1209" s="2" t="s">
        <v>97</v>
      </c>
      <c r="P1209" s="2" t="s">
        <v>182</v>
      </c>
      <c r="Q1209" s="2" t="s">
        <v>99</v>
      </c>
      <c r="R1209" s="2" t="s">
        <v>100</v>
      </c>
      <c r="S1209" s="2" t="s">
        <v>4158</v>
      </c>
      <c r="T1209" s="2" t="s">
        <v>100</v>
      </c>
      <c r="U1209" s="2" t="s">
        <v>790</v>
      </c>
      <c r="V1209" s="2" t="s">
        <v>601</v>
      </c>
      <c r="W1209" s="2" t="s">
        <v>759</v>
      </c>
      <c r="X1209" s="2" t="s">
        <v>602</v>
      </c>
      <c r="Y1209" s="2" t="s">
        <v>3599</v>
      </c>
      <c r="Z1209" s="4">
        <v>92</v>
      </c>
      <c r="AA1209" s="4">
        <f>=ROUNDDOWN(92,0)</f>
      </c>
      <c r="AB1209" s="5">
        <v>1</v>
      </c>
      <c r="AC1209" s="2" t="s">
        <v>100</v>
      </c>
      <c r="AD1209" s="4"/>
      <c r="AE1209" s="4"/>
      <c r="AF1209" s="6">
        <v>64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1636</v>
      </c>
      <c r="BK1209" s="8">
        <v>65416.84</v>
      </c>
      <c r="BL1209" s="2" t="s">
        <v>4159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147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100</v>
      </c>
    </row>
    <row r="1210">
      <c r="A1210" s="2" t="s">
        <v>4160</v>
      </c>
      <c r="B1210" s="2" t="s">
        <v>87</v>
      </c>
      <c r="C1210" s="2" t="s">
        <v>3586</v>
      </c>
      <c r="D1210" s="2" t="s">
        <v>89</v>
      </c>
      <c r="E1210" s="2" t="s">
        <v>2005</v>
      </c>
      <c r="F1210" s="2" t="s">
        <v>4154</v>
      </c>
      <c r="G1210" s="2" t="s">
        <v>4155</v>
      </c>
      <c r="H1210" s="2" t="s">
        <v>4156</v>
      </c>
      <c r="I1210" s="2" t="s">
        <v>4161</v>
      </c>
      <c r="J1210" s="2" t="s">
        <v>122</v>
      </c>
      <c r="K1210" s="2" t="s">
        <v>333</v>
      </c>
      <c r="L1210" s="3">
        <v>42.85</v>
      </c>
      <c r="M1210" s="3">
        <v>44.99</v>
      </c>
      <c r="N1210" s="3">
        <v>89.99</v>
      </c>
      <c r="O1210" s="2" t="s">
        <v>97</v>
      </c>
      <c r="P1210" s="2" t="s">
        <v>182</v>
      </c>
      <c r="Q1210" s="2" t="s">
        <v>99</v>
      </c>
      <c r="R1210" s="2" t="s">
        <v>100</v>
      </c>
      <c r="S1210" s="2" t="s">
        <v>4158</v>
      </c>
      <c r="T1210" s="2" t="s">
        <v>100</v>
      </c>
      <c r="U1210" s="2" t="s">
        <v>102</v>
      </c>
      <c r="V1210" s="2" t="s">
        <v>601</v>
      </c>
      <c r="W1210" s="2" t="s">
        <v>759</v>
      </c>
      <c r="X1210" s="2" t="s">
        <v>602</v>
      </c>
      <c r="Y1210" s="2" t="s">
        <v>3599</v>
      </c>
      <c r="Z1210" s="4">
        <v>204</v>
      </c>
      <c r="AA1210" s="4">
        <f>=ROUNDDOWN(102,0)</f>
      </c>
      <c r="AB1210" s="5">
        <v>2</v>
      </c>
      <c r="AC1210" s="2" t="s">
        <v>100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36</v>
      </c>
      <c r="BK1210" s="8">
        <v>1726.57</v>
      </c>
      <c r="BL1210" s="2" t="s">
        <v>4162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147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100</v>
      </c>
    </row>
    <row r="1211">
      <c r="A1211" s="2" t="s">
        <v>4163</v>
      </c>
      <c r="B1211" s="2" t="s">
        <v>87</v>
      </c>
      <c r="C1211" s="2" t="s">
        <v>3586</v>
      </c>
      <c r="D1211" s="2" t="s">
        <v>89</v>
      </c>
      <c r="E1211" s="2" t="s">
        <v>2005</v>
      </c>
      <c r="F1211" s="2" t="s">
        <v>4154</v>
      </c>
      <c r="G1211" s="2" t="s">
        <v>4155</v>
      </c>
      <c r="H1211" s="2" t="s">
        <v>4156</v>
      </c>
      <c r="I1211" s="2" t="s">
        <v>4161</v>
      </c>
      <c r="J1211" s="2" t="s">
        <v>95</v>
      </c>
      <c r="K1211" s="2" t="s">
        <v>333</v>
      </c>
      <c r="L1211" s="3">
        <v>47.61</v>
      </c>
      <c r="M1211" s="3">
        <v>49.99</v>
      </c>
      <c r="N1211" s="3">
        <v>99.99</v>
      </c>
      <c r="O1211" s="2" t="s">
        <v>97</v>
      </c>
      <c r="P1211" s="2" t="s">
        <v>182</v>
      </c>
      <c r="Q1211" s="2" t="s">
        <v>99</v>
      </c>
      <c r="R1211" s="2" t="s">
        <v>100</v>
      </c>
      <c r="S1211" s="2" t="s">
        <v>4158</v>
      </c>
      <c r="T1211" s="2" t="s">
        <v>100</v>
      </c>
      <c r="U1211" s="2" t="s">
        <v>102</v>
      </c>
      <c r="V1211" s="2" t="s">
        <v>601</v>
      </c>
      <c r="W1211" s="2" t="s">
        <v>759</v>
      </c>
      <c r="X1211" s="2" t="s">
        <v>602</v>
      </c>
      <c r="Y1211" s="2" t="s">
        <v>3599</v>
      </c>
      <c r="Z1211" s="4">
        <v>169</v>
      </c>
      <c r="AA1211" s="4">
        <f>=ROUNDDOWN(120.714285714286,0)</f>
      </c>
      <c r="AB1211" s="5">
        <v>1.4</v>
      </c>
      <c r="AC1211" s="2" t="s">
        <v>100</v>
      </c>
      <c r="AD1211" s="4"/>
      <c r="AE1211" s="4"/>
      <c r="AF1211" s="6">
        <v>64</v>
      </c>
      <c r="AG1211" s="6"/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72</v>
      </c>
      <c r="BK1211" s="8">
        <v>3702.78</v>
      </c>
      <c r="BL1211" s="2" t="s">
        <v>4164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147</v>
      </c>
      <c r="BV1211" s="2" t="s">
        <v>97</v>
      </c>
      <c r="BW1211" s="2" t="s">
        <v>100</v>
      </c>
      <c r="BX1211" s="2" t="s">
        <v>100</v>
      </c>
      <c r="BY1211" s="2" t="s">
        <v>112</v>
      </c>
      <c r="BZ1211" s="2" t="s">
        <v>100</v>
      </c>
    </row>
    <row r="1212">
      <c r="A1212" s="2" t="s">
        <v>4165</v>
      </c>
      <c r="B1212" s="2" t="s">
        <v>87</v>
      </c>
      <c r="C1212" s="2" t="s">
        <v>3586</v>
      </c>
      <c r="D1212" s="2" t="s">
        <v>89</v>
      </c>
      <c r="E1212" s="2" t="s">
        <v>2005</v>
      </c>
      <c r="F1212" s="2" t="s">
        <v>4154</v>
      </c>
      <c r="G1212" s="2" t="s">
        <v>4155</v>
      </c>
      <c r="H1212" s="2" t="s">
        <v>4156</v>
      </c>
      <c r="I1212" s="2" t="s">
        <v>4161</v>
      </c>
      <c r="J1212" s="2" t="s">
        <v>114</v>
      </c>
      <c r="K1212" s="2" t="s">
        <v>333</v>
      </c>
      <c r="L1212" s="3">
        <v>52.38</v>
      </c>
      <c r="M1212" s="3">
        <v>55</v>
      </c>
      <c r="N1212" s="3">
        <v>109.99</v>
      </c>
      <c r="O1212" s="2" t="s">
        <v>97</v>
      </c>
      <c r="P1212" s="2" t="s">
        <v>182</v>
      </c>
      <c r="Q1212" s="2" t="s">
        <v>99</v>
      </c>
      <c r="R1212" s="2" t="s">
        <v>100</v>
      </c>
      <c r="S1212" s="2" t="s">
        <v>4158</v>
      </c>
      <c r="T1212" s="2" t="s">
        <v>100</v>
      </c>
      <c r="U1212" s="2" t="s">
        <v>102</v>
      </c>
      <c r="V1212" s="2" t="s">
        <v>601</v>
      </c>
      <c r="W1212" s="2" t="s">
        <v>759</v>
      </c>
      <c r="X1212" s="2" t="s">
        <v>602</v>
      </c>
      <c r="Y1212" s="2" t="s">
        <v>3599</v>
      </c>
      <c r="Z1212" s="4">
        <v>164</v>
      </c>
      <c r="AA1212" s="4">
        <f>=ROUNDDOWN(82,0)</f>
      </c>
      <c r="AB1212" s="5">
        <v>2</v>
      </c>
      <c r="AC1212" s="2" t="s">
        <v>100</v>
      </c>
      <c r="AD1212" s="4"/>
      <c r="AE1212" s="4"/>
      <c r="AF1212" s="6">
        <v>64</v>
      </c>
      <c r="AG1212" s="6"/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47</v>
      </c>
      <c r="BK1212" s="8">
        <v>2690.6</v>
      </c>
      <c r="BL1212" s="2" t="s">
        <v>4166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147</v>
      </c>
      <c r="BV1212" s="2" t="s">
        <v>97</v>
      </c>
      <c r="BW1212" s="2" t="s">
        <v>100</v>
      </c>
      <c r="BX1212" s="2" t="s">
        <v>100</v>
      </c>
      <c r="BY1212" s="2" t="s">
        <v>112</v>
      </c>
      <c r="BZ1212" s="2" t="s">
        <v>100</v>
      </c>
    </row>
    <row r="1213">
      <c r="A1213" s="2" t="s">
        <v>4167</v>
      </c>
      <c r="B1213" s="2" t="s">
        <v>87</v>
      </c>
      <c r="C1213" s="2" t="s">
        <v>3586</v>
      </c>
      <c r="D1213" s="2" t="s">
        <v>89</v>
      </c>
      <c r="E1213" s="2" t="s">
        <v>2005</v>
      </c>
      <c r="F1213" s="2" t="s">
        <v>4154</v>
      </c>
      <c r="G1213" s="2" t="s">
        <v>4155</v>
      </c>
      <c r="H1213" s="2" t="s">
        <v>4156</v>
      </c>
      <c r="I1213" s="2" t="s">
        <v>4161</v>
      </c>
      <c r="J1213" s="2" t="s">
        <v>118</v>
      </c>
      <c r="K1213" s="2" t="s">
        <v>333</v>
      </c>
      <c r="L1213" s="3">
        <v>52.38</v>
      </c>
      <c r="M1213" s="3">
        <v>55</v>
      </c>
      <c r="N1213" s="3">
        <v>109.99</v>
      </c>
      <c r="O1213" s="2" t="s">
        <v>97</v>
      </c>
      <c r="P1213" s="2" t="s">
        <v>182</v>
      </c>
      <c r="Q1213" s="2" t="s">
        <v>99</v>
      </c>
      <c r="R1213" s="2" t="s">
        <v>100</v>
      </c>
      <c r="S1213" s="2" t="s">
        <v>4158</v>
      </c>
      <c r="T1213" s="2" t="s">
        <v>100</v>
      </c>
      <c r="U1213" s="2" t="s">
        <v>102</v>
      </c>
      <c r="V1213" s="2" t="s">
        <v>601</v>
      </c>
      <c r="W1213" s="2" t="s">
        <v>759</v>
      </c>
      <c r="X1213" s="2" t="s">
        <v>602</v>
      </c>
      <c r="Y1213" s="2" t="s">
        <v>3599</v>
      </c>
      <c r="Z1213" s="4">
        <v>244</v>
      </c>
      <c r="AA1213" s="4">
        <f>=ROUNDDOWN(122,0)</f>
      </c>
      <c r="AB1213" s="5">
        <v>2</v>
      </c>
      <c r="AC1213" s="2" t="s">
        <v>100</v>
      </c>
      <c r="AD1213" s="4"/>
      <c r="AE1213" s="4"/>
      <c r="AF1213" s="6">
        <v>64</v>
      </c>
      <c r="AG1213" s="6"/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47</v>
      </c>
      <c r="BK1213" s="8">
        <v>2736.25</v>
      </c>
      <c r="BL1213" s="2" t="s">
        <v>4164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147</v>
      </c>
      <c r="BV1213" s="2" t="s">
        <v>97</v>
      </c>
      <c r="BW1213" s="2" t="s">
        <v>100</v>
      </c>
      <c r="BX1213" s="2" t="s">
        <v>100</v>
      </c>
      <c r="BY1213" s="2" t="s">
        <v>112</v>
      </c>
      <c r="BZ1213" s="2" t="s">
        <v>100</v>
      </c>
    </row>
    <row r="1214">
      <c r="A1214" s="2" t="s">
        <v>4168</v>
      </c>
      <c r="B1214" s="2" t="s">
        <v>87</v>
      </c>
      <c r="C1214" s="2" t="s">
        <v>3586</v>
      </c>
      <c r="D1214" s="2" t="s">
        <v>89</v>
      </c>
      <c r="E1214" s="2" t="s">
        <v>2005</v>
      </c>
      <c r="F1214" s="2" t="s">
        <v>4154</v>
      </c>
      <c r="G1214" s="2" t="s">
        <v>4155</v>
      </c>
      <c r="H1214" s="2" t="s">
        <v>4156</v>
      </c>
      <c r="I1214" s="2" t="s">
        <v>4161</v>
      </c>
      <c r="J1214" s="2" t="s">
        <v>122</v>
      </c>
      <c r="K1214" s="2" t="s">
        <v>666</v>
      </c>
      <c r="L1214" s="3">
        <v>42.85</v>
      </c>
      <c r="M1214" s="3">
        <v>44.99</v>
      </c>
      <c r="N1214" s="3">
        <v>89.99</v>
      </c>
      <c r="O1214" s="2" t="s">
        <v>550</v>
      </c>
      <c r="P1214" s="2" t="s">
        <v>198</v>
      </c>
      <c r="Q1214" s="2" t="s">
        <v>99</v>
      </c>
      <c r="R1214" s="2" t="s">
        <v>100</v>
      </c>
      <c r="S1214" s="2" t="s">
        <v>4169</v>
      </c>
      <c r="T1214" s="2" t="s">
        <v>100</v>
      </c>
      <c r="U1214" s="2" t="s">
        <v>102</v>
      </c>
      <c r="V1214" s="2" t="s">
        <v>601</v>
      </c>
      <c r="W1214" s="2" t="s">
        <v>759</v>
      </c>
      <c r="X1214" s="2" t="s">
        <v>602</v>
      </c>
      <c r="Y1214" s="2" t="s">
        <v>3599</v>
      </c>
      <c r="Z1214" s="4"/>
      <c r="AA1214" s="4">
        <f>=ROUNDDOWN({0},0)</f>
      </c>
      <c r="AB1214" s="5">
        <v>2</v>
      </c>
      <c r="AC1214" s="2" t="s">
        <v>100</v>
      </c>
      <c r="AD1214" s="4"/>
      <c r="AE1214" s="4"/>
      <c r="AF1214" s="6">
        <v>64</v>
      </c>
      <c r="AG1214" s="6"/>
      <c r="AH1214" s="7">
        <v>0.9697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61</v>
      </c>
      <c r="BK1214" s="8">
        <v>2237.96</v>
      </c>
      <c r="BL1214" s="2" t="s">
        <v>4166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147</v>
      </c>
      <c r="BV1214" s="2" t="s">
        <v>97</v>
      </c>
      <c r="BW1214" s="2" t="s">
        <v>100</v>
      </c>
      <c r="BX1214" s="2" t="s">
        <v>100</v>
      </c>
      <c r="BY1214" s="2" t="s">
        <v>112</v>
      </c>
      <c r="BZ1214" s="2" t="s">
        <v>100</v>
      </c>
    </row>
    <row r="1215">
      <c r="A1215" s="2" t="s">
        <v>4170</v>
      </c>
      <c r="B1215" s="2" t="s">
        <v>87</v>
      </c>
      <c r="C1215" s="2" t="s">
        <v>3586</v>
      </c>
      <c r="D1215" s="2" t="s">
        <v>89</v>
      </c>
      <c r="E1215" s="2" t="s">
        <v>2005</v>
      </c>
      <c r="F1215" s="2" t="s">
        <v>4154</v>
      </c>
      <c r="G1215" s="2" t="s">
        <v>4155</v>
      </c>
      <c r="H1215" s="2" t="s">
        <v>4156</v>
      </c>
      <c r="I1215" s="2" t="s">
        <v>4161</v>
      </c>
      <c r="J1215" s="2" t="s">
        <v>95</v>
      </c>
      <c r="K1215" s="2" t="s">
        <v>666</v>
      </c>
      <c r="L1215" s="3">
        <v>47.61</v>
      </c>
      <c r="M1215" s="3">
        <v>49.99</v>
      </c>
      <c r="N1215" s="3">
        <v>99.99</v>
      </c>
      <c r="O1215" s="2" t="s">
        <v>550</v>
      </c>
      <c r="P1215" s="2" t="s">
        <v>198</v>
      </c>
      <c r="Q1215" s="2" t="s">
        <v>99</v>
      </c>
      <c r="R1215" s="2" t="s">
        <v>100</v>
      </c>
      <c r="S1215" s="2" t="s">
        <v>4169</v>
      </c>
      <c r="T1215" s="2" t="s">
        <v>100</v>
      </c>
      <c r="U1215" s="2" t="s">
        <v>102</v>
      </c>
      <c r="V1215" s="2" t="s">
        <v>601</v>
      </c>
      <c r="W1215" s="2" t="s">
        <v>759</v>
      </c>
      <c r="X1215" s="2" t="s">
        <v>602</v>
      </c>
      <c r="Y1215" s="2" t="s">
        <v>3599</v>
      </c>
      <c r="Z1215" s="4"/>
      <c r="AA1215" s="4">
        <f>=ROUNDDOWN({0},0)</f>
      </c>
      <c r="AB1215" s="5">
        <v>4.5</v>
      </c>
      <c r="AC1215" s="2" t="s">
        <v>100</v>
      </c>
      <c r="AD1215" s="4"/>
      <c r="AE1215" s="4"/>
      <c r="AF1215" s="6">
        <v>64</v>
      </c>
      <c r="AG1215" s="6"/>
      <c r="AH1215" s="7">
        <v>0.9939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82</v>
      </c>
      <c r="BK1215" s="8">
        <v>3555.34</v>
      </c>
      <c r="BL1215" s="2" t="s">
        <v>4166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147</v>
      </c>
      <c r="BV1215" s="2" t="s">
        <v>97</v>
      </c>
      <c r="BW1215" s="2" t="s">
        <v>100</v>
      </c>
      <c r="BX1215" s="2" t="s">
        <v>100</v>
      </c>
      <c r="BY1215" s="2" t="s">
        <v>112</v>
      </c>
      <c r="BZ1215" s="2" t="s">
        <v>100</v>
      </c>
    </row>
    <row r="1216">
      <c r="A1216" s="2" t="s">
        <v>4171</v>
      </c>
      <c r="B1216" s="2" t="s">
        <v>87</v>
      </c>
      <c r="C1216" s="2" t="s">
        <v>3586</v>
      </c>
      <c r="D1216" s="2" t="s">
        <v>89</v>
      </c>
      <c r="E1216" s="2" t="s">
        <v>2005</v>
      </c>
      <c r="F1216" s="2" t="s">
        <v>4172</v>
      </c>
      <c r="G1216" s="2" t="s">
        <v>4173</v>
      </c>
      <c r="H1216" s="2" t="s">
        <v>4174</v>
      </c>
      <c r="I1216" s="2" t="s">
        <v>4175</v>
      </c>
      <c r="J1216" s="2" t="s">
        <v>3012</v>
      </c>
      <c r="K1216" s="2" t="s">
        <v>197</v>
      </c>
      <c r="L1216" s="3">
        <v>38.4</v>
      </c>
      <c r="M1216" s="3">
        <v>40.31</v>
      </c>
      <c r="N1216" s="3">
        <v>79.99</v>
      </c>
      <c r="O1216" s="2" t="s">
        <v>97</v>
      </c>
      <c r="P1216" s="2" t="s">
        <v>182</v>
      </c>
      <c r="Q1216" s="2" t="s">
        <v>99</v>
      </c>
      <c r="R1216" s="2" t="s">
        <v>100</v>
      </c>
      <c r="S1216" s="2" t="s">
        <v>4176</v>
      </c>
      <c r="T1216" s="2" t="s">
        <v>100</v>
      </c>
      <c r="U1216" s="2" t="s">
        <v>490</v>
      </c>
      <c r="V1216" s="2" t="s">
        <v>1287</v>
      </c>
      <c r="W1216" s="2" t="s">
        <v>759</v>
      </c>
      <c r="X1216" s="2" t="s">
        <v>1191</v>
      </c>
      <c r="Y1216" s="2" t="s">
        <v>523</v>
      </c>
      <c r="Z1216" s="4">
        <v>237</v>
      </c>
      <c r="AA1216" s="4">
        <f>=ROUNDDOWN(33.8571428571429,0)</f>
      </c>
      <c r="AB1216" s="5">
        <v>7</v>
      </c>
      <c r="AC1216" s="2" t="s">
        <v>512</v>
      </c>
      <c r="AD1216" s="4">
        <v>30</v>
      </c>
      <c r="AE1216" s="4">
        <v>110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127</v>
      </c>
      <c r="BK1216" s="8">
        <v>5401.85</v>
      </c>
      <c r="BL1216" s="2" t="s">
        <v>4177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147</v>
      </c>
      <c r="BV1216" s="2" t="s">
        <v>97</v>
      </c>
      <c r="BW1216" s="2" t="s">
        <v>100</v>
      </c>
      <c r="BX1216" s="2" t="s">
        <v>100</v>
      </c>
      <c r="BY1216" s="2" t="s">
        <v>112</v>
      </c>
      <c r="BZ1216" s="2" t="s">
        <v>100</v>
      </c>
    </row>
    <row r="1217">
      <c r="A1217" s="2" t="s">
        <v>4178</v>
      </c>
      <c r="B1217" s="2" t="s">
        <v>87</v>
      </c>
      <c r="C1217" s="2" t="s">
        <v>3586</v>
      </c>
      <c r="D1217" s="2" t="s">
        <v>89</v>
      </c>
      <c r="E1217" s="2" t="s">
        <v>2005</v>
      </c>
      <c r="F1217" s="2" t="s">
        <v>4172</v>
      </c>
      <c r="G1217" s="2" t="s">
        <v>4173</v>
      </c>
      <c r="H1217" s="2" t="s">
        <v>4174</v>
      </c>
      <c r="I1217" s="2" t="s">
        <v>4179</v>
      </c>
      <c r="J1217" s="2" t="s">
        <v>122</v>
      </c>
      <c r="K1217" s="2" t="s">
        <v>197</v>
      </c>
      <c r="L1217" s="3">
        <v>43.2</v>
      </c>
      <c r="M1217" s="3">
        <v>45.35</v>
      </c>
      <c r="N1217" s="3">
        <v>89.99</v>
      </c>
      <c r="O1217" s="2" t="s">
        <v>97</v>
      </c>
      <c r="P1217" s="2" t="s">
        <v>182</v>
      </c>
      <c r="Q1217" s="2" t="s">
        <v>99</v>
      </c>
      <c r="R1217" s="2" t="s">
        <v>100</v>
      </c>
      <c r="S1217" s="2" t="s">
        <v>4176</v>
      </c>
      <c r="T1217" s="2" t="s">
        <v>100</v>
      </c>
      <c r="U1217" s="2" t="s">
        <v>403</v>
      </c>
      <c r="V1217" s="2" t="s">
        <v>1287</v>
      </c>
      <c r="W1217" s="2" t="s">
        <v>759</v>
      </c>
      <c r="X1217" s="2" t="s">
        <v>1191</v>
      </c>
      <c r="Y1217" s="2" t="s">
        <v>523</v>
      </c>
      <c r="Z1217" s="4">
        <v>298</v>
      </c>
      <c r="AA1217" s="4">
        <f>=ROUNDDOWN(24.8333333333333,0)</f>
      </c>
      <c r="AB1217" s="5">
        <v>12</v>
      </c>
      <c r="AC1217" s="2" t="s">
        <v>512</v>
      </c>
      <c r="AD1217" s="4">
        <v>60</v>
      </c>
      <c r="AE1217" s="4">
        <v>200</v>
      </c>
      <c r="AF1217" s="6">
        <v>65</v>
      </c>
      <c r="AG1217" s="6"/>
      <c r="AH1217" s="7">
        <v>0.8545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100</v>
      </c>
      <c r="AW1217" s="8" t="s">
        <v>100</v>
      </c>
      <c r="AX1217" s="4" t="s">
        <v>100</v>
      </c>
      <c r="AY1217" s="8" t="s">
        <v>100</v>
      </c>
      <c r="AZ1217" s="7" t="s">
        <v>100</v>
      </c>
      <c r="BA1217" s="7" t="s">
        <v>100</v>
      </c>
      <c r="BB1217" s="7"/>
      <c r="BC1217" s="4" t="s">
        <v>100</v>
      </c>
      <c r="BD1217" s="8" t="s">
        <v>100</v>
      </c>
      <c r="BE1217" s="4" t="s">
        <v>100</v>
      </c>
      <c r="BF1217" s="8" t="s">
        <v>100</v>
      </c>
      <c r="BG1217" s="7" t="s">
        <v>100</v>
      </c>
      <c r="BH1217" s="7" t="s">
        <v>100</v>
      </c>
      <c r="BI1217" s="7"/>
      <c r="BJ1217" s="4">
        <v>171</v>
      </c>
      <c r="BK1217" s="8">
        <v>8287.45</v>
      </c>
      <c r="BL1217" s="2" t="s">
        <v>4180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147</v>
      </c>
      <c r="BV1217" s="2" t="s">
        <v>97</v>
      </c>
      <c r="BW1217" s="2" t="s">
        <v>100</v>
      </c>
      <c r="BX1217" s="2" t="s">
        <v>100</v>
      </c>
      <c r="BY1217" s="2" t="s">
        <v>112</v>
      </c>
      <c r="BZ1217" s="2" t="s">
        <v>100</v>
      </c>
    </row>
    <row r="1218">
      <c r="A1218" s="2" t="s">
        <v>4181</v>
      </c>
      <c r="B1218" s="2" t="s">
        <v>87</v>
      </c>
      <c r="C1218" s="2" t="s">
        <v>3586</v>
      </c>
      <c r="D1218" s="2" t="s">
        <v>89</v>
      </c>
      <c r="E1218" s="2" t="s">
        <v>2005</v>
      </c>
      <c r="F1218" s="2" t="s">
        <v>4172</v>
      </c>
      <c r="G1218" s="2" t="s">
        <v>4173</v>
      </c>
      <c r="H1218" s="2" t="s">
        <v>4174</v>
      </c>
      <c r="I1218" s="2" t="s">
        <v>4179</v>
      </c>
      <c r="J1218" s="2" t="s">
        <v>95</v>
      </c>
      <c r="K1218" s="2" t="s">
        <v>197</v>
      </c>
      <c r="L1218" s="3">
        <v>49</v>
      </c>
      <c r="M1218" s="3">
        <v>51.44</v>
      </c>
      <c r="N1218" s="3">
        <v>99.99</v>
      </c>
      <c r="O1218" s="2" t="s">
        <v>97</v>
      </c>
      <c r="P1218" s="2" t="s">
        <v>182</v>
      </c>
      <c r="Q1218" s="2" t="s">
        <v>99</v>
      </c>
      <c r="R1218" s="2" t="s">
        <v>100</v>
      </c>
      <c r="S1218" s="2" t="s">
        <v>4176</v>
      </c>
      <c r="T1218" s="2" t="s">
        <v>100</v>
      </c>
      <c r="U1218" s="2" t="s">
        <v>403</v>
      </c>
      <c r="V1218" s="2" t="s">
        <v>1287</v>
      </c>
      <c r="W1218" s="2" t="s">
        <v>759</v>
      </c>
      <c r="X1218" s="2" t="s">
        <v>1191</v>
      </c>
      <c r="Y1218" s="2" t="s">
        <v>523</v>
      </c>
      <c r="Z1218" s="4">
        <v>270</v>
      </c>
      <c r="AA1218" s="4">
        <f>=ROUNDDOWN(30,0)</f>
      </c>
      <c r="AB1218" s="5">
        <v>9</v>
      </c>
      <c r="AC1218" s="2" t="s">
        <v>512</v>
      </c>
      <c r="AD1218" s="4">
        <v>150</v>
      </c>
      <c r="AE1218" s="4">
        <v>310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/>
      <c r="BJ1218" s="4">
        <v>191</v>
      </c>
      <c r="BK1218" s="8">
        <v>10323.5</v>
      </c>
      <c r="BL1218" s="2" t="s">
        <v>4182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147</v>
      </c>
      <c r="BV1218" s="2" t="s">
        <v>97</v>
      </c>
      <c r="BW1218" s="2" t="s">
        <v>100</v>
      </c>
      <c r="BX1218" s="2" t="s">
        <v>100</v>
      </c>
      <c r="BY1218" s="2" t="s">
        <v>112</v>
      </c>
      <c r="BZ1218" s="2" t="s">
        <v>100</v>
      </c>
    </row>
    <row r="1219">
      <c r="A1219" s="2" t="s">
        <v>4183</v>
      </c>
      <c r="B1219" s="2" t="s">
        <v>87</v>
      </c>
      <c r="C1219" s="2" t="s">
        <v>3586</v>
      </c>
      <c r="D1219" s="2" t="s">
        <v>89</v>
      </c>
      <c r="E1219" s="2" t="s">
        <v>2005</v>
      </c>
      <c r="F1219" s="2" t="s">
        <v>4172</v>
      </c>
      <c r="G1219" s="2" t="s">
        <v>4173</v>
      </c>
      <c r="H1219" s="2" t="s">
        <v>4174</v>
      </c>
      <c r="I1219" s="2" t="s">
        <v>4179</v>
      </c>
      <c r="J1219" s="2" t="s">
        <v>114</v>
      </c>
      <c r="K1219" s="2" t="s">
        <v>197</v>
      </c>
      <c r="L1219" s="3">
        <v>53.9</v>
      </c>
      <c r="M1219" s="3">
        <v>56.59</v>
      </c>
      <c r="N1219" s="3">
        <v>109.99</v>
      </c>
      <c r="O1219" s="2" t="s">
        <v>97</v>
      </c>
      <c r="P1219" s="2" t="s">
        <v>182</v>
      </c>
      <c r="Q1219" s="2" t="s">
        <v>99</v>
      </c>
      <c r="R1219" s="2" t="s">
        <v>100</v>
      </c>
      <c r="S1219" s="2" t="s">
        <v>4176</v>
      </c>
      <c r="T1219" s="2" t="s">
        <v>100</v>
      </c>
      <c r="U1219" s="2" t="s">
        <v>403</v>
      </c>
      <c r="V1219" s="2" t="s">
        <v>1287</v>
      </c>
      <c r="W1219" s="2" t="s">
        <v>759</v>
      </c>
      <c r="X1219" s="2" t="s">
        <v>1191</v>
      </c>
      <c r="Y1219" s="2" t="s">
        <v>523</v>
      </c>
      <c r="Z1219" s="4">
        <v>110</v>
      </c>
      <c r="AA1219" s="4">
        <f>=ROUNDDOWN(36.6666666666667,0)</f>
      </c>
      <c r="AB1219" s="5">
        <v>3</v>
      </c>
      <c r="AC1219" s="2" t="s">
        <v>512</v>
      </c>
      <c r="AD1219" s="4">
        <v>50</v>
      </c>
      <c r="AE1219" s="4">
        <v>120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/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/>
      <c r="BJ1219" s="4">
        <v>48</v>
      </c>
      <c r="BK1219" s="8">
        <v>2859.92</v>
      </c>
      <c r="BL1219" s="2" t="s">
        <v>4184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147</v>
      </c>
      <c r="BV1219" s="2" t="s">
        <v>97</v>
      </c>
      <c r="BW1219" s="2" t="s">
        <v>100</v>
      </c>
      <c r="BX1219" s="2" t="s">
        <v>100</v>
      </c>
      <c r="BY1219" s="2" t="s">
        <v>112</v>
      </c>
      <c r="BZ1219" s="2" t="s">
        <v>100</v>
      </c>
    </row>
    <row r="1220">
      <c r="A1220" s="2" t="s">
        <v>4185</v>
      </c>
      <c r="B1220" s="2" t="s">
        <v>87</v>
      </c>
      <c r="C1220" s="2" t="s">
        <v>3586</v>
      </c>
      <c r="D1220" s="2" t="s">
        <v>89</v>
      </c>
      <c r="E1220" s="2" t="s">
        <v>2005</v>
      </c>
      <c r="F1220" s="2" t="s">
        <v>4172</v>
      </c>
      <c r="G1220" s="2" t="s">
        <v>4173</v>
      </c>
      <c r="H1220" s="2" t="s">
        <v>4174</v>
      </c>
      <c r="I1220" s="2" t="s">
        <v>4179</v>
      </c>
      <c r="J1220" s="2" t="s">
        <v>118</v>
      </c>
      <c r="K1220" s="2" t="s">
        <v>197</v>
      </c>
      <c r="L1220" s="3">
        <v>54.99</v>
      </c>
      <c r="M1220" s="3">
        <v>57.74</v>
      </c>
      <c r="N1220" s="3">
        <v>109.99</v>
      </c>
      <c r="O1220" s="2" t="s">
        <v>97</v>
      </c>
      <c r="P1220" s="2" t="s">
        <v>182</v>
      </c>
      <c r="Q1220" s="2" t="s">
        <v>99</v>
      </c>
      <c r="R1220" s="2" t="s">
        <v>100</v>
      </c>
      <c r="S1220" s="2" t="s">
        <v>4176</v>
      </c>
      <c r="T1220" s="2" t="s">
        <v>100</v>
      </c>
      <c r="U1220" s="2" t="s">
        <v>403</v>
      </c>
      <c r="V1220" s="2" t="s">
        <v>1287</v>
      </c>
      <c r="W1220" s="2" t="s">
        <v>759</v>
      </c>
      <c r="X1220" s="2" t="s">
        <v>1191</v>
      </c>
      <c r="Y1220" s="2" t="s">
        <v>523</v>
      </c>
      <c r="Z1220" s="4">
        <v>125</v>
      </c>
      <c r="AA1220" s="4">
        <f>=ROUNDDOWN(41.6666666666667,0)</f>
      </c>
      <c r="AB1220" s="5">
        <v>3</v>
      </c>
      <c r="AC1220" s="2" t="s">
        <v>512</v>
      </c>
      <c r="AD1220" s="4">
        <v>30</v>
      </c>
      <c r="AE1220" s="4">
        <v>60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/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/>
      <c r="BJ1220" s="4">
        <v>33</v>
      </c>
      <c r="BK1220" s="8">
        <v>1961.09</v>
      </c>
      <c r="BL1220" s="2" t="s">
        <v>4186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147</v>
      </c>
      <c r="BV1220" s="2" t="s">
        <v>97</v>
      </c>
      <c r="BW1220" s="2" t="s">
        <v>100</v>
      </c>
      <c r="BX1220" s="2" t="s">
        <v>100</v>
      </c>
      <c r="BY1220" s="2" t="s">
        <v>112</v>
      </c>
      <c r="BZ1220" s="2" t="s">
        <v>100</v>
      </c>
    </row>
    <row r="1221">
      <c r="A1221" s="2" t="s">
        <v>4187</v>
      </c>
      <c r="B1221" s="2" t="s">
        <v>87</v>
      </c>
      <c r="C1221" s="2" t="s">
        <v>3586</v>
      </c>
      <c r="D1221" s="2" t="s">
        <v>89</v>
      </c>
      <c r="E1221" s="2" t="s">
        <v>2005</v>
      </c>
      <c r="F1221" s="2" t="s">
        <v>4188</v>
      </c>
      <c r="G1221" s="2" t="s">
        <v>4189</v>
      </c>
      <c r="H1221" s="2" t="s">
        <v>4190</v>
      </c>
      <c r="I1221" s="2" t="s">
        <v>3845</v>
      </c>
      <c r="J1221" s="2" t="s">
        <v>95</v>
      </c>
      <c r="K1221" s="2" t="s">
        <v>267</v>
      </c>
      <c r="L1221" s="3">
        <v>40.71</v>
      </c>
      <c r="M1221" s="3">
        <v>42.75</v>
      </c>
      <c r="N1221" s="3">
        <v>99.99</v>
      </c>
      <c r="O1221" s="2" t="s">
        <v>550</v>
      </c>
      <c r="P1221" s="2" t="s">
        <v>1608</v>
      </c>
      <c r="Q1221" s="2" t="s">
        <v>99</v>
      </c>
      <c r="R1221" s="2" t="s">
        <v>1609</v>
      </c>
      <c r="S1221" s="2" t="s">
        <v>4191</v>
      </c>
      <c r="T1221" s="2" t="s">
        <v>100</v>
      </c>
      <c r="U1221" s="2" t="s">
        <v>790</v>
      </c>
      <c r="V1221" s="2" t="s">
        <v>1122</v>
      </c>
      <c r="W1221" s="2" t="s">
        <v>602</v>
      </c>
      <c r="X1221" s="2" t="s">
        <v>759</v>
      </c>
      <c r="Y1221" s="2" t="s">
        <v>3846</v>
      </c>
      <c r="Z1221" s="4"/>
      <c r="AA1221" s="4">
        <f>=ROUNDDOWN({0},0)</f>
      </c>
      <c r="AB1221" s="5"/>
      <c r="AC1221" s="2" t="s">
        <v>100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1612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147</v>
      </c>
      <c r="BV1221" s="2" t="s">
        <v>97</v>
      </c>
      <c r="BW1221" s="2" t="s">
        <v>100</v>
      </c>
      <c r="BX1221" s="2" t="s">
        <v>100</v>
      </c>
      <c r="BY1221" s="2" t="s">
        <v>112</v>
      </c>
      <c r="BZ1221" s="2" t="s">
        <v>100</v>
      </c>
    </row>
    <row r="1222">
      <c r="A1222" s="2" t="s">
        <v>4192</v>
      </c>
      <c r="B1222" s="2" t="s">
        <v>87</v>
      </c>
      <c r="C1222" s="2" t="s">
        <v>3586</v>
      </c>
      <c r="D1222" s="2" t="s">
        <v>89</v>
      </c>
      <c r="E1222" s="2" t="s">
        <v>2005</v>
      </c>
      <c r="F1222" s="2" t="s">
        <v>4193</v>
      </c>
      <c r="G1222" s="2" t="s">
        <v>4194</v>
      </c>
      <c r="H1222" s="2" t="s">
        <v>4195</v>
      </c>
      <c r="I1222" s="2" t="s">
        <v>4128</v>
      </c>
      <c r="J1222" s="2" t="s">
        <v>122</v>
      </c>
      <c r="K1222" s="2" t="s">
        <v>181</v>
      </c>
      <c r="L1222" s="3">
        <v>46.5</v>
      </c>
      <c r="M1222" s="3">
        <v>48.83</v>
      </c>
      <c r="N1222" s="3">
        <v>89</v>
      </c>
      <c r="O1222" s="2" t="s">
        <v>1148</v>
      </c>
      <c r="P1222" s="2" t="s">
        <v>198</v>
      </c>
      <c r="Q1222" s="2" t="s">
        <v>99</v>
      </c>
      <c r="R1222" s="2" t="s">
        <v>100</v>
      </c>
      <c r="S1222" s="2" t="s">
        <v>4196</v>
      </c>
      <c r="T1222" s="2" t="s">
        <v>100</v>
      </c>
      <c r="U1222" s="2" t="s">
        <v>807</v>
      </c>
      <c r="V1222" s="2" t="s">
        <v>561</v>
      </c>
      <c r="W1222" s="2" t="s">
        <v>1530</v>
      </c>
      <c r="X1222" s="2" t="s">
        <v>907</v>
      </c>
      <c r="Y1222" s="2" t="s">
        <v>3954</v>
      </c>
      <c r="Z1222" s="4"/>
      <c r="AA1222" s="4">
        <f>=ROUNDDOWN({0},0)</f>
      </c>
      <c r="AB1222" s="5"/>
      <c r="AC1222" s="2" t="s">
        <v>100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/>
      <c r="BJ1222" s="4"/>
      <c r="BK1222" s="8"/>
      <c r="BL1222" s="2" t="s">
        <v>100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147</v>
      </c>
      <c r="BV1222" s="2" t="s">
        <v>97</v>
      </c>
      <c r="BW1222" s="2" t="s">
        <v>100</v>
      </c>
      <c r="BX1222" s="2" t="s">
        <v>100</v>
      </c>
      <c r="BY1222" s="2" t="s">
        <v>112</v>
      </c>
      <c r="BZ1222" s="2" t="s">
        <v>100</v>
      </c>
    </row>
    <row r="1223">
      <c r="A1223" s="2" t="s">
        <v>4197</v>
      </c>
      <c r="B1223" s="2" t="s">
        <v>87</v>
      </c>
      <c r="C1223" s="2" t="s">
        <v>3586</v>
      </c>
      <c r="D1223" s="2" t="s">
        <v>89</v>
      </c>
      <c r="E1223" s="2" t="s">
        <v>2005</v>
      </c>
      <c r="F1223" s="2" t="s">
        <v>4193</v>
      </c>
      <c r="G1223" s="2" t="s">
        <v>4194</v>
      </c>
      <c r="H1223" s="2" t="s">
        <v>4195</v>
      </c>
      <c r="I1223" s="2" t="s">
        <v>4128</v>
      </c>
      <c r="J1223" s="2" t="s">
        <v>114</v>
      </c>
      <c r="K1223" s="2" t="s">
        <v>181</v>
      </c>
      <c r="L1223" s="3">
        <v>57</v>
      </c>
      <c r="M1223" s="3">
        <v>59.85</v>
      </c>
      <c r="N1223" s="3">
        <v>109</v>
      </c>
      <c r="O1223" s="2" t="s">
        <v>229</v>
      </c>
      <c r="P1223" s="2" t="s">
        <v>198</v>
      </c>
      <c r="Q1223" s="2" t="s">
        <v>99</v>
      </c>
      <c r="R1223" s="2" t="s">
        <v>100</v>
      </c>
      <c r="S1223" s="2" t="s">
        <v>4196</v>
      </c>
      <c r="T1223" s="2" t="s">
        <v>100</v>
      </c>
      <c r="U1223" s="2" t="s">
        <v>807</v>
      </c>
      <c r="V1223" s="2" t="s">
        <v>561</v>
      </c>
      <c r="W1223" s="2" t="s">
        <v>1530</v>
      </c>
      <c r="X1223" s="2" t="s">
        <v>907</v>
      </c>
      <c r="Y1223" s="2" t="s">
        <v>3780</v>
      </c>
      <c r="Z1223" s="4"/>
      <c r="AA1223" s="4">
        <f>=ROUNDDOWN({0},0)</f>
      </c>
      <c r="AB1223" s="5"/>
      <c r="AC1223" s="2" t="s">
        <v>100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/>
      <c r="BJ1223" s="4"/>
      <c r="BK1223" s="8"/>
      <c r="BL1223" s="2" t="s">
        <v>100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147</v>
      </c>
      <c r="BV1223" s="2" t="s">
        <v>97</v>
      </c>
      <c r="BW1223" s="2" t="s">
        <v>100</v>
      </c>
      <c r="BX1223" s="2" t="s">
        <v>100</v>
      </c>
      <c r="BY1223" s="2" t="s">
        <v>112</v>
      </c>
      <c r="BZ1223" s="2" t="s">
        <v>100</v>
      </c>
    </row>
    <row r="1224">
      <c r="A1224" s="2" t="s">
        <v>4198</v>
      </c>
      <c r="B1224" s="2" t="s">
        <v>87</v>
      </c>
      <c r="C1224" s="2" t="s">
        <v>3586</v>
      </c>
      <c r="D1224" s="2" t="s">
        <v>89</v>
      </c>
      <c r="E1224" s="2" t="s">
        <v>2005</v>
      </c>
      <c r="F1224" s="2" t="s">
        <v>4193</v>
      </c>
      <c r="G1224" s="2" t="s">
        <v>4194</v>
      </c>
      <c r="H1224" s="2" t="s">
        <v>4195</v>
      </c>
      <c r="I1224" s="2" t="s">
        <v>4128</v>
      </c>
      <c r="J1224" s="2" t="s">
        <v>118</v>
      </c>
      <c r="K1224" s="2" t="s">
        <v>181</v>
      </c>
      <c r="L1224" s="3">
        <v>57</v>
      </c>
      <c r="M1224" s="3">
        <v>59.85</v>
      </c>
      <c r="N1224" s="3">
        <v>109</v>
      </c>
      <c r="O1224" s="2" t="s">
        <v>229</v>
      </c>
      <c r="P1224" s="2" t="s">
        <v>198</v>
      </c>
      <c r="Q1224" s="2" t="s">
        <v>99</v>
      </c>
      <c r="R1224" s="2" t="s">
        <v>100</v>
      </c>
      <c r="S1224" s="2" t="s">
        <v>4196</v>
      </c>
      <c r="T1224" s="2" t="s">
        <v>100</v>
      </c>
      <c r="U1224" s="2" t="s">
        <v>807</v>
      </c>
      <c r="V1224" s="2" t="s">
        <v>561</v>
      </c>
      <c r="W1224" s="2" t="s">
        <v>1530</v>
      </c>
      <c r="X1224" s="2" t="s">
        <v>907</v>
      </c>
      <c r="Y1224" s="2" t="s">
        <v>3780</v>
      </c>
      <c r="Z1224" s="4"/>
      <c r="AA1224" s="4">
        <f>=ROUNDDOWN({0},0)</f>
      </c>
      <c r="AB1224" s="5"/>
      <c r="AC1224" s="2" t="s">
        <v>100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/>
      <c r="BJ1224" s="4"/>
      <c r="BK1224" s="8"/>
      <c r="BL1224" s="2" t="s">
        <v>100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147</v>
      </c>
      <c r="BV1224" s="2" t="s">
        <v>97</v>
      </c>
      <c r="BW1224" s="2" t="s">
        <v>100</v>
      </c>
      <c r="BX1224" s="2" t="s">
        <v>100</v>
      </c>
      <c r="BY1224" s="2" t="s">
        <v>112</v>
      </c>
      <c r="BZ1224" s="2" t="s">
        <v>100</v>
      </c>
    </row>
    <row r="1225">
      <c r="A1225" s="2" t="s">
        <v>4199</v>
      </c>
      <c r="B1225" s="2" t="s">
        <v>87</v>
      </c>
      <c r="C1225" s="2" t="s">
        <v>3586</v>
      </c>
      <c r="D1225" s="2" t="s">
        <v>89</v>
      </c>
      <c r="E1225" s="2" t="s">
        <v>2005</v>
      </c>
      <c r="F1225" s="2" t="s">
        <v>4200</v>
      </c>
      <c r="G1225" s="2" t="s">
        <v>4201</v>
      </c>
      <c r="H1225" s="2" t="s">
        <v>4202</v>
      </c>
      <c r="I1225" s="2" t="s">
        <v>3845</v>
      </c>
      <c r="J1225" s="2" t="s">
        <v>95</v>
      </c>
      <c r="K1225" s="2" t="s">
        <v>197</v>
      </c>
      <c r="L1225" s="3">
        <v>40.71</v>
      </c>
      <c r="M1225" s="3">
        <v>42.75</v>
      </c>
      <c r="N1225" s="3">
        <v>99.99</v>
      </c>
      <c r="O1225" s="2" t="s">
        <v>550</v>
      </c>
      <c r="P1225" s="2" t="s">
        <v>1608</v>
      </c>
      <c r="Q1225" s="2" t="s">
        <v>99</v>
      </c>
      <c r="R1225" s="2" t="s">
        <v>1609</v>
      </c>
      <c r="S1225" s="2" t="s">
        <v>4203</v>
      </c>
      <c r="T1225" s="2" t="s">
        <v>100</v>
      </c>
      <c r="U1225" s="2" t="s">
        <v>790</v>
      </c>
      <c r="V1225" s="2" t="s">
        <v>455</v>
      </c>
      <c r="W1225" s="2" t="s">
        <v>602</v>
      </c>
      <c r="X1225" s="2" t="s">
        <v>4204</v>
      </c>
      <c r="Y1225" s="2" t="s">
        <v>3846</v>
      </c>
      <c r="Z1225" s="4"/>
      <c r="AA1225" s="4">
        <f>=ROUNDDOWN({0},0)</f>
      </c>
      <c r="AB1225" s="5"/>
      <c r="AC1225" s="2" t="s">
        <v>100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/>
      <c r="AW1225" s="8"/>
      <c r="AX1225" s="4"/>
      <c r="AY1225" s="8"/>
      <c r="AZ1225" s="7"/>
      <c r="BA1225" s="7"/>
      <c r="BB1225" s="7"/>
      <c r="BC1225" s="4"/>
      <c r="BD1225" s="8"/>
      <c r="BE1225" s="4"/>
      <c r="BF1225" s="8"/>
      <c r="BG1225" s="7"/>
      <c r="BH1225" s="7"/>
      <c r="BI1225" s="7"/>
      <c r="BJ1225" s="4"/>
      <c r="BK1225" s="8"/>
      <c r="BL1225" s="2" t="s">
        <v>1612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147</v>
      </c>
      <c r="BV1225" s="2" t="s">
        <v>97</v>
      </c>
      <c r="BW1225" s="2" t="s">
        <v>100</v>
      </c>
      <c r="BX1225" s="2" t="s">
        <v>100</v>
      </c>
      <c r="BY1225" s="2" t="s">
        <v>112</v>
      </c>
      <c r="BZ1225" s="2" t="s">
        <v>100</v>
      </c>
    </row>
    <row r="1226">
      <c r="A1226" s="2" t="s">
        <v>4205</v>
      </c>
      <c r="B1226" s="2" t="s">
        <v>87</v>
      </c>
      <c r="C1226" s="2" t="s">
        <v>3586</v>
      </c>
      <c r="D1226" s="2" t="s">
        <v>89</v>
      </c>
      <c r="E1226" s="2" t="s">
        <v>2005</v>
      </c>
      <c r="F1226" s="2" t="s">
        <v>4206</v>
      </c>
      <c r="G1226" s="2" t="s">
        <v>4207</v>
      </c>
      <c r="H1226" s="2" t="s">
        <v>1513</v>
      </c>
      <c r="I1226" s="2" t="s">
        <v>3775</v>
      </c>
      <c r="J1226" s="2" t="s">
        <v>3012</v>
      </c>
      <c r="K1226" s="2" t="s">
        <v>622</v>
      </c>
      <c r="L1226" s="3">
        <v>56.15</v>
      </c>
      <c r="M1226" s="3">
        <v>58.96</v>
      </c>
      <c r="N1226" s="3">
        <v>114.99</v>
      </c>
      <c r="O1226" s="2" t="s">
        <v>97</v>
      </c>
      <c r="P1226" s="2" t="s">
        <v>198</v>
      </c>
      <c r="Q1226" s="2" t="s">
        <v>99</v>
      </c>
      <c r="R1226" s="2" t="s">
        <v>100</v>
      </c>
      <c r="S1226" s="2" t="s">
        <v>4208</v>
      </c>
      <c r="T1226" s="2" t="s">
        <v>100</v>
      </c>
      <c r="U1226" s="2" t="s">
        <v>102</v>
      </c>
      <c r="V1226" s="2" t="s">
        <v>491</v>
      </c>
      <c r="W1226" s="2" t="s">
        <v>104</v>
      </c>
      <c r="X1226" s="2" t="s">
        <v>3117</v>
      </c>
      <c r="Y1226" s="2" t="s">
        <v>106</v>
      </c>
      <c r="Z1226" s="4"/>
      <c r="AA1226" s="4">
        <f>=ROUNDDOWN({0},0)</f>
      </c>
      <c r="AB1226" s="5">
        <v>2.9</v>
      </c>
      <c r="AC1226" s="2" t="s">
        <v>100</v>
      </c>
      <c r="AD1226" s="4"/>
      <c r="AE1226" s="4"/>
      <c r="AF1226" s="6">
        <v>64</v>
      </c>
      <c r="AG1226" s="6"/>
      <c r="AH1226" s="7">
        <v>0.9576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/>
      <c r="BJ1226" s="4">
        <v>56</v>
      </c>
      <c r="BK1226" s="8">
        <v>2759.43</v>
      </c>
      <c r="BL1226" s="2" t="s">
        <v>4209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147</v>
      </c>
      <c r="BV1226" s="2" t="s">
        <v>97</v>
      </c>
      <c r="BW1226" s="2" t="s">
        <v>100</v>
      </c>
      <c r="BX1226" s="2" t="s">
        <v>100</v>
      </c>
      <c r="BY1226" s="2" t="s">
        <v>112</v>
      </c>
      <c r="BZ1226" s="2" t="s">
        <v>100</v>
      </c>
    </row>
    <row r="1227">
      <c r="A1227" s="2" t="s">
        <v>4210</v>
      </c>
      <c r="B1227" s="2" t="s">
        <v>87</v>
      </c>
      <c r="C1227" s="2" t="s">
        <v>3586</v>
      </c>
      <c r="D1227" s="2" t="s">
        <v>89</v>
      </c>
      <c r="E1227" s="2" t="s">
        <v>2005</v>
      </c>
      <c r="F1227" s="2" t="s">
        <v>4206</v>
      </c>
      <c r="G1227" s="2" t="s">
        <v>4207</v>
      </c>
      <c r="H1227" s="2" t="s">
        <v>1513</v>
      </c>
      <c r="I1227" s="2" t="s">
        <v>3783</v>
      </c>
      <c r="J1227" s="2" t="s">
        <v>95</v>
      </c>
      <c r="K1227" s="2" t="s">
        <v>622</v>
      </c>
      <c r="L1227" s="3">
        <v>67.39</v>
      </c>
      <c r="M1227" s="3">
        <v>70.76</v>
      </c>
      <c r="N1227" s="3">
        <v>134.99</v>
      </c>
      <c r="O1227" s="2" t="s">
        <v>229</v>
      </c>
      <c r="P1227" s="2" t="s">
        <v>198</v>
      </c>
      <c r="Q1227" s="2" t="s">
        <v>99</v>
      </c>
      <c r="R1227" s="2" t="s">
        <v>100</v>
      </c>
      <c r="S1227" s="2" t="s">
        <v>4208</v>
      </c>
      <c r="T1227" s="2" t="s">
        <v>100</v>
      </c>
      <c r="U1227" s="2" t="s">
        <v>807</v>
      </c>
      <c r="V1227" s="2" t="s">
        <v>491</v>
      </c>
      <c r="W1227" s="2" t="s">
        <v>104</v>
      </c>
      <c r="X1227" s="2" t="s">
        <v>3117</v>
      </c>
      <c r="Y1227" s="2" t="s">
        <v>106</v>
      </c>
      <c r="Z1227" s="4">
        <v>173</v>
      </c>
      <c r="AA1227" s="4">
        <f>=ROUNDDOWN(19.2222222222222,0)</f>
      </c>
      <c r="AB1227" s="5">
        <v>9</v>
      </c>
      <c r="AC1227" s="2" t="s">
        <v>100</v>
      </c>
      <c r="AD1227" s="4"/>
      <c r="AE1227" s="4"/>
      <c r="AF1227" s="6">
        <v>64</v>
      </c>
      <c r="AG1227" s="6"/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100</v>
      </c>
      <c r="AW1227" s="8" t="s">
        <v>100</v>
      </c>
      <c r="AX1227" s="4" t="s">
        <v>100</v>
      </c>
      <c r="AY1227" s="8" t="s">
        <v>100</v>
      </c>
      <c r="AZ1227" s="7" t="s">
        <v>100</v>
      </c>
      <c r="BA1227" s="7" t="s">
        <v>100</v>
      </c>
      <c r="BB1227" s="7"/>
      <c r="BC1227" s="4" t="s">
        <v>100</v>
      </c>
      <c r="BD1227" s="8" t="s">
        <v>100</v>
      </c>
      <c r="BE1227" s="4" t="s">
        <v>100</v>
      </c>
      <c r="BF1227" s="8" t="s">
        <v>100</v>
      </c>
      <c r="BG1227" s="7" t="s">
        <v>100</v>
      </c>
      <c r="BH1227" s="7" t="s">
        <v>100</v>
      </c>
      <c r="BI1227" s="7"/>
      <c r="BJ1227" s="4">
        <v>236</v>
      </c>
      <c r="BK1227" s="8">
        <v>13086.82</v>
      </c>
      <c r="BL1227" s="2" t="s">
        <v>4211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147</v>
      </c>
      <c r="BV1227" s="2" t="s">
        <v>97</v>
      </c>
      <c r="BW1227" s="2" t="s">
        <v>100</v>
      </c>
      <c r="BX1227" s="2" t="s">
        <v>100</v>
      </c>
      <c r="BY1227" s="2" t="s">
        <v>112</v>
      </c>
      <c r="BZ1227" s="2" t="s">
        <v>100</v>
      </c>
    </row>
    <row r="1228">
      <c r="A1228" s="2" t="s">
        <v>4212</v>
      </c>
      <c r="B1228" s="2" t="s">
        <v>87</v>
      </c>
      <c r="C1228" s="2" t="s">
        <v>3586</v>
      </c>
      <c r="D1228" s="2" t="s">
        <v>89</v>
      </c>
      <c r="E1228" s="2" t="s">
        <v>2005</v>
      </c>
      <c r="F1228" s="2" t="s">
        <v>4206</v>
      </c>
      <c r="G1228" s="2" t="s">
        <v>4207</v>
      </c>
      <c r="H1228" s="2" t="s">
        <v>1513</v>
      </c>
      <c r="I1228" s="2" t="s">
        <v>3783</v>
      </c>
      <c r="J1228" s="2" t="s">
        <v>114</v>
      </c>
      <c r="K1228" s="2" t="s">
        <v>622</v>
      </c>
      <c r="L1228" s="3">
        <v>73</v>
      </c>
      <c r="M1228" s="3">
        <v>76.65</v>
      </c>
      <c r="N1228" s="3">
        <v>144.99</v>
      </c>
      <c r="O1228" s="2" t="s">
        <v>229</v>
      </c>
      <c r="P1228" s="2" t="s">
        <v>198</v>
      </c>
      <c r="Q1228" s="2" t="s">
        <v>99</v>
      </c>
      <c r="R1228" s="2" t="s">
        <v>100</v>
      </c>
      <c r="S1228" s="2" t="s">
        <v>4208</v>
      </c>
      <c r="T1228" s="2" t="s">
        <v>100</v>
      </c>
      <c r="U1228" s="2" t="s">
        <v>807</v>
      </c>
      <c r="V1228" s="2" t="s">
        <v>491</v>
      </c>
      <c r="W1228" s="2" t="s">
        <v>104</v>
      </c>
      <c r="X1228" s="2" t="s">
        <v>3117</v>
      </c>
      <c r="Y1228" s="2" t="s">
        <v>106</v>
      </c>
      <c r="Z1228" s="4">
        <v>55</v>
      </c>
      <c r="AA1228" s="4">
        <f>=ROUNDDOWN(7.74647887323944,0)</f>
      </c>
      <c r="AB1228" s="5">
        <v>7.1</v>
      </c>
      <c r="AC1228" s="2" t="s">
        <v>100</v>
      </c>
      <c r="AD1228" s="4"/>
      <c r="AE1228" s="4"/>
      <c r="AF1228" s="6">
        <v>64</v>
      </c>
      <c r="AG1228" s="6"/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/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/>
      <c r="BJ1228" s="4">
        <v>164</v>
      </c>
      <c r="BK1228" s="8">
        <v>10060.9</v>
      </c>
      <c r="BL1228" s="2" t="s">
        <v>4213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147</v>
      </c>
      <c r="BV1228" s="2" t="s">
        <v>97</v>
      </c>
      <c r="BW1228" s="2" t="s">
        <v>100</v>
      </c>
      <c r="BX1228" s="2" t="s">
        <v>100</v>
      </c>
      <c r="BY1228" s="2" t="s">
        <v>112</v>
      </c>
      <c r="BZ1228" s="2" t="s">
        <v>100</v>
      </c>
    </row>
    <row r="1229">
      <c r="A1229" s="2" t="s">
        <v>4214</v>
      </c>
      <c r="B1229" s="2" t="s">
        <v>87</v>
      </c>
      <c r="C1229" s="2" t="s">
        <v>3586</v>
      </c>
      <c r="D1229" s="2" t="s">
        <v>89</v>
      </c>
      <c r="E1229" s="2" t="s">
        <v>2005</v>
      </c>
      <c r="F1229" s="2" t="s">
        <v>4215</v>
      </c>
      <c r="G1229" s="2" t="s">
        <v>4216</v>
      </c>
      <c r="H1229" s="2" t="s">
        <v>4217</v>
      </c>
      <c r="I1229" s="2" t="s">
        <v>4218</v>
      </c>
      <c r="J1229" s="2" t="s">
        <v>95</v>
      </c>
      <c r="K1229" s="2" t="s">
        <v>323</v>
      </c>
      <c r="L1229" s="3">
        <v>79.9</v>
      </c>
      <c r="M1229" s="3">
        <v>83.89</v>
      </c>
      <c r="N1229" s="3">
        <v>169.99</v>
      </c>
      <c r="O1229" s="2" t="s">
        <v>97</v>
      </c>
      <c r="P1229" s="2" t="s">
        <v>182</v>
      </c>
      <c r="Q1229" s="2" t="s">
        <v>99</v>
      </c>
      <c r="R1229" s="2" t="s">
        <v>100</v>
      </c>
      <c r="S1229" s="2" t="s">
        <v>4219</v>
      </c>
      <c r="T1229" s="2" t="s">
        <v>100</v>
      </c>
      <c r="U1229" s="2" t="s">
        <v>4220</v>
      </c>
      <c r="V1229" s="2" t="s">
        <v>103</v>
      </c>
      <c r="W1229" s="2" t="s">
        <v>405</v>
      </c>
      <c r="X1229" s="2" t="s">
        <v>406</v>
      </c>
      <c r="Y1229" s="2" t="s">
        <v>4221</v>
      </c>
      <c r="Z1229" s="4">
        <v>287</v>
      </c>
      <c r="AA1229" s="4">
        <f>=ROUNDDOWN(28.7,0)</f>
      </c>
      <c r="AB1229" s="5">
        <v>10</v>
      </c>
      <c r="AC1229" s="2" t="s">
        <v>919</v>
      </c>
      <c r="AD1229" s="4">
        <v>110</v>
      </c>
      <c r="AE1229" s="4">
        <v>310</v>
      </c>
      <c r="AF1229" s="6">
        <v>64</v>
      </c>
      <c r="AG1229" s="6"/>
      <c r="AH1229" s="7">
        <v>1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/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/>
      <c r="BJ1229" s="4">
        <v>209</v>
      </c>
      <c r="BK1229" s="8">
        <v>18014.26</v>
      </c>
      <c r="BL1229" s="2" t="s">
        <v>4222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147</v>
      </c>
      <c r="BV1229" s="2" t="s">
        <v>97</v>
      </c>
      <c r="BW1229" s="2" t="s">
        <v>100</v>
      </c>
      <c r="BX1229" s="2" t="s">
        <v>100</v>
      </c>
      <c r="BY1229" s="2" t="s">
        <v>112</v>
      </c>
      <c r="BZ1229" s="2" t="s">
        <v>100</v>
      </c>
    </row>
    <row r="1230">
      <c r="A1230" s="2" t="s">
        <v>4223</v>
      </c>
      <c r="B1230" s="2" t="s">
        <v>87</v>
      </c>
      <c r="C1230" s="2" t="s">
        <v>3586</v>
      </c>
      <c r="D1230" s="2" t="s">
        <v>89</v>
      </c>
      <c r="E1230" s="2" t="s">
        <v>2005</v>
      </c>
      <c r="F1230" s="2" t="s">
        <v>4215</v>
      </c>
      <c r="G1230" s="2" t="s">
        <v>4216</v>
      </c>
      <c r="H1230" s="2" t="s">
        <v>4217</v>
      </c>
      <c r="I1230" s="2" t="s">
        <v>4218</v>
      </c>
      <c r="J1230" s="2" t="s">
        <v>114</v>
      </c>
      <c r="K1230" s="2" t="s">
        <v>323</v>
      </c>
      <c r="L1230" s="3">
        <v>84.6</v>
      </c>
      <c r="M1230" s="3">
        <v>88.83</v>
      </c>
      <c r="N1230" s="3">
        <v>179.99</v>
      </c>
      <c r="O1230" s="2" t="s">
        <v>97</v>
      </c>
      <c r="P1230" s="2" t="s">
        <v>182</v>
      </c>
      <c r="Q1230" s="2" t="s">
        <v>99</v>
      </c>
      <c r="R1230" s="2" t="s">
        <v>100</v>
      </c>
      <c r="S1230" s="2" t="s">
        <v>4219</v>
      </c>
      <c r="T1230" s="2" t="s">
        <v>100</v>
      </c>
      <c r="U1230" s="2" t="s">
        <v>4220</v>
      </c>
      <c r="V1230" s="2" t="s">
        <v>103</v>
      </c>
      <c r="W1230" s="2" t="s">
        <v>405</v>
      </c>
      <c r="X1230" s="2" t="s">
        <v>406</v>
      </c>
      <c r="Y1230" s="2" t="s">
        <v>4221</v>
      </c>
      <c r="Z1230" s="4">
        <v>276</v>
      </c>
      <c r="AA1230" s="4">
        <f>=ROUNDDOWN(23,0)</f>
      </c>
      <c r="AB1230" s="5">
        <v>12</v>
      </c>
      <c r="AC1230" s="2" t="s">
        <v>919</v>
      </c>
      <c r="AD1230" s="4">
        <v>80</v>
      </c>
      <c r="AE1230" s="4">
        <v>280</v>
      </c>
      <c r="AF1230" s="6">
        <v>64</v>
      </c>
      <c r="AG1230" s="6"/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/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/>
      <c r="BJ1230" s="4">
        <v>244</v>
      </c>
      <c r="BK1230" s="8">
        <v>22528.01</v>
      </c>
      <c r="BL1230" s="2" t="s">
        <v>4224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147</v>
      </c>
      <c r="BV1230" s="2" t="s">
        <v>97</v>
      </c>
      <c r="BW1230" s="2" t="s">
        <v>100</v>
      </c>
      <c r="BX1230" s="2" t="s">
        <v>100</v>
      </c>
      <c r="BY1230" s="2" t="s">
        <v>112</v>
      </c>
      <c r="BZ1230" s="2" t="s">
        <v>100</v>
      </c>
    </row>
    <row r="1231">
      <c r="A1231" s="2" t="s">
        <v>4225</v>
      </c>
      <c r="B1231" s="2" t="s">
        <v>87</v>
      </c>
      <c r="C1231" s="2" t="s">
        <v>3586</v>
      </c>
      <c r="D1231" s="2" t="s">
        <v>89</v>
      </c>
      <c r="E1231" s="2" t="s">
        <v>2005</v>
      </c>
      <c r="F1231" s="2" t="s">
        <v>4215</v>
      </c>
      <c r="G1231" s="2" t="s">
        <v>4216</v>
      </c>
      <c r="H1231" s="2" t="s">
        <v>4217</v>
      </c>
      <c r="I1231" s="2" t="s">
        <v>4218</v>
      </c>
      <c r="J1231" s="2" t="s">
        <v>118</v>
      </c>
      <c r="K1231" s="2" t="s">
        <v>323</v>
      </c>
      <c r="L1231" s="3">
        <v>84.6</v>
      </c>
      <c r="M1231" s="3">
        <v>88.83</v>
      </c>
      <c r="N1231" s="3">
        <v>179.99</v>
      </c>
      <c r="O1231" s="2" t="s">
        <v>97</v>
      </c>
      <c r="P1231" s="2" t="s">
        <v>182</v>
      </c>
      <c r="Q1231" s="2" t="s">
        <v>99</v>
      </c>
      <c r="R1231" s="2" t="s">
        <v>100</v>
      </c>
      <c r="S1231" s="2" t="s">
        <v>4219</v>
      </c>
      <c r="T1231" s="2" t="s">
        <v>100</v>
      </c>
      <c r="U1231" s="2" t="s">
        <v>4220</v>
      </c>
      <c r="V1231" s="2" t="s">
        <v>103</v>
      </c>
      <c r="W1231" s="2" t="s">
        <v>405</v>
      </c>
      <c r="X1231" s="2" t="s">
        <v>406</v>
      </c>
      <c r="Y1231" s="2" t="s">
        <v>4221</v>
      </c>
      <c r="Z1231" s="4">
        <v>122</v>
      </c>
      <c r="AA1231" s="4">
        <f>=ROUNDDOWN(15.25,0)</f>
      </c>
      <c r="AB1231" s="5">
        <v>8</v>
      </c>
      <c r="AC1231" s="2" t="s">
        <v>919</v>
      </c>
      <c r="AD1231" s="4">
        <v>100</v>
      </c>
      <c r="AE1231" s="4">
        <v>210</v>
      </c>
      <c r="AF1231" s="6">
        <v>64</v>
      </c>
      <c r="AG1231" s="6"/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/>
      <c r="BJ1231" s="4">
        <v>151</v>
      </c>
      <c r="BK1231" s="8">
        <v>13862.96</v>
      </c>
      <c r="BL1231" s="2" t="s">
        <v>4226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147</v>
      </c>
      <c r="BV1231" s="2" t="s">
        <v>97</v>
      </c>
      <c r="BW1231" s="2" t="s">
        <v>100</v>
      </c>
      <c r="BX1231" s="2" t="s">
        <v>100</v>
      </c>
      <c r="BY1231" s="2" t="s">
        <v>112</v>
      </c>
      <c r="BZ1231" s="2" t="s">
        <v>100</v>
      </c>
    </row>
    <row r="1232">
      <c r="A1232" s="2" t="s">
        <v>4227</v>
      </c>
      <c r="B1232" s="2" t="s">
        <v>87</v>
      </c>
      <c r="C1232" s="2" t="s">
        <v>3586</v>
      </c>
      <c r="D1232" s="2" t="s">
        <v>2308</v>
      </c>
      <c r="E1232" s="2" t="s">
        <v>2005</v>
      </c>
      <c r="F1232" s="2" t="s">
        <v>4193</v>
      </c>
      <c r="G1232" s="2" t="s">
        <v>4194</v>
      </c>
      <c r="H1232" s="2" t="s">
        <v>4195</v>
      </c>
      <c r="I1232" s="2" t="s">
        <v>4228</v>
      </c>
      <c r="J1232" s="2" t="s">
        <v>3012</v>
      </c>
      <c r="K1232" s="2" t="s">
        <v>158</v>
      </c>
      <c r="L1232" s="3">
        <v>44.5</v>
      </c>
      <c r="M1232" s="3">
        <v>46.73</v>
      </c>
      <c r="N1232" s="3">
        <v>89</v>
      </c>
      <c r="O1232" s="2" t="s">
        <v>97</v>
      </c>
      <c r="P1232" s="2" t="s">
        <v>198</v>
      </c>
      <c r="Q1232" s="2" t="s">
        <v>99</v>
      </c>
      <c r="R1232" s="2" t="s">
        <v>100</v>
      </c>
      <c r="S1232" s="2" t="s">
        <v>4229</v>
      </c>
      <c r="T1232" s="2" t="s">
        <v>100</v>
      </c>
      <c r="U1232" s="2" t="s">
        <v>490</v>
      </c>
      <c r="V1232" s="2" t="s">
        <v>455</v>
      </c>
      <c r="W1232" s="2" t="s">
        <v>808</v>
      </c>
      <c r="X1232" s="2" t="s">
        <v>2736</v>
      </c>
      <c r="Y1232" s="2" t="s">
        <v>3954</v>
      </c>
      <c r="Z1232" s="4">
        <v>134</v>
      </c>
      <c r="AA1232" s="4">
        <f>=ROUNDDOWN(41.875,0)</f>
      </c>
      <c r="AB1232" s="5">
        <v>3.2</v>
      </c>
      <c r="AC1232" s="2" t="s">
        <v>100</v>
      </c>
      <c r="AD1232" s="4"/>
      <c r="AE1232" s="4"/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>
        <v>5</v>
      </c>
      <c r="AW1232" s="8">
        <v>313.93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/>
      <c r="BC1232" s="4">
        <v>5</v>
      </c>
      <c r="BD1232" s="8">
        <v>313.93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>
        <v>1</v>
      </c>
      <c r="BJ1232" s="4">
        <v>72</v>
      </c>
      <c r="BK1232" s="8">
        <v>3108.44</v>
      </c>
      <c r="BL1232" s="2" t="s">
        <v>4230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147</v>
      </c>
      <c r="BV1232" s="2" t="s">
        <v>97</v>
      </c>
      <c r="BW1232" s="2" t="s">
        <v>100</v>
      </c>
      <c r="BX1232" s="2" t="s">
        <v>100</v>
      </c>
      <c r="BY1232" s="2" t="s">
        <v>112</v>
      </c>
      <c r="BZ1232" s="2" t="s">
        <v>100</v>
      </c>
    </row>
    <row r="1233">
      <c r="A1233" s="2" t="s">
        <v>4231</v>
      </c>
      <c r="B1233" s="2" t="s">
        <v>87</v>
      </c>
      <c r="C1233" s="2" t="s">
        <v>3586</v>
      </c>
      <c r="D1233" s="2" t="s">
        <v>2308</v>
      </c>
      <c r="E1233" s="2" t="s">
        <v>2005</v>
      </c>
      <c r="F1233" s="2" t="s">
        <v>4193</v>
      </c>
      <c r="G1233" s="2" t="s">
        <v>4194</v>
      </c>
      <c r="H1233" s="2" t="s">
        <v>4195</v>
      </c>
      <c r="I1233" s="2" t="s">
        <v>4232</v>
      </c>
      <c r="J1233" s="2" t="s">
        <v>122</v>
      </c>
      <c r="K1233" s="2" t="s">
        <v>158</v>
      </c>
      <c r="L1233" s="3">
        <v>51.48</v>
      </c>
      <c r="M1233" s="3">
        <v>54.05</v>
      </c>
      <c r="N1233" s="3">
        <v>99</v>
      </c>
      <c r="O1233" s="2" t="s">
        <v>97</v>
      </c>
      <c r="P1233" s="2" t="s">
        <v>198</v>
      </c>
      <c r="Q1233" s="2" t="s">
        <v>99</v>
      </c>
      <c r="R1233" s="2" t="s">
        <v>100</v>
      </c>
      <c r="S1233" s="2" t="s">
        <v>4229</v>
      </c>
      <c r="T1233" s="2" t="s">
        <v>100</v>
      </c>
      <c r="U1233" s="2" t="s">
        <v>403</v>
      </c>
      <c r="V1233" s="2" t="s">
        <v>455</v>
      </c>
      <c r="W1233" s="2" t="s">
        <v>808</v>
      </c>
      <c r="X1233" s="2" t="s">
        <v>2736</v>
      </c>
      <c r="Y1233" s="2" t="s">
        <v>3954</v>
      </c>
      <c r="Z1233" s="4">
        <v>132</v>
      </c>
      <c r="AA1233" s="4">
        <f>=ROUNDDOWN(73.3333333333333,0)</f>
      </c>
      <c r="AB1233" s="5">
        <v>1.8</v>
      </c>
      <c r="AC1233" s="2" t="s">
        <v>100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100</v>
      </c>
      <c r="AW1233" s="8" t="s">
        <v>100</v>
      </c>
      <c r="AX1233" s="4" t="s">
        <v>100</v>
      </c>
      <c r="AY1233" s="8" t="s">
        <v>100</v>
      </c>
      <c r="AZ1233" s="7" t="s">
        <v>100</v>
      </c>
      <c r="BA1233" s="7" t="s">
        <v>100</v>
      </c>
      <c r="BB1233" s="7"/>
      <c r="BC1233" s="4" t="s">
        <v>100</v>
      </c>
      <c r="BD1233" s="8" t="s">
        <v>100</v>
      </c>
      <c r="BE1233" s="4" t="s">
        <v>100</v>
      </c>
      <c r="BF1233" s="8" t="s">
        <v>100</v>
      </c>
      <c r="BG1233" s="7" t="s">
        <v>100</v>
      </c>
      <c r="BH1233" s="7" t="s">
        <v>100</v>
      </c>
      <c r="BI1233" s="7" t="s">
        <v>100</v>
      </c>
      <c r="BJ1233" s="4">
        <v>57</v>
      </c>
      <c r="BK1233" s="8">
        <v>2849.03</v>
      </c>
      <c r="BL1233" s="2" t="s">
        <v>4233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737</v>
      </c>
      <c r="BX1233" s="2" t="s">
        <v>100</v>
      </c>
      <c r="BY1233" s="2" t="s">
        <v>112</v>
      </c>
      <c r="BZ1233" s="2" t="s">
        <v>100</v>
      </c>
    </row>
    <row r="1234">
      <c r="A1234" s="2" t="s">
        <v>4234</v>
      </c>
      <c r="B1234" s="2" t="s">
        <v>87</v>
      </c>
      <c r="C1234" s="2" t="s">
        <v>3586</v>
      </c>
      <c r="D1234" s="2" t="s">
        <v>2308</v>
      </c>
      <c r="E1234" s="2" t="s">
        <v>2005</v>
      </c>
      <c r="F1234" s="2" t="s">
        <v>4193</v>
      </c>
      <c r="G1234" s="2" t="s">
        <v>4194</v>
      </c>
      <c r="H1234" s="2" t="s">
        <v>4195</v>
      </c>
      <c r="I1234" s="2" t="s">
        <v>4232</v>
      </c>
      <c r="J1234" s="2" t="s">
        <v>95</v>
      </c>
      <c r="K1234" s="2" t="s">
        <v>158</v>
      </c>
      <c r="L1234" s="3">
        <v>56.68</v>
      </c>
      <c r="M1234" s="3">
        <v>59.51</v>
      </c>
      <c r="N1234" s="3">
        <v>109</v>
      </c>
      <c r="O1234" s="2" t="s">
        <v>97</v>
      </c>
      <c r="P1234" s="2" t="s">
        <v>198</v>
      </c>
      <c r="Q1234" s="2" t="s">
        <v>99</v>
      </c>
      <c r="R1234" s="2" t="s">
        <v>100</v>
      </c>
      <c r="S1234" s="2" t="s">
        <v>4229</v>
      </c>
      <c r="T1234" s="2" t="s">
        <v>100</v>
      </c>
      <c r="U1234" s="2" t="s">
        <v>403</v>
      </c>
      <c r="V1234" s="2" t="s">
        <v>455</v>
      </c>
      <c r="W1234" s="2" t="s">
        <v>808</v>
      </c>
      <c r="X1234" s="2" t="s">
        <v>2736</v>
      </c>
      <c r="Y1234" s="2" t="s">
        <v>3954</v>
      </c>
      <c r="Z1234" s="4">
        <v>338</v>
      </c>
      <c r="AA1234" s="4">
        <f>=ROUNDDOWN(56.3333333333333,0)</f>
      </c>
      <c r="AB1234" s="5">
        <v>6</v>
      </c>
      <c r="AC1234" s="2" t="s">
        <v>100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>
        <v>0</v>
      </c>
      <c r="AP1234" s="4">
        <v>2</v>
      </c>
      <c r="AQ1234" s="8">
        <v>119.02</v>
      </c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>
        <v>0.3791</v>
      </c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197</v>
      </c>
      <c r="BK1234" s="8">
        <v>11163.2</v>
      </c>
      <c r="BL1234" s="2" t="s">
        <v>4235</v>
      </c>
      <c r="BM1234" s="7">
        <v>0.0102</v>
      </c>
      <c r="BN1234" s="7">
        <v>0.0107</v>
      </c>
      <c r="BO1234" s="4">
        <v>2</v>
      </c>
      <c r="BP1234" s="8">
        <v>119.02</v>
      </c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737</v>
      </c>
      <c r="BX1234" s="2" t="s">
        <v>4236</v>
      </c>
      <c r="BY1234" s="2" t="s">
        <v>112</v>
      </c>
      <c r="BZ1234" s="2" t="s">
        <v>100</v>
      </c>
    </row>
    <row r="1235">
      <c r="A1235" s="2" t="s">
        <v>4237</v>
      </c>
      <c r="B1235" s="2" t="s">
        <v>87</v>
      </c>
      <c r="C1235" s="2" t="s">
        <v>3586</v>
      </c>
      <c r="D1235" s="2" t="s">
        <v>2308</v>
      </c>
      <c r="E1235" s="2" t="s">
        <v>2005</v>
      </c>
      <c r="F1235" s="2" t="s">
        <v>4193</v>
      </c>
      <c r="G1235" s="2" t="s">
        <v>4194</v>
      </c>
      <c r="H1235" s="2" t="s">
        <v>4195</v>
      </c>
      <c r="I1235" s="2" t="s">
        <v>4232</v>
      </c>
      <c r="J1235" s="2" t="s">
        <v>114</v>
      </c>
      <c r="K1235" s="2" t="s">
        <v>158</v>
      </c>
      <c r="L1235" s="3">
        <v>61.88</v>
      </c>
      <c r="M1235" s="3">
        <v>64.97</v>
      </c>
      <c r="N1235" s="3">
        <v>119</v>
      </c>
      <c r="O1235" s="2" t="s">
        <v>97</v>
      </c>
      <c r="P1235" s="2" t="s">
        <v>198</v>
      </c>
      <c r="Q1235" s="2" t="s">
        <v>99</v>
      </c>
      <c r="R1235" s="2" t="s">
        <v>100</v>
      </c>
      <c r="S1235" s="2" t="s">
        <v>4229</v>
      </c>
      <c r="T1235" s="2" t="s">
        <v>100</v>
      </c>
      <c r="U1235" s="2" t="s">
        <v>403</v>
      </c>
      <c r="V1235" s="2" t="s">
        <v>455</v>
      </c>
      <c r="W1235" s="2" t="s">
        <v>808</v>
      </c>
      <c r="X1235" s="2" t="s">
        <v>2736</v>
      </c>
      <c r="Y1235" s="2" t="s">
        <v>3954</v>
      </c>
      <c r="Z1235" s="4">
        <v>157</v>
      </c>
      <c r="AA1235" s="4">
        <f>=ROUNDDOWN(26.1666666666667,0)</f>
      </c>
      <c r="AB1235" s="5">
        <v>6</v>
      </c>
      <c r="AC1235" s="2" t="s">
        <v>100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>
        <v>0</v>
      </c>
      <c r="AP1235" s="4">
        <v>2</v>
      </c>
      <c r="AQ1235" s="8">
        <v>129.94</v>
      </c>
      <c r="AR1235" s="4"/>
      <c r="AS1235" s="8"/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0.4139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165</v>
      </c>
      <c r="BK1235" s="8">
        <v>10382.51</v>
      </c>
      <c r="BL1235" s="2" t="s">
        <v>4238</v>
      </c>
      <c r="BM1235" s="7">
        <v>0.0121</v>
      </c>
      <c r="BN1235" s="7">
        <v>0.0125</v>
      </c>
      <c r="BO1235" s="4">
        <v>2</v>
      </c>
      <c r="BP1235" s="8">
        <v>129.94</v>
      </c>
      <c r="BQ1235" s="4"/>
      <c r="BR1235" s="8"/>
      <c r="BS1235" s="7"/>
      <c r="BT1235" s="7"/>
      <c r="BU1235" s="2" t="s">
        <v>109</v>
      </c>
      <c r="BV1235" s="2" t="s">
        <v>97</v>
      </c>
      <c r="BW1235" s="2" t="s">
        <v>737</v>
      </c>
      <c r="BX1235" s="2" t="s">
        <v>943</v>
      </c>
      <c r="BY1235" s="2" t="s">
        <v>112</v>
      </c>
      <c r="BZ1235" s="2" t="s">
        <v>100</v>
      </c>
    </row>
    <row r="1236">
      <c r="A1236" s="2" t="s">
        <v>4239</v>
      </c>
      <c r="B1236" s="2" t="s">
        <v>87</v>
      </c>
      <c r="C1236" s="2" t="s">
        <v>3586</v>
      </c>
      <c r="D1236" s="2" t="s">
        <v>2308</v>
      </c>
      <c r="E1236" s="2" t="s">
        <v>2005</v>
      </c>
      <c r="F1236" s="2" t="s">
        <v>4193</v>
      </c>
      <c r="G1236" s="2" t="s">
        <v>4194</v>
      </c>
      <c r="H1236" s="2" t="s">
        <v>4195</v>
      </c>
      <c r="I1236" s="2" t="s">
        <v>4232</v>
      </c>
      <c r="J1236" s="2" t="s">
        <v>118</v>
      </c>
      <c r="K1236" s="2" t="s">
        <v>158</v>
      </c>
      <c r="L1236" s="3">
        <v>61.88</v>
      </c>
      <c r="M1236" s="3">
        <v>64.97</v>
      </c>
      <c r="N1236" s="3">
        <v>119</v>
      </c>
      <c r="O1236" s="2" t="s">
        <v>97</v>
      </c>
      <c r="P1236" s="2" t="s">
        <v>198</v>
      </c>
      <c r="Q1236" s="2" t="s">
        <v>99</v>
      </c>
      <c r="R1236" s="2" t="s">
        <v>100</v>
      </c>
      <c r="S1236" s="2" t="s">
        <v>4229</v>
      </c>
      <c r="T1236" s="2" t="s">
        <v>100</v>
      </c>
      <c r="U1236" s="2" t="s">
        <v>403</v>
      </c>
      <c r="V1236" s="2" t="s">
        <v>455</v>
      </c>
      <c r="W1236" s="2" t="s">
        <v>808</v>
      </c>
      <c r="X1236" s="2" t="s">
        <v>2736</v>
      </c>
      <c r="Y1236" s="2" t="s">
        <v>3954</v>
      </c>
      <c r="Z1236" s="4">
        <v>147</v>
      </c>
      <c r="AA1236" s="4">
        <f>=ROUNDDOWN(37.6923076923077,0)</f>
      </c>
      <c r="AB1236" s="5">
        <v>3.9</v>
      </c>
      <c r="AC1236" s="2" t="s">
        <v>100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>
        <v>0</v>
      </c>
      <c r="AP1236" s="4">
        <v>1</v>
      </c>
      <c r="AQ1236" s="8">
        <v>64.97</v>
      </c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>
        <v>0.207</v>
      </c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>
        <v>131</v>
      </c>
      <c r="BK1236" s="8">
        <v>8402.58</v>
      </c>
      <c r="BL1236" s="2" t="s">
        <v>4240</v>
      </c>
      <c r="BM1236" s="7">
        <v>0.0076</v>
      </c>
      <c r="BN1236" s="7">
        <v>0.0077</v>
      </c>
      <c r="BO1236" s="4">
        <v>1</v>
      </c>
      <c r="BP1236" s="8">
        <v>64.97</v>
      </c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737</v>
      </c>
      <c r="BX1236" s="2" t="s">
        <v>4241</v>
      </c>
      <c r="BY1236" s="2" t="s">
        <v>112</v>
      </c>
      <c r="BZ1236" s="2" t="s">
        <v>100</v>
      </c>
    </row>
    <row r="1237">
      <c r="A1237" s="2" t="s">
        <v>4242</v>
      </c>
      <c r="B1237" s="2" t="s">
        <v>87</v>
      </c>
      <c r="C1237" s="2" t="s">
        <v>3586</v>
      </c>
      <c r="D1237" s="2" t="s">
        <v>2308</v>
      </c>
      <c r="E1237" s="2" t="s">
        <v>2005</v>
      </c>
      <c r="F1237" s="2" t="s">
        <v>4243</v>
      </c>
      <c r="G1237" s="2" t="s">
        <v>4244</v>
      </c>
      <c r="H1237" s="2" t="s">
        <v>4245</v>
      </c>
      <c r="I1237" s="2" t="s">
        <v>4246</v>
      </c>
      <c r="J1237" s="2" t="s">
        <v>118</v>
      </c>
      <c r="K1237" s="2" t="s">
        <v>333</v>
      </c>
      <c r="L1237" s="3">
        <v>59.95</v>
      </c>
      <c r="M1237" s="3">
        <v>62.95</v>
      </c>
      <c r="N1237" s="3">
        <v>109</v>
      </c>
      <c r="O1237" s="2" t="s">
        <v>1148</v>
      </c>
      <c r="P1237" s="2" t="s">
        <v>198</v>
      </c>
      <c r="Q1237" s="2" t="s">
        <v>99</v>
      </c>
      <c r="R1237" s="2" t="s">
        <v>100</v>
      </c>
      <c r="S1237" s="2" t="s">
        <v>4247</v>
      </c>
      <c r="T1237" s="2" t="s">
        <v>100</v>
      </c>
      <c r="U1237" s="2" t="s">
        <v>403</v>
      </c>
      <c r="V1237" s="2" t="s">
        <v>491</v>
      </c>
      <c r="W1237" s="2" t="s">
        <v>104</v>
      </c>
      <c r="X1237" s="2" t="s">
        <v>201</v>
      </c>
      <c r="Y1237" s="2" t="s">
        <v>106</v>
      </c>
      <c r="Z1237" s="4"/>
      <c r="AA1237" s="4">
        <f>=ROUNDDOWN({0},0)</f>
      </c>
      <c r="AB1237" s="5"/>
      <c r="AC1237" s="2" t="s">
        <v>100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100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147</v>
      </c>
      <c r="BV1237" s="2" t="s">
        <v>97</v>
      </c>
      <c r="BW1237" s="2" t="s">
        <v>100</v>
      </c>
      <c r="BX1237" s="2" t="s">
        <v>100</v>
      </c>
      <c r="BY1237" s="2" t="s">
        <v>112</v>
      </c>
      <c r="BZ1237" s="2" t="s">
        <v>100</v>
      </c>
    </row>
    <row r="1238">
      <c r="A1238" s="2" t="s">
        <v>4248</v>
      </c>
      <c r="B1238" s="2" t="s">
        <v>87</v>
      </c>
      <c r="C1238" s="2" t="s">
        <v>3586</v>
      </c>
      <c r="D1238" s="2" t="s">
        <v>2308</v>
      </c>
      <c r="E1238" s="2" t="s">
        <v>2005</v>
      </c>
      <c r="F1238" s="2" t="s">
        <v>4027</v>
      </c>
      <c r="G1238" s="2" t="s">
        <v>4201</v>
      </c>
      <c r="H1238" s="2" t="s">
        <v>4028</v>
      </c>
      <c r="I1238" s="2" t="s">
        <v>4246</v>
      </c>
      <c r="J1238" s="2" t="s">
        <v>118</v>
      </c>
      <c r="K1238" s="2" t="s">
        <v>267</v>
      </c>
      <c r="L1238" s="3">
        <v>59.95</v>
      </c>
      <c r="M1238" s="3">
        <v>62.95</v>
      </c>
      <c r="N1238" s="3">
        <v>109</v>
      </c>
      <c r="O1238" s="2" t="s">
        <v>1148</v>
      </c>
      <c r="P1238" s="2" t="s">
        <v>198</v>
      </c>
      <c r="Q1238" s="2" t="s">
        <v>99</v>
      </c>
      <c r="R1238" s="2" t="s">
        <v>100</v>
      </c>
      <c r="S1238" s="2" t="s">
        <v>4249</v>
      </c>
      <c r="T1238" s="2" t="s">
        <v>100</v>
      </c>
      <c r="U1238" s="2" t="s">
        <v>403</v>
      </c>
      <c r="V1238" s="2" t="s">
        <v>491</v>
      </c>
      <c r="W1238" s="2" t="s">
        <v>104</v>
      </c>
      <c r="X1238" s="2" t="s">
        <v>201</v>
      </c>
      <c r="Y1238" s="2" t="s">
        <v>106</v>
      </c>
      <c r="Z1238" s="4"/>
      <c r="AA1238" s="4">
        <f>=ROUNDDOWN({0},0)</f>
      </c>
      <c r="AB1238" s="5"/>
      <c r="AC1238" s="2" t="s">
        <v>100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/>
      <c r="BJ1238" s="4"/>
      <c r="BK1238" s="8"/>
      <c r="BL1238" s="2" t="s">
        <v>100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147</v>
      </c>
      <c r="BV1238" s="2" t="s">
        <v>97</v>
      </c>
      <c r="BW1238" s="2" t="s">
        <v>100</v>
      </c>
      <c r="BX1238" s="2" t="s">
        <v>100</v>
      </c>
      <c r="BY1238" s="2" t="s">
        <v>112</v>
      </c>
      <c r="BZ1238" s="2" t="s">
        <v>100</v>
      </c>
    </row>
    <row r="1239">
      <c r="A1239" s="2" t="s">
        <v>4250</v>
      </c>
      <c r="B1239" s="2" t="s">
        <v>87</v>
      </c>
      <c r="C1239" s="2" t="s">
        <v>3586</v>
      </c>
      <c r="D1239" s="2" t="s">
        <v>2308</v>
      </c>
      <c r="E1239" s="2" t="s">
        <v>2005</v>
      </c>
      <c r="F1239" s="2" t="s">
        <v>4027</v>
      </c>
      <c r="G1239" s="2" t="s">
        <v>3248</v>
      </c>
      <c r="H1239" s="2" t="s">
        <v>4028</v>
      </c>
      <c r="I1239" s="2" t="s">
        <v>4246</v>
      </c>
      <c r="J1239" s="2" t="s">
        <v>3012</v>
      </c>
      <c r="K1239" s="2" t="s">
        <v>168</v>
      </c>
      <c r="L1239" s="3">
        <v>43.45</v>
      </c>
      <c r="M1239" s="3">
        <v>45.62</v>
      </c>
      <c r="N1239" s="3">
        <v>79</v>
      </c>
      <c r="O1239" s="2" t="s">
        <v>1148</v>
      </c>
      <c r="P1239" s="2" t="s">
        <v>198</v>
      </c>
      <c r="Q1239" s="2" t="s">
        <v>99</v>
      </c>
      <c r="R1239" s="2" t="s">
        <v>100</v>
      </c>
      <c r="S1239" s="2" t="s">
        <v>4029</v>
      </c>
      <c r="T1239" s="2" t="s">
        <v>100</v>
      </c>
      <c r="U1239" s="2" t="s">
        <v>490</v>
      </c>
      <c r="V1239" s="2" t="s">
        <v>491</v>
      </c>
      <c r="W1239" s="2" t="s">
        <v>104</v>
      </c>
      <c r="X1239" s="2" t="s">
        <v>201</v>
      </c>
      <c r="Y1239" s="2" t="s">
        <v>106</v>
      </c>
      <c r="Z1239" s="4"/>
      <c r="AA1239" s="4">
        <f>=ROUNDDOWN({0},0)</f>
      </c>
      <c r="AB1239" s="5"/>
      <c r="AC1239" s="2" t="s">
        <v>100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/>
      <c r="BJ1239" s="4"/>
      <c r="BK1239" s="8"/>
      <c r="BL1239" s="2" t="s">
        <v>100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147</v>
      </c>
      <c r="BV1239" s="2" t="s">
        <v>97</v>
      </c>
      <c r="BW1239" s="2" t="s">
        <v>100</v>
      </c>
      <c r="BX1239" s="2" t="s">
        <v>100</v>
      </c>
      <c r="BY1239" s="2" t="s">
        <v>112</v>
      </c>
      <c r="BZ1239" s="2" t="s">
        <v>100</v>
      </c>
    </row>
    <row r="1240">
      <c r="A1240" s="2" t="s">
        <v>4251</v>
      </c>
      <c r="B1240" s="2" t="s">
        <v>87</v>
      </c>
      <c r="C1240" s="2" t="s">
        <v>3586</v>
      </c>
      <c r="D1240" s="2" t="s">
        <v>2308</v>
      </c>
      <c r="E1240" s="2" t="s">
        <v>2005</v>
      </c>
      <c r="F1240" s="2" t="s">
        <v>4114</v>
      </c>
      <c r="G1240" s="2" t="s">
        <v>4115</v>
      </c>
      <c r="H1240" s="2" t="s">
        <v>4116</v>
      </c>
      <c r="I1240" s="2" t="s">
        <v>4246</v>
      </c>
      <c r="J1240" s="2" t="s">
        <v>114</v>
      </c>
      <c r="K1240" s="2" t="s">
        <v>267</v>
      </c>
      <c r="L1240" s="3">
        <v>59.95</v>
      </c>
      <c r="M1240" s="3">
        <v>62.95</v>
      </c>
      <c r="N1240" s="3">
        <v>109</v>
      </c>
      <c r="O1240" s="2" t="s">
        <v>550</v>
      </c>
      <c r="P1240" s="2" t="s">
        <v>198</v>
      </c>
      <c r="Q1240" s="2" t="s">
        <v>99</v>
      </c>
      <c r="R1240" s="2" t="s">
        <v>100</v>
      </c>
      <c r="S1240" s="2" t="s">
        <v>4117</v>
      </c>
      <c r="T1240" s="2" t="s">
        <v>100</v>
      </c>
      <c r="U1240" s="2" t="s">
        <v>403</v>
      </c>
      <c r="V1240" s="2" t="s">
        <v>991</v>
      </c>
      <c r="W1240" s="2" t="s">
        <v>759</v>
      </c>
      <c r="X1240" s="2" t="s">
        <v>3303</v>
      </c>
      <c r="Y1240" s="2" t="s">
        <v>106</v>
      </c>
      <c r="Z1240" s="4"/>
      <c r="AA1240" s="4">
        <f>=ROUNDDOWN({0},0)</f>
      </c>
      <c r="AB1240" s="5"/>
      <c r="AC1240" s="2" t="s">
        <v>100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/>
      <c r="BK1240" s="8"/>
      <c r="BL1240" s="2" t="s">
        <v>100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147</v>
      </c>
      <c r="BV1240" s="2" t="s">
        <v>97</v>
      </c>
      <c r="BW1240" s="2" t="s">
        <v>100</v>
      </c>
      <c r="BX1240" s="2" t="s">
        <v>100</v>
      </c>
      <c r="BY1240" s="2" t="s">
        <v>112</v>
      </c>
      <c r="BZ1240" s="2" t="s">
        <v>100</v>
      </c>
    </row>
    <row r="1241">
      <c r="A1241" s="2" t="s">
        <v>4252</v>
      </c>
      <c r="B1241" s="2" t="s">
        <v>87</v>
      </c>
      <c r="C1241" s="2" t="s">
        <v>3586</v>
      </c>
      <c r="D1241" s="2" t="s">
        <v>2308</v>
      </c>
      <c r="E1241" s="2" t="s">
        <v>2005</v>
      </c>
      <c r="F1241" s="2" t="s">
        <v>4114</v>
      </c>
      <c r="G1241" s="2" t="s">
        <v>4115</v>
      </c>
      <c r="H1241" s="2" t="s">
        <v>4116</v>
      </c>
      <c r="I1241" s="2" t="s">
        <v>4228</v>
      </c>
      <c r="J1241" s="2" t="s">
        <v>3012</v>
      </c>
      <c r="K1241" s="2" t="s">
        <v>333</v>
      </c>
      <c r="L1241" s="3">
        <v>47.17</v>
      </c>
      <c r="M1241" s="3">
        <v>49.53</v>
      </c>
      <c r="N1241" s="3">
        <v>89</v>
      </c>
      <c r="O1241" s="2" t="s">
        <v>97</v>
      </c>
      <c r="P1241" s="2" t="s">
        <v>182</v>
      </c>
      <c r="Q1241" s="2" t="s">
        <v>99</v>
      </c>
      <c r="R1241" s="2" t="s">
        <v>100</v>
      </c>
      <c r="S1241" s="2" t="s">
        <v>4253</v>
      </c>
      <c r="T1241" s="2" t="s">
        <v>100</v>
      </c>
      <c r="U1241" s="2" t="s">
        <v>490</v>
      </c>
      <c r="V1241" s="2" t="s">
        <v>991</v>
      </c>
      <c r="W1241" s="2" t="s">
        <v>759</v>
      </c>
      <c r="X1241" s="2" t="s">
        <v>3303</v>
      </c>
      <c r="Y1241" s="2" t="s">
        <v>106</v>
      </c>
      <c r="Z1241" s="4">
        <v>89</v>
      </c>
      <c r="AA1241" s="4">
        <f>=ROUNDDOWN(22.25,0)</f>
      </c>
      <c r="AB1241" s="5">
        <v>4</v>
      </c>
      <c r="AC1241" s="2" t="s">
        <v>533</v>
      </c>
      <c r="AD1241" s="4">
        <v>40</v>
      </c>
      <c r="AE1241" s="4">
        <v>70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58</v>
      </c>
      <c r="BK1241" s="8">
        <v>2681.14</v>
      </c>
      <c r="BL1241" s="2" t="s">
        <v>4230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147</v>
      </c>
      <c r="BV1241" s="2" t="s">
        <v>97</v>
      </c>
      <c r="BW1241" s="2" t="s">
        <v>100</v>
      </c>
      <c r="BX1241" s="2" t="s">
        <v>100</v>
      </c>
      <c r="BY1241" s="2" t="s">
        <v>112</v>
      </c>
      <c r="BZ1241" s="2" t="s">
        <v>100</v>
      </c>
    </row>
    <row r="1242">
      <c r="A1242" s="2" t="s">
        <v>4254</v>
      </c>
      <c r="B1242" s="2" t="s">
        <v>87</v>
      </c>
      <c r="C1242" s="2" t="s">
        <v>3586</v>
      </c>
      <c r="D1242" s="2" t="s">
        <v>2308</v>
      </c>
      <c r="E1242" s="2" t="s">
        <v>2005</v>
      </c>
      <c r="F1242" s="2" t="s">
        <v>4114</v>
      </c>
      <c r="G1242" s="2" t="s">
        <v>4115</v>
      </c>
      <c r="H1242" s="2" t="s">
        <v>4116</v>
      </c>
      <c r="I1242" s="2" t="s">
        <v>4232</v>
      </c>
      <c r="J1242" s="2" t="s">
        <v>122</v>
      </c>
      <c r="K1242" s="2" t="s">
        <v>333</v>
      </c>
      <c r="L1242" s="3">
        <v>54.45</v>
      </c>
      <c r="M1242" s="3">
        <v>57.17</v>
      </c>
      <c r="N1242" s="3">
        <v>99</v>
      </c>
      <c r="O1242" s="2" t="s">
        <v>97</v>
      </c>
      <c r="P1242" s="2" t="s">
        <v>182</v>
      </c>
      <c r="Q1242" s="2" t="s">
        <v>99</v>
      </c>
      <c r="R1242" s="2" t="s">
        <v>100</v>
      </c>
      <c r="S1242" s="2" t="s">
        <v>4253</v>
      </c>
      <c r="T1242" s="2" t="s">
        <v>100</v>
      </c>
      <c r="U1242" s="2" t="s">
        <v>403</v>
      </c>
      <c r="V1242" s="2" t="s">
        <v>991</v>
      </c>
      <c r="W1242" s="2" t="s">
        <v>759</v>
      </c>
      <c r="X1242" s="2" t="s">
        <v>3303</v>
      </c>
      <c r="Y1242" s="2" t="s">
        <v>106</v>
      </c>
      <c r="Z1242" s="4">
        <v>83</v>
      </c>
      <c r="AA1242" s="4">
        <f>=ROUNDDOWN(20.75,0)</f>
      </c>
      <c r="AB1242" s="5">
        <v>4</v>
      </c>
      <c r="AC1242" s="2" t="s">
        <v>533</v>
      </c>
      <c r="AD1242" s="4">
        <v>100</v>
      </c>
      <c r="AE1242" s="4">
        <v>100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>
        <v>59</v>
      </c>
      <c r="BK1242" s="8">
        <v>3078.36</v>
      </c>
      <c r="BL1242" s="2" t="s">
        <v>4255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147</v>
      </c>
      <c r="BV1242" s="2" t="s">
        <v>97</v>
      </c>
      <c r="BW1242" s="2" t="s">
        <v>100</v>
      </c>
      <c r="BX1242" s="2" t="s">
        <v>100</v>
      </c>
      <c r="BY1242" s="2" t="s">
        <v>112</v>
      </c>
      <c r="BZ1242" s="2" t="s">
        <v>100</v>
      </c>
    </row>
    <row r="1243">
      <c r="A1243" s="2" t="s">
        <v>4256</v>
      </c>
      <c r="B1243" s="2" t="s">
        <v>87</v>
      </c>
      <c r="C1243" s="2" t="s">
        <v>3586</v>
      </c>
      <c r="D1243" s="2" t="s">
        <v>2308</v>
      </c>
      <c r="E1243" s="2" t="s">
        <v>2005</v>
      </c>
      <c r="F1243" s="2" t="s">
        <v>4114</v>
      </c>
      <c r="G1243" s="2" t="s">
        <v>4115</v>
      </c>
      <c r="H1243" s="2" t="s">
        <v>4116</v>
      </c>
      <c r="I1243" s="2" t="s">
        <v>4232</v>
      </c>
      <c r="J1243" s="2" t="s">
        <v>95</v>
      </c>
      <c r="K1243" s="2" t="s">
        <v>333</v>
      </c>
      <c r="L1243" s="3">
        <v>59.95</v>
      </c>
      <c r="M1243" s="3">
        <v>62.95</v>
      </c>
      <c r="N1243" s="3">
        <v>109</v>
      </c>
      <c r="O1243" s="2" t="s">
        <v>97</v>
      </c>
      <c r="P1243" s="2" t="s">
        <v>182</v>
      </c>
      <c r="Q1243" s="2" t="s">
        <v>99</v>
      </c>
      <c r="R1243" s="2" t="s">
        <v>100</v>
      </c>
      <c r="S1243" s="2" t="s">
        <v>4253</v>
      </c>
      <c r="T1243" s="2" t="s">
        <v>100</v>
      </c>
      <c r="U1243" s="2" t="s">
        <v>403</v>
      </c>
      <c r="V1243" s="2" t="s">
        <v>991</v>
      </c>
      <c r="W1243" s="2" t="s">
        <v>759</v>
      </c>
      <c r="X1243" s="2" t="s">
        <v>3303</v>
      </c>
      <c r="Y1243" s="2" t="s">
        <v>106</v>
      </c>
      <c r="Z1243" s="4">
        <v>117</v>
      </c>
      <c r="AA1243" s="4">
        <f>=ROUNDDOWN(9.75,0)</f>
      </c>
      <c r="AB1243" s="5">
        <v>12</v>
      </c>
      <c r="AC1243" s="2" t="s">
        <v>533</v>
      </c>
      <c r="AD1243" s="4">
        <v>200</v>
      </c>
      <c r="AE1243" s="4">
        <v>300</v>
      </c>
      <c r="AF1243" s="6">
        <v>65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189</v>
      </c>
      <c r="BK1243" s="8">
        <v>11653.33</v>
      </c>
      <c r="BL1243" s="2" t="s">
        <v>4257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147</v>
      </c>
      <c r="BV1243" s="2" t="s">
        <v>97</v>
      </c>
      <c r="BW1243" s="2" t="s">
        <v>100</v>
      </c>
      <c r="BX1243" s="2" t="s">
        <v>100</v>
      </c>
      <c r="BY1243" s="2" t="s">
        <v>112</v>
      </c>
      <c r="BZ1243" s="2" t="s">
        <v>100</v>
      </c>
    </row>
    <row r="1244">
      <c r="A1244" s="2" t="s">
        <v>4258</v>
      </c>
      <c r="B1244" s="2" t="s">
        <v>87</v>
      </c>
      <c r="C1244" s="2" t="s">
        <v>3586</v>
      </c>
      <c r="D1244" s="2" t="s">
        <v>2308</v>
      </c>
      <c r="E1244" s="2" t="s">
        <v>2005</v>
      </c>
      <c r="F1244" s="2" t="s">
        <v>4114</v>
      </c>
      <c r="G1244" s="2" t="s">
        <v>4115</v>
      </c>
      <c r="H1244" s="2" t="s">
        <v>4116</v>
      </c>
      <c r="I1244" s="2" t="s">
        <v>4232</v>
      </c>
      <c r="J1244" s="2" t="s">
        <v>114</v>
      </c>
      <c r="K1244" s="2" t="s">
        <v>333</v>
      </c>
      <c r="L1244" s="3">
        <v>65.45</v>
      </c>
      <c r="M1244" s="3">
        <v>68.72</v>
      </c>
      <c r="N1244" s="3">
        <v>119</v>
      </c>
      <c r="O1244" s="2" t="s">
        <v>97</v>
      </c>
      <c r="P1244" s="2" t="s">
        <v>182</v>
      </c>
      <c r="Q1244" s="2" t="s">
        <v>99</v>
      </c>
      <c r="R1244" s="2" t="s">
        <v>100</v>
      </c>
      <c r="S1244" s="2" t="s">
        <v>4253</v>
      </c>
      <c r="T1244" s="2" t="s">
        <v>100</v>
      </c>
      <c r="U1244" s="2" t="s">
        <v>403</v>
      </c>
      <c r="V1244" s="2" t="s">
        <v>991</v>
      </c>
      <c r="W1244" s="2" t="s">
        <v>759</v>
      </c>
      <c r="X1244" s="2" t="s">
        <v>3303</v>
      </c>
      <c r="Y1244" s="2" t="s">
        <v>106</v>
      </c>
      <c r="Z1244" s="4">
        <v>144</v>
      </c>
      <c r="AA1244" s="4">
        <f>=ROUNDDOWN(14.4,0)</f>
      </c>
      <c r="AB1244" s="5">
        <v>10</v>
      </c>
      <c r="AC1244" s="2" t="s">
        <v>533</v>
      </c>
      <c r="AD1244" s="4">
        <v>150</v>
      </c>
      <c r="AE1244" s="4">
        <v>210</v>
      </c>
      <c r="AF1244" s="6">
        <v>65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158</v>
      </c>
      <c r="BK1244" s="8">
        <v>10834.01</v>
      </c>
      <c r="BL1244" s="2" t="s">
        <v>4259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147</v>
      </c>
      <c r="BV1244" s="2" t="s">
        <v>97</v>
      </c>
      <c r="BW1244" s="2" t="s">
        <v>100</v>
      </c>
      <c r="BX1244" s="2" t="s">
        <v>100</v>
      </c>
      <c r="BY1244" s="2" t="s">
        <v>112</v>
      </c>
      <c r="BZ1244" s="2" t="s">
        <v>100</v>
      </c>
    </row>
    <row r="1245">
      <c r="A1245" s="2" t="s">
        <v>4260</v>
      </c>
      <c r="B1245" s="2" t="s">
        <v>87</v>
      </c>
      <c r="C1245" s="2" t="s">
        <v>3586</v>
      </c>
      <c r="D1245" s="2" t="s">
        <v>2308</v>
      </c>
      <c r="E1245" s="2" t="s">
        <v>2005</v>
      </c>
      <c r="F1245" s="2" t="s">
        <v>4114</v>
      </c>
      <c r="G1245" s="2" t="s">
        <v>4115</v>
      </c>
      <c r="H1245" s="2" t="s">
        <v>4116</v>
      </c>
      <c r="I1245" s="2" t="s">
        <v>4232</v>
      </c>
      <c r="J1245" s="2" t="s">
        <v>118</v>
      </c>
      <c r="K1245" s="2" t="s">
        <v>333</v>
      </c>
      <c r="L1245" s="3">
        <v>65.45</v>
      </c>
      <c r="M1245" s="3">
        <v>68.72</v>
      </c>
      <c r="N1245" s="3">
        <v>119</v>
      </c>
      <c r="O1245" s="2" t="s">
        <v>97</v>
      </c>
      <c r="P1245" s="2" t="s">
        <v>182</v>
      </c>
      <c r="Q1245" s="2" t="s">
        <v>99</v>
      </c>
      <c r="R1245" s="2" t="s">
        <v>100</v>
      </c>
      <c r="S1245" s="2" t="s">
        <v>4253</v>
      </c>
      <c r="T1245" s="2" t="s">
        <v>100</v>
      </c>
      <c r="U1245" s="2" t="s">
        <v>403</v>
      </c>
      <c r="V1245" s="2" t="s">
        <v>991</v>
      </c>
      <c r="W1245" s="2" t="s">
        <v>759</v>
      </c>
      <c r="X1245" s="2" t="s">
        <v>3303</v>
      </c>
      <c r="Y1245" s="2" t="s">
        <v>106</v>
      </c>
      <c r="Z1245" s="4">
        <v>107</v>
      </c>
      <c r="AA1245" s="4">
        <f>=ROUNDDOWN(17.8333333333333,0)</f>
      </c>
      <c r="AB1245" s="5">
        <v>6</v>
      </c>
      <c r="AC1245" s="2" t="s">
        <v>533</v>
      </c>
      <c r="AD1245" s="4">
        <v>100</v>
      </c>
      <c r="AE1245" s="4">
        <v>150</v>
      </c>
      <c r="AF1245" s="6">
        <v>65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93</v>
      </c>
      <c r="BK1245" s="8">
        <v>6394.91</v>
      </c>
      <c r="BL1245" s="2" t="s">
        <v>4261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147</v>
      </c>
      <c r="BV1245" s="2" t="s">
        <v>97</v>
      </c>
      <c r="BW1245" s="2" t="s">
        <v>100</v>
      </c>
      <c r="BX1245" s="2" t="s">
        <v>100</v>
      </c>
      <c r="BY1245" s="2" t="s">
        <v>112</v>
      </c>
      <c r="BZ1245" s="2" t="s">
        <v>100</v>
      </c>
    </row>
    <row r="1246">
      <c r="A1246" s="2" t="s">
        <v>4262</v>
      </c>
      <c r="B1246" s="2" t="s">
        <v>87</v>
      </c>
      <c r="C1246" s="2" t="s">
        <v>3586</v>
      </c>
      <c r="D1246" s="2" t="s">
        <v>2308</v>
      </c>
      <c r="E1246" s="2" t="s">
        <v>2005</v>
      </c>
      <c r="F1246" s="2" t="s">
        <v>3859</v>
      </c>
      <c r="G1246" s="2" t="s">
        <v>3860</v>
      </c>
      <c r="H1246" s="2" t="s">
        <v>3861</v>
      </c>
      <c r="I1246" s="2" t="s">
        <v>4228</v>
      </c>
      <c r="J1246" s="2" t="s">
        <v>3012</v>
      </c>
      <c r="K1246" s="2" t="s">
        <v>267</v>
      </c>
      <c r="L1246" s="3">
        <v>46.28</v>
      </c>
      <c r="M1246" s="3">
        <v>48.59</v>
      </c>
      <c r="N1246" s="3">
        <v>89</v>
      </c>
      <c r="O1246" s="2" t="s">
        <v>97</v>
      </c>
      <c r="P1246" s="2" t="s">
        <v>182</v>
      </c>
      <c r="Q1246" s="2" t="s">
        <v>99</v>
      </c>
      <c r="R1246" s="2" t="s">
        <v>100</v>
      </c>
      <c r="S1246" s="2" t="s">
        <v>3862</v>
      </c>
      <c r="T1246" s="2" t="s">
        <v>100</v>
      </c>
      <c r="U1246" s="2" t="s">
        <v>490</v>
      </c>
      <c r="V1246" s="2" t="s">
        <v>561</v>
      </c>
      <c r="W1246" s="2" t="s">
        <v>759</v>
      </c>
      <c r="X1246" s="2" t="s">
        <v>602</v>
      </c>
      <c r="Y1246" s="2" t="s">
        <v>4263</v>
      </c>
      <c r="Z1246" s="4">
        <v>84</v>
      </c>
      <c r="AA1246" s="4">
        <f>=ROUNDDOWN(16.8,0)</f>
      </c>
      <c r="AB1246" s="5">
        <v>5</v>
      </c>
      <c r="AC1246" s="2" t="s">
        <v>3872</v>
      </c>
      <c r="AD1246" s="4">
        <v>30</v>
      </c>
      <c r="AE1246" s="4">
        <v>110</v>
      </c>
      <c r="AF1246" s="6">
        <v>65</v>
      </c>
      <c r="AG1246" s="6">
        <v>73</v>
      </c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62</v>
      </c>
      <c r="BK1246" s="8">
        <v>3091.49</v>
      </c>
      <c r="BL1246" s="2" t="s">
        <v>4264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147</v>
      </c>
      <c r="BV1246" s="2" t="s">
        <v>97</v>
      </c>
      <c r="BW1246" s="2" t="s">
        <v>100</v>
      </c>
      <c r="BX1246" s="2" t="s">
        <v>100</v>
      </c>
      <c r="BY1246" s="2" t="s">
        <v>112</v>
      </c>
      <c r="BZ1246" s="2" t="s">
        <v>100</v>
      </c>
    </row>
    <row r="1247">
      <c r="A1247" s="2" t="s">
        <v>4265</v>
      </c>
      <c r="B1247" s="2" t="s">
        <v>87</v>
      </c>
      <c r="C1247" s="2" t="s">
        <v>3586</v>
      </c>
      <c r="D1247" s="2" t="s">
        <v>2308</v>
      </c>
      <c r="E1247" s="2" t="s">
        <v>2005</v>
      </c>
      <c r="F1247" s="2" t="s">
        <v>3859</v>
      </c>
      <c r="G1247" s="2" t="s">
        <v>3860</v>
      </c>
      <c r="H1247" s="2" t="s">
        <v>3861</v>
      </c>
      <c r="I1247" s="2" t="s">
        <v>4232</v>
      </c>
      <c r="J1247" s="2" t="s">
        <v>122</v>
      </c>
      <c r="K1247" s="2" t="s">
        <v>267</v>
      </c>
      <c r="L1247" s="3">
        <v>54.45</v>
      </c>
      <c r="M1247" s="3">
        <v>57.17</v>
      </c>
      <c r="N1247" s="3">
        <v>99</v>
      </c>
      <c r="O1247" s="2" t="s">
        <v>97</v>
      </c>
      <c r="P1247" s="2" t="s">
        <v>182</v>
      </c>
      <c r="Q1247" s="2" t="s">
        <v>99</v>
      </c>
      <c r="R1247" s="2" t="s">
        <v>100</v>
      </c>
      <c r="S1247" s="2" t="s">
        <v>3862</v>
      </c>
      <c r="T1247" s="2" t="s">
        <v>100</v>
      </c>
      <c r="U1247" s="2" t="s">
        <v>403</v>
      </c>
      <c r="V1247" s="2" t="s">
        <v>561</v>
      </c>
      <c r="W1247" s="2" t="s">
        <v>759</v>
      </c>
      <c r="X1247" s="2" t="s">
        <v>602</v>
      </c>
      <c r="Y1247" s="2" t="s">
        <v>4263</v>
      </c>
      <c r="Z1247" s="4">
        <v>122</v>
      </c>
      <c r="AA1247" s="4">
        <f>=ROUNDDOWN(17.4285714285714,0)</f>
      </c>
      <c r="AB1247" s="5">
        <v>7</v>
      </c>
      <c r="AC1247" s="2" t="s">
        <v>3872</v>
      </c>
      <c r="AD1247" s="4">
        <v>30</v>
      </c>
      <c r="AE1247" s="4">
        <v>140</v>
      </c>
      <c r="AF1247" s="6">
        <v>65</v>
      </c>
      <c r="AG1247" s="6">
        <v>73</v>
      </c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75</v>
      </c>
      <c r="BK1247" s="8">
        <v>4319.62</v>
      </c>
      <c r="BL1247" s="2" t="s">
        <v>4266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147</v>
      </c>
      <c r="BV1247" s="2" t="s">
        <v>97</v>
      </c>
      <c r="BW1247" s="2" t="s">
        <v>100</v>
      </c>
      <c r="BX1247" s="2" t="s">
        <v>100</v>
      </c>
      <c r="BY1247" s="2" t="s">
        <v>112</v>
      </c>
      <c r="BZ1247" s="2" t="s">
        <v>100</v>
      </c>
    </row>
    <row r="1248">
      <c r="A1248" s="2" t="s">
        <v>4267</v>
      </c>
      <c r="B1248" s="2" t="s">
        <v>87</v>
      </c>
      <c r="C1248" s="2" t="s">
        <v>3586</v>
      </c>
      <c r="D1248" s="2" t="s">
        <v>2308</v>
      </c>
      <c r="E1248" s="2" t="s">
        <v>2005</v>
      </c>
      <c r="F1248" s="2" t="s">
        <v>3859</v>
      </c>
      <c r="G1248" s="2" t="s">
        <v>3860</v>
      </c>
      <c r="H1248" s="2" t="s">
        <v>3861</v>
      </c>
      <c r="I1248" s="2" t="s">
        <v>4232</v>
      </c>
      <c r="J1248" s="2" t="s">
        <v>95</v>
      </c>
      <c r="K1248" s="2" t="s">
        <v>267</v>
      </c>
      <c r="L1248" s="3">
        <v>59.95</v>
      </c>
      <c r="M1248" s="3">
        <v>62.95</v>
      </c>
      <c r="N1248" s="3">
        <v>109</v>
      </c>
      <c r="O1248" s="2" t="s">
        <v>97</v>
      </c>
      <c r="P1248" s="2" t="s">
        <v>182</v>
      </c>
      <c r="Q1248" s="2" t="s">
        <v>99</v>
      </c>
      <c r="R1248" s="2" t="s">
        <v>100</v>
      </c>
      <c r="S1248" s="2" t="s">
        <v>3862</v>
      </c>
      <c r="T1248" s="2" t="s">
        <v>100</v>
      </c>
      <c r="U1248" s="2" t="s">
        <v>403</v>
      </c>
      <c r="V1248" s="2" t="s">
        <v>561</v>
      </c>
      <c r="W1248" s="2" t="s">
        <v>759</v>
      </c>
      <c r="X1248" s="2" t="s">
        <v>602</v>
      </c>
      <c r="Y1248" s="2" t="s">
        <v>4263</v>
      </c>
      <c r="Z1248" s="4">
        <v>435</v>
      </c>
      <c r="AA1248" s="4">
        <f>=ROUNDDOWN(25.5882352941176,0)</f>
      </c>
      <c r="AB1248" s="5">
        <v>17</v>
      </c>
      <c r="AC1248" s="2" t="s">
        <v>1057</v>
      </c>
      <c r="AD1248" s="4">
        <v>30</v>
      </c>
      <c r="AE1248" s="4">
        <v>210</v>
      </c>
      <c r="AF1248" s="6">
        <v>65</v>
      </c>
      <c r="AG1248" s="6">
        <v>73</v>
      </c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100</v>
      </c>
      <c r="AW1248" s="8" t="s">
        <v>100</v>
      </c>
      <c r="AX1248" s="4" t="s">
        <v>100</v>
      </c>
      <c r="AY1248" s="8" t="s">
        <v>100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 t="s">
        <v>100</v>
      </c>
      <c r="BF1248" s="8" t="s">
        <v>100</v>
      </c>
      <c r="BG1248" s="7" t="s">
        <v>100</v>
      </c>
      <c r="BH1248" s="7" t="s">
        <v>100</v>
      </c>
      <c r="BI1248" s="7"/>
      <c r="BJ1248" s="4">
        <v>253</v>
      </c>
      <c r="BK1248" s="8">
        <v>16170.62</v>
      </c>
      <c r="BL1248" s="2" t="s">
        <v>4268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147</v>
      </c>
      <c r="BV1248" s="2" t="s">
        <v>97</v>
      </c>
      <c r="BW1248" s="2" t="s">
        <v>100</v>
      </c>
      <c r="BX1248" s="2" t="s">
        <v>100</v>
      </c>
      <c r="BY1248" s="2" t="s">
        <v>112</v>
      </c>
      <c r="BZ1248" s="2" t="s">
        <v>100</v>
      </c>
    </row>
    <row r="1249">
      <c r="A1249" s="2" t="s">
        <v>4269</v>
      </c>
      <c r="B1249" s="2" t="s">
        <v>87</v>
      </c>
      <c r="C1249" s="2" t="s">
        <v>3586</v>
      </c>
      <c r="D1249" s="2" t="s">
        <v>2308</v>
      </c>
      <c r="E1249" s="2" t="s">
        <v>2005</v>
      </c>
      <c r="F1249" s="2" t="s">
        <v>3859</v>
      </c>
      <c r="G1249" s="2" t="s">
        <v>3860</v>
      </c>
      <c r="H1249" s="2" t="s">
        <v>3861</v>
      </c>
      <c r="I1249" s="2" t="s">
        <v>4232</v>
      </c>
      <c r="J1249" s="2" t="s">
        <v>114</v>
      </c>
      <c r="K1249" s="2" t="s">
        <v>267</v>
      </c>
      <c r="L1249" s="3">
        <v>65.45</v>
      </c>
      <c r="M1249" s="3">
        <v>68.72</v>
      </c>
      <c r="N1249" s="3">
        <v>119</v>
      </c>
      <c r="O1249" s="2" t="s">
        <v>97</v>
      </c>
      <c r="P1249" s="2" t="s">
        <v>182</v>
      </c>
      <c r="Q1249" s="2" t="s">
        <v>99</v>
      </c>
      <c r="R1249" s="2" t="s">
        <v>100</v>
      </c>
      <c r="S1249" s="2" t="s">
        <v>3862</v>
      </c>
      <c r="T1249" s="2" t="s">
        <v>100</v>
      </c>
      <c r="U1249" s="2" t="s">
        <v>403</v>
      </c>
      <c r="V1249" s="2" t="s">
        <v>561</v>
      </c>
      <c r="W1249" s="2" t="s">
        <v>759</v>
      </c>
      <c r="X1249" s="2" t="s">
        <v>602</v>
      </c>
      <c r="Y1249" s="2" t="s">
        <v>4263</v>
      </c>
      <c r="Z1249" s="4">
        <v>176</v>
      </c>
      <c r="AA1249" s="4">
        <f>=ROUNDDOWN(16,0)</f>
      </c>
      <c r="AB1249" s="5">
        <v>11</v>
      </c>
      <c r="AC1249" s="2" t="s">
        <v>3872</v>
      </c>
      <c r="AD1249" s="4">
        <v>30</v>
      </c>
      <c r="AE1249" s="4">
        <v>270</v>
      </c>
      <c r="AF1249" s="6">
        <v>65</v>
      </c>
      <c r="AG1249" s="6">
        <v>73</v>
      </c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/>
      <c r="BJ1249" s="4">
        <v>198</v>
      </c>
      <c r="BK1249" s="8">
        <v>13901.6</v>
      </c>
      <c r="BL1249" s="2" t="s">
        <v>3216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147</v>
      </c>
      <c r="BV1249" s="2" t="s">
        <v>97</v>
      </c>
      <c r="BW1249" s="2" t="s">
        <v>100</v>
      </c>
      <c r="BX1249" s="2" t="s">
        <v>100</v>
      </c>
      <c r="BY1249" s="2" t="s">
        <v>112</v>
      </c>
      <c r="BZ1249" s="2" t="s">
        <v>100</v>
      </c>
    </row>
    <row r="1250">
      <c r="A1250" s="2" t="s">
        <v>4270</v>
      </c>
      <c r="B1250" s="2" t="s">
        <v>87</v>
      </c>
      <c r="C1250" s="2" t="s">
        <v>3586</v>
      </c>
      <c r="D1250" s="2" t="s">
        <v>2308</v>
      </c>
      <c r="E1250" s="2" t="s">
        <v>2005</v>
      </c>
      <c r="F1250" s="2" t="s">
        <v>3859</v>
      </c>
      <c r="G1250" s="2" t="s">
        <v>3860</v>
      </c>
      <c r="H1250" s="2" t="s">
        <v>3861</v>
      </c>
      <c r="I1250" s="2" t="s">
        <v>4232</v>
      </c>
      <c r="J1250" s="2" t="s">
        <v>118</v>
      </c>
      <c r="K1250" s="2" t="s">
        <v>267</v>
      </c>
      <c r="L1250" s="3">
        <v>65.45</v>
      </c>
      <c r="M1250" s="3">
        <v>68.72</v>
      </c>
      <c r="N1250" s="3">
        <v>119</v>
      </c>
      <c r="O1250" s="2" t="s">
        <v>97</v>
      </c>
      <c r="P1250" s="2" t="s">
        <v>182</v>
      </c>
      <c r="Q1250" s="2" t="s">
        <v>99</v>
      </c>
      <c r="R1250" s="2" t="s">
        <v>100</v>
      </c>
      <c r="S1250" s="2" t="s">
        <v>3862</v>
      </c>
      <c r="T1250" s="2" t="s">
        <v>100</v>
      </c>
      <c r="U1250" s="2" t="s">
        <v>403</v>
      </c>
      <c r="V1250" s="2" t="s">
        <v>561</v>
      </c>
      <c r="W1250" s="2" t="s">
        <v>759</v>
      </c>
      <c r="X1250" s="2" t="s">
        <v>602</v>
      </c>
      <c r="Y1250" s="2" t="s">
        <v>4263</v>
      </c>
      <c r="Z1250" s="4">
        <v>79</v>
      </c>
      <c r="AA1250" s="4">
        <f>=ROUNDDOWN(13.1666666666667,0)</f>
      </c>
      <c r="AB1250" s="5">
        <v>6</v>
      </c>
      <c r="AC1250" s="2" t="s">
        <v>3872</v>
      </c>
      <c r="AD1250" s="4">
        <v>40</v>
      </c>
      <c r="AE1250" s="4">
        <v>200</v>
      </c>
      <c r="AF1250" s="6">
        <v>65</v>
      </c>
      <c r="AG1250" s="6">
        <v>73</v>
      </c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86</v>
      </c>
      <c r="BK1250" s="8">
        <v>5858.37</v>
      </c>
      <c r="BL1250" s="2" t="s">
        <v>4271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147</v>
      </c>
      <c r="BV1250" s="2" t="s">
        <v>97</v>
      </c>
      <c r="BW1250" s="2" t="s">
        <v>100</v>
      </c>
      <c r="BX1250" s="2" t="s">
        <v>100</v>
      </c>
      <c r="BY1250" s="2" t="s">
        <v>112</v>
      </c>
      <c r="BZ1250" s="2" t="s">
        <v>100</v>
      </c>
    </row>
    <row r="1251">
      <c r="A1251" s="2" t="s">
        <v>4272</v>
      </c>
      <c r="B1251" s="2" t="s">
        <v>87</v>
      </c>
      <c r="C1251" s="2" t="s">
        <v>3586</v>
      </c>
      <c r="D1251" s="2" t="s">
        <v>2308</v>
      </c>
      <c r="E1251" s="2" t="s">
        <v>2005</v>
      </c>
      <c r="F1251" s="2" t="s">
        <v>3859</v>
      </c>
      <c r="G1251" s="2" t="s">
        <v>3860</v>
      </c>
      <c r="H1251" s="2" t="s">
        <v>3861</v>
      </c>
      <c r="I1251" s="2" t="s">
        <v>4228</v>
      </c>
      <c r="J1251" s="2" t="s">
        <v>3012</v>
      </c>
      <c r="K1251" s="2" t="s">
        <v>622</v>
      </c>
      <c r="L1251" s="3">
        <v>46.28</v>
      </c>
      <c r="M1251" s="3">
        <v>48.59</v>
      </c>
      <c r="N1251" s="3">
        <v>89</v>
      </c>
      <c r="O1251" s="2" t="s">
        <v>97</v>
      </c>
      <c r="P1251" s="2" t="s">
        <v>182</v>
      </c>
      <c r="Q1251" s="2" t="s">
        <v>99</v>
      </c>
      <c r="R1251" s="2" t="s">
        <v>100</v>
      </c>
      <c r="S1251" s="2" t="s">
        <v>3880</v>
      </c>
      <c r="T1251" s="2" t="s">
        <v>100</v>
      </c>
      <c r="U1251" s="2" t="s">
        <v>490</v>
      </c>
      <c r="V1251" s="2" t="s">
        <v>561</v>
      </c>
      <c r="W1251" s="2" t="s">
        <v>759</v>
      </c>
      <c r="X1251" s="2" t="s">
        <v>602</v>
      </c>
      <c r="Y1251" s="2" t="s">
        <v>106</v>
      </c>
      <c r="Z1251" s="4">
        <v>80</v>
      </c>
      <c r="AA1251" s="4">
        <f>=ROUNDDOWN(26.6666666666667,0)</f>
      </c>
      <c r="AB1251" s="5">
        <v>3</v>
      </c>
      <c r="AC1251" s="2" t="s">
        <v>874</v>
      </c>
      <c r="AD1251" s="4">
        <v>30</v>
      </c>
      <c r="AE1251" s="4">
        <v>50</v>
      </c>
      <c r="AF1251" s="6">
        <v>65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37</v>
      </c>
      <c r="BK1251" s="8">
        <v>1880.59</v>
      </c>
      <c r="BL1251" s="2" t="s">
        <v>4273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147</v>
      </c>
      <c r="BV1251" s="2" t="s">
        <v>97</v>
      </c>
      <c r="BW1251" s="2" t="s">
        <v>100</v>
      </c>
      <c r="BX1251" s="2" t="s">
        <v>100</v>
      </c>
      <c r="BY1251" s="2" t="s">
        <v>112</v>
      </c>
      <c r="BZ1251" s="2" t="s">
        <v>100</v>
      </c>
    </row>
    <row r="1252">
      <c r="A1252" s="2" t="s">
        <v>4274</v>
      </c>
      <c r="B1252" s="2" t="s">
        <v>87</v>
      </c>
      <c r="C1252" s="2" t="s">
        <v>3586</v>
      </c>
      <c r="D1252" s="2" t="s">
        <v>2308</v>
      </c>
      <c r="E1252" s="2" t="s">
        <v>2005</v>
      </c>
      <c r="F1252" s="2" t="s">
        <v>3859</v>
      </c>
      <c r="G1252" s="2" t="s">
        <v>3860</v>
      </c>
      <c r="H1252" s="2" t="s">
        <v>3861</v>
      </c>
      <c r="I1252" s="2" t="s">
        <v>4232</v>
      </c>
      <c r="J1252" s="2" t="s">
        <v>122</v>
      </c>
      <c r="K1252" s="2" t="s">
        <v>622</v>
      </c>
      <c r="L1252" s="3">
        <v>54.45</v>
      </c>
      <c r="M1252" s="3">
        <v>57.17</v>
      </c>
      <c r="N1252" s="3">
        <v>99</v>
      </c>
      <c r="O1252" s="2" t="s">
        <v>97</v>
      </c>
      <c r="P1252" s="2" t="s">
        <v>182</v>
      </c>
      <c r="Q1252" s="2" t="s">
        <v>99</v>
      </c>
      <c r="R1252" s="2" t="s">
        <v>100</v>
      </c>
      <c r="S1252" s="2" t="s">
        <v>3880</v>
      </c>
      <c r="T1252" s="2" t="s">
        <v>100</v>
      </c>
      <c r="U1252" s="2" t="s">
        <v>403</v>
      </c>
      <c r="V1252" s="2" t="s">
        <v>561</v>
      </c>
      <c r="W1252" s="2" t="s">
        <v>759</v>
      </c>
      <c r="X1252" s="2" t="s">
        <v>602</v>
      </c>
      <c r="Y1252" s="2" t="s">
        <v>106</v>
      </c>
      <c r="Z1252" s="4">
        <v>91</v>
      </c>
      <c r="AA1252" s="4">
        <f>=ROUNDDOWN(22.75,0)</f>
      </c>
      <c r="AB1252" s="5">
        <v>4</v>
      </c>
      <c r="AC1252" s="2" t="s">
        <v>874</v>
      </c>
      <c r="AD1252" s="4">
        <v>30</v>
      </c>
      <c r="AE1252" s="4">
        <v>70</v>
      </c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52</v>
      </c>
      <c r="BK1252" s="8">
        <v>2860.12</v>
      </c>
      <c r="BL1252" s="2" t="s">
        <v>4275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147</v>
      </c>
      <c r="BV1252" s="2" t="s">
        <v>97</v>
      </c>
      <c r="BW1252" s="2" t="s">
        <v>100</v>
      </c>
      <c r="BX1252" s="2" t="s">
        <v>100</v>
      </c>
      <c r="BY1252" s="2" t="s">
        <v>112</v>
      </c>
      <c r="BZ1252" s="2" t="s">
        <v>100</v>
      </c>
    </row>
    <row r="1253">
      <c r="A1253" s="2" t="s">
        <v>4276</v>
      </c>
      <c r="B1253" s="2" t="s">
        <v>87</v>
      </c>
      <c r="C1253" s="2" t="s">
        <v>3586</v>
      </c>
      <c r="D1253" s="2" t="s">
        <v>2308</v>
      </c>
      <c r="E1253" s="2" t="s">
        <v>2005</v>
      </c>
      <c r="F1253" s="2" t="s">
        <v>3859</v>
      </c>
      <c r="G1253" s="2" t="s">
        <v>3860</v>
      </c>
      <c r="H1253" s="2" t="s">
        <v>3861</v>
      </c>
      <c r="I1253" s="2" t="s">
        <v>4232</v>
      </c>
      <c r="J1253" s="2" t="s">
        <v>95</v>
      </c>
      <c r="K1253" s="2" t="s">
        <v>622</v>
      </c>
      <c r="L1253" s="3">
        <v>59.95</v>
      </c>
      <c r="M1253" s="3">
        <v>62.95</v>
      </c>
      <c r="N1253" s="3">
        <v>109</v>
      </c>
      <c r="O1253" s="2" t="s">
        <v>97</v>
      </c>
      <c r="P1253" s="2" t="s">
        <v>182</v>
      </c>
      <c r="Q1253" s="2" t="s">
        <v>99</v>
      </c>
      <c r="R1253" s="2" t="s">
        <v>100</v>
      </c>
      <c r="S1253" s="2" t="s">
        <v>3880</v>
      </c>
      <c r="T1253" s="2" t="s">
        <v>100</v>
      </c>
      <c r="U1253" s="2" t="s">
        <v>403</v>
      </c>
      <c r="V1253" s="2" t="s">
        <v>561</v>
      </c>
      <c r="W1253" s="2" t="s">
        <v>759</v>
      </c>
      <c r="X1253" s="2" t="s">
        <v>602</v>
      </c>
      <c r="Y1253" s="2" t="s">
        <v>106</v>
      </c>
      <c r="Z1253" s="4">
        <v>153</v>
      </c>
      <c r="AA1253" s="4">
        <f>=ROUNDDOWN(19.125,0)</f>
      </c>
      <c r="AB1253" s="5">
        <v>8</v>
      </c>
      <c r="AC1253" s="2" t="s">
        <v>874</v>
      </c>
      <c r="AD1253" s="4">
        <v>150</v>
      </c>
      <c r="AE1253" s="4">
        <v>220</v>
      </c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100</v>
      </c>
      <c r="AW1253" s="8" t="s">
        <v>100</v>
      </c>
      <c r="AX1253" s="4" t="s">
        <v>100</v>
      </c>
      <c r="AY1253" s="8" t="s">
        <v>100</v>
      </c>
      <c r="AZ1253" s="7" t="s">
        <v>100</v>
      </c>
      <c r="BA1253" s="7" t="s">
        <v>100</v>
      </c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153</v>
      </c>
      <c r="BK1253" s="8">
        <v>9627.71</v>
      </c>
      <c r="BL1253" s="2" t="s">
        <v>4277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147</v>
      </c>
      <c r="BV1253" s="2" t="s">
        <v>97</v>
      </c>
      <c r="BW1253" s="2" t="s">
        <v>100</v>
      </c>
      <c r="BX1253" s="2" t="s">
        <v>100</v>
      </c>
      <c r="BY1253" s="2" t="s">
        <v>112</v>
      </c>
      <c r="BZ1253" s="2" t="s">
        <v>100</v>
      </c>
    </row>
    <row r="1254">
      <c r="A1254" s="2" t="s">
        <v>4278</v>
      </c>
      <c r="B1254" s="2" t="s">
        <v>87</v>
      </c>
      <c r="C1254" s="2" t="s">
        <v>3586</v>
      </c>
      <c r="D1254" s="2" t="s">
        <v>2308</v>
      </c>
      <c r="E1254" s="2" t="s">
        <v>2005</v>
      </c>
      <c r="F1254" s="2" t="s">
        <v>3859</v>
      </c>
      <c r="G1254" s="2" t="s">
        <v>3860</v>
      </c>
      <c r="H1254" s="2" t="s">
        <v>3861</v>
      </c>
      <c r="I1254" s="2" t="s">
        <v>4232</v>
      </c>
      <c r="J1254" s="2" t="s">
        <v>114</v>
      </c>
      <c r="K1254" s="2" t="s">
        <v>622</v>
      </c>
      <c r="L1254" s="3">
        <v>65.45</v>
      </c>
      <c r="M1254" s="3">
        <v>68.72</v>
      </c>
      <c r="N1254" s="3">
        <v>119</v>
      </c>
      <c r="O1254" s="2" t="s">
        <v>97</v>
      </c>
      <c r="P1254" s="2" t="s">
        <v>182</v>
      </c>
      <c r="Q1254" s="2" t="s">
        <v>99</v>
      </c>
      <c r="R1254" s="2" t="s">
        <v>100</v>
      </c>
      <c r="S1254" s="2" t="s">
        <v>3880</v>
      </c>
      <c r="T1254" s="2" t="s">
        <v>100</v>
      </c>
      <c r="U1254" s="2" t="s">
        <v>403</v>
      </c>
      <c r="V1254" s="2" t="s">
        <v>561</v>
      </c>
      <c r="W1254" s="2" t="s">
        <v>759</v>
      </c>
      <c r="X1254" s="2" t="s">
        <v>602</v>
      </c>
      <c r="Y1254" s="2" t="s">
        <v>106</v>
      </c>
      <c r="Z1254" s="4">
        <v>108</v>
      </c>
      <c r="AA1254" s="4">
        <f>=ROUNDDOWN(15.4285714285714,0)</f>
      </c>
      <c r="AB1254" s="5">
        <v>7</v>
      </c>
      <c r="AC1254" s="2" t="s">
        <v>874</v>
      </c>
      <c r="AD1254" s="4">
        <v>120</v>
      </c>
      <c r="AE1254" s="4">
        <v>230</v>
      </c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111</v>
      </c>
      <c r="BK1254" s="8">
        <v>7648.19</v>
      </c>
      <c r="BL1254" s="2" t="s">
        <v>4279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147</v>
      </c>
      <c r="BV1254" s="2" t="s">
        <v>97</v>
      </c>
      <c r="BW1254" s="2" t="s">
        <v>100</v>
      </c>
      <c r="BX1254" s="2" t="s">
        <v>100</v>
      </c>
      <c r="BY1254" s="2" t="s">
        <v>112</v>
      </c>
      <c r="BZ1254" s="2" t="s">
        <v>100</v>
      </c>
    </row>
    <row r="1255">
      <c r="A1255" s="2" t="s">
        <v>4280</v>
      </c>
      <c r="B1255" s="2" t="s">
        <v>87</v>
      </c>
      <c r="C1255" s="2" t="s">
        <v>3586</v>
      </c>
      <c r="D1255" s="2" t="s">
        <v>2308</v>
      </c>
      <c r="E1255" s="2" t="s">
        <v>2005</v>
      </c>
      <c r="F1255" s="2" t="s">
        <v>3859</v>
      </c>
      <c r="G1255" s="2" t="s">
        <v>3860</v>
      </c>
      <c r="H1255" s="2" t="s">
        <v>3861</v>
      </c>
      <c r="I1255" s="2" t="s">
        <v>4232</v>
      </c>
      <c r="J1255" s="2" t="s">
        <v>118</v>
      </c>
      <c r="K1255" s="2" t="s">
        <v>622</v>
      </c>
      <c r="L1255" s="3">
        <v>65.45</v>
      </c>
      <c r="M1255" s="3">
        <v>68.72</v>
      </c>
      <c r="N1255" s="3">
        <v>119</v>
      </c>
      <c r="O1255" s="2" t="s">
        <v>97</v>
      </c>
      <c r="P1255" s="2" t="s">
        <v>182</v>
      </c>
      <c r="Q1255" s="2" t="s">
        <v>99</v>
      </c>
      <c r="R1255" s="2" t="s">
        <v>100</v>
      </c>
      <c r="S1255" s="2" t="s">
        <v>3880</v>
      </c>
      <c r="T1255" s="2" t="s">
        <v>100</v>
      </c>
      <c r="U1255" s="2" t="s">
        <v>403</v>
      </c>
      <c r="V1255" s="2" t="s">
        <v>561</v>
      </c>
      <c r="W1255" s="2" t="s">
        <v>759</v>
      </c>
      <c r="X1255" s="2" t="s">
        <v>602</v>
      </c>
      <c r="Y1255" s="2" t="s">
        <v>106</v>
      </c>
      <c r="Z1255" s="4">
        <v>153</v>
      </c>
      <c r="AA1255" s="4">
        <f>=ROUNDDOWN(38.25,0)</f>
      </c>
      <c r="AB1255" s="5">
        <v>4</v>
      </c>
      <c r="AC1255" s="2" t="s">
        <v>100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38</v>
      </c>
      <c r="BK1255" s="8">
        <v>2533.14</v>
      </c>
      <c r="BL1255" s="2" t="s">
        <v>4281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147</v>
      </c>
      <c r="BV1255" s="2" t="s">
        <v>97</v>
      </c>
      <c r="BW1255" s="2" t="s">
        <v>100</v>
      </c>
      <c r="BX1255" s="2" t="s">
        <v>100</v>
      </c>
      <c r="BY1255" s="2" t="s">
        <v>112</v>
      </c>
      <c r="BZ1255" s="2" t="s">
        <v>100</v>
      </c>
    </row>
    <row r="1256">
      <c r="A1256" s="2" t="s">
        <v>4282</v>
      </c>
      <c r="B1256" s="2" t="s">
        <v>87</v>
      </c>
      <c r="C1256" s="2" t="s">
        <v>3586</v>
      </c>
      <c r="D1256" s="2" t="s">
        <v>2308</v>
      </c>
      <c r="E1256" s="2" t="s">
        <v>2005</v>
      </c>
      <c r="F1256" s="2" t="s">
        <v>3772</v>
      </c>
      <c r="G1256" s="2" t="s">
        <v>4283</v>
      </c>
      <c r="H1256" s="2" t="s">
        <v>3774</v>
      </c>
      <c r="I1256" s="2" t="s">
        <v>4246</v>
      </c>
      <c r="J1256" s="2" t="s">
        <v>3012</v>
      </c>
      <c r="K1256" s="2" t="s">
        <v>267</v>
      </c>
      <c r="L1256" s="3">
        <v>43.45</v>
      </c>
      <c r="M1256" s="3">
        <v>45.62</v>
      </c>
      <c r="N1256" s="3">
        <v>79</v>
      </c>
      <c r="O1256" s="2" t="s">
        <v>1148</v>
      </c>
      <c r="P1256" s="2" t="s">
        <v>198</v>
      </c>
      <c r="Q1256" s="2" t="s">
        <v>99</v>
      </c>
      <c r="R1256" s="2" t="s">
        <v>100</v>
      </c>
      <c r="S1256" s="2" t="s">
        <v>4284</v>
      </c>
      <c r="T1256" s="2" t="s">
        <v>100</v>
      </c>
      <c r="U1256" s="2" t="s">
        <v>490</v>
      </c>
      <c r="V1256" s="2" t="s">
        <v>455</v>
      </c>
      <c r="W1256" s="2" t="s">
        <v>1530</v>
      </c>
      <c r="X1256" s="2" t="s">
        <v>907</v>
      </c>
      <c r="Y1256" s="2" t="s">
        <v>106</v>
      </c>
      <c r="Z1256" s="4"/>
      <c r="AA1256" s="4">
        <f>=ROUNDDOWN({0},0)</f>
      </c>
      <c r="AB1256" s="5"/>
      <c r="AC1256" s="2" t="s">
        <v>100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 t="s">
        <v>100</v>
      </c>
      <c r="AY1256" s="8" t="s">
        <v>100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 t="s">
        <v>100</v>
      </c>
      <c r="BF1256" s="8" t="s">
        <v>100</v>
      </c>
      <c r="BG1256" s="7" t="s">
        <v>100</v>
      </c>
      <c r="BH1256" s="7" t="s">
        <v>100</v>
      </c>
      <c r="BI1256" s="7"/>
      <c r="BJ1256" s="4"/>
      <c r="BK1256" s="8"/>
      <c r="BL1256" s="2" t="s">
        <v>100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147</v>
      </c>
      <c r="BV1256" s="2" t="s">
        <v>97</v>
      </c>
      <c r="BW1256" s="2" t="s">
        <v>100</v>
      </c>
      <c r="BX1256" s="2" t="s">
        <v>100</v>
      </c>
      <c r="BY1256" s="2" t="s">
        <v>112</v>
      </c>
      <c r="BZ1256" s="2" t="s">
        <v>100</v>
      </c>
    </row>
    <row r="1257">
      <c r="A1257" s="2" t="s">
        <v>4285</v>
      </c>
      <c r="B1257" s="2" t="s">
        <v>87</v>
      </c>
      <c r="C1257" s="2" t="s">
        <v>3586</v>
      </c>
      <c r="D1257" s="2" t="s">
        <v>2308</v>
      </c>
      <c r="E1257" s="2" t="s">
        <v>2005</v>
      </c>
      <c r="F1257" s="2" t="s">
        <v>3772</v>
      </c>
      <c r="G1257" s="2" t="s">
        <v>3773</v>
      </c>
      <c r="H1257" s="2" t="s">
        <v>3774</v>
      </c>
      <c r="I1257" s="2" t="s">
        <v>4246</v>
      </c>
      <c r="J1257" s="2" t="s">
        <v>114</v>
      </c>
      <c r="K1257" s="2" t="s">
        <v>267</v>
      </c>
      <c r="L1257" s="3">
        <v>59.95</v>
      </c>
      <c r="M1257" s="3">
        <v>62.95</v>
      </c>
      <c r="N1257" s="3">
        <v>109</v>
      </c>
      <c r="O1257" s="2" t="s">
        <v>550</v>
      </c>
      <c r="P1257" s="2" t="s">
        <v>198</v>
      </c>
      <c r="Q1257" s="2" t="s">
        <v>99</v>
      </c>
      <c r="R1257" s="2" t="s">
        <v>100</v>
      </c>
      <c r="S1257" s="2" t="s">
        <v>4284</v>
      </c>
      <c r="T1257" s="2" t="s">
        <v>100</v>
      </c>
      <c r="U1257" s="2" t="s">
        <v>403</v>
      </c>
      <c r="V1257" s="2" t="s">
        <v>455</v>
      </c>
      <c r="W1257" s="2" t="s">
        <v>1530</v>
      </c>
      <c r="X1257" s="2" t="s">
        <v>907</v>
      </c>
      <c r="Y1257" s="2" t="s">
        <v>106</v>
      </c>
      <c r="Z1257" s="4"/>
      <c r="AA1257" s="4">
        <f>=ROUNDDOWN({0},0)</f>
      </c>
      <c r="AB1257" s="5"/>
      <c r="AC1257" s="2" t="s">
        <v>100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/>
      <c r="BK1257" s="8"/>
      <c r="BL1257" s="2" t="s">
        <v>100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147</v>
      </c>
      <c r="BV1257" s="2" t="s">
        <v>97</v>
      </c>
      <c r="BW1257" s="2" t="s">
        <v>100</v>
      </c>
      <c r="BX1257" s="2" t="s">
        <v>100</v>
      </c>
      <c r="BY1257" s="2" t="s">
        <v>112</v>
      </c>
      <c r="BZ1257" s="2" t="s">
        <v>100</v>
      </c>
    </row>
    <row r="1258">
      <c r="A1258" s="2" t="s">
        <v>4286</v>
      </c>
      <c r="B1258" s="2" t="s">
        <v>87</v>
      </c>
      <c r="C1258" s="2" t="s">
        <v>3586</v>
      </c>
      <c r="D1258" s="2" t="s">
        <v>2308</v>
      </c>
      <c r="E1258" s="2" t="s">
        <v>2005</v>
      </c>
      <c r="F1258" s="2" t="s">
        <v>3772</v>
      </c>
      <c r="G1258" s="2" t="s">
        <v>4283</v>
      </c>
      <c r="H1258" s="2" t="s">
        <v>3774</v>
      </c>
      <c r="I1258" s="2" t="s">
        <v>4246</v>
      </c>
      <c r="J1258" s="2" t="s">
        <v>118</v>
      </c>
      <c r="K1258" s="2" t="s">
        <v>267</v>
      </c>
      <c r="L1258" s="3">
        <v>59.95</v>
      </c>
      <c r="M1258" s="3">
        <v>62.95</v>
      </c>
      <c r="N1258" s="3">
        <v>109</v>
      </c>
      <c r="O1258" s="2" t="s">
        <v>1148</v>
      </c>
      <c r="P1258" s="2" t="s">
        <v>198</v>
      </c>
      <c r="Q1258" s="2" t="s">
        <v>99</v>
      </c>
      <c r="R1258" s="2" t="s">
        <v>100</v>
      </c>
      <c r="S1258" s="2" t="s">
        <v>4284</v>
      </c>
      <c r="T1258" s="2" t="s">
        <v>100</v>
      </c>
      <c r="U1258" s="2" t="s">
        <v>403</v>
      </c>
      <c r="V1258" s="2" t="s">
        <v>455</v>
      </c>
      <c r="W1258" s="2" t="s">
        <v>1530</v>
      </c>
      <c r="X1258" s="2" t="s">
        <v>907</v>
      </c>
      <c r="Y1258" s="2" t="s">
        <v>106</v>
      </c>
      <c r="Z1258" s="4"/>
      <c r="AA1258" s="4">
        <f>=ROUNDDOWN({0},0)</f>
      </c>
      <c r="AB1258" s="5"/>
      <c r="AC1258" s="2" t="s">
        <v>100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/>
      <c r="BK1258" s="8"/>
      <c r="BL1258" s="2" t="s">
        <v>100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147</v>
      </c>
      <c r="BV1258" s="2" t="s">
        <v>97</v>
      </c>
      <c r="BW1258" s="2" t="s">
        <v>100</v>
      </c>
      <c r="BX1258" s="2" t="s">
        <v>100</v>
      </c>
      <c r="BY1258" s="2" t="s">
        <v>112</v>
      </c>
      <c r="BZ1258" s="2" t="s">
        <v>100</v>
      </c>
    </row>
    <row r="1259">
      <c r="A1259" s="2" t="s">
        <v>4287</v>
      </c>
      <c r="B1259" s="2" t="s">
        <v>87</v>
      </c>
      <c r="C1259" s="2" t="s">
        <v>3586</v>
      </c>
      <c r="D1259" s="2" t="s">
        <v>2308</v>
      </c>
      <c r="E1259" s="2" t="s">
        <v>2005</v>
      </c>
      <c r="F1259" s="2" t="s">
        <v>3772</v>
      </c>
      <c r="G1259" s="2" t="s">
        <v>3773</v>
      </c>
      <c r="H1259" s="2" t="s">
        <v>3774</v>
      </c>
      <c r="I1259" s="2" t="s">
        <v>4246</v>
      </c>
      <c r="J1259" s="2" t="s">
        <v>114</v>
      </c>
      <c r="K1259" s="2" t="s">
        <v>158</v>
      </c>
      <c r="L1259" s="3">
        <v>59.95</v>
      </c>
      <c r="M1259" s="3">
        <v>62.95</v>
      </c>
      <c r="N1259" s="3">
        <v>109</v>
      </c>
      <c r="O1259" s="2" t="s">
        <v>1148</v>
      </c>
      <c r="P1259" s="2" t="s">
        <v>198</v>
      </c>
      <c r="Q1259" s="2" t="s">
        <v>99</v>
      </c>
      <c r="R1259" s="2" t="s">
        <v>100</v>
      </c>
      <c r="S1259" s="2" t="s">
        <v>3808</v>
      </c>
      <c r="T1259" s="2" t="s">
        <v>100</v>
      </c>
      <c r="U1259" s="2" t="s">
        <v>403</v>
      </c>
      <c r="V1259" s="2" t="s">
        <v>455</v>
      </c>
      <c r="W1259" s="2" t="s">
        <v>1530</v>
      </c>
      <c r="X1259" s="2" t="s">
        <v>907</v>
      </c>
      <c r="Y1259" s="2" t="s">
        <v>106</v>
      </c>
      <c r="Z1259" s="4"/>
      <c r="AA1259" s="4">
        <f>=ROUNDDOWN({0},0)</f>
      </c>
      <c r="AB1259" s="5"/>
      <c r="AC1259" s="2" t="s">
        <v>100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/>
      <c r="BK1259" s="8"/>
      <c r="BL1259" s="2" t="s">
        <v>100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147</v>
      </c>
      <c r="BV1259" s="2" t="s">
        <v>97</v>
      </c>
      <c r="BW1259" s="2" t="s">
        <v>100</v>
      </c>
      <c r="BX1259" s="2" t="s">
        <v>100</v>
      </c>
      <c r="BY1259" s="2" t="s">
        <v>112</v>
      </c>
      <c r="BZ1259" s="2" t="s">
        <v>100</v>
      </c>
    </row>
    <row r="1260">
      <c r="A1260" s="2" t="s">
        <v>4288</v>
      </c>
      <c r="B1260" s="2" t="s">
        <v>87</v>
      </c>
      <c r="C1260" s="2" t="s">
        <v>3586</v>
      </c>
      <c r="D1260" s="2" t="s">
        <v>2308</v>
      </c>
      <c r="E1260" s="2" t="s">
        <v>2005</v>
      </c>
      <c r="F1260" s="2" t="s">
        <v>3772</v>
      </c>
      <c r="G1260" s="2" t="s">
        <v>4289</v>
      </c>
      <c r="H1260" s="2" t="s">
        <v>3774</v>
      </c>
      <c r="I1260" s="2" t="s">
        <v>4246</v>
      </c>
      <c r="J1260" s="2" t="s">
        <v>122</v>
      </c>
      <c r="K1260" s="2" t="s">
        <v>247</v>
      </c>
      <c r="L1260" s="3">
        <v>48.95</v>
      </c>
      <c r="M1260" s="3">
        <v>51.4</v>
      </c>
      <c r="N1260" s="3">
        <v>89</v>
      </c>
      <c r="O1260" s="2" t="s">
        <v>1148</v>
      </c>
      <c r="P1260" s="2" t="s">
        <v>198</v>
      </c>
      <c r="Q1260" s="2" t="s">
        <v>99</v>
      </c>
      <c r="R1260" s="2" t="s">
        <v>100</v>
      </c>
      <c r="S1260" s="2" t="s">
        <v>3776</v>
      </c>
      <c r="T1260" s="2" t="s">
        <v>100</v>
      </c>
      <c r="U1260" s="2" t="s">
        <v>403</v>
      </c>
      <c r="V1260" s="2" t="s">
        <v>455</v>
      </c>
      <c r="W1260" s="2" t="s">
        <v>1530</v>
      </c>
      <c r="X1260" s="2" t="s">
        <v>907</v>
      </c>
      <c r="Y1260" s="2" t="s">
        <v>106</v>
      </c>
      <c r="Z1260" s="4"/>
      <c r="AA1260" s="4">
        <f>=ROUNDDOWN({0},0)</f>
      </c>
      <c r="AB1260" s="5"/>
      <c r="AC1260" s="2" t="s">
        <v>100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/>
      <c r="BK1260" s="8"/>
      <c r="BL1260" s="2" t="s">
        <v>100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147</v>
      </c>
      <c r="BV1260" s="2" t="s">
        <v>97</v>
      </c>
      <c r="BW1260" s="2" t="s">
        <v>100</v>
      </c>
      <c r="BX1260" s="2" t="s">
        <v>100</v>
      </c>
      <c r="BY1260" s="2" t="s">
        <v>112</v>
      </c>
      <c r="BZ1260" s="2" t="s">
        <v>100</v>
      </c>
    </row>
    <row r="1261">
      <c r="A1261" s="2" t="s">
        <v>4290</v>
      </c>
      <c r="B1261" s="2" t="s">
        <v>87</v>
      </c>
      <c r="C1261" s="2" t="s">
        <v>3586</v>
      </c>
      <c r="D1261" s="2" t="s">
        <v>2308</v>
      </c>
      <c r="E1261" s="2" t="s">
        <v>2005</v>
      </c>
      <c r="F1261" s="2" t="s">
        <v>3772</v>
      </c>
      <c r="G1261" s="2" t="s">
        <v>4289</v>
      </c>
      <c r="H1261" s="2" t="s">
        <v>3774</v>
      </c>
      <c r="I1261" s="2" t="s">
        <v>4246</v>
      </c>
      <c r="J1261" s="2" t="s">
        <v>95</v>
      </c>
      <c r="K1261" s="2" t="s">
        <v>247</v>
      </c>
      <c r="L1261" s="3">
        <v>54.54</v>
      </c>
      <c r="M1261" s="3">
        <v>57.27</v>
      </c>
      <c r="N1261" s="3">
        <v>99</v>
      </c>
      <c r="O1261" s="2" t="s">
        <v>1148</v>
      </c>
      <c r="P1261" s="2" t="s">
        <v>198</v>
      </c>
      <c r="Q1261" s="2" t="s">
        <v>99</v>
      </c>
      <c r="R1261" s="2" t="s">
        <v>100</v>
      </c>
      <c r="S1261" s="2" t="s">
        <v>3776</v>
      </c>
      <c r="T1261" s="2" t="s">
        <v>100</v>
      </c>
      <c r="U1261" s="2" t="s">
        <v>403</v>
      </c>
      <c r="V1261" s="2" t="s">
        <v>455</v>
      </c>
      <c r="W1261" s="2" t="s">
        <v>1530</v>
      </c>
      <c r="X1261" s="2" t="s">
        <v>907</v>
      </c>
      <c r="Y1261" s="2" t="s">
        <v>106</v>
      </c>
      <c r="Z1261" s="4"/>
      <c r="AA1261" s="4">
        <f>=ROUNDDOWN({0},0)</f>
      </c>
      <c r="AB1261" s="5"/>
      <c r="AC1261" s="2" t="s">
        <v>100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100</v>
      </c>
      <c r="AW1261" s="8" t="s">
        <v>100</v>
      </c>
      <c r="AX1261" s="4" t="s">
        <v>100</v>
      </c>
      <c r="AY1261" s="8" t="s">
        <v>100</v>
      </c>
      <c r="AZ1261" s="7" t="s">
        <v>100</v>
      </c>
      <c r="BA1261" s="7" t="s">
        <v>100</v>
      </c>
      <c r="BB1261" s="7"/>
      <c r="BC1261" s="4" t="s">
        <v>100</v>
      </c>
      <c r="BD1261" s="8" t="s">
        <v>100</v>
      </c>
      <c r="BE1261" s="4" t="s">
        <v>100</v>
      </c>
      <c r="BF1261" s="8" t="s">
        <v>100</v>
      </c>
      <c r="BG1261" s="7" t="s">
        <v>100</v>
      </c>
      <c r="BH1261" s="7" t="s">
        <v>100</v>
      </c>
      <c r="BI1261" s="7"/>
      <c r="BJ1261" s="4"/>
      <c r="BK1261" s="8"/>
      <c r="BL1261" s="2" t="s">
        <v>100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147</v>
      </c>
      <c r="BV1261" s="2" t="s">
        <v>97</v>
      </c>
      <c r="BW1261" s="2" t="s">
        <v>100</v>
      </c>
      <c r="BX1261" s="2" t="s">
        <v>100</v>
      </c>
      <c r="BY1261" s="2" t="s">
        <v>112</v>
      </c>
      <c r="BZ1261" s="2" t="s">
        <v>100</v>
      </c>
    </row>
    <row r="1262">
      <c r="A1262" s="2" t="s">
        <v>4291</v>
      </c>
      <c r="B1262" s="2" t="s">
        <v>87</v>
      </c>
      <c r="C1262" s="2" t="s">
        <v>3586</v>
      </c>
      <c r="D1262" s="2" t="s">
        <v>2308</v>
      </c>
      <c r="E1262" s="2" t="s">
        <v>2005</v>
      </c>
      <c r="F1262" s="2" t="s">
        <v>3772</v>
      </c>
      <c r="G1262" s="2" t="s">
        <v>4289</v>
      </c>
      <c r="H1262" s="2" t="s">
        <v>3774</v>
      </c>
      <c r="I1262" s="2" t="s">
        <v>4246</v>
      </c>
      <c r="J1262" s="2" t="s">
        <v>114</v>
      </c>
      <c r="K1262" s="2" t="s">
        <v>247</v>
      </c>
      <c r="L1262" s="3">
        <v>59.95</v>
      </c>
      <c r="M1262" s="3">
        <v>62.95</v>
      </c>
      <c r="N1262" s="3">
        <v>109</v>
      </c>
      <c r="O1262" s="2" t="s">
        <v>1148</v>
      </c>
      <c r="P1262" s="2" t="s">
        <v>198</v>
      </c>
      <c r="Q1262" s="2" t="s">
        <v>99</v>
      </c>
      <c r="R1262" s="2" t="s">
        <v>100</v>
      </c>
      <c r="S1262" s="2" t="s">
        <v>3776</v>
      </c>
      <c r="T1262" s="2" t="s">
        <v>100</v>
      </c>
      <c r="U1262" s="2" t="s">
        <v>403</v>
      </c>
      <c r="V1262" s="2" t="s">
        <v>455</v>
      </c>
      <c r="W1262" s="2" t="s">
        <v>1530</v>
      </c>
      <c r="X1262" s="2" t="s">
        <v>907</v>
      </c>
      <c r="Y1262" s="2" t="s">
        <v>106</v>
      </c>
      <c r="Z1262" s="4"/>
      <c r="AA1262" s="4">
        <f>=ROUNDDOWN({0},0)</f>
      </c>
      <c r="AB1262" s="5"/>
      <c r="AC1262" s="2" t="s">
        <v>100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 t="s">
        <v>100</v>
      </c>
      <c r="BF1262" s="8" t="s">
        <v>100</v>
      </c>
      <c r="BG1262" s="7" t="s">
        <v>100</v>
      </c>
      <c r="BH1262" s="7" t="s">
        <v>100</v>
      </c>
      <c r="BI1262" s="7"/>
      <c r="BJ1262" s="4"/>
      <c r="BK1262" s="8"/>
      <c r="BL1262" s="2" t="s">
        <v>100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147</v>
      </c>
      <c r="BV1262" s="2" t="s">
        <v>97</v>
      </c>
      <c r="BW1262" s="2" t="s">
        <v>100</v>
      </c>
      <c r="BX1262" s="2" t="s">
        <v>100</v>
      </c>
      <c r="BY1262" s="2" t="s">
        <v>112</v>
      </c>
      <c r="BZ1262" s="2" t="s">
        <v>100</v>
      </c>
    </row>
    <row r="1263">
      <c r="A1263" s="2" t="s">
        <v>4292</v>
      </c>
      <c r="B1263" s="2" t="s">
        <v>87</v>
      </c>
      <c r="C1263" s="2" t="s">
        <v>3586</v>
      </c>
      <c r="D1263" s="2" t="s">
        <v>2308</v>
      </c>
      <c r="E1263" s="2" t="s">
        <v>2005</v>
      </c>
      <c r="F1263" s="2" t="s">
        <v>3772</v>
      </c>
      <c r="G1263" s="2" t="s">
        <v>3773</v>
      </c>
      <c r="H1263" s="2" t="s">
        <v>3774</v>
      </c>
      <c r="I1263" s="2" t="s">
        <v>4246</v>
      </c>
      <c r="J1263" s="2" t="s">
        <v>118</v>
      </c>
      <c r="K1263" s="2" t="s">
        <v>247</v>
      </c>
      <c r="L1263" s="3">
        <v>59.95</v>
      </c>
      <c r="M1263" s="3">
        <v>62.95</v>
      </c>
      <c r="N1263" s="3">
        <v>109</v>
      </c>
      <c r="O1263" s="2" t="s">
        <v>550</v>
      </c>
      <c r="P1263" s="2" t="s">
        <v>198</v>
      </c>
      <c r="Q1263" s="2" t="s">
        <v>99</v>
      </c>
      <c r="R1263" s="2" t="s">
        <v>100</v>
      </c>
      <c r="S1263" s="2" t="s">
        <v>3776</v>
      </c>
      <c r="T1263" s="2" t="s">
        <v>100</v>
      </c>
      <c r="U1263" s="2" t="s">
        <v>403</v>
      </c>
      <c r="V1263" s="2" t="s">
        <v>455</v>
      </c>
      <c r="W1263" s="2" t="s">
        <v>1530</v>
      </c>
      <c r="X1263" s="2" t="s">
        <v>907</v>
      </c>
      <c r="Y1263" s="2" t="s">
        <v>106</v>
      </c>
      <c r="Z1263" s="4"/>
      <c r="AA1263" s="4">
        <f>=ROUNDDOWN({0},0)</f>
      </c>
      <c r="AB1263" s="5"/>
      <c r="AC1263" s="2" t="s">
        <v>100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/>
      <c r="BK1263" s="8"/>
      <c r="BL1263" s="2" t="s">
        <v>100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147</v>
      </c>
      <c r="BV1263" s="2" t="s">
        <v>97</v>
      </c>
      <c r="BW1263" s="2" t="s">
        <v>100</v>
      </c>
      <c r="BX1263" s="2" t="s">
        <v>100</v>
      </c>
      <c r="BY1263" s="2" t="s">
        <v>112</v>
      </c>
      <c r="BZ1263" s="2" t="s">
        <v>100</v>
      </c>
    </row>
    <row r="1264">
      <c r="A1264" s="2" t="s">
        <v>4293</v>
      </c>
      <c r="B1264" s="2" t="s">
        <v>87</v>
      </c>
      <c r="C1264" s="2" t="s">
        <v>3586</v>
      </c>
      <c r="D1264" s="2" t="s">
        <v>2308</v>
      </c>
      <c r="E1264" s="2" t="s">
        <v>2005</v>
      </c>
      <c r="F1264" s="2" t="s">
        <v>3772</v>
      </c>
      <c r="G1264" s="2" t="s">
        <v>4294</v>
      </c>
      <c r="H1264" s="2" t="s">
        <v>3774</v>
      </c>
      <c r="I1264" s="2" t="s">
        <v>4246</v>
      </c>
      <c r="J1264" s="2" t="s">
        <v>95</v>
      </c>
      <c r="K1264" s="2" t="s">
        <v>622</v>
      </c>
      <c r="L1264" s="3">
        <v>54.54</v>
      </c>
      <c r="M1264" s="3">
        <v>57.27</v>
      </c>
      <c r="N1264" s="3">
        <v>99</v>
      </c>
      <c r="O1264" s="2" t="s">
        <v>1148</v>
      </c>
      <c r="P1264" s="2" t="s">
        <v>198</v>
      </c>
      <c r="Q1264" s="2" t="s">
        <v>99</v>
      </c>
      <c r="R1264" s="2" t="s">
        <v>100</v>
      </c>
      <c r="S1264" s="2" t="s">
        <v>4295</v>
      </c>
      <c r="T1264" s="2" t="s">
        <v>100</v>
      </c>
      <c r="U1264" s="2" t="s">
        <v>403</v>
      </c>
      <c r="V1264" s="2" t="s">
        <v>455</v>
      </c>
      <c r="W1264" s="2" t="s">
        <v>1530</v>
      </c>
      <c r="X1264" s="2" t="s">
        <v>907</v>
      </c>
      <c r="Y1264" s="2" t="s">
        <v>106</v>
      </c>
      <c r="Z1264" s="4"/>
      <c r="AA1264" s="4">
        <f>=ROUNDDOWN({0},0)</f>
      </c>
      <c r="AB1264" s="5"/>
      <c r="AC1264" s="2" t="s">
        <v>100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/>
      <c r="BK1264" s="8"/>
      <c r="BL1264" s="2" t="s">
        <v>100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147</v>
      </c>
      <c r="BV1264" s="2" t="s">
        <v>97</v>
      </c>
      <c r="BW1264" s="2" t="s">
        <v>100</v>
      </c>
      <c r="BX1264" s="2" t="s">
        <v>100</v>
      </c>
      <c r="BY1264" s="2" t="s">
        <v>112</v>
      </c>
      <c r="BZ1264" s="2" t="s">
        <v>100</v>
      </c>
    </row>
    <row r="1265">
      <c r="A1265" s="2" t="s">
        <v>4296</v>
      </c>
      <c r="B1265" s="2" t="s">
        <v>87</v>
      </c>
      <c r="C1265" s="2" t="s">
        <v>3586</v>
      </c>
      <c r="D1265" s="2" t="s">
        <v>2308</v>
      </c>
      <c r="E1265" s="2" t="s">
        <v>2005</v>
      </c>
      <c r="F1265" s="2" t="s">
        <v>3772</v>
      </c>
      <c r="G1265" s="2" t="s">
        <v>3773</v>
      </c>
      <c r="H1265" s="2" t="s">
        <v>3774</v>
      </c>
      <c r="I1265" s="2" t="s">
        <v>4246</v>
      </c>
      <c r="J1265" s="2" t="s">
        <v>114</v>
      </c>
      <c r="K1265" s="2" t="s">
        <v>622</v>
      </c>
      <c r="L1265" s="3">
        <v>59.95</v>
      </c>
      <c r="M1265" s="3">
        <v>62.95</v>
      </c>
      <c r="N1265" s="3">
        <v>109</v>
      </c>
      <c r="O1265" s="2" t="s">
        <v>229</v>
      </c>
      <c r="P1265" s="2" t="s">
        <v>198</v>
      </c>
      <c r="Q1265" s="2" t="s">
        <v>99</v>
      </c>
      <c r="R1265" s="2" t="s">
        <v>100</v>
      </c>
      <c r="S1265" s="2" t="s">
        <v>4295</v>
      </c>
      <c r="T1265" s="2" t="s">
        <v>100</v>
      </c>
      <c r="U1265" s="2" t="s">
        <v>403</v>
      </c>
      <c r="V1265" s="2" t="s">
        <v>455</v>
      </c>
      <c r="W1265" s="2" t="s">
        <v>1530</v>
      </c>
      <c r="X1265" s="2" t="s">
        <v>907</v>
      </c>
      <c r="Y1265" s="2" t="s">
        <v>106</v>
      </c>
      <c r="Z1265" s="4"/>
      <c r="AA1265" s="4">
        <f>=ROUNDDOWN({0},0)</f>
      </c>
      <c r="AB1265" s="5"/>
      <c r="AC1265" s="2" t="s">
        <v>100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/>
      <c r="BK1265" s="8"/>
      <c r="BL1265" s="2" t="s">
        <v>100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147</v>
      </c>
      <c r="BV1265" s="2" t="s">
        <v>97</v>
      </c>
      <c r="BW1265" s="2" t="s">
        <v>100</v>
      </c>
      <c r="BX1265" s="2" t="s">
        <v>100</v>
      </c>
      <c r="BY1265" s="2" t="s">
        <v>112</v>
      </c>
      <c r="BZ1265" s="2" t="s">
        <v>100</v>
      </c>
    </row>
    <row r="1266">
      <c r="A1266" s="2" t="s">
        <v>4297</v>
      </c>
      <c r="B1266" s="2" t="s">
        <v>87</v>
      </c>
      <c r="C1266" s="2" t="s">
        <v>3586</v>
      </c>
      <c r="D1266" s="2" t="s">
        <v>2308</v>
      </c>
      <c r="E1266" s="2" t="s">
        <v>3101</v>
      </c>
      <c r="F1266" s="2" t="s">
        <v>3947</v>
      </c>
      <c r="G1266" s="2" t="s">
        <v>3948</v>
      </c>
      <c r="H1266" s="2" t="s">
        <v>3949</v>
      </c>
      <c r="I1266" s="2" t="s">
        <v>4298</v>
      </c>
      <c r="J1266" s="2" t="s">
        <v>3103</v>
      </c>
      <c r="K1266" s="2" t="s">
        <v>333</v>
      </c>
      <c r="L1266" s="3">
        <v>42.3</v>
      </c>
      <c r="M1266" s="3">
        <v>44.41</v>
      </c>
      <c r="N1266" s="3">
        <v>89.99</v>
      </c>
      <c r="O1266" s="2" t="s">
        <v>97</v>
      </c>
      <c r="P1266" s="2" t="s">
        <v>198</v>
      </c>
      <c r="Q1266" s="2" t="s">
        <v>99</v>
      </c>
      <c r="R1266" s="2" t="s">
        <v>100</v>
      </c>
      <c r="S1266" s="2" t="s">
        <v>3953</v>
      </c>
      <c r="T1266" s="2" t="s">
        <v>100</v>
      </c>
      <c r="U1266" s="2" t="s">
        <v>490</v>
      </c>
      <c r="V1266" s="2" t="s">
        <v>991</v>
      </c>
      <c r="W1266" s="2" t="s">
        <v>104</v>
      </c>
      <c r="X1266" s="2" t="s">
        <v>201</v>
      </c>
      <c r="Y1266" s="2" t="s">
        <v>1754</v>
      </c>
      <c r="Z1266" s="4">
        <v>37</v>
      </c>
      <c r="AA1266" s="4">
        <f>=ROUNDDOWN(3.7,0)</f>
      </c>
      <c r="AB1266" s="5">
        <v>10</v>
      </c>
      <c r="AC1266" s="2" t="s">
        <v>100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301</v>
      </c>
      <c r="BK1266" s="8">
        <v>12273.74</v>
      </c>
      <c r="BL1266" s="2" t="s">
        <v>4299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147</v>
      </c>
      <c r="BV1266" s="2" t="s">
        <v>97</v>
      </c>
      <c r="BW1266" s="2" t="s">
        <v>100</v>
      </c>
      <c r="BX1266" s="2" t="s">
        <v>100</v>
      </c>
      <c r="BY1266" s="2" t="s">
        <v>112</v>
      </c>
      <c r="BZ1266" s="2" t="s">
        <v>100</v>
      </c>
    </row>
    <row r="1267">
      <c r="A1267" s="2" t="s">
        <v>4300</v>
      </c>
      <c r="B1267" s="2" t="s">
        <v>87</v>
      </c>
      <c r="C1267" s="2" t="s">
        <v>3586</v>
      </c>
      <c r="D1267" s="2" t="s">
        <v>2308</v>
      </c>
      <c r="E1267" s="2" t="s">
        <v>3101</v>
      </c>
      <c r="F1267" s="2" t="s">
        <v>3947</v>
      </c>
      <c r="G1267" s="2" t="s">
        <v>3948</v>
      </c>
      <c r="H1267" s="2" t="s">
        <v>3949</v>
      </c>
      <c r="I1267" s="2" t="s">
        <v>4298</v>
      </c>
      <c r="J1267" s="2" t="s">
        <v>3103</v>
      </c>
      <c r="K1267" s="2" t="s">
        <v>197</v>
      </c>
      <c r="L1267" s="3">
        <v>42.3</v>
      </c>
      <c r="M1267" s="3">
        <v>44.41</v>
      </c>
      <c r="N1267" s="3">
        <v>89.99</v>
      </c>
      <c r="O1267" s="2" t="s">
        <v>97</v>
      </c>
      <c r="P1267" s="2" t="s">
        <v>198</v>
      </c>
      <c r="Q1267" s="2" t="s">
        <v>99</v>
      </c>
      <c r="R1267" s="2" t="s">
        <v>100</v>
      </c>
      <c r="S1267" s="2" t="s">
        <v>4301</v>
      </c>
      <c r="T1267" s="2" t="s">
        <v>100</v>
      </c>
      <c r="U1267" s="2" t="s">
        <v>490</v>
      </c>
      <c r="V1267" s="2" t="s">
        <v>991</v>
      </c>
      <c r="W1267" s="2" t="s">
        <v>104</v>
      </c>
      <c r="X1267" s="2" t="s">
        <v>201</v>
      </c>
      <c r="Y1267" s="2" t="s">
        <v>4302</v>
      </c>
      <c r="Z1267" s="4">
        <v>24</v>
      </c>
      <c r="AA1267" s="4">
        <f>=ROUNDDOWN(2.72727272727273,0)</f>
      </c>
      <c r="AB1267" s="5">
        <v>8.8</v>
      </c>
      <c r="AC1267" s="2" t="s">
        <v>100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178</v>
      </c>
      <c r="BK1267" s="8">
        <v>7014.16</v>
      </c>
      <c r="BL1267" s="2" t="s">
        <v>4303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147</v>
      </c>
      <c r="BV1267" s="2" t="s">
        <v>97</v>
      </c>
      <c r="BW1267" s="2" t="s">
        <v>100</v>
      </c>
      <c r="BX1267" s="2" t="s">
        <v>100</v>
      </c>
      <c r="BY1267" s="2" t="s">
        <v>112</v>
      </c>
      <c r="BZ1267" s="2" t="s">
        <v>100</v>
      </c>
    </row>
    <row r="1268">
      <c r="A1268" s="2" t="s">
        <v>4304</v>
      </c>
      <c r="B1268" s="2" t="s">
        <v>87</v>
      </c>
      <c r="C1268" s="2" t="s">
        <v>4305</v>
      </c>
      <c r="D1268" s="2" t="s">
        <v>89</v>
      </c>
      <c r="E1268" s="2" t="s">
        <v>90</v>
      </c>
      <c r="F1268" s="2" t="s">
        <v>1016</v>
      </c>
      <c r="G1268" s="2" t="s">
        <v>4306</v>
      </c>
      <c r="H1268" s="2" t="s">
        <v>4307</v>
      </c>
      <c r="I1268" s="2" t="s">
        <v>4308</v>
      </c>
      <c r="J1268" s="2" t="s">
        <v>95</v>
      </c>
      <c r="K1268" s="2" t="s">
        <v>1637</v>
      </c>
      <c r="L1268" s="3">
        <v>49.61</v>
      </c>
      <c r="M1268" s="3">
        <v>52.09</v>
      </c>
      <c r="N1268" s="3">
        <v>109.99</v>
      </c>
      <c r="O1268" s="2" t="s">
        <v>97</v>
      </c>
      <c r="P1268" s="2" t="s">
        <v>124</v>
      </c>
      <c r="Q1268" s="2" t="s">
        <v>99</v>
      </c>
      <c r="R1268" s="2" t="s">
        <v>100</v>
      </c>
      <c r="S1268" s="2" t="s">
        <v>4309</v>
      </c>
      <c r="T1268" s="2" t="s">
        <v>184</v>
      </c>
      <c r="U1268" s="2" t="s">
        <v>403</v>
      </c>
      <c r="V1268" s="2" t="s">
        <v>103</v>
      </c>
      <c r="W1268" s="2" t="s">
        <v>104</v>
      </c>
      <c r="X1268" s="2" t="s">
        <v>105</v>
      </c>
      <c r="Y1268" s="2" t="s">
        <v>4310</v>
      </c>
      <c r="Z1268" s="4">
        <v>803</v>
      </c>
      <c r="AA1268" s="4">
        <f>=ROUNDDOWN(12.3538461538462,0)</f>
      </c>
      <c r="AB1268" s="5">
        <v>65</v>
      </c>
      <c r="AC1268" s="2" t="s">
        <v>563</v>
      </c>
      <c r="AD1268" s="4">
        <v>210</v>
      </c>
      <c r="AE1268" s="4">
        <v>1810</v>
      </c>
      <c r="AF1268" s="6">
        <v>69</v>
      </c>
      <c r="AG1268" s="6">
        <v>77</v>
      </c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>
        <v>0</v>
      </c>
      <c r="AP1268" s="4">
        <v>15</v>
      </c>
      <c r="AQ1268" s="8">
        <v>781.35</v>
      </c>
      <c r="AR1268" s="4">
        <v>57</v>
      </c>
      <c r="AS1268" s="8">
        <v>2969.13</v>
      </c>
      <c r="AT1268" s="7">
        <v>-0.7368</v>
      </c>
      <c r="AU1268" s="7">
        <v>-0.7368</v>
      </c>
      <c r="AV1268" s="4">
        <v>48</v>
      </c>
      <c r="AW1268" s="8">
        <v>2702.28</v>
      </c>
      <c r="AX1268" s="4">
        <v>142</v>
      </c>
      <c r="AY1268" s="8">
        <v>7916.98</v>
      </c>
      <c r="AZ1268" s="7">
        <v>-0.662</v>
      </c>
      <c r="BA1268" s="7">
        <v>-0.6587</v>
      </c>
      <c r="BB1268" s="7">
        <v>0.2891</v>
      </c>
      <c r="BC1268" s="4">
        <v>56</v>
      </c>
      <c r="BD1268" s="8">
        <v>3155.72</v>
      </c>
      <c r="BE1268" s="4">
        <v>166</v>
      </c>
      <c r="BF1268" s="8">
        <v>9222.22</v>
      </c>
      <c r="BG1268" s="7">
        <v>-0.6627</v>
      </c>
      <c r="BH1268" s="7">
        <v>-0.6578</v>
      </c>
      <c r="BI1268" s="7">
        <v>0.8563</v>
      </c>
      <c r="BJ1268" s="4">
        <v>1340</v>
      </c>
      <c r="BK1268" s="8">
        <v>67402.69</v>
      </c>
      <c r="BL1268" s="2" t="s">
        <v>4311</v>
      </c>
      <c r="BM1268" s="7">
        <v>0.0112</v>
      </c>
      <c r="BN1268" s="7">
        <v>0.0116</v>
      </c>
      <c r="BO1268" s="4">
        <v>15</v>
      </c>
      <c r="BP1268" s="8">
        <v>781.35</v>
      </c>
      <c r="BQ1268" s="4">
        <v>57</v>
      </c>
      <c r="BR1268" s="8">
        <v>2969.13</v>
      </c>
      <c r="BS1268" s="7">
        <v>-0.7368</v>
      </c>
      <c r="BT1268" s="7">
        <v>-0.7368</v>
      </c>
      <c r="BU1268" s="2" t="s">
        <v>109</v>
      </c>
      <c r="BV1268" s="2" t="s">
        <v>97</v>
      </c>
      <c r="BW1268" s="2" t="s">
        <v>132</v>
      </c>
      <c r="BX1268" s="2" t="s">
        <v>133</v>
      </c>
      <c r="BY1268" s="2" t="s">
        <v>112</v>
      </c>
      <c r="BZ1268" s="2" t="s">
        <v>100</v>
      </c>
    </row>
    <row r="1269">
      <c r="A1269" s="2" t="s">
        <v>4312</v>
      </c>
      <c r="B1269" s="2" t="s">
        <v>87</v>
      </c>
      <c r="C1269" s="2" t="s">
        <v>4305</v>
      </c>
      <c r="D1269" s="2" t="s">
        <v>89</v>
      </c>
      <c r="E1269" s="2" t="s">
        <v>90</v>
      </c>
      <c r="F1269" s="2" t="s">
        <v>1016</v>
      </c>
      <c r="G1269" s="2" t="s">
        <v>4306</v>
      </c>
      <c r="H1269" s="2" t="s">
        <v>4307</v>
      </c>
      <c r="I1269" s="2" t="s">
        <v>4308</v>
      </c>
      <c r="J1269" s="2" t="s">
        <v>114</v>
      </c>
      <c r="K1269" s="2" t="s">
        <v>1637</v>
      </c>
      <c r="L1269" s="3">
        <v>55.44</v>
      </c>
      <c r="M1269" s="3">
        <v>58.21</v>
      </c>
      <c r="N1269" s="3">
        <v>119.99</v>
      </c>
      <c r="O1269" s="2" t="s">
        <v>97</v>
      </c>
      <c r="P1269" s="2" t="s">
        <v>124</v>
      </c>
      <c r="Q1269" s="2" t="s">
        <v>99</v>
      </c>
      <c r="R1269" s="2" t="s">
        <v>100</v>
      </c>
      <c r="S1269" s="2" t="s">
        <v>4309</v>
      </c>
      <c r="T1269" s="2" t="s">
        <v>184</v>
      </c>
      <c r="U1269" s="2" t="s">
        <v>403</v>
      </c>
      <c r="V1269" s="2" t="s">
        <v>103</v>
      </c>
      <c r="W1269" s="2" t="s">
        <v>104</v>
      </c>
      <c r="X1269" s="2" t="s">
        <v>105</v>
      </c>
      <c r="Y1269" s="2" t="s">
        <v>4310</v>
      </c>
      <c r="Z1269" s="4">
        <v>867</v>
      </c>
      <c r="AA1269" s="4">
        <f>=ROUNDDOWN(15.7636363636364,0)</f>
      </c>
      <c r="AB1269" s="5">
        <v>55</v>
      </c>
      <c r="AC1269" s="2" t="s">
        <v>4313</v>
      </c>
      <c r="AD1269" s="4">
        <v>390</v>
      </c>
      <c r="AE1269" s="4">
        <v>1410</v>
      </c>
      <c r="AF1269" s="6">
        <v>69</v>
      </c>
      <c r="AG1269" s="6">
        <v>77</v>
      </c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>
        <v>0</v>
      </c>
      <c r="AP1269" s="4">
        <v>20</v>
      </c>
      <c r="AQ1269" s="8">
        <v>1164.2</v>
      </c>
      <c r="AR1269" s="4">
        <v>65</v>
      </c>
      <c r="AS1269" s="8">
        <v>3783.65</v>
      </c>
      <c r="AT1269" s="7">
        <v>-0.6923</v>
      </c>
      <c r="AU1269" s="7">
        <v>-0.6923</v>
      </c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>
        <v>0.4308</v>
      </c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 t="s">
        <v>100</v>
      </c>
      <c r="BJ1269" s="4">
        <v>1205</v>
      </c>
      <c r="BK1269" s="8">
        <v>67613.52</v>
      </c>
      <c r="BL1269" s="2" t="s">
        <v>4314</v>
      </c>
      <c r="BM1269" s="7">
        <v>0.0166</v>
      </c>
      <c r="BN1269" s="7">
        <v>0.0172</v>
      </c>
      <c r="BO1269" s="4">
        <v>20</v>
      </c>
      <c r="BP1269" s="8">
        <v>1164.2</v>
      </c>
      <c r="BQ1269" s="4">
        <v>65</v>
      </c>
      <c r="BR1269" s="8">
        <v>3783.65</v>
      </c>
      <c r="BS1269" s="7">
        <v>-0.6923</v>
      </c>
      <c r="BT1269" s="7">
        <v>-0.6923</v>
      </c>
      <c r="BU1269" s="2" t="s">
        <v>109</v>
      </c>
      <c r="BV1269" s="2" t="s">
        <v>97</v>
      </c>
      <c r="BW1269" s="2" t="s">
        <v>132</v>
      </c>
      <c r="BX1269" s="2" t="s">
        <v>4315</v>
      </c>
      <c r="BY1269" s="2" t="s">
        <v>112</v>
      </c>
      <c r="BZ1269" s="2" t="s">
        <v>100</v>
      </c>
    </row>
    <row r="1270">
      <c r="A1270" s="2" t="s">
        <v>4316</v>
      </c>
      <c r="B1270" s="2" t="s">
        <v>87</v>
      </c>
      <c r="C1270" s="2" t="s">
        <v>4305</v>
      </c>
      <c r="D1270" s="2" t="s">
        <v>89</v>
      </c>
      <c r="E1270" s="2" t="s">
        <v>90</v>
      </c>
      <c r="F1270" s="2" t="s">
        <v>1016</v>
      </c>
      <c r="G1270" s="2" t="s">
        <v>4306</v>
      </c>
      <c r="H1270" s="2" t="s">
        <v>4307</v>
      </c>
      <c r="I1270" s="2" t="s">
        <v>4308</v>
      </c>
      <c r="J1270" s="2" t="s">
        <v>118</v>
      </c>
      <c r="K1270" s="2" t="s">
        <v>1637</v>
      </c>
      <c r="L1270" s="3">
        <v>55.44</v>
      </c>
      <c r="M1270" s="3">
        <v>58.21</v>
      </c>
      <c r="N1270" s="3">
        <v>119.99</v>
      </c>
      <c r="O1270" s="2" t="s">
        <v>97</v>
      </c>
      <c r="P1270" s="2" t="s">
        <v>124</v>
      </c>
      <c r="Q1270" s="2" t="s">
        <v>99</v>
      </c>
      <c r="R1270" s="2" t="s">
        <v>100</v>
      </c>
      <c r="S1270" s="2" t="s">
        <v>4309</v>
      </c>
      <c r="T1270" s="2" t="s">
        <v>184</v>
      </c>
      <c r="U1270" s="2" t="s">
        <v>403</v>
      </c>
      <c r="V1270" s="2" t="s">
        <v>103</v>
      </c>
      <c r="W1270" s="2" t="s">
        <v>104</v>
      </c>
      <c r="X1270" s="2" t="s">
        <v>105</v>
      </c>
      <c r="Y1270" s="2" t="s">
        <v>4317</v>
      </c>
      <c r="Z1270" s="4">
        <v>306</v>
      </c>
      <c r="AA1270" s="4">
        <f>=ROUNDDOWN(13.304347826087,0)</f>
      </c>
      <c r="AB1270" s="5">
        <v>23</v>
      </c>
      <c r="AC1270" s="2" t="s">
        <v>563</v>
      </c>
      <c r="AD1270" s="4">
        <v>170</v>
      </c>
      <c r="AE1270" s="4">
        <v>560</v>
      </c>
      <c r="AF1270" s="6">
        <v>69</v>
      </c>
      <c r="AG1270" s="6">
        <v>77</v>
      </c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>
        <v>0</v>
      </c>
      <c r="AP1270" s="4">
        <v>13</v>
      </c>
      <c r="AQ1270" s="8">
        <v>756.73</v>
      </c>
      <c r="AR1270" s="4">
        <v>20</v>
      </c>
      <c r="AS1270" s="8">
        <v>1164.2</v>
      </c>
      <c r="AT1270" s="7">
        <v>-0.35</v>
      </c>
      <c r="AU1270" s="7">
        <v>-0.35</v>
      </c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>
        <v>0.28</v>
      </c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 t="s">
        <v>100</v>
      </c>
      <c r="BJ1270" s="4">
        <v>421</v>
      </c>
      <c r="BK1270" s="8">
        <v>23824.18</v>
      </c>
      <c r="BL1270" s="2" t="s">
        <v>4318</v>
      </c>
      <c r="BM1270" s="7">
        <v>0.0309</v>
      </c>
      <c r="BN1270" s="7">
        <v>0.0318</v>
      </c>
      <c r="BO1270" s="4">
        <v>13</v>
      </c>
      <c r="BP1270" s="8">
        <v>756.73</v>
      </c>
      <c r="BQ1270" s="4">
        <v>20</v>
      </c>
      <c r="BR1270" s="8">
        <v>1164.2</v>
      </c>
      <c r="BS1270" s="7">
        <v>-0.35</v>
      </c>
      <c r="BT1270" s="7">
        <v>-0.35</v>
      </c>
      <c r="BU1270" s="2" t="s">
        <v>109</v>
      </c>
      <c r="BV1270" s="2" t="s">
        <v>97</v>
      </c>
      <c r="BW1270" s="2" t="s">
        <v>132</v>
      </c>
      <c r="BX1270" s="2" t="s">
        <v>4319</v>
      </c>
      <c r="BY1270" s="2" t="s">
        <v>112</v>
      </c>
      <c r="BZ1270" s="2" t="s">
        <v>100</v>
      </c>
    </row>
    <row r="1271">
      <c r="A1271" s="2" t="s">
        <v>4320</v>
      </c>
      <c r="B1271" s="2" t="s">
        <v>87</v>
      </c>
      <c r="C1271" s="2" t="s">
        <v>4305</v>
      </c>
      <c r="D1271" s="2" t="s">
        <v>89</v>
      </c>
      <c r="E1271" s="2" t="s">
        <v>90</v>
      </c>
      <c r="F1271" s="2" t="s">
        <v>1016</v>
      </c>
      <c r="G1271" s="2" t="s">
        <v>4306</v>
      </c>
      <c r="H1271" s="2" t="s">
        <v>4307</v>
      </c>
      <c r="I1271" s="2" t="s">
        <v>4321</v>
      </c>
      <c r="J1271" s="2" t="s">
        <v>95</v>
      </c>
      <c r="K1271" s="2" t="s">
        <v>333</v>
      </c>
      <c r="L1271" s="3">
        <v>49.61</v>
      </c>
      <c r="M1271" s="3">
        <v>52.09</v>
      </c>
      <c r="N1271" s="3">
        <v>109.99</v>
      </c>
      <c r="O1271" s="2" t="s">
        <v>97</v>
      </c>
      <c r="P1271" s="2" t="s">
        <v>182</v>
      </c>
      <c r="Q1271" s="2" t="s">
        <v>99</v>
      </c>
      <c r="R1271" s="2" t="s">
        <v>100</v>
      </c>
      <c r="S1271" s="2" t="s">
        <v>4322</v>
      </c>
      <c r="T1271" s="2" t="s">
        <v>184</v>
      </c>
      <c r="U1271" s="2" t="s">
        <v>403</v>
      </c>
      <c r="V1271" s="2" t="s">
        <v>103</v>
      </c>
      <c r="W1271" s="2" t="s">
        <v>104</v>
      </c>
      <c r="X1271" s="2" t="s">
        <v>105</v>
      </c>
      <c r="Y1271" s="2" t="s">
        <v>4323</v>
      </c>
      <c r="Z1271" s="4">
        <v>417</v>
      </c>
      <c r="AA1271" s="4">
        <f>=ROUNDDOWN(21.9473684210526,0)</f>
      </c>
      <c r="AB1271" s="5">
        <v>19</v>
      </c>
      <c r="AC1271" s="2" t="s">
        <v>766</v>
      </c>
      <c r="AD1271" s="4">
        <v>160</v>
      </c>
      <c r="AE1271" s="4">
        <v>160</v>
      </c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>
        <v>0</v>
      </c>
      <c r="AP1271" s="4">
        <v>2</v>
      </c>
      <c r="AQ1271" s="8">
        <v>104.18</v>
      </c>
      <c r="AR1271" s="4">
        <v>15</v>
      </c>
      <c r="AS1271" s="8">
        <v>781.35</v>
      </c>
      <c r="AT1271" s="7">
        <v>-0.8667</v>
      </c>
      <c r="AU1271" s="7">
        <v>-0.8667</v>
      </c>
      <c r="AV1271" s="4">
        <v>8</v>
      </c>
      <c r="AW1271" s="8">
        <v>453.44</v>
      </c>
      <c r="AX1271" s="4">
        <v>24</v>
      </c>
      <c r="AY1271" s="8">
        <v>1305.24</v>
      </c>
      <c r="AZ1271" s="7">
        <v>-0.6667</v>
      </c>
      <c r="BA1271" s="7">
        <v>-0.6526</v>
      </c>
      <c r="BB1271" s="7">
        <v>0.2298</v>
      </c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>
        <v>0.1437</v>
      </c>
      <c r="BJ1271" s="4">
        <v>384</v>
      </c>
      <c r="BK1271" s="8">
        <v>19421.78</v>
      </c>
      <c r="BL1271" s="2" t="s">
        <v>4324</v>
      </c>
      <c r="BM1271" s="7">
        <v>0.0052</v>
      </c>
      <c r="BN1271" s="7">
        <v>0.0054</v>
      </c>
      <c r="BO1271" s="4">
        <v>2</v>
      </c>
      <c r="BP1271" s="8">
        <v>104.18</v>
      </c>
      <c r="BQ1271" s="4">
        <v>15</v>
      </c>
      <c r="BR1271" s="8">
        <v>781.35</v>
      </c>
      <c r="BS1271" s="7">
        <v>-0.8667</v>
      </c>
      <c r="BT1271" s="7">
        <v>-0.8667</v>
      </c>
      <c r="BU1271" s="2" t="s">
        <v>109</v>
      </c>
      <c r="BV1271" s="2" t="s">
        <v>97</v>
      </c>
      <c r="BW1271" s="2" t="s">
        <v>110</v>
      </c>
      <c r="BX1271" s="2" t="s">
        <v>4325</v>
      </c>
      <c r="BY1271" s="2" t="s">
        <v>112</v>
      </c>
      <c r="BZ1271" s="2" t="s">
        <v>100</v>
      </c>
    </row>
    <row r="1272">
      <c r="A1272" s="2" t="s">
        <v>4326</v>
      </c>
      <c r="B1272" s="2" t="s">
        <v>87</v>
      </c>
      <c r="C1272" s="2" t="s">
        <v>4305</v>
      </c>
      <c r="D1272" s="2" t="s">
        <v>89</v>
      </c>
      <c r="E1272" s="2" t="s">
        <v>90</v>
      </c>
      <c r="F1272" s="2" t="s">
        <v>1016</v>
      </c>
      <c r="G1272" s="2" t="s">
        <v>4306</v>
      </c>
      <c r="H1272" s="2" t="s">
        <v>4307</v>
      </c>
      <c r="I1272" s="2" t="s">
        <v>4321</v>
      </c>
      <c r="J1272" s="2" t="s">
        <v>114</v>
      </c>
      <c r="K1272" s="2" t="s">
        <v>333</v>
      </c>
      <c r="L1272" s="3">
        <v>55.44</v>
      </c>
      <c r="M1272" s="3">
        <v>58.21</v>
      </c>
      <c r="N1272" s="3">
        <v>119.99</v>
      </c>
      <c r="O1272" s="2" t="s">
        <v>97</v>
      </c>
      <c r="P1272" s="2" t="s">
        <v>182</v>
      </c>
      <c r="Q1272" s="2" t="s">
        <v>99</v>
      </c>
      <c r="R1272" s="2" t="s">
        <v>100</v>
      </c>
      <c r="S1272" s="2" t="s">
        <v>4322</v>
      </c>
      <c r="T1272" s="2" t="s">
        <v>184</v>
      </c>
      <c r="U1272" s="2" t="s">
        <v>403</v>
      </c>
      <c r="V1272" s="2" t="s">
        <v>103</v>
      </c>
      <c r="W1272" s="2" t="s">
        <v>104</v>
      </c>
      <c r="X1272" s="2" t="s">
        <v>105</v>
      </c>
      <c r="Y1272" s="2" t="s">
        <v>4323</v>
      </c>
      <c r="Z1272" s="4">
        <v>196</v>
      </c>
      <c r="AA1272" s="4">
        <f>=ROUNDDOWN(13.0666666666667,0)</f>
      </c>
      <c r="AB1272" s="5">
        <v>15</v>
      </c>
      <c r="AC1272" s="2" t="s">
        <v>589</v>
      </c>
      <c r="AD1272" s="4">
        <v>320</v>
      </c>
      <c r="AE1272" s="4">
        <v>510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>
        <v>0</v>
      </c>
      <c r="AP1272" s="4">
        <v>5</v>
      </c>
      <c r="AQ1272" s="8">
        <v>291.05</v>
      </c>
      <c r="AR1272" s="4">
        <v>6</v>
      </c>
      <c r="AS1272" s="8">
        <v>349.26</v>
      </c>
      <c r="AT1272" s="7">
        <v>-0.1667</v>
      </c>
      <c r="AU1272" s="7">
        <v>-0.1667</v>
      </c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>
        <v>0.6419</v>
      </c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 t="s">
        <v>100</v>
      </c>
      <c r="BJ1272" s="4">
        <v>325</v>
      </c>
      <c r="BK1272" s="8">
        <v>18561.2</v>
      </c>
      <c r="BL1272" s="2" t="s">
        <v>4327</v>
      </c>
      <c r="BM1272" s="7">
        <v>0.0154</v>
      </c>
      <c r="BN1272" s="7">
        <v>0.0157</v>
      </c>
      <c r="BO1272" s="4">
        <v>5</v>
      </c>
      <c r="BP1272" s="8">
        <v>291.05</v>
      </c>
      <c r="BQ1272" s="4">
        <v>6</v>
      </c>
      <c r="BR1272" s="8">
        <v>349.26</v>
      </c>
      <c r="BS1272" s="7">
        <v>-0.1667</v>
      </c>
      <c r="BT1272" s="7">
        <v>-0.1667</v>
      </c>
      <c r="BU1272" s="2" t="s">
        <v>109</v>
      </c>
      <c r="BV1272" s="2" t="s">
        <v>97</v>
      </c>
      <c r="BW1272" s="2" t="s">
        <v>110</v>
      </c>
      <c r="BX1272" s="2" t="s">
        <v>4328</v>
      </c>
      <c r="BY1272" s="2" t="s">
        <v>112</v>
      </c>
      <c r="BZ1272" s="2" t="s">
        <v>100</v>
      </c>
    </row>
    <row r="1273">
      <c r="A1273" s="2" t="s">
        <v>4329</v>
      </c>
      <c r="B1273" s="2" t="s">
        <v>87</v>
      </c>
      <c r="C1273" s="2" t="s">
        <v>4305</v>
      </c>
      <c r="D1273" s="2" t="s">
        <v>89</v>
      </c>
      <c r="E1273" s="2" t="s">
        <v>90</v>
      </c>
      <c r="F1273" s="2" t="s">
        <v>1016</v>
      </c>
      <c r="G1273" s="2" t="s">
        <v>4306</v>
      </c>
      <c r="H1273" s="2" t="s">
        <v>4307</v>
      </c>
      <c r="I1273" s="2" t="s">
        <v>4321</v>
      </c>
      <c r="J1273" s="2" t="s">
        <v>118</v>
      </c>
      <c r="K1273" s="2" t="s">
        <v>333</v>
      </c>
      <c r="L1273" s="3">
        <v>55.44</v>
      </c>
      <c r="M1273" s="3">
        <v>58.21</v>
      </c>
      <c r="N1273" s="3">
        <v>119.99</v>
      </c>
      <c r="O1273" s="2" t="s">
        <v>97</v>
      </c>
      <c r="P1273" s="2" t="s">
        <v>182</v>
      </c>
      <c r="Q1273" s="2" t="s">
        <v>99</v>
      </c>
      <c r="R1273" s="2" t="s">
        <v>100</v>
      </c>
      <c r="S1273" s="2" t="s">
        <v>4322</v>
      </c>
      <c r="T1273" s="2" t="s">
        <v>184</v>
      </c>
      <c r="U1273" s="2" t="s">
        <v>403</v>
      </c>
      <c r="V1273" s="2" t="s">
        <v>103</v>
      </c>
      <c r="W1273" s="2" t="s">
        <v>104</v>
      </c>
      <c r="X1273" s="2" t="s">
        <v>105</v>
      </c>
      <c r="Y1273" s="2" t="s">
        <v>4323</v>
      </c>
      <c r="Z1273" s="4">
        <v>372</v>
      </c>
      <c r="AA1273" s="4">
        <f>=ROUNDDOWN(46.5,0)</f>
      </c>
      <c r="AB1273" s="5">
        <v>8</v>
      </c>
      <c r="AC1273" s="2" t="s">
        <v>766</v>
      </c>
      <c r="AD1273" s="4">
        <v>30</v>
      </c>
      <c r="AE1273" s="4">
        <v>30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>
        <v>0</v>
      </c>
      <c r="AP1273" s="4">
        <v>1</v>
      </c>
      <c r="AQ1273" s="8">
        <v>58.21</v>
      </c>
      <c r="AR1273" s="4">
        <v>3</v>
      </c>
      <c r="AS1273" s="8">
        <v>174.63</v>
      </c>
      <c r="AT1273" s="7">
        <v>-0.6667</v>
      </c>
      <c r="AU1273" s="7">
        <v>-0.6667</v>
      </c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>
        <v>0.1284</v>
      </c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 t="s">
        <v>100</v>
      </c>
      <c r="BJ1273" s="4">
        <v>154</v>
      </c>
      <c r="BK1273" s="8">
        <v>8718.38</v>
      </c>
      <c r="BL1273" s="2" t="s">
        <v>4330</v>
      </c>
      <c r="BM1273" s="7">
        <v>0.0065</v>
      </c>
      <c r="BN1273" s="7">
        <v>0.0067</v>
      </c>
      <c r="BO1273" s="4">
        <v>1</v>
      </c>
      <c r="BP1273" s="8">
        <v>58.21</v>
      </c>
      <c r="BQ1273" s="4">
        <v>3</v>
      </c>
      <c r="BR1273" s="8">
        <v>174.63</v>
      </c>
      <c r="BS1273" s="7">
        <v>-0.6667</v>
      </c>
      <c r="BT1273" s="7">
        <v>-0.6667</v>
      </c>
      <c r="BU1273" s="2" t="s">
        <v>109</v>
      </c>
      <c r="BV1273" s="2" t="s">
        <v>97</v>
      </c>
      <c r="BW1273" s="2" t="s">
        <v>110</v>
      </c>
      <c r="BX1273" s="2" t="s">
        <v>4331</v>
      </c>
      <c r="BY1273" s="2" t="s">
        <v>112</v>
      </c>
      <c r="BZ1273" s="2" t="s">
        <v>100</v>
      </c>
    </row>
    <row r="1274">
      <c r="A1274" s="2" t="s">
        <v>4332</v>
      </c>
      <c r="B1274" s="2" t="s">
        <v>87</v>
      </c>
      <c r="C1274" s="2" t="s">
        <v>4305</v>
      </c>
      <c r="D1274" s="2" t="s">
        <v>89</v>
      </c>
      <c r="E1274" s="2" t="s">
        <v>90</v>
      </c>
      <c r="F1274" s="2" t="s">
        <v>1016</v>
      </c>
      <c r="G1274" s="2" t="s">
        <v>4306</v>
      </c>
      <c r="H1274" s="2" t="s">
        <v>4307</v>
      </c>
      <c r="I1274" s="2" t="s">
        <v>4308</v>
      </c>
      <c r="J1274" s="2" t="s">
        <v>95</v>
      </c>
      <c r="K1274" s="2" t="s">
        <v>158</v>
      </c>
      <c r="L1274" s="3">
        <v>49.61</v>
      </c>
      <c r="M1274" s="3">
        <v>52.09</v>
      </c>
      <c r="N1274" s="3">
        <v>109.99</v>
      </c>
      <c r="O1274" s="2" t="s">
        <v>97</v>
      </c>
      <c r="P1274" s="2" t="s">
        <v>198</v>
      </c>
      <c r="Q1274" s="2" t="s">
        <v>99</v>
      </c>
      <c r="R1274" s="2" t="s">
        <v>100</v>
      </c>
      <c r="S1274" s="2" t="s">
        <v>4333</v>
      </c>
      <c r="T1274" s="2" t="s">
        <v>184</v>
      </c>
      <c r="U1274" s="2" t="s">
        <v>403</v>
      </c>
      <c r="V1274" s="2" t="s">
        <v>103</v>
      </c>
      <c r="W1274" s="2" t="s">
        <v>104</v>
      </c>
      <c r="X1274" s="2" t="s">
        <v>105</v>
      </c>
      <c r="Y1274" s="2" t="s">
        <v>4334</v>
      </c>
      <c r="Z1274" s="4">
        <v>169</v>
      </c>
      <c r="AA1274" s="4">
        <f>=ROUNDDOWN(13,0)</f>
      </c>
      <c r="AB1274" s="5">
        <v>13</v>
      </c>
      <c r="AC1274" s="2" t="s">
        <v>100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 t="s">
        <v>100</v>
      </c>
      <c r="BJ1274" s="4">
        <v>193</v>
      </c>
      <c r="BK1274" s="8">
        <v>10096.31</v>
      </c>
      <c r="BL1274" s="2" t="s">
        <v>4335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147</v>
      </c>
      <c r="BV1274" s="2" t="s">
        <v>97</v>
      </c>
      <c r="BW1274" s="2" t="s">
        <v>100</v>
      </c>
      <c r="BX1274" s="2" t="s">
        <v>100</v>
      </c>
      <c r="BY1274" s="2" t="s">
        <v>112</v>
      </c>
      <c r="BZ1274" s="2" t="s">
        <v>100</v>
      </c>
    </row>
    <row r="1275">
      <c r="A1275" s="2" t="s">
        <v>4336</v>
      </c>
      <c r="B1275" s="2" t="s">
        <v>87</v>
      </c>
      <c r="C1275" s="2" t="s">
        <v>4305</v>
      </c>
      <c r="D1275" s="2" t="s">
        <v>89</v>
      </c>
      <c r="E1275" s="2" t="s">
        <v>90</v>
      </c>
      <c r="F1275" s="2" t="s">
        <v>1016</v>
      </c>
      <c r="G1275" s="2" t="s">
        <v>4306</v>
      </c>
      <c r="H1275" s="2" t="s">
        <v>4307</v>
      </c>
      <c r="I1275" s="2" t="s">
        <v>4308</v>
      </c>
      <c r="J1275" s="2" t="s">
        <v>114</v>
      </c>
      <c r="K1275" s="2" t="s">
        <v>158</v>
      </c>
      <c r="L1275" s="3">
        <v>55.44</v>
      </c>
      <c r="M1275" s="3">
        <v>58.21</v>
      </c>
      <c r="N1275" s="3">
        <v>119.99</v>
      </c>
      <c r="O1275" s="2" t="s">
        <v>97</v>
      </c>
      <c r="P1275" s="2" t="s">
        <v>198</v>
      </c>
      <c r="Q1275" s="2" t="s">
        <v>99</v>
      </c>
      <c r="R1275" s="2" t="s">
        <v>100</v>
      </c>
      <c r="S1275" s="2" t="s">
        <v>4333</v>
      </c>
      <c r="T1275" s="2" t="s">
        <v>184</v>
      </c>
      <c r="U1275" s="2" t="s">
        <v>403</v>
      </c>
      <c r="V1275" s="2" t="s">
        <v>103</v>
      </c>
      <c r="W1275" s="2" t="s">
        <v>104</v>
      </c>
      <c r="X1275" s="2" t="s">
        <v>105</v>
      </c>
      <c r="Y1275" s="2" t="s">
        <v>4334</v>
      </c>
      <c r="Z1275" s="4">
        <v>221</v>
      </c>
      <c r="AA1275" s="4">
        <f>=ROUNDDOWN(27.625,0)</f>
      </c>
      <c r="AB1275" s="5">
        <v>8</v>
      </c>
      <c r="AC1275" s="2" t="s">
        <v>100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 t="s">
        <v>100</v>
      </c>
      <c r="BJ1275" s="4">
        <v>134</v>
      </c>
      <c r="BK1275" s="8">
        <v>7878.32</v>
      </c>
      <c r="BL1275" s="2" t="s">
        <v>4337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147</v>
      </c>
      <c r="BV1275" s="2" t="s">
        <v>97</v>
      </c>
      <c r="BW1275" s="2" t="s">
        <v>100</v>
      </c>
      <c r="BX1275" s="2" t="s">
        <v>100</v>
      </c>
      <c r="BY1275" s="2" t="s">
        <v>112</v>
      </c>
      <c r="BZ1275" s="2" t="s">
        <v>100</v>
      </c>
    </row>
    <row r="1276">
      <c r="A1276" s="2" t="s">
        <v>4338</v>
      </c>
      <c r="B1276" s="2" t="s">
        <v>87</v>
      </c>
      <c r="C1276" s="2" t="s">
        <v>4305</v>
      </c>
      <c r="D1276" s="2" t="s">
        <v>89</v>
      </c>
      <c r="E1276" s="2" t="s">
        <v>90</v>
      </c>
      <c r="F1276" s="2" t="s">
        <v>1016</v>
      </c>
      <c r="G1276" s="2" t="s">
        <v>4306</v>
      </c>
      <c r="H1276" s="2" t="s">
        <v>4307</v>
      </c>
      <c r="I1276" s="2" t="s">
        <v>4308</v>
      </c>
      <c r="J1276" s="2" t="s">
        <v>118</v>
      </c>
      <c r="K1276" s="2" t="s">
        <v>158</v>
      </c>
      <c r="L1276" s="3">
        <v>55.44</v>
      </c>
      <c r="M1276" s="3">
        <v>58.21</v>
      </c>
      <c r="N1276" s="3">
        <v>119.99</v>
      </c>
      <c r="O1276" s="2" t="s">
        <v>97</v>
      </c>
      <c r="P1276" s="2" t="s">
        <v>198</v>
      </c>
      <c r="Q1276" s="2" t="s">
        <v>99</v>
      </c>
      <c r="R1276" s="2" t="s">
        <v>100</v>
      </c>
      <c r="S1276" s="2" t="s">
        <v>4333</v>
      </c>
      <c r="T1276" s="2" t="s">
        <v>184</v>
      </c>
      <c r="U1276" s="2" t="s">
        <v>403</v>
      </c>
      <c r="V1276" s="2" t="s">
        <v>103</v>
      </c>
      <c r="W1276" s="2" t="s">
        <v>104</v>
      </c>
      <c r="X1276" s="2" t="s">
        <v>105</v>
      </c>
      <c r="Y1276" s="2" t="s">
        <v>4334</v>
      </c>
      <c r="Z1276" s="4">
        <v>77</v>
      </c>
      <c r="AA1276" s="4">
        <f>=ROUNDDOWN(19.25,0)</f>
      </c>
      <c r="AB1276" s="5">
        <v>4</v>
      </c>
      <c r="AC1276" s="2" t="s">
        <v>100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 t="s">
        <v>100</v>
      </c>
      <c r="BJ1276" s="4">
        <v>70</v>
      </c>
      <c r="BK1276" s="8">
        <v>4148</v>
      </c>
      <c r="BL1276" s="2" t="s">
        <v>4339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147</v>
      </c>
      <c r="BV1276" s="2" t="s">
        <v>97</v>
      </c>
      <c r="BW1276" s="2" t="s">
        <v>100</v>
      </c>
      <c r="BX1276" s="2" t="s">
        <v>100</v>
      </c>
      <c r="BY1276" s="2" t="s">
        <v>112</v>
      </c>
      <c r="BZ1276" s="2" t="s">
        <v>100</v>
      </c>
    </row>
    <row r="1277">
      <c r="A1277" s="2" t="s">
        <v>4340</v>
      </c>
      <c r="B1277" s="2" t="s">
        <v>87</v>
      </c>
      <c r="C1277" s="2" t="s">
        <v>4305</v>
      </c>
      <c r="D1277" s="2" t="s">
        <v>89</v>
      </c>
      <c r="E1277" s="2" t="s">
        <v>90</v>
      </c>
      <c r="F1277" s="2" t="s">
        <v>4341</v>
      </c>
      <c r="G1277" s="2" t="s">
        <v>4342</v>
      </c>
      <c r="H1277" s="2" t="s">
        <v>4343</v>
      </c>
      <c r="I1277" s="2" t="s">
        <v>4344</v>
      </c>
      <c r="J1277" s="2" t="s">
        <v>95</v>
      </c>
      <c r="K1277" s="2" t="s">
        <v>666</v>
      </c>
      <c r="L1277" s="3">
        <v>42.9</v>
      </c>
      <c r="M1277" s="3">
        <v>45.04</v>
      </c>
      <c r="N1277" s="3">
        <v>109.99</v>
      </c>
      <c r="O1277" s="2" t="s">
        <v>97</v>
      </c>
      <c r="P1277" s="2" t="s">
        <v>198</v>
      </c>
      <c r="Q1277" s="2" t="s">
        <v>99</v>
      </c>
      <c r="R1277" s="2" t="s">
        <v>100</v>
      </c>
      <c r="S1277" s="2" t="s">
        <v>4345</v>
      </c>
      <c r="T1277" s="2" t="s">
        <v>100</v>
      </c>
      <c r="U1277" s="2" t="s">
        <v>403</v>
      </c>
      <c r="V1277" s="2" t="s">
        <v>601</v>
      </c>
      <c r="W1277" s="2" t="s">
        <v>759</v>
      </c>
      <c r="X1277" s="2" t="s">
        <v>1157</v>
      </c>
      <c r="Y1277" s="2" t="s">
        <v>4346</v>
      </c>
      <c r="Z1277" s="4">
        <v>131</v>
      </c>
      <c r="AA1277" s="4">
        <f>=ROUNDDOWN(14.5555555555556,0)</f>
      </c>
      <c r="AB1277" s="5">
        <v>9</v>
      </c>
      <c r="AC1277" s="2" t="s">
        <v>659</v>
      </c>
      <c r="AD1277" s="4">
        <v>130</v>
      </c>
      <c r="AE1277" s="4">
        <v>130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>
        <v>0</v>
      </c>
      <c r="AP1277" s="4">
        <v>18</v>
      </c>
      <c r="AQ1277" s="8">
        <v>810.72</v>
      </c>
      <c r="AR1277" s="4">
        <v>93</v>
      </c>
      <c r="AS1277" s="8">
        <v>4188.72</v>
      </c>
      <c r="AT1277" s="7">
        <v>-0.8065</v>
      </c>
      <c r="AU1277" s="7">
        <v>-0.8065</v>
      </c>
      <c r="AV1277" s="4">
        <v>43</v>
      </c>
      <c r="AW1277" s="8">
        <v>2070.72</v>
      </c>
      <c r="AX1277" s="4">
        <v>176</v>
      </c>
      <c r="AY1277" s="8">
        <v>8371.92</v>
      </c>
      <c r="AZ1277" s="7">
        <v>-0.7557</v>
      </c>
      <c r="BA1277" s="7">
        <v>-0.7527</v>
      </c>
      <c r="BB1277" s="7">
        <v>0.3915</v>
      </c>
      <c r="BC1277" s="4">
        <v>43</v>
      </c>
      <c r="BD1277" s="8">
        <v>2070.72</v>
      </c>
      <c r="BE1277" s="4">
        <v>176</v>
      </c>
      <c r="BF1277" s="8">
        <v>8371.92</v>
      </c>
      <c r="BG1277" s="7">
        <v>-0.7557</v>
      </c>
      <c r="BH1277" s="7">
        <v>-0.7527</v>
      </c>
      <c r="BI1277" s="7">
        <v>1</v>
      </c>
      <c r="BJ1277" s="4">
        <v>156</v>
      </c>
      <c r="BK1277" s="8">
        <v>7212</v>
      </c>
      <c r="BL1277" s="2" t="s">
        <v>4347</v>
      </c>
      <c r="BM1277" s="7">
        <v>0.1154</v>
      </c>
      <c r="BN1277" s="7">
        <v>0.1124</v>
      </c>
      <c r="BO1277" s="4">
        <v>18</v>
      </c>
      <c r="BP1277" s="8">
        <v>810.72</v>
      </c>
      <c r="BQ1277" s="4">
        <v>93</v>
      </c>
      <c r="BR1277" s="8">
        <v>4188.72</v>
      </c>
      <c r="BS1277" s="7">
        <v>-0.8065</v>
      </c>
      <c r="BT1277" s="7">
        <v>-0.8065</v>
      </c>
      <c r="BU1277" s="2" t="s">
        <v>109</v>
      </c>
      <c r="BV1277" s="2" t="s">
        <v>97</v>
      </c>
      <c r="BW1277" s="2" t="s">
        <v>132</v>
      </c>
      <c r="BX1277" s="2" t="s">
        <v>136</v>
      </c>
      <c r="BY1277" s="2" t="s">
        <v>112</v>
      </c>
      <c r="BZ1277" s="2" t="s">
        <v>100</v>
      </c>
    </row>
    <row r="1278">
      <c r="A1278" s="2" t="s">
        <v>4348</v>
      </c>
      <c r="B1278" s="2" t="s">
        <v>87</v>
      </c>
      <c r="C1278" s="2" t="s">
        <v>4305</v>
      </c>
      <c r="D1278" s="2" t="s">
        <v>89</v>
      </c>
      <c r="E1278" s="2" t="s">
        <v>90</v>
      </c>
      <c r="F1278" s="2" t="s">
        <v>4341</v>
      </c>
      <c r="G1278" s="2" t="s">
        <v>4342</v>
      </c>
      <c r="H1278" s="2" t="s">
        <v>4343</v>
      </c>
      <c r="I1278" s="2" t="s">
        <v>4344</v>
      </c>
      <c r="J1278" s="2" t="s">
        <v>114</v>
      </c>
      <c r="K1278" s="2" t="s">
        <v>666</v>
      </c>
      <c r="L1278" s="3">
        <v>48</v>
      </c>
      <c r="M1278" s="3">
        <v>50.4</v>
      </c>
      <c r="N1278" s="3">
        <v>119.99</v>
      </c>
      <c r="O1278" s="2" t="s">
        <v>97</v>
      </c>
      <c r="P1278" s="2" t="s">
        <v>198</v>
      </c>
      <c r="Q1278" s="2" t="s">
        <v>99</v>
      </c>
      <c r="R1278" s="2" t="s">
        <v>100</v>
      </c>
      <c r="S1278" s="2" t="s">
        <v>4345</v>
      </c>
      <c r="T1278" s="2" t="s">
        <v>100</v>
      </c>
      <c r="U1278" s="2" t="s">
        <v>403</v>
      </c>
      <c r="V1278" s="2" t="s">
        <v>601</v>
      </c>
      <c r="W1278" s="2" t="s">
        <v>759</v>
      </c>
      <c r="X1278" s="2" t="s">
        <v>1157</v>
      </c>
      <c r="Y1278" s="2" t="s">
        <v>4346</v>
      </c>
      <c r="Z1278" s="4">
        <v>66</v>
      </c>
      <c r="AA1278" s="4">
        <f>=ROUNDDOWN(7.33333333333333,0)</f>
      </c>
      <c r="AB1278" s="5">
        <v>9</v>
      </c>
      <c r="AC1278" s="2" t="s">
        <v>659</v>
      </c>
      <c r="AD1278" s="4">
        <v>130</v>
      </c>
      <c r="AE1278" s="4">
        <v>130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>
        <v>0</v>
      </c>
      <c r="AP1278" s="4">
        <v>25</v>
      </c>
      <c r="AQ1278" s="8">
        <v>1260</v>
      </c>
      <c r="AR1278" s="4">
        <v>83</v>
      </c>
      <c r="AS1278" s="8">
        <v>4183.2</v>
      </c>
      <c r="AT1278" s="7">
        <v>-0.6988</v>
      </c>
      <c r="AU1278" s="7">
        <v>-0.6988</v>
      </c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>
        <v>0.6085</v>
      </c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 t="s">
        <v>100</v>
      </c>
      <c r="BJ1278" s="4">
        <v>220</v>
      </c>
      <c r="BK1278" s="8">
        <v>11308.52</v>
      </c>
      <c r="BL1278" s="2" t="s">
        <v>4349</v>
      </c>
      <c r="BM1278" s="7">
        <v>0.1136</v>
      </c>
      <c r="BN1278" s="7">
        <v>0.1114</v>
      </c>
      <c r="BO1278" s="4">
        <v>25</v>
      </c>
      <c r="BP1278" s="8">
        <v>1260</v>
      </c>
      <c r="BQ1278" s="4">
        <v>83</v>
      </c>
      <c r="BR1278" s="8">
        <v>4183.2</v>
      </c>
      <c r="BS1278" s="7">
        <v>-0.6988</v>
      </c>
      <c r="BT1278" s="7">
        <v>-0.6988</v>
      </c>
      <c r="BU1278" s="2" t="s">
        <v>109</v>
      </c>
      <c r="BV1278" s="2" t="s">
        <v>97</v>
      </c>
      <c r="BW1278" s="2" t="s">
        <v>132</v>
      </c>
      <c r="BX1278" s="2" t="s">
        <v>136</v>
      </c>
      <c r="BY1278" s="2" t="s">
        <v>112</v>
      </c>
      <c r="BZ1278" s="2" t="s">
        <v>100</v>
      </c>
    </row>
    <row r="1279">
      <c r="A1279" s="2" t="s">
        <v>4350</v>
      </c>
      <c r="B1279" s="2" t="s">
        <v>87</v>
      </c>
      <c r="C1279" s="2" t="s">
        <v>4305</v>
      </c>
      <c r="D1279" s="2" t="s">
        <v>89</v>
      </c>
      <c r="E1279" s="2" t="s">
        <v>90</v>
      </c>
      <c r="F1279" s="2" t="s">
        <v>4341</v>
      </c>
      <c r="G1279" s="2" t="s">
        <v>4342</v>
      </c>
      <c r="H1279" s="2" t="s">
        <v>4343</v>
      </c>
      <c r="I1279" s="2" t="s">
        <v>4344</v>
      </c>
      <c r="J1279" s="2" t="s">
        <v>114</v>
      </c>
      <c r="K1279" s="2" t="s">
        <v>333</v>
      </c>
      <c r="L1279" s="3">
        <v>48</v>
      </c>
      <c r="M1279" s="3">
        <v>50.4</v>
      </c>
      <c r="N1279" s="3">
        <v>119.99</v>
      </c>
      <c r="O1279" s="2" t="s">
        <v>229</v>
      </c>
      <c r="P1279" s="2" t="s">
        <v>198</v>
      </c>
      <c r="Q1279" s="2" t="s">
        <v>99</v>
      </c>
      <c r="R1279" s="2" t="s">
        <v>100</v>
      </c>
      <c r="S1279" s="2" t="s">
        <v>4351</v>
      </c>
      <c r="T1279" s="2" t="s">
        <v>100</v>
      </c>
      <c r="U1279" s="2" t="s">
        <v>403</v>
      </c>
      <c r="V1279" s="2" t="s">
        <v>601</v>
      </c>
      <c r="W1279" s="2" t="s">
        <v>759</v>
      </c>
      <c r="X1279" s="2" t="s">
        <v>1157</v>
      </c>
      <c r="Y1279" s="2" t="s">
        <v>4352</v>
      </c>
      <c r="Z1279" s="4"/>
      <c r="AA1279" s="4">
        <f>=ROUNDDOWN({0},0)</f>
      </c>
      <c r="AB1279" s="5">
        <v>5.1</v>
      </c>
      <c r="AC1279" s="2" t="s">
        <v>100</v>
      </c>
      <c r="AD1279" s="4"/>
      <c r="AE1279" s="4"/>
      <c r="AF1279" s="6">
        <v>65</v>
      </c>
      <c r="AG1279" s="6"/>
      <c r="AH1279" s="7">
        <v>0.9818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181</v>
      </c>
      <c r="BK1279" s="8">
        <v>9211.86</v>
      </c>
      <c r="BL1279" s="2" t="s">
        <v>4353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147</v>
      </c>
      <c r="BV1279" s="2" t="s">
        <v>97</v>
      </c>
      <c r="BW1279" s="2" t="s">
        <v>100</v>
      </c>
      <c r="BX1279" s="2" t="s">
        <v>100</v>
      </c>
      <c r="BY1279" s="2" t="s">
        <v>112</v>
      </c>
      <c r="BZ1279" s="2" t="s">
        <v>100</v>
      </c>
    </row>
    <row r="1280">
      <c r="A1280" s="2" t="s">
        <v>4354</v>
      </c>
      <c r="B1280" s="2" t="s">
        <v>87</v>
      </c>
      <c r="C1280" s="2" t="s">
        <v>4305</v>
      </c>
      <c r="D1280" s="2" t="s">
        <v>89</v>
      </c>
      <c r="E1280" s="2" t="s">
        <v>90</v>
      </c>
      <c r="F1280" s="2" t="s">
        <v>4355</v>
      </c>
      <c r="G1280" s="2" t="s">
        <v>4356</v>
      </c>
      <c r="H1280" s="2" t="s">
        <v>4357</v>
      </c>
      <c r="I1280" s="2" t="s">
        <v>4344</v>
      </c>
      <c r="J1280" s="2" t="s">
        <v>95</v>
      </c>
      <c r="K1280" s="2" t="s">
        <v>713</v>
      </c>
      <c r="L1280" s="3">
        <v>43.85</v>
      </c>
      <c r="M1280" s="3">
        <v>46.04</v>
      </c>
      <c r="N1280" s="3">
        <v>99.99</v>
      </c>
      <c r="O1280" s="2" t="s">
        <v>97</v>
      </c>
      <c r="P1280" s="2" t="s">
        <v>124</v>
      </c>
      <c r="Q1280" s="2" t="s">
        <v>99</v>
      </c>
      <c r="R1280" s="2" t="s">
        <v>100</v>
      </c>
      <c r="S1280" s="2" t="s">
        <v>4358</v>
      </c>
      <c r="T1280" s="2" t="s">
        <v>184</v>
      </c>
      <c r="U1280" s="2" t="s">
        <v>403</v>
      </c>
      <c r="V1280" s="2" t="s">
        <v>103</v>
      </c>
      <c r="W1280" s="2" t="s">
        <v>104</v>
      </c>
      <c r="X1280" s="2" t="s">
        <v>105</v>
      </c>
      <c r="Y1280" s="2" t="s">
        <v>4310</v>
      </c>
      <c r="Z1280" s="4">
        <v>1393</v>
      </c>
      <c r="AA1280" s="4">
        <f>=ROUNDDOWN(19.3472222222222,0)</f>
      </c>
      <c r="AB1280" s="5">
        <v>72</v>
      </c>
      <c r="AC1280" s="2" t="s">
        <v>4313</v>
      </c>
      <c r="AD1280" s="4">
        <v>250</v>
      </c>
      <c r="AE1280" s="4">
        <v>1500</v>
      </c>
      <c r="AF1280" s="6">
        <v>69</v>
      </c>
      <c r="AG1280" s="6">
        <v>77</v>
      </c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>
        <v>0</v>
      </c>
      <c r="AP1280" s="4">
        <v>4</v>
      </c>
      <c r="AQ1280" s="8">
        <v>184.16</v>
      </c>
      <c r="AR1280" s="4">
        <v>8</v>
      </c>
      <c r="AS1280" s="8">
        <v>404.09</v>
      </c>
      <c r="AT1280" s="7">
        <v>-0.5</v>
      </c>
      <c r="AU1280" s="7">
        <v>-0.5443</v>
      </c>
      <c r="AV1280" s="4">
        <v>14</v>
      </c>
      <c r="AW1280" s="8">
        <v>698.56</v>
      </c>
      <c r="AX1280" s="4">
        <v>14</v>
      </c>
      <c r="AY1280" s="8">
        <v>741.28</v>
      </c>
      <c r="AZ1280" s="7" t="s">
        <v>100</v>
      </c>
      <c r="BA1280" s="7">
        <v>-0.0576</v>
      </c>
      <c r="BB1280" s="7">
        <v>0.2636</v>
      </c>
      <c r="BC1280" s="4">
        <v>14</v>
      </c>
      <c r="BD1280" s="8">
        <v>698.56</v>
      </c>
      <c r="BE1280" s="4">
        <v>14</v>
      </c>
      <c r="BF1280" s="8">
        <v>741.28</v>
      </c>
      <c r="BG1280" s="7" t="s">
        <v>100</v>
      </c>
      <c r="BH1280" s="7">
        <v>-0.0576</v>
      </c>
      <c r="BI1280" s="7">
        <v>1</v>
      </c>
      <c r="BJ1280" s="4">
        <v>1501</v>
      </c>
      <c r="BK1280" s="8">
        <v>73875.32</v>
      </c>
      <c r="BL1280" s="2" t="s">
        <v>4359</v>
      </c>
      <c r="BM1280" s="7">
        <v>0.0027</v>
      </c>
      <c r="BN1280" s="7">
        <v>0.0025</v>
      </c>
      <c r="BO1280" s="4">
        <v>4</v>
      </c>
      <c r="BP1280" s="8">
        <v>184.16</v>
      </c>
      <c r="BQ1280" s="4">
        <v>8</v>
      </c>
      <c r="BR1280" s="8">
        <v>404.09</v>
      </c>
      <c r="BS1280" s="7">
        <v>-0.5</v>
      </c>
      <c r="BT1280" s="7">
        <v>-0.5443</v>
      </c>
      <c r="BU1280" s="2" t="s">
        <v>109</v>
      </c>
      <c r="BV1280" s="2" t="s">
        <v>97</v>
      </c>
      <c r="BW1280" s="2" t="s">
        <v>110</v>
      </c>
      <c r="BX1280" s="2" t="s">
        <v>4360</v>
      </c>
      <c r="BY1280" s="2" t="s">
        <v>112</v>
      </c>
      <c r="BZ1280" s="2" t="s">
        <v>100</v>
      </c>
    </row>
    <row r="1281">
      <c r="A1281" s="2" t="s">
        <v>4361</v>
      </c>
      <c r="B1281" s="2" t="s">
        <v>87</v>
      </c>
      <c r="C1281" s="2" t="s">
        <v>4305</v>
      </c>
      <c r="D1281" s="2" t="s">
        <v>89</v>
      </c>
      <c r="E1281" s="2" t="s">
        <v>90</v>
      </c>
      <c r="F1281" s="2" t="s">
        <v>4355</v>
      </c>
      <c r="G1281" s="2" t="s">
        <v>4356</v>
      </c>
      <c r="H1281" s="2" t="s">
        <v>4357</v>
      </c>
      <c r="I1281" s="2" t="s">
        <v>4344</v>
      </c>
      <c r="J1281" s="2" t="s">
        <v>114</v>
      </c>
      <c r="K1281" s="2" t="s">
        <v>713</v>
      </c>
      <c r="L1281" s="3">
        <v>48.99</v>
      </c>
      <c r="M1281" s="3">
        <v>51.44</v>
      </c>
      <c r="N1281" s="3">
        <v>109.99</v>
      </c>
      <c r="O1281" s="2" t="s">
        <v>97</v>
      </c>
      <c r="P1281" s="2" t="s">
        <v>124</v>
      </c>
      <c r="Q1281" s="2" t="s">
        <v>99</v>
      </c>
      <c r="R1281" s="2" t="s">
        <v>100</v>
      </c>
      <c r="S1281" s="2" t="s">
        <v>4358</v>
      </c>
      <c r="T1281" s="2" t="s">
        <v>184</v>
      </c>
      <c r="U1281" s="2" t="s">
        <v>403</v>
      </c>
      <c r="V1281" s="2" t="s">
        <v>103</v>
      </c>
      <c r="W1281" s="2" t="s">
        <v>104</v>
      </c>
      <c r="X1281" s="2" t="s">
        <v>105</v>
      </c>
      <c r="Y1281" s="2" t="s">
        <v>4310</v>
      </c>
      <c r="Z1281" s="4">
        <v>926</v>
      </c>
      <c r="AA1281" s="4">
        <f>=ROUNDDOWN(15.6949152542373,0)</f>
      </c>
      <c r="AB1281" s="5">
        <v>59</v>
      </c>
      <c r="AC1281" s="2" t="s">
        <v>1057</v>
      </c>
      <c r="AD1281" s="4">
        <v>200</v>
      </c>
      <c r="AE1281" s="4">
        <v>1350</v>
      </c>
      <c r="AF1281" s="6">
        <v>69</v>
      </c>
      <c r="AG1281" s="6">
        <v>77</v>
      </c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>
        <v>0</v>
      </c>
      <c r="AP1281" s="4">
        <v>9</v>
      </c>
      <c r="AQ1281" s="8">
        <v>462.96</v>
      </c>
      <c r="AR1281" s="4">
        <v>5</v>
      </c>
      <c r="AS1281" s="8">
        <v>285.75</v>
      </c>
      <c r="AT1281" s="7">
        <v>0.8</v>
      </c>
      <c r="AU1281" s="7">
        <v>0.6202</v>
      </c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>
        <v>0.6627</v>
      </c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 t="s">
        <v>100</v>
      </c>
      <c r="BJ1281" s="4">
        <v>1055</v>
      </c>
      <c r="BK1281" s="8">
        <v>58717.07</v>
      </c>
      <c r="BL1281" s="2" t="s">
        <v>4362</v>
      </c>
      <c r="BM1281" s="7">
        <v>0.0085</v>
      </c>
      <c r="BN1281" s="7">
        <v>0.0079</v>
      </c>
      <c r="BO1281" s="4">
        <v>9</v>
      </c>
      <c r="BP1281" s="8">
        <v>462.96</v>
      </c>
      <c r="BQ1281" s="4">
        <v>5</v>
      </c>
      <c r="BR1281" s="8">
        <v>285.75</v>
      </c>
      <c r="BS1281" s="7">
        <v>0.8</v>
      </c>
      <c r="BT1281" s="7">
        <v>0.6202</v>
      </c>
      <c r="BU1281" s="2" t="s">
        <v>109</v>
      </c>
      <c r="BV1281" s="2" t="s">
        <v>97</v>
      </c>
      <c r="BW1281" s="2" t="s">
        <v>110</v>
      </c>
      <c r="BX1281" s="2" t="s">
        <v>915</v>
      </c>
      <c r="BY1281" s="2" t="s">
        <v>112</v>
      </c>
      <c r="BZ1281" s="2" t="s">
        <v>100</v>
      </c>
    </row>
    <row r="1282">
      <c r="A1282" s="2" t="s">
        <v>4363</v>
      </c>
      <c r="B1282" s="2" t="s">
        <v>87</v>
      </c>
      <c r="C1282" s="2" t="s">
        <v>4305</v>
      </c>
      <c r="D1282" s="2" t="s">
        <v>89</v>
      </c>
      <c r="E1282" s="2" t="s">
        <v>90</v>
      </c>
      <c r="F1282" s="2" t="s">
        <v>4355</v>
      </c>
      <c r="G1282" s="2" t="s">
        <v>4356</v>
      </c>
      <c r="H1282" s="2" t="s">
        <v>4357</v>
      </c>
      <c r="I1282" s="2" t="s">
        <v>4344</v>
      </c>
      <c r="J1282" s="2" t="s">
        <v>118</v>
      </c>
      <c r="K1282" s="2" t="s">
        <v>713</v>
      </c>
      <c r="L1282" s="3">
        <v>48.99</v>
      </c>
      <c r="M1282" s="3">
        <v>51.44</v>
      </c>
      <c r="N1282" s="3">
        <v>109.99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4364</v>
      </c>
      <c r="T1282" s="2" t="s">
        <v>184</v>
      </c>
      <c r="U1282" s="2" t="s">
        <v>403</v>
      </c>
      <c r="V1282" s="2" t="s">
        <v>103</v>
      </c>
      <c r="W1282" s="2" t="s">
        <v>104</v>
      </c>
      <c r="X1282" s="2" t="s">
        <v>105</v>
      </c>
      <c r="Y1282" s="2" t="s">
        <v>4310</v>
      </c>
      <c r="Z1282" s="4">
        <v>547</v>
      </c>
      <c r="AA1282" s="4">
        <f>=ROUNDDOWN(27.35,0)</f>
      </c>
      <c r="AB1282" s="5">
        <v>20</v>
      </c>
      <c r="AC1282" s="2" t="s">
        <v>4313</v>
      </c>
      <c r="AD1282" s="4">
        <v>50</v>
      </c>
      <c r="AE1282" s="4">
        <v>350</v>
      </c>
      <c r="AF1282" s="6">
        <v>69</v>
      </c>
      <c r="AG1282" s="6">
        <v>77</v>
      </c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>
        <v>0</v>
      </c>
      <c r="AP1282" s="4">
        <v>1</v>
      </c>
      <c r="AQ1282" s="8">
        <v>51.44</v>
      </c>
      <c r="AR1282" s="4">
        <v>1</v>
      </c>
      <c r="AS1282" s="8">
        <v>51.44</v>
      </c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>
        <v>0.0736</v>
      </c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 t="s">
        <v>100</v>
      </c>
      <c r="BJ1282" s="4">
        <v>422</v>
      </c>
      <c r="BK1282" s="8">
        <v>23302.24</v>
      </c>
      <c r="BL1282" s="2" t="s">
        <v>4365</v>
      </c>
      <c r="BM1282" s="7">
        <v>0.0024</v>
      </c>
      <c r="BN1282" s="7">
        <v>0.0022</v>
      </c>
      <c r="BO1282" s="4">
        <v>1</v>
      </c>
      <c r="BP1282" s="8">
        <v>51.44</v>
      </c>
      <c r="BQ1282" s="4">
        <v>1</v>
      </c>
      <c r="BR1282" s="8">
        <v>51.44</v>
      </c>
      <c r="BS1282" s="7"/>
      <c r="BT1282" s="7"/>
      <c r="BU1282" s="2" t="s">
        <v>109</v>
      </c>
      <c r="BV1282" s="2" t="s">
        <v>97</v>
      </c>
      <c r="BW1282" s="2" t="s">
        <v>110</v>
      </c>
      <c r="BX1282" s="2" t="s">
        <v>4366</v>
      </c>
      <c r="BY1282" s="2" t="s">
        <v>112</v>
      </c>
      <c r="BZ1282" s="2" t="s">
        <v>100</v>
      </c>
    </row>
    <row r="1283">
      <c r="A1283" s="2" t="s">
        <v>4367</v>
      </c>
      <c r="B1283" s="2" t="s">
        <v>87</v>
      </c>
      <c r="C1283" s="2" t="s">
        <v>4305</v>
      </c>
      <c r="D1283" s="2" t="s">
        <v>89</v>
      </c>
      <c r="E1283" s="2" t="s">
        <v>90</v>
      </c>
      <c r="F1283" s="2" t="s">
        <v>4355</v>
      </c>
      <c r="G1283" s="2" t="s">
        <v>4356</v>
      </c>
      <c r="H1283" s="2" t="s">
        <v>4357</v>
      </c>
      <c r="I1283" s="2" t="s">
        <v>4368</v>
      </c>
      <c r="J1283" s="2" t="s">
        <v>95</v>
      </c>
      <c r="K1283" s="2" t="s">
        <v>158</v>
      </c>
      <c r="L1283" s="3">
        <v>43.85</v>
      </c>
      <c r="M1283" s="3">
        <v>46.04</v>
      </c>
      <c r="N1283" s="3">
        <v>99.99</v>
      </c>
      <c r="O1283" s="2" t="s">
        <v>97</v>
      </c>
      <c r="P1283" s="2" t="s">
        <v>182</v>
      </c>
      <c r="Q1283" s="2" t="s">
        <v>99</v>
      </c>
      <c r="R1283" s="2" t="s">
        <v>100</v>
      </c>
      <c r="S1283" s="2" t="s">
        <v>4369</v>
      </c>
      <c r="T1283" s="2" t="s">
        <v>184</v>
      </c>
      <c r="U1283" s="2" t="s">
        <v>403</v>
      </c>
      <c r="V1283" s="2" t="s">
        <v>103</v>
      </c>
      <c r="W1283" s="2" t="s">
        <v>104</v>
      </c>
      <c r="X1283" s="2" t="s">
        <v>380</v>
      </c>
      <c r="Y1283" s="2" t="s">
        <v>4370</v>
      </c>
      <c r="Z1283" s="4">
        <v>261</v>
      </c>
      <c r="AA1283" s="4">
        <f>=ROUNDDOWN(13.7368421052632,0)</f>
      </c>
      <c r="AB1283" s="5">
        <v>19</v>
      </c>
      <c r="AC1283" s="2" t="s">
        <v>1208</v>
      </c>
      <c r="AD1283" s="4">
        <v>30</v>
      </c>
      <c r="AE1283" s="4">
        <v>700</v>
      </c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 t="s">
        <v>100</v>
      </c>
      <c r="BJ1283" s="4">
        <v>366</v>
      </c>
      <c r="BK1283" s="8">
        <v>18083.14</v>
      </c>
      <c r="BL1283" s="2" t="s">
        <v>4371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147</v>
      </c>
      <c r="BV1283" s="2" t="s">
        <v>97</v>
      </c>
      <c r="BW1283" s="2" t="s">
        <v>100</v>
      </c>
      <c r="BX1283" s="2" t="s">
        <v>100</v>
      </c>
      <c r="BY1283" s="2" t="s">
        <v>112</v>
      </c>
      <c r="BZ1283" s="2" t="s">
        <v>100</v>
      </c>
    </row>
    <row r="1284">
      <c r="A1284" s="2" t="s">
        <v>4372</v>
      </c>
      <c r="B1284" s="2" t="s">
        <v>87</v>
      </c>
      <c r="C1284" s="2" t="s">
        <v>4305</v>
      </c>
      <c r="D1284" s="2" t="s">
        <v>89</v>
      </c>
      <c r="E1284" s="2" t="s">
        <v>90</v>
      </c>
      <c r="F1284" s="2" t="s">
        <v>4355</v>
      </c>
      <c r="G1284" s="2" t="s">
        <v>4356</v>
      </c>
      <c r="H1284" s="2" t="s">
        <v>4357</v>
      </c>
      <c r="I1284" s="2" t="s">
        <v>4368</v>
      </c>
      <c r="J1284" s="2" t="s">
        <v>114</v>
      </c>
      <c r="K1284" s="2" t="s">
        <v>158</v>
      </c>
      <c r="L1284" s="3">
        <v>48.99</v>
      </c>
      <c r="M1284" s="3">
        <v>51.44</v>
      </c>
      <c r="N1284" s="3">
        <v>109.99</v>
      </c>
      <c r="O1284" s="2" t="s">
        <v>97</v>
      </c>
      <c r="P1284" s="2" t="s">
        <v>182</v>
      </c>
      <c r="Q1284" s="2" t="s">
        <v>99</v>
      </c>
      <c r="R1284" s="2" t="s">
        <v>100</v>
      </c>
      <c r="S1284" s="2" t="s">
        <v>4369</v>
      </c>
      <c r="T1284" s="2" t="s">
        <v>184</v>
      </c>
      <c r="U1284" s="2" t="s">
        <v>403</v>
      </c>
      <c r="V1284" s="2" t="s">
        <v>103</v>
      </c>
      <c r="W1284" s="2" t="s">
        <v>104</v>
      </c>
      <c r="X1284" s="2" t="s">
        <v>380</v>
      </c>
      <c r="Y1284" s="2" t="s">
        <v>4370</v>
      </c>
      <c r="Z1284" s="4">
        <v>157</v>
      </c>
      <c r="AA1284" s="4">
        <f>=ROUNDDOWN(10.4666666666667,0)</f>
      </c>
      <c r="AB1284" s="5">
        <v>15</v>
      </c>
      <c r="AC1284" s="2" t="s">
        <v>1208</v>
      </c>
      <c r="AD1284" s="4">
        <v>200</v>
      </c>
      <c r="AE1284" s="4">
        <v>640</v>
      </c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 t="s">
        <v>100</v>
      </c>
      <c r="BJ1284" s="4">
        <v>280</v>
      </c>
      <c r="BK1284" s="8">
        <v>15723.4</v>
      </c>
      <c r="BL1284" s="2" t="s">
        <v>4373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147</v>
      </c>
      <c r="BV1284" s="2" t="s">
        <v>97</v>
      </c>
      <c r="BW1284" s="2" t="s">
        <v>100</v>
      </c>
      <c r="BX1284" s="2" t="s">
        <v>100</v>
      </c>
      <c r="BY1284" s="2" t="s">
        <v>112</v>
      </c>
      <c r="BZ1284" s="2" t="s">
        <v>100</v>
      </c>
    </row>
    <row r="1285">
      <c r="A1285" s="2" t="s">
        <v>4374</v>
      </c>
      <c r="B1285" s="2" t="s">
        <v>87</v>
      </c>
      <c r="C1285" s="2" t="s">
        <v>4305</v>
      </c>
      <c r="D1285" s="2" t="s">
        <v>89</v>
      </c>
      <c r="E1285" s="2" t="s">
        <v>90</v>
      </c>
      <c r="F1285" s="2" t="s">
        <v>4355</v>
      </c>
      <c r="G1285" s="2" t="s">
        <v>4356</v>
      </c>
      <c r="H1285" s="2" t="s">
        <v>4357</v>
      </c>
      <c r="I1285" s="2" t="s">
        <v>4368</v>
      </c>
      <c r="J1285" s="2" t="s">
        <v>118</v>
      </c>
      <c r="K1285" s="2" t="s">
        <v>158</v>
      </c>
      <c r="L1285" s="3">
        <v>48.99</v>
      </c>
      <c r="M1285" s="3">
        <v>51.44</v>
      </c>
      <c r="N1285" s="3">
        <v>109.99</v>
      </c>
      <c r="O1285" s="2" t="s">
        <v>97</v>
      </c>
      <c r="P1285" s="2" t="s">
        <v>182</v>
      </c>
      <c r="Q1285" s="2" t="s">
        <v>99</v>
      </c>
      <c r="R1285" s="2" t="s">
        <v>100</v>
      </c>
      <c r="S1285" s="2" t="s">
        <v>4369</v>
      </c>
      <c r="T1285" s="2" t="s">
        <v>184</v>
      </c>
      <c r="U1285" s="2" t="s">
        <v>403</v>
      </c>
      <c r="V1285" s="2" t="s">
        <v>103</v>
      </c>
      <c r="W1285" s="2" t="s">
        <v>104</v>
      </c>
      <c r="X1285" s="2" t="s">
        <v>380</v>
      </c>
      <c r="Y1285" s="2" t="s">
        <v>4370</v>
      </c>
      <c r="Z1285" s="4">
        <v>64</v>
      </c>
      <c r="AA1285" s="4">
        <f>=ROUNDDOWN(9.14285714285714,0)</f>
      </c>
      <c r="AB1285" s="5">
        <v>7</v>
      </c>
      <c r="AC1285" s="2" t="s">
        <v>766</v>
      </c>
      <c r="AD1285" s="4">
        <v>80</v>
      </c>
      <c r="AE1285" s="4">
        <v>260</v>
      </c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 t="s">
        <v>100</v>
      </c>
      <c r="BJ1285" s="4">
        <v>106</v>
      </c>
      <c r="BK1285" s="8">
        <v>5863.74</v>
      </c>
      <c r="BL1285" s="2" t="s">
        <v>4337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147</v>
      </c>
      <c r="BV1285" s="2" t="s">
        <v>97</v>
      </c>
      <c r="BW1285" s="2" t="s">
        <v>100</v>
      </c>
      <c r="BX1285" s="2" t="s">
        <v>100</v>
      </c>
      <c r="BY1285" s="2" t="s">
        <v>112</v>
      </c>
      <c r="BZ1285" s="2" t="s">
        <v>100</v>
      </c>
    </row>
    <row r="1286">
      <c r="A1286" s="2" t="s">
        <v>4375</v>
      </c>
      <c r="B1286" s="2" t="s">
        <v>87</v>
      </c>
      <c r="C1286" s="2" t="s">
        <v>4305</v>
      </c>
      <c r="D1286" s="2" t="s">
        <v>89</v>
      </c>
      <c r="E1286" s="2" t="s">
        <v>90</v>
      </c>
      <c r="F1286" s="2" t="s">
        <v>4355</v>
      </c>
      <c r="G1286" s="2" t="s">
        <v>4356</v>
      </c>
      <c r="H1286" s="2" t="s">
        <v>4357</v>
      </c>
      <c r="I1286" s="2" t="s">
        <v>4344</v>
      </c>
      <c r="J1286" s="2" t="s">
        <v>95</v>
      </c>
      <c r="K1286" s="2" t="s">
        <v>650</v>
      </c>
      <c r="L1286" s="3">
        <v>43.85</v>
      </c>
      <c r="M1286" s="3">
        <v>46.04</v>
      </c>
      <c r="N1286" s="3">
        <v>99.99</v>
      </c>
      <c r="O1286" s="2" t="s">
        <v>97</v>
      </c>
      <c r="P1286" s="2" t="s">
        <v>182</v>
      </c>
      <c r="Q1286" s="2" t="s">
        <v>99</v>
      </c>
      <c r="R1286" s="2" t="s">
        <v>100</v>
      </c>
      <c r="S1286" s="2" t="s">
        <v>4376</v>
      </c>
      <c r="T1286" s="2" t="s">
        <v>184</v>
      </c>
      <c r="U1286" s="2" t="s">
        <v>403</v>
      </c>
      <c r="V1286" s="2" t="s">
        <v>103</v>
      </c>
      <c r="W1286" s="2" t="s">
        <v>104</v>
      </c>
      <c r="X1286" s="2" t="s">
        <v>380</v>
      </c>
      <c r="Y1286" s="2" t="s">
        <v>4377</v>
      </c>
      <c r="Z1286" s="4">
        <v>658</v>
      </c>
      <c r="AA1286" s="4">
        <f>=ROUNDDOWN(23.5,0)</f>
      </c>
      <c r="AB1286" s="5">
        <v>28</v>
      </c>
      <c r="AC1286" s="2" t="s">
        <v>766</v>
      </c>
      <c r="AD1286" s="4">
        <v>330</v>
      </c>
      <c r="AE1286" s="4">
        <v>730</v>
      </c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 t="s">
        <v>100</v>
      </c>
      <c r="BJ1286" s="4">
        <v>570</v>
      </c>
      <c r="BK1286" s="8">
        <v>28316.38</v>
      </c>
      <c r="BL1286" s="2" t="s">
        <v>4378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147</v>
      </c>
      <c r="BV1286" s="2" t="s">
        <v>97</v>
      </c>
      <c r="BW1286" s="2" t="s">
        <v>100</v>
      </c>
      <c r="BX1286" s="2" t="s">
        <v>100</v>
      </c>
      <c r="BY1286" s="2" t="s">
        <v>112</v>
      </c>
      <c r="BZ1286" s="2" t="s">
        <v>100</v>
      </c>
    </row>
    <row r="1287">
      <c r="A1287" s="2" t="s">
        <v>4379</v>
      </c>
      <c r="B1287" s="2" t="s">
        <v>87</v>
      </c>
      <c r="C1287" s="2" t="s">
        <v>4305</v>
      </c>
      <c r="D1287" s="2" t="s">
        <v>89</v>
      </c>
      <c r="E1287" s="2" t="s">
        <v>90</v>
      </c>
      <c r="F1287" s="2" t="s">
        <v>4355</v>
      </c>
      <c r="G1287" s="2" t="s">
        <v>4356</v>
      </c>
      <c r="H1287" s="2" t="s">
        <v>4357</v>
      </c>
      <c r="I1287" s="2" t="s">
        <v>4344</v>
      </c>
      <c r="J1287" s="2" t="s">
        <v>114</v>
      </c>
      <c r="K1287" s="2" t="s">
        <v>650</v>
      </c>
      <c r="L1287" s="3">
        <v>48.99</v>
      </c>
      <c r="M1287" s="3">
        <v>51.44</v>
      </c>
      <c r="N1287" s="3">
        <v>109.99</v>
      </c>
      <c r="O1287" s="2" t="s">
        <v>97</v>
      </c>
      <c r="P1287" s="2" t="s">
        <v>182</v>
      </c>
      <c r="Q1287" s="2" t="s">
        <v>99</v>
      </c>
      <c r="R1287" s="2" t="s">
        <v>100</v>
      </c>
      <c r="S1287" s="2" t="s">
        <v>4376</v>
      </c>
      <c r="T1287" s="2" t="s">
        <v>184</v>
      </c>
      <c r="U1287" s="2" t="s">
        <v>403</v>
      </c>
      <c r="V1287" s="2" t="s">
        <v>103</v>
      </c>
      <c r="W1287" s="2" t="s">
        <v>104</v>
      </c>
      <c r="X1287" s="2" t="s">
        <v>380</v>
      </c>
      <c r="Y1287" s="2" t="s">
        <v>4377</v>
      </c>
      <c r="Z1287" s="4">
        <v>400</v>
      </c>
      <c r="AA1287" s="4">
        <f>=ROUNDDOWN(25,0)</f>
      </c>
      <c r="AB1287" s="5">
        <v>16</v>
      </c>
      <c r="AC1287" s="2" t="s">
        <v>766</v>
      </c>
      <c r="AD1287" s="4">
        <v>290</v>
      </c>
      <c r="AE1287" s="4">
        <v>610</v>
      </c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 t="s">
        <v>100</v>
      </c>
      <c r="BJ1287" s="4">
        <v>259</v>
      </c>
      <c r="BK1287" s="8">
        <v>14451.13</v>
      </c>
      <c r="BL1287" s="2" t="s">
        <v>4380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147</v>
      </c>
      <c r="BV1287" s="2" t="s">
        <v>97</v>
      </c>
      <c r="BW1287" s="2" t="s">
        <v>100</v>
      </c>
      <c r="BX1287" s="2" t="s">
        <v>100</v>
      </c>
      <c r="BY1287" s="2" t="s">
        <v>112</v>
      </c>
      <c r="BZ1287" s="2" t="s">
        <v>100</v>
      </c>
    </row>
    <row r="1288">
      <c r="A1288" s="2" t="s">
        <v>4381</v>
      </c>
      <c r="B1288" s="2" t="s">
        <v>87</v>
      </c>
      <c r="C1288" s="2" t="s">
        <v>4305</v>
      </c>
      <c r="D1288" s="2" t="s">
        <v>89</v>
      </c>
      <c r="E1288" s="2" t="s">
        <v>90</v>
      </c>
      <c r="F1288" s="2" t="s">
        <v>4355</v>
      </c>
      <c r="G1288" s="2" t="s">
        <v>4356</v>
      </c>
      <c r="H1288" s="2" t="s">
        <v>4357</v>
      </c>
      <c r="I1288" s="2" t="s">
        <v>4344</v>
      </c>
      <c r="J1288" s="2" t="s">
        <v>118</v>
      </c>
      <c r="K1288" s="2" t="s">
        <v>650</v>
      </c>
      <c r="L1288" s="3">
        <v>48.99</v>
      </c>
      <c r="M1288" s="3">
        <v>51.44</v>
      </c>
      <c r="N1288" s="3">
        <v>109.99</v>
      </c>
      <c r="O1288" s="2" t="s">
        <v>97</v>
      </c>
      <c r="P1288" s="2" t="s">
        <v>182</v>
      </c>
      <c r="Q1288" s="2" t="s">
        <v>99</v>
      </c>
      <c r="R1288" s="2" t="s">
        <v>100</v>
      </c>
      <c r="S1288" s="2" t="s">
        <v>4376</v>
      </c>
      <c r="T1288" s="2" t="s">
        <v>184</v>
      </c>
      <c r="U1288" s="2" t="s">
        <v>403</v>
      </c>
      <c r="V1288" s="2" t="s">
        <v>103</v>
      </c>
      <c r="W1288" s="2" t="s">
        <v>104</v>
      </c>
      <c r="X1288" s="2" t="s">
        <v>380</v>
      </c>
      <c r="Y1288" s="2" t="s">
        <v>4377</v>
      </c>
      <c r="Z1288" s="4">
        <v>118</v>
      </c>
      <c r="AA1288" s="4">
        <f>=ROUNDDOWN(14.75,0)</f>
      </c>
      <c r="AB1288" s="5">
        <v>8</v>
      </c>
      <c r="AC1288" s="2" t="s">
        <v>766</v>
      </c>
      <c r="AD1288" s="4">
        <v>100</v>
      </c>
      <c r="AE1288" s="4">
        <v>260</v>
      </c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 t="s">
        <v>100</v>
      </c>
      <c r="BJ1288" s="4">
        <v>116</v>
      </c>
      <c r="BK1288" s="8">
        <v>6500.69</v>
      </c>
      <c r="BL1288" s="2" t="s">
        <v>1249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147</v>
      </c>
      <c r="BV1288" s="2" t="s">
        <v>97</v>
      </c>
      <c r="BW1288" s="2" t="s">
        <v>100</v>
      </c>
      <c r="BX1288" s="2" t="s">
        <v>100</v>
      </c>
      <c r="BY1288" s="2" t="s">
        <v>112</v>
      </c>
      <c r="BZ1288" s="2" t="s">
        <v>100</v>
      </c>
    </row>
    <row r="1289">
      <c r="A1289" s="2" t="s">
        <v>4382</v>
      </c>
      <c r="B1289" s="2" t="s">
        <v>87</v>
      </c>
      <c r="C1289" s="2" t="s">
        <v>4305</v>
      </c>
      <c r="D1289" s="2" t="s">
        <v>89</v>
      </c>
      <c r="E1289" s="2" t="s">
        <v>90</v>
      </c>
      <c r="F1289" s="2" t="s">
        <v>4355</v>
      </c>
      <c r="G1289" s="2" t="s">
        <v>4356</v>
      </c>
      <c r="H1289" s="2" t="s">
        <v>4357</v>
      </c>
      <c r="I1289" s="2" t="s">
        <v>4344</v>
      </c>
      <c r="J1289" s="2" t="s">
        <v>95</v>
      </c>
      <c r="K1289" s="2" t="s">
        <v>298</v>
      </c>
      <c r="L1289" s="3">
        <v>43.85</v>
      </c>
      <c r="M1289" s="3">
        <v>46.04</v>
      </c>
      <c r="N1289" s="3">
        <v>99.99</v>
      </c>
      <c r="O1289" s="2" t="s">
        <v>97</v>
      </c>
      <c r="P1289" s="2" t="s">
        <v>198</v>
      </c>
      <c r="Q1289" s="2" t="s">
        <v>99</v>
      </c>
      <c r="R1289" s="2" t="s">
        <v>100</v>
      </c>
      <c r="S1289" s="2" t="s">
        <v>4383</v>
      </c>
      <c r="T1289" s="2" t="s">
        <v>184</v>
      </c>
      <c r="U1289" s="2" t="s">
        <v>403</v>
      </c>
      <c r="V1289" s="2" t="s">
        <v>103</v>
      </c>
      <c r="W1289" s="2" t="s">
        <v>104</v>
      </c>
      <c r="X1289" s="2" t="s">
        <v>105</v>
      </c>
      <c r="Y1289" s="2" t="s">
        <v>1290</v>
      </c>
      <c r="Z1289" s="4">
        <v>329</v>
      </c>
      <c r="AA1289" s="4">
        <f>=ROUNDDOWN(19.3529411764706,0)</f>
      </c>
      <c r="AB1289" s="5">
        <v>17</v>
      </c>
      <c r="AC1289" s="2" t="s">
        <v>2403</v>
      </c>
      <c r="AD1289" s="4">
        <v>200</v>
      </c>
      <c r="AE1289" s="4">
        <v>480</v>
      </c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 t="s">
        <v>100</v>
      </c>
      <c r="BJ1289" s="4">
        <v>318</v>
      </c>
      <c r="BK1289" s="8">
        <v>16013.16</v>
      </c>
      <c r="BL1289" s="2" t="s">
        <v>4384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147</v>
      </c>
      <c r="BV1289" s="2" t="s">
        <v>97</v>
      </c>
      <c r="BW1289" s="2" t="s">
        <v>100</v>
      </c>
      <c r="BX1289" s="2" t="s">
        <v>100</v>
      </c>
      <c r="BY1289" s="2" t="s">
        <v>112</v>
      </c>
      <c r="BZ1289" s="2" t="s">
        <v>100</v>
      </c>
    </row>
    <row r="1290">
      <c r="A1290" s="2" t="s">
        <v>4385</v>
      </c>
      <c r="B1290" s="2" t="s">
        <v>87</v>
      </c>
      <c r="C1290" s="2" t="s">
        <v>4305</v>
      </c>
      <c r="D1290" s="2" t="s">
        <v>89</v>
      </c>
      <c r="E1290" s="2" t="s">
        <v>90</v>
      </c>
      <c r="F1290" s="2" t="s">
        <v>4355</v>
      </c>
      <c r="G1290" s="2" t="s">
        <v>4356</v>
      </c>
      <c r="H1290" s="2" t="s">
        <v>4357</v>
      </c>
      <c r="I1290" s="2" t="s">
        <v>4344</v>
      </c>
      <c r="J1290" s="2" t="s">
        <v>114</v>
      </c>
      <c r="K1290" s="2" t="s">
        <v>298</v>
      </c>
      <c r="L1290" s="3">
        <v>48.99</v>
      </c>
      <c r="M1290" s="3">
        <v>51.44</v>
      </c>
      <c r="N1290" s="3">
        <v>109.99</v>
      </c>
      <c r="O1290" s="2" t="s">
        <v>97</v>
      </c>
      <c r="P1290" s="2" t="s">
        <v>198</v>
      </c>
      <c r="Q1290" s="2" t="s">
        <v>99</v>
      </c>
      <c r="R1290" s="2" t="s">
        <v>100</v>
      </c>
      <c r="S1290" s="2" t="s">
        <v>4383</v>
      </c>
      <c r="T1290" s="2" t="s">
        <v>184</v>
      </c>
      <c r="U1290" s="2" t="s">
        <v>403</v>
      </c>
      <c r="V1290" s="2" t="s">
        <v>103</v>
      </c>
      <c r="W1290" s="2" t="s">
        <v>104</v>
      </c>
      <c r="X1290" s="2" t="s">
        <v>105</v>
      </c>
      <c r="Y1290" s="2" t="s">
        <v>1290</v>
      </c>
      <c r="Z1290" s="4">
        <v>227</v>
      </c>
      <c r="AA1290" s="4">
        <f>=ROUNDDOWN(20.6363636363636,0)</f>
      </c>
      <c r="AB1290" s="5">
        <v>11</v>
      </c>
      <c r="AC1290" s="2" t="s">
        <v>2403</v>
      </c>
      <c r="AD1290" s="4">
        <v>200</v>
      </c>
      <c r="AE1290" s="4">
        <v>290</v>
      </c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 t="s">
        <v>100</v>
      </c>
      <c r="BJ1290" s="4">
        <v>202</v>
      </c>
      <c r="BK1290" s="8">
        <v>11524.8</v>
      </c>
      <c r="BL1290" s="2" t="s">
        <v>4386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147</v>
      </c>
      <c r="BV1290" s="2" t="s">
        <v>97</v>
      </c>
      <c r="BW1290" s="2" t="s">
        <v>100</v>
      </c>
      <c r="BX1290" s="2" t="s">
        <v>100</v>
      </c>
      <c r="BY1290" s="2" t="s">
        <v>112</v>
      </c>
      <c r="BZ1290" s="2" t="s">
        <v>100</v>
      </c>
    </row>
    <row r="1291">
      <c r="A1291" s="2" t="s">
        <v>4387</v>
      </c>
      <c r="B1291" s="2" t="s">
        <v>87</v>
      </c>
      <c r="C1291" s="2" t="s">
        <v>4305</v>
      </c>
      <c r="D1291" s="2" t="s">
        <v>89</v>
      </c>
      <c r="E1291" s="2" t="s">
        <v>90</v>
      </c>
      <c r="F1291" s="2" t="s">
        <v>4355</v>
      </c>
      <c r="G1291" s="2" t="s">
        <v>4356</v>
      </c>
      <c r="H1291" s="2" t="s">
        <v>4357</v>
      </c>
      <c r="I1291" s="2" t="s">
        <v>4344</v>
      </c>
      <c r="J1291" s="2" t="s">
        <v>118</v>
      </c>
      <c r="K1291" s="2" t="s">
        <v>298</v>
      </c>
      <c r="L1291" s="3">
        <v>48.99</v>
      </c>
      <c r="M1291" s="3">
        <v>51.44</v>
      </c>
      <c r="N1291" s="3">
        <v>109.99</v>
      </c>
      <c r="O1291" s="2" t="s">
        <v>97</v>
      </c>
      <c r="P1291" s="2" t="s">
        <v>198</v>
      </c>
      <c r="Q1291" s="2" t="s">
        <v>99</v>
      </c>
      <c r="R1291" s="2" t="s">
        <v>100</v>
      </c>
      <c r="S1291" s="2" t="s">
        <v>4383</v>
      </c>
      <c r="T1291" s="2" t="s">
        <v>184</v>
      </c>
      <c r="U1291" s="2" t="s">
        <v>403</v>
      </c>
      <c r="V1291" s="2" t="s">
        <v>103</v>
      </c>
      <c r="W1291" s="2" t="s">
        <v>104</v>
      </c>
      <c r="X1291" s="2" t="s">
        <v>105</v>
      </c>
      <c r="Y1291" s="2" t="s">
        <v>1290</v>
      </c>
      <c r="Z1291" s="4">
        <v>232</v>
      </c>
      <c r="AA1291" s="4">
        <f>=ROUNDDOWN(38.6666666666667,0)</f>
      </c>
      <c r="AB1291" s="5">
        <v>6</v>
      </c>
      <c r="AC1291" s="2" t="s">
        <v>2049</v>
      </c>
      <c r="AD1291" s="4">
        <v>30</v>
      </c>
      <c r="AE1291" s="4">
        <v>30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 t="s">
        <v>100</v>
      </c>
      <c r="BJ1291" s="4">
        <v>122</v>
      </c>
      <c r="BK1291" s="8">
        <v>7013.29</v>
      </c>
      <c r="BL1291" s="2" t="s">
        <v>4388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147</v>
      </c>
      <c r="BV1291" s="2" t="s">
        <v>97</v>
      </c>
      <c r="BW1291" s="2" t="s">
        <v>100</v>
      </c>
      <c r="BX1291" s="2" t="s">
        <v>100</v>
      </c>
      <c r="BY1291" s="2" t="s">
        <v>112</v>
      </c>
      <c r="BZ1291" s="2" t="s">
        <v>100</v>
      </c>
    </row>
    <row r="1292">
      <c r="A1292" s="2" t="s">
        <v>4389</v>
      </c>
      <c r="B1292" s="2" t="s">
        <v>87</v>
      </c>
      <c r="C1292" s="2" t="s">
        <v>4305</v>
      </c>
      <c r="D1292" s="2" t="s">
        <v>89</v>
      </c>
      <c r="E1292" s="2" t="s">
        <v>90</v>
      </c>
      <c r="F1292" s="2" t="s">
        <v>4390</v>
      </c>
      <c r="G1292" s="2" t="s">
        <v>4391</v>
      </c>
      <c r="H1292" s="2" t="s">
        <v>4392</v>
      </c>
      <c r="I1292" s="2" t="s">
        <v>4344</v>
      </c>
      <c r="J1292" s="2" t="s">
        <v>95</v>
      </c>
      <c r="K1292" s="2" t="s">
        <v>4393</v>
      </c>
      <c r="L1292" s="3">
        <v>48.04</v>
      </c>
      <c r="M1292" s="3">
        <v>50.44</v>
      </c>
      <c r="N1292" s="3">
        <v>109.99</v>
      </c>
      <c r="O1292" s="2" t="s">
        <v>97</v>
      </c>
      <c r="P1292" s="2" t="s">
        <v>182</v>
      </c>
      <c r="Q1292" s="2" t="s">
        <v>99</v>
      </c>
      <c r="R1292" s="2" t="s">
        <v>100</v>
      </c>
      <c r="S1292" s="2" t="s">
        <v>4394</v>
      </c>
      <c r="T1292" s="2" t="s">
        <v>184</v>
      </c>
      <c r="U1292" s="2" t="s">
        <v>403</v>
      </c>
      <c r="V1292" s="2" t="s">
        <v>103</v>
      </c>
      <c r="W1292" s="2" t="s">
        <v>104</v>
      </c>
      <c r="X1292" s="2" t="s">
        <v>201</v>
      </c>
      <c r="Y1292" s="2" t="s">
        <v>4395</v>
      </c>
      <c r="Z1292" s="4">
        <v>697</v>
      </c>
      <c r="AA1292" s="4">
        <f>=ROUNDDOWN(34.85,0)</f>
      </c>
      <c r="AB1292" s="5">
        <v>20</v>
      </c>
      <c r="AC1292" s="2" t="s">
        <v>4396</v>
      </c>
      <c r="AD1292" s="4">
        <v>160</v>
      </c>
      <c r="AE1292" s="4">
        <v>160</v>
      </c>
      <c r="AF1292" s="6">
        <v>65</v>
      </c>
      <c r="AG1292" s="6">
        <v>48</v>
      </c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>
        <v>0</v>
      </c>
      <c r="AP1292" s="4">
        <v>6</v>
      </c>
      <c r="AQ1292" s="8">
        <v>302.64</v>
      </c>
      <c r="AR1292" s="4">
        <v>29</v>
      </c>
      <c r="AS1292" s="8">
        <v>1462.76</v>
      </c>
      <c r="AT1292" s="7">
        <v>-0.7931</v>
      </c>
      <c r="AU1292" s="7">
        <v>-0.7931</v>
      </c>
      <c r="AV1292" s="4">
        <v>7</v>
      </c>
      <c r="AW1292" s="8">
        <v>359.09</v>
      </c>
      <c r="AX1292" s="4">
        <v>35</v>
      </c>
      <c r="AY1292" s="8">
        <v>1801.46</v>
      </c>
      <c r="AZ1292" s="7">
        <v>-0.8</v>
      </c>
      <c r="BA1292" s="7">
        <v>-0.8007</v>
      </c>
      <c r="BB1292" s="7">
        <v>0.8428</v>
      </c>
      <c r="BC1292" s="4">
        <v>7</v>
      </c>
      <c r="BD1292" s="8">
        <v>359.09</v>
      </c>
      <c r="BE1292" s="4">
        <v>35</v>
      </c>
      <c r="BF1292" s="8">
        <v>1801.46</v>
      </c>
      <c r="BG1292" s="7">
        <v>-0.8</v>
      </c>
      <c r="BH1292" s="7">
        <v>-0.8007</v>
      </c>
      <c r="BI1292" s="7">
        <v>1</v>
      </c>
      <c r="BJ1292" s="4">
        <v>368</v>
      </c>
      <c r="BK1292" s="8">
        <v>18801.15</v>
      </c>
      <c r="BL1292" s="2" t="s">
        <v>4397</v>
      </c>
      <c r="BM1292" s="7">
        <v>0.0163</v>
      </c>
      <c r="BN1292" s="7">
        <v>0.0161</v>
      </c>
      <c r="BO1292" s="4">
        <v>6</v>
      </c>
      <c r="BP1292" s="8">
        <v>302.64</v>
      </c>
      <c r="BQ1292" s="4">
        <v>29</v>
      </c>
      <c r="BR1292" s="8">
        <v>1462.76</v>
      </c>
      <c r="BS1292" s="7">
        <v>-0.7931</v>
      </c>
      <c r="BT1292" s="7">
        <v>-0.7931</v>
      </c>
      <c r="BU1292" s="2" t="s">
        <v>109</v>
      </c>
      <c r="BV1292" s="2" t="s">
        <v>97</v>
      </c>
      <c r="BW1292" s="2" t="s">
        <v>110</v>
      </c>
      <c r="BX1292" s="2" t="s">
        <v>4398</v>
      </c>
      <c r="BY1292" s="2" t="s">
        <v>112</v>
      </c>
      <c r="BZ1292" s="2" t="s">
        <v>100</v>
      </c>
    </row>
    <row r="1293">
      <c r="A1293" s="2" t="s">
        <v>4399</v>
      </c>
      <c r="B1293" s="2" t="s">
        <v>87</v>
      </c>
      <c r="C1293" s="2" t="s">
        <v>4305</v>
      </c>
      <c r="D1293" s="2" t="s">
        <v>89</v>
      </c>
      <c r="E1293" s="2" t="s">
        <v>90</v>
      </c>
      <c r="F1293" s="2" t="s">
        <v>4390</v>
      </c>
      <c r="G1293" s="2" t="s">
        <v>4391</v>
      </c>
      <c r="H1293" s="2" t="s">
        <v>4392</v>
      </c>
      <c r="I1293" s="2" t="s">
        <v>4344</v>
      </c>
      <c r="J1293" s="2" t="s">
        <v>114</v>
      </c>
      <c r="K1293" s="2" t="s">
        <v>4393</v>
      </c>
      <c r="L1293" s="3">
        <v>53.76</v>
      </c>
      <c r="M1293" s="3">
        <v>56.45</v>
      </c>
      <c r="N1293" s="3">
        <v>119.99</v>
      </c>
      <c r="O1293" s="2" t="s">
        <v>97</v>
      </c>
      <c r="P1293" s="2" t="s">
        <v>182</v>
      </c>
      <c r="Q1293" s="2" t="s">
        <v>99</v>
      </c>
      <c r="R1293" s="2" t="s">
        <v>100</v>
      </c>
      <c r="S1293" s="2" t="s">
        <v>4394</v>
      </c>
      <c r="T1293" s="2" t="s">
        <v>184</v>
      </c>
      <c r="U1293" s="2" t="s">
        <v>403</v>
      </c>
      <c r="V1293" s="2" t="s">
        <v>103</v>
      </c>
      <c r="W1293" s="2" t="s">
        <v>104</v>
      </c>
      <c r="X1293" s="2" t="s">
        <v>201</v>
      </c>
      <c r="Y1293" s="2" t="s">
        <v>4395</v>
      </c>
      <c r="Z1293" s="4">
        <v>444</v>
      </c>
      <c r="AA1293" s="4">
        <f>=ROUNDDOWN(34.1538461538462,0)</f>
      </c>
      <c r="AB1293" s="5">
        <v>13</v>
      </c>
      <c r="AC1293" s="2" t="s">
        <v>4396</v>
      </c>
      <c r="AD1293" s="4">
        <v>220</v>
      </c>
      <c r="AE1293" s="4">
        <v>220</v>
      </c>
      <c r="AF1293" s="6">
        <v>65</v>
      </c>
      <c r="AG1293" s="6">
        <v>48</v>
      </c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>
        <v>0</v>
      </c>
      <c r="AP1293" s="4">
        <v>1</v>
      </c>
      <c r="AQ1293" s="8">
        <v>56.45</v>
      </c>
      <c r="AR1293" s="4">
        <v>5</v>
      </c>
      <c r="AS1293" s="8">
        <v>282.25</v>
      </c>
      <c r="AT1293" s="7">
        <v>-0.8</v>
      </c>
      <c r="AU1293" s="7">
        <v>-0.8</v>
      </c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>
        <v>0.1572</v>
      </c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 t="s">
        <v>100</v>
      </c>
      <c r="BJ1293" s="4">
        <v>205</v>
      </c>
      <c r="BK1293" s="8">
        <v>11989.88</v>
      </c>
      <c r="BL1293" s="2" t="s">
        <v>4400</v>
      </c>
      <c r="BM1293" s="7">
        <v>0.0049</v>
      </c>
      <c r="BN1293" s="7">
        <v>0.0047</v>
      </c>
      <c r="BO1293" s="4">
        <v>1</v>
      </c>
      <c r="BP1293" s="8">
        <v>56.45</v>
      </c>
      <c r="BQ1293" s="4">
        <v>5</v>
      </c>
      <c r="BR1293" s="8">
        <v>282.25</v>
      </c>
      <c r="BS1293" s="7">
        <v>-0.8</v>
      </c>
      <c r="BT1293" s="7">
        <v>-0.8</v>
      </c>
      <c r="BU1293" s="2" t="s">
        <v>109</v>
      </c>
      <c r="BV1293" s="2" t="s">
        <v>97</v>
      </c>
      <c r="BW1293" s="2" t="s">
        <v>110</v>
      </c>
      <c r="BX1293" s="2" t="s">
        <v>4401</v>
      </c>
      <c r="BY1293" s="2" t="s">
        <v>112</v>
      </c>
      <c r="BZ1293" s="2" t="s">
        <v>100</v>
      </c>
    </row>
    <row r="1294">
      <c r="A1294" s="2" t="s">
        <v>4402</v>
      </c>
      <c r="B1294" s="2" t="s">
        <v>87</v>
      </c>
      <c r="C1294" s="2" t="s">
        <v>4305</v>
      </c>
      <c r="D1294" s="2" t="s">
        <v>89</v>
      </c>
      <c r="E1294" s="2" t="s">
        <v>90</v>
      </c>
      <c r="F1294" s="2" t="s">
        <v>4390</v>
      </c>
      <c r="G1294" s="2" t="s">
        <v>4391</v>
      </c>
      <c r="H1294" s="2" t="s">
        <v>4392</v>
      </c>
      <c r="I1294" s="2" t="s">
        <v>4344</v>
      </c>
      <c r="J1294" s="2" t="s">
        <v>118</v>
      </c>
      <c r="K1294" s="2" t="s">
        <v>4393</v>
      </c>
      <c r="L1294" s="3">
        <v>53.76</v>
      </c>
      <c r="M1294" s="3">
        <v>56.45</v>
      </c>
      <c r="N1294" s="3">
        <v>119.99</v>
      </c>
      <c r="O1294" s="2" t="s">
        <v>97</v>
      </c>
      <c r="P1294" s="2" t="s">
        <v>182</v>
      </c>
      <c r="Q1294" s="2" t="s">
        <v>99</v>
      </c>
      <c r="R1294" s="2" t="s">
        <v>100</v>
      </c>
      <c r="S1294" s="2" t="s">
        <v>4394</v>
      </c>
      <c r="T1294" s="2" t="s">
        <v>184</v>
      </c>
      <c r="U1294" s="2" t="s">
        <v>403</v>
      </c>
      <c r="V1294" s="2" t="s">
        <v>103</v>
      </c>
      <c r="W1294" s="2" t="s">
        <v>104</v>
      </c>
      <c r="X1294" s="2" t="s">
        <v>201</v>
      </c>
      <c r="Y1294" s="2" t="s">
        <v>4395</v>
      </c>
      <c r="Z1294" s="4">
        <v>113</v>
      </c>
      <c r="AA1294" s="4">
        <f>=ROUNDDOWN(22.6,0)</f>
      </c>
      <c r="AB1294" s="5">
        <v>5</v>
      </c>
      <c r="AC1294" s="2" t="s">
        <v>4396</v>
      </c>
      <c r="AD1294" s="4">
        <v>58</v>
      </c>
      <c r="AE1294" s="4">
        <v>58</v>
      </c>
      <c r="AF1294" s="6">
        <v>65</v>
      </c>
      <c r="AG1294" s="6">
        <v>48</v>
      </c>
      <c r="AH1294" s="7">
        <v>0.3394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>
        <v>0</v>
      </c>
      <c r="AP1294" s="4"/>
      <c r="AQ1294" s="8"/>
      <c r="AR1294" s="4">
        <v>1</v>
      </c>
      <c r="AS1294" s="8">
        <v>56.45</v>
      </c>
      <c r="AT1294" s="7">
        <v>-1</v>
      </c>
      <c r="AU1294" s="7">
        <v>-1</v>
      </c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 t="s">
        <v>100</v>
      </c>
      <c r="BJ1294" s="4">
        <v>49</v>
      </c>
      <c r="BK1294" s="8">
        <v>2769.94</v>
      </c>
      <c r="BL1294" s="2" t="s">
        <v>4403</v>
      </c>
      <c r="BM1294" s="7"/>
      <c r="BN1294" s="7"/>
      <c r="BO1294" s="4"/>
      <c r="BP1294" s="8"/>
      <c r="BQ1294" s="4">
        <v>1</v>
      </c>
      <c r="BR1294" s="8">
        <v>56.45</v>
      </c>
      <c r="BS1294" s="7">
        <v>-1</v>
      </c>
      <c r="BT1294" s="7">
        <v>-1</v>
      </c>
      <c r="BU1294" s="2" t="s">
        <v>109</v>
      </c>
      <c r="BV1294" s="2" t="s">
        <v>97</v>
      </c>
      <c r="BW1294" s="2" t="s">
        <v>110</v>
      </c>
      <c r="BX1294" s="2" t="s">
        <v>664</v>
      </c>
      <c r="BY1294" s="2" t="s">
        <v>112</v>
      </c>
      <c r="BZ1294" s="2" t="s">
        <v>100</v>
      </c>
    </row>
    <row r="1295">
      <c r="A1295" s="2" t="s">
        <v>4404</v>
      </c>
      <c r="B1295" s="2" t="s">
        <v>87</v>
      </c>
      <c r="C1295" s="2" t="s">
        <v>4305</v>
      </c>
      <c r="D1295" s="2" t="s">
        <v>89</v>
      </c>
      <c r="E1295" s="2" t="s">
        <v>90</v>
      </c>
      <c r="F1295" s="2" t="s">
        <v>4390</v>
      </c>
      <c r="G1295" s="2" t="s">
        <v>4391</v>
      </c>
      <c r="H1295" s="2" t="s">
        <v>4392</v>
      </c>
      <c r="I1295" s="2" t="s">
        <v>4344</v>
      </c>
      <c r="J1295" s="2" t="s">
        <v>95</v>
      </c>
      <c r="K1295" s="2" t="s">
        <v>1018</v>
      </c>
      <c r="L1295" s="3">
        <v>48.04</v>
      </c>
      <c r="M1295" s="3">
        <v>50.44</v>
      </c>
      <c r="N1295" s="3">
        <v>109.99</v>
      </c>
      <c r="O1295" s="2" t="s">
        <v>97</v>
      </c>
      <c r="P1295" s="2" t="s">
        <v>198</v>
      </c>
      <c r="Q1295" s="2" t="s">
        <v>99</v>
      </c>
      <c r="R1295" s="2" t="s">
        <v>100</v>
      </c>
      <c r="S1295" s="2" t="s">
        <v>4405</v>
      </c>
      <c r="T1295" s="2" t="s">
        <v>184</v>
      </c>
      <c r="U1295" s="2" t="s">
        <v>403</v>
      </c>
      <c r="V1295" s="2" t="s">
        <v>103</v>
      </c>
      <c r="W1295" s="2" t="s">
        <v>104</v>
      </c>
      <c r="X1295" s="2" t="s">
        <v>201</v>
      </c>
      <c r="Y1295" s="2" t="s">
        <v>4370</v>
      </c>
      <c r="Z1295" s="4">
        <v>273</v>
      </c>
      <c r="AA1295" s="4">
        <f>=ROUNDDOWN(24.8181818181818,0)</f>
      </c>
      <c r="AB1295" s="5">
        <v>11</v>
      </c>
      <c r="AC1295" s="2" t="s">
        <v>100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 t="s">
        <v>100</v>
      </c>
      <c r="BJ1295" s="4">
        <v>332</v>
      </c>
      <c r="BK1295" s="8">
        <v>16088.66</v>
      </c>
      <c r="BL1295" s="2" t="s">
        <v>4406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147</v>
      </c>
      <c r="BV1295" s="2" t="s">
        <v>97</v>
      </c>
      <c r="BW1295" s="2" t="s">
        <v>100</v>
      </c>
      <c r="BX1295" s="2" t="s">
        <v>100</v>
      </c>
      <c r="BY1295" s="2" t="s">
        <v>112</v>
      </c>
      <c r="BZ1295" s="2" t="s">
        <v>100</v>
      </c>
    </row>
    <row r="1296">
      <c r="A1296" s="2" t="s">
        <v>4407</v>
      </c>
      <c r="B1296" s="2" t="s">
        <v>87</v>
      </c>
      <c r="C1296" s="2" t="s">
        <v>4305</v>
      </c>
      <c r="D1296" s="2" t="s">
        <v>89</v>
      </c>
      <c r="E1296" s="2" t="s">
        <v>90</v>
      </c>
      <c r="F1296" s="2" t="s">
        <v>4390</v>
      </c>
      <c r="G1296" s="2" t="s">
        <v>4391</v>
      </c>
      <c r="H1296" s="2" t="s">
        <v>4392</v>
      </c>
      <c r="I1296" s="2" t="s">
        <v>4344</v>
      </c>
      <c r="J1296" s="2" t="s">
        <v>114</v>
      </c>
      <c r="K1296" s="2" t="s">
        <v>1018</v>
      </c>
      <c r="L1296" s="3">
        <v>53.76</v>
      </c>
      <c r="M1296" s="3">
        <v>56.45</v>
      </c>
      <c r="N1296" s="3">
        <v>119.99</v>
      </c>
      <c r="O1296" s="2" t="s">
        <v>97</v>
      </c>
      <c r="P1296" s="2" t="s">
        <v>198</v>
      </c>
      <c r="Q1296" s="2" t="s">
        <v>99</v>
      </c>
      <c r="R1296" s="2" t="s">
        <v>100</v>
      </c>
      <c r="S1296" s="2" t="s">
        <v>4405</v>
      </c>
      <c r="T1296" s="2" t="s">
        <v>184</v>
      </c>
      <c r="U1296" s="2" t="s">
        <v>403</v>
      </c>
      <c r="V1296" s="2" t="s">
        <v>103</v>
      </c>
      <c r="W1296" s="2" t="s">
        <v>104</v>
      </c>
      <c r="X1296" s="2" t="s">
        <v>201</v>
      </c>
      <c r="Y1296" s="2" t="s">
        <v>4370</v>
      </c>
      <c r="Z1296" s="4">
        <v>198</v>
      </c>
      <c r="AA1296" s="4">
        <f>=ROUNDDOWN(24.75,0)</f>
      </c>
      <c r="AB1296" s="5">
        <v>8</v>
      </c>
      <c r="AC1296" s="2" t="s">
        <v>100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 t="s">
        <v>100</v>
      </c>
      <c r="BJ1296" s="4">
        <v>273</v>
      </c>
      <c r="BK1296" s="8">
        <v>14587.25</v>
      </c>
      <c r="BL1296" s="2" t="s">
        <v>4408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147</v>
      </c>
      <c r="BV1296" s="2" t="s">
        <v>97</v>
      </c>
      <c r="BW1296" s="2" t="s">
        <v>100</v>
      </c>
      <c r="BX1296" s="2" t="s">
        <v>100</v>
      </c>
      <c r="BY1296" s="2" t="s">
        <v>112</v>
      </c>
      <c r="BZ1296" s="2" t="s">
        <v>100</v>
      </c>
    </row>
    <row r="1297">
      <c r="A1297" s="2" t="s">
        <v>4409</v>
      </c>
      <c r="B1297" s="2" t="s">
        <v>87</v>
      </c>
      <c r="C1297" s="2" t="s">
        <v>4305</v>
      </c>
      <c r="D1297" s="2" t="s">
        <v>89</v>
      </c>
      <c r="E1297" s="2" t="s">
        <v>90</v>
      </c>
      <c r="F1297" s="2" t="s">
        <v>4390</v>
      </c>
      <c r="G1297" s="2" t="s">
        <v>4391</v>
      </c>
      <c r="H1297" s="2" t="s">
        <v>4392</v>
      </c>
      <c r="I1297" s="2" t="s">
        <v>4344</v>
      </c>
      <c r="J1297" s="2" t="s">
        <v>118</v>
      </c>
      <c r="K1297" s="2" t="s">
        <v>1018</v>
      </c>
      <c r="L1297" s="3">
        <v>53.76</v>
      </c>
      <c r="M1297" s="3">
        <v>56.45</v>
      </c>
      <c r="N1297" s="3">
        <v>119.99</v>
      </c>
      <c r="O1297" s="2" t="s">
        <v>97</v>
      </c>
      <c r="P1297" s="2" t="s">
        <v>198</v>
      </c>
      <c r="Q1297" s="2" t="s">
        <v>99</v>
      </c>
      <c r="R1297" s="2" t="s">
        <v>100</v>
      </c>
      <c r="S1297" s="2" t="s">
        <v>4405</v>
      </c>
      <c r="T1297" s="2" t="s">
        <v>184</v>
      </c>
      <c r="U1297" s="2" t="s">
        <v>403</v>
      </c>
      <c r="V1297" s="2" t="s">
        <v>103</v>
      </c>
      <c r="W1297" s="2" t="s">
        <v>104</v>
      </c>
      <c r="X1297" s="2" t="s">
        <v>201</v>
      </c>
      <c r="Y1297" s="2" t="s">
        <v>4370</v>
      </c>
      <c r="Z1297" s="4">
        <v>97</v>
      </c>
      <c r="AA1297" s="4">
        <f>=ROUNDDOWN(19.4,0)</f>
      </c>
      <c r="AB1297" s="5">
        <v>5</v>
      </c>
      <c r="AC1297" s="2" t="s">
        <v>100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 t="s">
        <v>100</v>
      </c>
      <c r="BJ1297" s="4">
        <v>131</v>
      </c>
      <c r="BK1297" s="8">
        <v>7291.98</v>
      </c>
      <c r="BL1297" s="2" t="s">
        <v>2867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147</v>
      </c>
      <c r="BV1297" s="2" t="s">
        <v>97</v>
      </c>
      <c r="BW1297" s="2" t="s">
        <v>100</v>
      </c>
      <c r="BX1297" s="2" t="s">
        <v>100</v>
      </c>
      <c r="BY1297" s="2" t="s">
        <v>112</v>
      </c>
      <c r="BZ1297" s="2" t="s">
        <v>100</v>
      </c>
    </row>
    <row r="1298">
      <c r="A1298" s="2" t="s">
        <v>4410</v>
      </c>
      <c r="B1298" s="2" t="s">
        <v>87</v>
      </c>
      <c r="C1298" s="2" t="s">
        <v>4305</v>
      </c>
      <c r="D1298" s="2" t="s">
        <v>89</v>
      </c>
      <c r="E1298" s="2" t="s">
        <v>90</v>
      </c>
      <c r="F1298" s="2" t="s">
        <v>308</v>
      </c>
      <c r="G1298" s="2" t="s">
        <v>4411</v>
      </c>
      <c r="H1298" s="2" t="s">
        <v>4412</v>
      </c>
      <c r="I1298" s="2" t="s">
        <v>1296</v>
      </c>
      <c r="J1298" s="2" t="s">
        <v>95</v>
      </c>
      <c r="K1298" s="2" t="s">
        <v>197</v>
      </c>
      <c r="L1298" s="3">
        <v>48.71</v>
      </c>
      <c r="M1298" s="3">
        <v>51.15</v>
      </c>
      <c r="N1298" s="3">
        <v>109.99</v>
      </c>
      <c r="O1298" s="2" t="s">
        <v>97</v>
      </c>
      <c r="P1298" s="2" t="s">
        <v>143</v>
      </c>
      <c r="Q1298" s="2" t="s">
        <v>99</v>
      </c>
      <c r="R1298" s="2" t="s">
        <v>100</v>
      </c>
      <c r="S1298" s="2" t="s">
        <v>4413</v>
      </c>
      <c r="T1298" s="2" t="s">
        <v>184</v>
      </c>
      <c r="U1298" s="2" t="s">
        <v>403</v>
      </c>
      <c r="V1298" s="2" t="s">
        <v>637</v>
      </c>
      <c r="W1298" s="2" t="s">
        <v>602</v>
      </c>
      <c r="X1298" s="2" t="s">
        <v>104</v>
      </c>
      <c r="Y1298" s="2" t="s">
        <v>4414</v>
      </c>
      <c r="Z1298" s="4">
        <v>367</v>
      </c>
      <c r="AA1298" s="4">
        <f>=ROUNDDOWN(8.95121951219512,0)</f>
      </c>
      <c r="AB1298" s="5">
        <v>41</v>
      </c>
      <c r="AC1298" s="2" t="s">
        <v>107</v>
      </c>
      <c r="AD1298" s="4">
        <v>160</v>
      </c>
      <c r="AE1298" s="4">
        <v>870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>
        <v>793</v>
      </c>
      <c r="BK1298" s="8">
        <v>42883.15</v>
      </c>
      <c r="BL1298" s="2" t="s">
        <v>4415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97</v>
      </c>
      <c r="BW1298" s="2" t="s">
        <v>580</v>
      </c>
      <c r="BX1298" s="2" t="s">
        <v>100</v>
      </c>
      <c r="BY1298" s="2" t="s">
        <v>112</v>
      </c>
      <c r="BZ1298" s="2" t="s">
        <v>100</v>
      </c>
    </row>
    <row r="1299">
      <c r="A1299" s="2" t="s">
        <v>4416</v>
      </c>
      <c r="B1299" s="2" t="s">
        <v>87</v>
      </c>
      <c r="C1299" s="2" t="s">
        <v>4305</v>
      </c>
      <c r="D1299" s="2" t="s">
        <v>89</v>
      </c>
      <c r="E1299" s="2" t="s">
        <v>90</v>
      </c>
      <c r="F1299" s="2" t="s">
        <v>308</v>
      </c>
      <c r="G1299" s="2" t="s">
        <v>4411</v>
      </c>
      <c r="H1299" s="2" t="s">
        <v>4412</v>
      </c>
      <c r="I1299" s="2" t="s">
        <v>1296</v>
      </c>
      <c r="J1299" s="2" t="s">
        <v>114</v>
      </c>
      <c r="K1299" s="2" t="s">
        <v>197</v>
      </c>
      <c r="L1299" s="3">
        <v>54.43</v>
      </c>
      <c r="M1299" s="3">
        <v>57.15</v>
      </c>
      <c r="N1299" s="3">
        <v>119.99</v>
      </c>
      <c r="O1299" s="2" t="s">
        <v>97</v>
      </c>
      <c r="P1299" s="2" t="s">
        <v>143</v>
      </c>
      <c r="Q1299" s="2" t="s">
        <v>99</v>
      </c>
      <c r="R1299" s="2" t="s">
        <v>100</v>
      </c>
      <c r="S1299" s="2" t="s">
        <v>4413</v>
      </c>
      <c r="T1299" s="2" t="s">
        <v>184</v>
      </c>
      <c r="U1299" s="2" t="s">
        <v>403</v>
      </c>
      <c r="V1299" s="2" t="s">
        <v>637</v>
      </c>
      <c r="W1299" s="2" t="s">
        <v>602</v>
      </c>
      <c r="X1299" s="2" t="s">
        <v>104</v>
      </c>
      <c r="Y1299" s="2" t="s">
        <v>4414</v>
      </c>
      <c r="Z1299" s="4">
        <v>188</v>
      </c>
      <c r="AA1299" s="4">
        <f>=ROUNDDOWN(5.875,0)</f>
      </c>
      <c r="AB1299" s="5">
        <v>32</v>
      </c>
      <c r="AC1299" s="2" t="s">
        <v>107</v>
      </c>
      <c r="AD1299" s="4">
        <v>400</v>
      </c>
      <c r="AE1299" s="4">
        <v>840</v>
      </c>
      <c r="AF1299" s="6">
        <v>65</v>
      </c>
      <c r="AG1299" s="6"/>
      <c r="AH1299" s="7">
        <v>0.9636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>
        <v>649</v>
      </c>
      <c r="BK1299" s="8">
        <v>39077.81</v>
      </c>
      <c r="BL1299" s="2" t="s">
        <v>4417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97</v>
      </c>
      <c r="BW1299" s="2" t="s">
        <v>580</v>
      </c>
      <c r="BX1299" s="2" t="s">
        <v>100</v>
      </c>
      <c r="BY1299" s="2" t="s">
        <v>112</v>
      </c>
      <c r="BZ1299" s="2" t="s">
        <v>100</v>
      </c>
    </row>
    <row r="1300">
      <c r="A1300" s="2" t="s">
        <v>4418</v>
      </c>
      <c r="B1300" s="2" t="s">
        <v>87</v>
      </c>
      <c r="C1300" s="2" t="s">
        <v>4305</v>
      </c>
      <c r="D1300" s="2" t="s">
        <v>89</v>
      </c>
      <c r="E1300" s="2" t="s">
        <v>90</v>
      </c>
      <c r="F1300" s="2" t="s">
        <v>308</v>
      </c>
      <c r="G1300" s="2" t="s">
        <v>4411</v>
      </c>
      <c r="H1300" s="2" t="s">
        <v>4412</v>
      </c>
      <c r="I1300" s="2" t="s">
        <v>1296</v>
      </c>
      <c r="J1300" s="2" t="s">
        <v>118</v>
      </c>
      <c r="K1300" s="2" t="s">
        <v>197</v>
      </c>
      <c r="L1300" s="3">
        <v>54.43</v>
      </c>
      <c r="M1300" s="3">
        <v>57.15</v>
      </c>
      <c r="N1300" s="3">
        <v>119.99</v>
      </c>
      <c r="O1300" s="2" t="s">
        <v>97</v>
      </c>
      <c r="P1300" s="2" t="s">
        <v>143</v>
      </c>
      <c r="Q1300" s="2" t="s">
        <v>99</v>
      </c>
      <c r="R1300" s="2" t="s">
        <v>100</v>
      </c>
      <c r="S1300" s="2" t="s">
        <v>4413</v>
      </c>
      <c r="T1300" s="2" t="s">
        <v>184</v>
      </c>
      <c r="U1300" s="2" t="s">
        <v>403</v>
      </c>
      <c r="V1300" s="2" t="s">
        <v>637</v>
      </c>
      <c r="W1300" s="2" t="s">
        <v>602</v>
      </c>
      <c r="X1300" s="2" t="s">
        <v>104</v>
      </c>
      <c r="Y1300" s="2" t="s">
        <v>4414</v>
      </c>
      <c r="Z1300" s="4">
        <v>139</v>
      </c>
      <c r="AA1300" s="4">
        <f>=ROUNDDOWN(9.26666666666667,0)</f>
      </c>
      <c r="AB1300" s="5">
        <v>15</v>
      </c>
      <c r="AC1300" s="2" t="s">
        <v>107</v>
      </c>
      <c r="AD1300" s="4">
        <v>240</v>
      </c>
      <c r="AE1300" s="4">
        <v>390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302</v>
      </c>
      <c r="BK1300" s="8">
        <v>18087.28</v>
      </c>
      <c r="BL1300" s="2" t="s">
        <v>4419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97</v>
      </c>
      <c r="BW1300" s="2" t="s">
        <v>580</v>
      </c>
      <c r="BX1300" s="2" t="s">
        <v>100</v>
      </c>
      <c r="BY1300" s="2" t="s">
        <v>112</v>
      </c>
      <c r="BZ1300" s="2" t="s">
        <v>100</v>
      </c>
    </row>
    <row r="1301">
      <c r="A1301" s="2" t="s">
        <v>4420</v>
      </c>
      <c r="B1301" s="2" t="s">
        <v>87</v>
      </c>
      <c r="C1301" s="2" t="s">
        <v>4305</v>
      </c>
      <c r="D1301" s="2" t="s">
        <v>89</v>
      </c>
      <c r="E1301" s="2" t="s">
        <v>90</v>
      </c>
      <c r="F1301" s="2" t="s">
        <v>308</v>
      </c>
      <c r="G1301" s="2" t="s">
        <v>4411</v>
      </c>
      <c r="H1301" s="2" t="s">
        <v>4412</v>
      </c>
      <c r="I1301" s="2" t="s">
        <v>1296</v>
      </c>
      <c r="J1301" s="2" t="s">
        <v>95</v>
      </c>
      <c r="K1301" s="2" t="s">
        <v>666</v>
      </c>
      <c r="L1301" s="3">
        <v>48.71</v>
      </c>
      <c r="M1301" s="3">
        <v>51.15</v>
      </c>
      <c r="N1301" s="3">
        <v>109.99</v>
      </c>
      <c r="O1301" s="2" t="s">
        <v>97</v>
      </c>
      <c r="P1301" s="2" t="s">
        <v>182</v>
      </c>
      <c r="Q1301" s="2" t="s">
        <v>99</v>
      </c>
      <c r="R1301" s="2" t="s">
        <v>100</v>
      </c>
      <c r="S1301" s="2" t="s">
        <v>4421</v>
      </c>
      <c r="T1301" s="2" t="s">
        <v>184</v>
      </c>
      <c r="U1301" s="2" t="s">
        <v>403</v>
      </c>
      <c r="V1301" s="2" t="s">
        <v>637</v>
      </c>
      <c r="W1301" s="2" t="s">
        <v>602</v>
      </c>
      <c r="X1301" s="2" t="s">
        <v>104</v>
      </c>
      <c r="Y1301" s="2" t="s">
        <v>4414</v>
      </c>
      <c r="Z1301" s="4">
        <v>117</v>
      </c>
      <c r="AA1301" s="4">
        <f>=ROUNDDOWN(4.68,0)</f>
      </c>
      <c r="AB1301" s="5">
        <v>25</v>
      </c>
      <c r="AC1301" s="2" t="s">
        <v>589</v>
      </c>
      <c r="AD1301" s="4">
        <v>140</v>
      </c>
      <c r="AE1301" s="4">
        <v>580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461</v>
      </c>
      <c r="BK1301" s="8">
        <v>22150.78</v>
      </c>
      <c r="BL1301" s="2" t="s">
        <v>4422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147</v>
      </c>
      <c r="BV1301" s="2" t="s">
        <v>97</v>
      </c>
      <c r="BW1301" s="2" t="s">
        <v>100</v>
      </c>
      <c r="BX1301" s="2" t="s">
        <v>100</v>
      </c>
      <c r="BY1301" s="2" t="s">
        <v>112</v>
      </c>
      <c r="BZ1301" s="2" t="s">
        <v>100</v>
      </c>
    </row>
    <row r="1302">
      <c r="A1302" s="2" t="s">
        <v>4423</v>
      </c>
      <c r="B1302" s="2" t="s">
        <v>87</v>
      </c>
      <c r="C1302" s="2" t="s">
        <v>4305</v>
      </c>
      <c r="D1302" s="2" t="s">
        <v>89</v>
      </c>
      <c r="E1302" s="2" t="s">
        <v>90</v>
      </c>
      <c r="F1302" s="2" t="s">
        <v>308</v>
      </c>
      <c r="G1302" s="2" t="s">
        <v>4411</v>
      </c>
      <c r="H1302" s="2" t="s">
        <v>4412</v>
      </c>
      <c r="I1302" s="2" t="s">
        <v>1296</v>
      </c>
      <c r="J1302" s="2" t="s">
        <v>114</v>
      </c>
      <c r="K1302" s="2" t="s">
        <v>666</v>
      </c>
      <c r="L1302" s="3">
        <v>54.43</v>
      </c>
      <c r="M1302" s="3">
        <v>57.15</v>
      </c>
      <c r="N1302" s="3">
        <v>119.99</v>
      </c>
      <c r="O1302" s="2" t="s">
        <v>97</v>
      </c>
      <c r="P1302" s="2" t="s">
        <v>182</v>
      </c>
      <c r="Q1302" s="2" t="s">
        <v>99</v>
      </c>
      <c r="R1302" s="2" t="s">
        <v>100</v>
      </c>
      <c r="S1302" s="2" t="s">
        <v>4421</v>
      </c>
      <c r="T1302" s="2" t="s">
        <v>184</v>
      </c>
      <c r="U1302" s="2" t="s">
        <v>403</v>
      </c>
      <c r="V1302" s="2" t="s">
        <v>637</v>
      </c>
      <c r="W1302" s="2" t="s">
        <v>602</v>
      </c>
      <c r="X1302" s="2" t="s">
        <v>104</v>
      </c>
      <c r="Y1302" s="2" t="s">
        <v>4414</v>
      </c>
      <c r="Z1302" s="4">
        <v>122</v>
      </c>
      <c r="AA1302" s="4">
        <f>=ROUNDDOWN(7.17647058823529,0)</f>
      </c>
      <c r="AB1302" s="5">
        <v>17</v>
      </c>
      <c r="AC1302" s="2" t="s">
        <v>589</v>
      </c>
      <c r="AD1302" s="4">
        <v>70</v>
      </c>
      <c r="AE1302" s="4">
        <v>380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>
        <v>340</v>
      </c>
      <c r="BK1302" s="8">
        <v>18627.97</v>
      </c>
      <c r="BL1302" s="2" t="s">
        <v>4424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147</v>
      </c>
      <c r="BV1302" s="2" t="s">
        <v>97</v>
      </c>
      <c r="BW1302" s="2" t="s">
        <v>100</v>
      </c>
      <c r="BX1302" s="2" t="s">
        <v>100</v>
      </c>
      <c r="BY1302" s="2" t="s">
        <v>112</v>
      </c>
      <c r="BZ1302" s="2" t="s">
        <v>100</v>
      </c>
    </row>
    <row r="1303">
      <c r="A1303" s="2" t="s">
        <v>4425</v>
      </c>
      <c r="B1303" s="2" t="s">
        <v>87</v>
      </c>
      <c r="C1303" s="2" t="s">
        <v>4305</v>
      </c>
      <c r="D1303" s="2" t="s">
        <v>89</v>
      </c>
      <c r="E1303" s="2" t="s">
        <v>90</v>
      </c>
      <c r="F1303" s="2" t="s">
        <v>308</v>
      </c>
      <c r="G1303" s="2" t="s">
        <v>4411</v>
      </c>
      <c r="H1303" s="2" t="s">
        <v>4412</v>
      </c>
      <c r="I1303" s="2" t="s">
        <v>1296</v>
      </c>
      <c r="J1303" s="2" t="s">
        <v>118</v>
      </c>
      <c r="K1303" s="2" t="s">
        <v>666</v>
      </c>
      <c r="L1303" s="3">
        <v>54.43</v>
      </c>
      <c r="M1303" s="3">
        <v>57.15</v>
      </c>
      <c r="N1303" s="3">
        <v>119.99</v>
      </c>
      <c r="O1303" s="2" t="s">
        <v>97</v>
      </c>
      <c r="P1303" s="2" t="s">
        <v>182</v>
      </c>
      <c r="Q1303" s="2" t="s">
        <v>99</v>
      </c>
      <c r="R1303" s="2" t="s">
        <v>100</v>
      </c>
      <c r="S1303" s="2" t="s">
        <v>4421</v>
      </c>
      <c r="T1303" s="2" t="s">
        <v>184</v>
      </c>
      <c r="U1303" s="2" t="s">
        <v>403</v>
      </c>
      <c r="V1303" s="2" t="s">
        <v>637</v>
      </c>
      <c r="W1303" s="2" t="s">
        <v>602</v>
      </c>
      <c r="X1303" s="2" t="s">
        <v>104</v>
      </c>
      <c r="Y1303" s="2" t="s">
        <v>4414</v>
      </c>
      <c r="Z1303" s="4">
        <v>194</v>
      </c>
      <c r="AA1303" s="4">
        <f>=ROUNDDOWN(14.9230769230769,0)</f>
      </c>
      <c r="AB1303" s="5">
        <v>13</v>
      </c>
      <c r="AC1303" s="2" t="s">
        <v>589</v>
      </c>
      <c r="AD1303" s="4">
        <v>40</v>
      </c>
      <c r="AE1303" s="4">
        <v>240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>
        <v>185</v>
      </c>
      <c r="BK1303" s="8">
        <v>10411.85</v>
      </c>
      <c r="BL1303" s="2" t="s">
        <v>4426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147</v>
      </c>
      <c r="BV1303" s="2" t="s">
        <v>97</v>
      </c>
      <c r="BW1303" s="2" t="s">
        <v>100</v>
      </c>
      <c r="BX1303" s="2" t="s">
        <v>100</v>
      </c>
      <c r="BY1303" s="2" t="s">
        <v>112</v>
      </c>
      <c r="BZ1303" s="2" t="s">
        <v>100</v>
      </c>
    </row>
    <row r="1304">
      <c r="A1304" s="2" t="s">
        <v>4427</v>
      </c>
      <c r="B1304" s="2" t="s">
        <v>87</v>
      </c>
      <c r="C1304" s="2" t="s">
        <v>4305</v>
      </c>
      <c r="D1304" s="2" t="s">
        <v>2308</v>
      </c>
      <c r="E1304" s="2" t="s">
        <v>2641</v>
      </c>
      <c r="F1304" s="2" t="s">
        <v>4428</v>
      </c>
      <c r="G1304" s="2" t="s">
        <v>4429</v>
      </c>
      <c r="H1304" s="2" t="s">
        <v>4430</v>
      </c>
      <c r="I1304" s="2" t="s">
        <v>2477</v>
      </c>
      <c r="J1304" s="2" t="s">
        <v>844</v>
      </c>
      <c r="K1304" s="2" t="s">
        <v>666</v>
      </c>
      <c r="L1304" s="3">
        <v>21.6</v>
      </c>
      <c r="M1304" s="3">
        <v>22.68</v>
      </c>
      <c r="N1304" s="3">
        <v>59.99</v>
      </c>
      <c r="O1304" s="2" t="s">
        <v>97</v>
      </c>
      <c r="P1304" s="2" t="s">
        <v>182</v>
      </c>
      <c r="Q1304" s="2" t="s">
        <v>99</v>
      </c>
      <c r="R1304" s="2" t="s">
        <v>100</v>
      </c>
      <c r="S1304" s="2" t="s">
        <v>4431</v>
      </c>
      <c r="T1304" s="2" t="s">
        <v>100</v>
      </c>
      <c r="U1304" s="2" t="s">
        <v>1610</v>
      </c>
      <c r="V1304" s="2" t="s">
        <v>601</v>
      </c>
      <c r="W1304" s="2" t="s">
        <v>759</v>
      </c>
      <c r="X1304" s="2" t="s">
        <v>2369</v>
      </c>
      <c r="Y1304" s="2" t="s">
        <v>4432</v>
      </c>
      <c r="Z1304" s="4">
        <v>514</v>
      </c>
      <c r="AA1304" s="4">
        <f>=ROUNDDOWN(30.2352941176471,0)</f>
      </c>
      <c r="AB1304" s="5">
        <v>17</v>
      </c>
      <c r="AC1304" s="2" t="s">
        <v>1698</v>
      </c>
      <c r="AD1304" s="4">
        <v>100</v>
      </c>
      <c r="AE1304" s="4">
        <v>100</v>
      </c>
      <c r="AF1304" s="6">
        <v>65</v>
      </c>
      <c r="AG1304" s="6">
        <v>48</v>
      </c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>
        <v>0</v>
      </c>
      <c r="AP1304" s="4">
        <v>2</v>
      </c>
      <c r="AQ1304" s="8">
        <v>45.36</v>
      </c>
      <c r="AR1304" s="4"/>
      <c r="AS1304" s="8"/>
      <c r="AT1304" s="7"/>
      <c r="AU1304" s="7"/>
      <c r="AV1304" s="4">
        <v>10</v>
      </c>
      <c r="AW1304" s="8">
        <v>268.8</v>
      </c>
      <c r="AX1304" s="4">
        <v>2</v>
      </c>
      <c r="AY1304" s="8">
        <v>55.86</v>
      </c>
      <c r="AZ1304" s="7">
        <v>4</v>
      </c>
      <c r="BA1304" s="7">
        <v>3.812</v>
      </c>
      <c r="BB1304" s="7">
        <v>0.1688</v>
      </c>
      <c r="BC1304" s="4">
        <v>10</v>
      </c>
      <c r="BD1304" s="8">
        <v>268.8</v>
      </c>
      <c r="BE1304" s="4">
        <v>2</v>
      </c>
      <c r="BF1304" s="8">
        <v>55.86</v>
      </c>
      <c r="BG1304" s="7">
        <v>4</v>
      </c>
      <c r="BH1304" s="7">
        <v>3.812</v>
      </c>
      <c r="BI1304" s="7">
        <v>1</v>
      </c>
      <c r="BJ1304" s="4">
        <v>395</v>
      </c>
      <c r="BK1304" s="8">
        <v>9139.9</v>
      </c>
      <c r="BL1304" s="2" t="s">
        <v>4433</v>
      </c>
      <c r="BM1304" s="7">
        <v>0.0051</v>
      </c>
      <c r="BN1304" s="7">
        <v>0.005</v>
      </c>
      <c r="BO1304" s="4">
        <v>2</v>
      </c>
      <c r="BP1304" s="8">
        <v>45.36</v>
      </c>
      <c r="BQ1304" s="4"/>
      <c r="BR1304" s="8"/>
      <c r="BS1304" s="7"/>
      <c r="BT1304" s="7"/>
      <c r="BU1304" s="2" t="s">
        <v>109</v>
      </c>
      <c r="BV1304" s="2" t="s">
        <v>97</v>
      </c>
      <c r="BW1304" s="2" t="s">
        <v>110</v>
      </c>
      <c r="BX1304" s="2" t="s">
        <v>2728</v>
      </c>
      <c r="BY1304" s="2" t="s">
        <v>112</v>
      </c>
      <c r="BZ1304" s="2" t="s">
        <v>100</v>
      </c>
    </row>
    <row r="1305">
      <c r="A1305" s="2" t="s">
        <v>4434</v>
      </c>
      <c r="B1305" s="2" t="s">
        <v>87</v>
      </c>
      <c r="C1305" s="2" t="s">
        <v>4305</v>
      </c>
      <c r="D1305" s="2" t="s">
        <v>2308</v>
      </c>
      <c r="E1305" s="2" t="s">
        <v>2641</v>
      </c>
      <c r="F1305" s="2" t="s">
        <v>4428</v>
      </c>
      <c r="G1305" s="2" t="s">
        <v>4429</v>
      </c>
      <c r="H1305" s="2" t="s">
        <v>4430</v>
      </c>
      <c r="I1305" s="2" t="s">
        <v>2477</v>
      </c>
      <c r="J1305" s="2" t="s">
        <v>850</v>
      </c>
      <c r="K1305" s="2" t="s">
        <v>666</v>
      </c>
      <c r="L1305" s="3">
        <v>26.6</v>
      </c>
      <c r="M1305" s="3">
        <v>27.93</v>
      </c>
      <c r="N1305" s="3">
        <v>69.99</v>
      </c>
      <c r="O1305" s="2" t="s">
        <v>97</v>
      </c>
      <c r="P1305" s="2" t="s">
        <v>182</v>
      </c>
      <c r="Q1305" s="2" t="s">
        <v>99</v>
      </c>
      <c r="R1305" s="2" t="s">
        <v>100</v>
      </c>
      <c r="S1305" s="2" t="s">
        <v>4431</v>
      </c>
      <c r="T1305" s="2" t="s">
        <v>100</v>
      </c>
      <c r="U1305" s="2" t="s">
        <v>1610</v>
      </c>
      <c r="V1305" s="2" t="s">
        <v>601</v>
      </c>
      <c r="W1305" s="2" t="s">
        <v>759</v>
      </c>
      <c r="X1305" s="2" t="s">
        <v>2369</v>
      </c>
      <c r="Y1305" s="2" t="s">
        <v>4432</v>
      </c>
      <c r="Z1305" s="4">
        <v>367</v>
      </c>
      <c r="AA1305" s="4">
        <f>=ROUNDDOWN(28.2307692307692,0)</f>
      </c>
      <c r="AB1305" s="5">
        <v>13</v>
      </c>
      <c r="AC1305" s="2" t="s">
        <v>1698</v>
      </c>
      <c r="AD1305" s="4">
        <v>190</v>
      </c>
      <c r="AE1305" s="4">
        <v>190</v>
      </c>
      <c r="AF1305" s="6">
        <v>65</v>
      </c>
      <c r="AG1305" s="6">
        <v>48</v>
      </c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>
        <v>0</v>
      </c>
      <c r="AP1305" s="4">
        <v>8</v>
      </c>
      <c r="AQ1305" s="8">
        <v>223.44</v>
      </c>
      <c r="AR1305" s="4">
        <v>2</v>
      </c>
      <c r="AS1305" s="8">
        <v>55.86</v>
      </c>
      <c r="AT1305" s="7">
        <v>3</v>
      </c>
      <c r="AU1305" s="7">
        <v>3</v>
      </c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>
        <v>0.8312</v>
      </c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 t="s">
        <v>100</v>
      </c>
      <c r="BJ1305" s="4">
        <v>352</v>
      </c>
      <c r="BK1305" s="8">
        <v>9796.32</v>
      </c>
      <c r="BL1305" s="2" t="s">
        <v>4435</v>
      </c>
      <c r="BM1305" s="7">
        <v>0.0227</v>
      </c>
      <c r="BN1305" s="7">
        <v>0.0228</v>
      </c>
      <c r="BO1305" s="4">
        <v>8</v>
      </c>
      <c r="BP1305" s="8">
        <v>223.44</v>
      </c>
      <c r="BQ1305" s="4">
        <v>2</v>
      </c>
      <c r="BR1305" s="8">
        <v>55.86</v>
      </c>
      <c r="BS1305" s="7">
        <v>3</v>
      </c>
      <c r="BT1305" s="7">
        <v>3</v>
      </c>
      <c r="BU1305" s="2" t="s">
        <v>109</v>
      </c>
      <c r="BV1305" s="2" t="s">
        <v>97</v>
      </c>
      <c r="BW1305" s="2" t="s">
        <v>110</v>
      </c>
      <c r="BX1305" s="2" t="s">
        <v>2728</v>
      </c>
      <c r="BY1305" s="2" t="s">
        <v>112</v>
      </c>
      <c r="BZ1305" s="2" t="s">
        <v>100</v>
      </c>
    </row>
    <row r="1306">
      <c r="A1306" s="2" t="s">
        <v>4436</v>
      </c>
      <c r="B1306" s="2" t="s">
        <v>87</v>
      </c>
      <c r="C1306" s="2" t="s">
        <v>4305</v>
      </c>
      <c r="D1306" s="2" t="s">
        <v>2308</v>
      </c>
      <c r="E1306" s="2" t="s">
        <v>2641</v>
      </c>
      <c r="F1306" s="2" t="s">
        <v>4428</v>
      </c>
      <c r="G1306" s="2" t="s">
        <v>4429</v>
      </c>
      <c r="H1306" s="2" t="s">
        <v>4430</v>
      </c>
      <c r="I1306" s="2" t="s">
        <v>2477</v>
      </c>
      <c r="J1306" s="2" t="s">
        <v>844</v>
      </c>
      <c r="K1306" s="2" t="s">
        <v>333</v>
      </c>
      <c r="L1306" s="3">
        <v>21.6</v>
      </c>
      <c r="M1306" s="3">
        <v>22.68</v>
      </c>
      <c r="N1306" s="3">
        <v>59.99</v>
      </c>
      <c r="O1306" s="2" t="s">
        <v>97</v>
      </c>
      <c r="P1306" s="2" t="s">
        <v>1265</v>
      </c>
      <c r="Q1306" s="2" t="s">
        <v>99</v>
      </c>
      <c r="R1306" s="2" t="s">
        <v>100</v>
      </c>
      <c r="S1306" s="2" t="s">
        <v>4437</v>
      </c>
      <c r="T1306" s="2" t="s">
        <v>100</v>
      </c>
      <c r="U1306" s="2" t="s">
        <v>1610</v>
      </c>
      <c r="V1306" s="2" t="s">
        <v>601</v>
      </c>
      <c r="W1306" s="2" t="s">
        <v>759</v>
      </c>
      <c r="X1306" s="2" t="s">
        <v>2369</v>
      </c>
      <c r="Y1306" s="2" t="s">
        <v>4432</v>
      </c>
      <c r="Z1306" s="4">
        <v>383</v>
      </c>
      <c r="AA1306" s="4">
        <f>=ROUNDDOWN(47.875,0)</f>
      </c>
      <c r="AB1306" s="5">
        <v>8</v>
      </c>
      <c r="AC1306" s="2" t="s">
        <v>100</v>
      </c>
      <c r="AD1306" s="4"/>
      <c r="AE1306" s="4"/>
      <c r="AF1306" s="6">
        <v>65</v>
      </c>
      <c r="AG1306" s="6">
        <v>48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 t="s">
        <v>100</v>
      </c>
      <c r="BJ1306" s="4">
        <v>152</v>
      </c>
      <c r="BK1306" s="8">
        <v>3440.13</v>
      </c>
      <c r="BL1306" s="2" t="s">
        <v>4438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147</v>
      </c>
      <c r="BV1306" s="2" t="s">
        <v>97</v>
      </c>
      <c r="BW1306" s="2" t="s">
        <v>100</v>
      </c>
      <c r="BX1306" s="2" t="s">
        <v>100</v>
      </c>
      <c r="BY1306" s="2" t="s">
        <v>112</v>
      </c>
      <c r="BZ1306" s="2" t="s">
        <v>100</v>
      </c>
    </row>
    <row r="1307">
      <c r="A1307" s="2" t="s">
        <v>4439</v>
      </c>
      <c r="B1307" s="2" t="s">
        <v>87</v>
      </c>
      <c r="C1307" s="2" t="s">
        <v>4305</v>
      </c>
      <c r="D1307" s="2" t="s">
        <v>2308</v>
      </c>
      <c r="E1307" s="2" t="s">
        <v>2641</v>
      </c>
      <c r="F1307" s="2" t="s">
        <v>4428</v>
      </c>
      <c r="G1307" s="2" t="s">
        <v>4429</v>
      </c>
      <c r="H1307" s="2" t="s">
        <v>4430</v>
      </c>
      <c r="I1307" s="2" t="s">
        <v>2477</v>
      </c>
      <c r="J1307" s="2" t="s">
        <v>850</v>
      </c>
      <c r="K1307" s="2" t="s">
        <v>333</v>
      </c>
      <c r="L1307" s="3">
        <v>26.6</v>
      </c>
      <c r="M1307" s="3">
        <v>27.93</v>
      </c>
      <c r="N1307" s="3">
        <v>69.99</v>
      </c>
      <c r="O1307" s="2" t="s">
        <v>97</v>
      </c>
      <c r="P1307" s="2" t="s">
        <v>1265</v>
      </c>
      <c r="Q1307" s="2" t="s">
        <v>99</v>
      </c>
      <c r="R1307" s="2" t="s">
        <v>100</v>
      </c>
      <c r="S1307" s="2" t="s">
        <v>4437</v>
      </c>
      <c r="T1307" s="2" t="s">
        <v>100</v>
      </c>
      <c r="U1307" s="2" t="s">
        <v>1610</v>
      </c>
      <c r="V1307" s="2" t="s">
        <v>601</v>
      </c>
      <c r="W1307" s="2" t="s">
        <v>759</v>
      </c>
      <c r="X1307" s="2" t="s">
        <v>2369</v>
      </c>
      <c r="Y1307" s="2" t="s">
        <v>4432</v>
      </c>
      <c r="Z1307" s="4">
        <v>323</v>
      </c>
      <c r="AA1307" s="4">
        <f>=ROUNDDOWN(32.3,0)</f>
      </c>
      <c r="AB1307" s="5">
        <v>10</v>
      </c>
      <c r="AC1307" s="2" t="s">
        <v>100</v>
      </c>
      <c r="AD1307" s="4"/>
      <c r="AE1307" s="4"/>
      <c r="AF1307" s="6">
        <v>65</v>
      </c>
      <c r="AG1307" s="6">
        <v>48</v>
      </c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 t="s">
        <v>100</v>
      </c>
      <c r="BJ1307" s="4">
        <v>215</v>
      </c>
      <c r="BK1307" s="8">
        <v>5961.88</v>
      </c>
      <c r="BL1307" s="2" t="s">
        <v>4440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147</v>
      </c>
      <c r="BV1307" s="2" t="s">
        <v>97</v>
      </c>
      <c r="BW1307" s="2" t="s">
        <v>100</v>
      </c>
      <c r="BX1307" s="2" t="s">
        <v>100</v>
      </c>
      <c r="BY1307" s="2" t="s">
        <v>112</v>
      </c>
      <c r="BZ1307" s="2" t="s">
        <v>100</v>
      </c>
    </row>
    <row r="1308">
      <c r="A1308" s="2" t="s">
        <v>4441</v>
      </c>
      <c r="B1308" s="2" t="s">
        <v>87</v>
      </c>
      <c r="C1308" s="2" t="s">
        <v>4305</v>
      </c>
      <c r="D1308" s="2" t="s">
        <v>2308</v>
      </c>
      <c r="E1308" s="2" t="s">
        <v>2641</v>
      </c>
      <c r="F1308" s="2" t="s">
        <v>4428</v>
      </c>
      <c r="G1308" s="2" t="s">
        <v>4429</v>
      </c>
      <c r="H1308" s="2" t="s">
        <v>4430</v>
      </c>
      <c r="I1308" s="2" t="s">
        <v>2477</v>
      </c>
      <c r="J1308" s="2" t="s">
        <v>844</v>
      </c>
      <c r="K1308" s="2" t="s">
        <v>1018</v>
      </c>
      <c r="L1308" s="3">
        <v>21.6</v>
      </c>
      <c r="M1308" s="3">
        <v>22.68</v>
      </c>
      <c r="N1308" s="3">
        <v>59.99</v>
      </c>
      <c r="O1308" s="2" t="s">
        <v>97</v>
      </c>
      <c r="P1308" s="2" t="s">
        <v>182</v>
      </c>
      <c r="Q1308" s="2" t="s">
        <v>99</v>
      </c>
      <c r="R1308" s="2" t="s">
        <v>100</v>
      </c>
      <c r="S1308" s="2" t="s">
        <v>4442</v>
      </c>
      <c r="T1308" s="2" t="s">
        <v>100</v>
      </c>
      <c r="U1308" s="2" t="s">
        <v>1610</v>
      </c>
      <c r="V1308" s="2" t="s">
        <v>601</v>
      </c>
      <c r="W1308" s="2" t="s">
        <v>759</v>
      </c>
      <c r="X1308" s="2" t="s">
        <v>2369</v>
      </c>
      <c r="Y1308" s="2" t="s">
        <v>4432</v>
      </c>
      <c r="Z1308" s="4">
        <v>489</v>
      </c>
      <c r="AA1308" s="4">
        <f>=ROUNDDOWN(54.3333333333333,0)</f>
      </c>
      <c r="AB1308" s="5">
        <v>9</v>
      </c>
      <c r="AC1308" s="2" t="s">
        <v>100</v>
      </c>
      <c r="AD1308" s="4"/>
      <c r="AE1308" s="4"/>
      <c r="AF1308" s="6">
        <v>65</v>
      </c>
      <c r="AG1308" s="6">
        <v>48</v>
      </c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 t="s">
        <v>100</v>
      </c>
      <c r="BJ1308" s="4">
        <v>214</v>
      </c>
      <c r="BK1308" s="8">
        <v>4859.41</v>
      </c>
      <c r="BL1308" s="2" t="s">
        <v>4443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147</v>
      </c>
      <c r="BV1308" s="2" t="s">
        <v>97</v>
      </c>
      <c r="BW1308" s="2" t="s">
        <v>100</v>
      </c>
      <c r="BX1308" s="2" t="s">
        <v>100</v>
      </c>
      <c r="BY1308" s="2" t="s">
        <v>112</v>
      </c>
      <c r="BZ1308" s="2" t="s">
        <v>100</v>
      </c>
    </row>
    <row r="1309">
      <c r="A1309" s="2" t="s">
        <v>4444</v>
      </c>
      <c r="B1309" s="2" t="s">
        <v>87</v>
      </c>
      <c r="C1309" s="2" t="s">
        <v>4305</v>
      </c>
      <c r="D1309" s="2" t="s">
        <v>2308</v>
      </c>
      <c r="E1309" s="2" t="s">
        <v>2641</v>
      </c>
      <c r="F1309" s="2" t="s">
        <v>4428</v>
      </c>
      <c r="G1309" s="2" t="s">
        <v>4429</v>
      </c>
      <c r="H1309" s="2" t="s">
        <v>4430</v>
      </c>
      <c r="I1309" s="2" t="s">
        <v>2477</v>
      </c>
      <c r="J1309" s="2" t="s">
        <v>850</v>
      </c>
      <c r="K1309" s="2" t="s">
        <v>1018</v>
      </c>
      <c r="L1309" s="3">
        <v>26.6</v>
      </c>
      <c r="M1309" s="3">
        <v>27.93</v>
      </c>
      <c r="N1309" s="3">
        <v>69.99</v>
      </c>
      <c r="O1309" s="2" t="s">
        <v>97</v>
      </c>
      <c r="P1309" s="2" t="s">
        <v>182</v>
      </c>
      <c r="Q1309" s="2" t="s">
        <v>99</v>
      </c>
      <c r="R1309" s="2" t="s">
        <v>100</v>
      </c>
      <c r="S1309" s="2" t="s">
        <v>4442</v>
      </c>
      <c r="T1309" s="2" t="s">
        <v>100</v>
      </c>
      <c r="U1309" s="2" t="s">
        <v>1610</v>
      </c>
      <c r="V1309" s="2" t="s">
        <v>601</v>
      </c>
      <c r="W1309" s="2" t="s">
        <v>759</v>
      </c>
      <c r="X1309" s="2" t="s">
        <v>2369</v>
      </c>
      <c r="Y1309" s="2" t="s">
        <v>4432</v>
      </c>
      <c r="Z1309" s="4">
        <v>205</v>
      </c>
      <c r="AA1309" s="4">
        <f>=ROUNDDOWN(29.2857142857143,0)</f>
      </c>
      <c r="AB1309" s="5">
        <v>7</v>
      </c>
      <c r="AC1309" s="2" t="s">
        <v>100</v>
      </c>
      <c r="AD1309" s="4"/>
      <c r="AE1309" s="4"/>
      <c r="AF1309" s="6">
        <v>65</v>
      </c>
      <c r="AG1309" s="6">
        <v>48</v>
      </c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 t="s">
        <v>100</v>
      </c>
      <c r="BJ1309" s="4">
        <v>207</v>
      </c>
      <c r="BK1309" s="8">
        <v>5644.77</v>
      </c>
      <c r="BL1309" s="2" t="s">
        <v>4445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147</v>
      </c>
      <c r="BV1309" s="2" t="s">
        <v>97</v>
      </c>
      <c r="BW1309" s="2" t="s">
        <v>100</v>
      </c>
      <c r="BX1309" s="2" t="s">
        <v>100</v>
      </c>
      <c r="BY1309" s="2" t="s">
        <v>112</v>
      </c>
      <c r="BZ1309" s="2" t="s">
        <v>100</v>
      </c>
    </row>
    <row r="1310">
      <c r="A1310" s="2" t="s">
        <v>4446</v>
      </c>
      <c r="B1310" s="2" t="s">
        <v>87</v>
      </c>
      <c r="C1310" s="2" t="s">
        <v>4305</v>
      </c>
      <c r="D1310" s="2" t="s">
        <v>2308</v>
      </c>
      <c r="E1310" s="2" t="s">
        <v>2927</v>
      </c>
      <c r="F1310" s="2" t="s">
        <v>4447</v>
      </c>
      <c r="G1310" s="2" t="s">
        <v>4448</v>
      </c>
      <c r="H1310" s="2" t="s">
        <v>4449</v>
      </c>
      <c r="I1310" s="2" t="s">
        <v>3090</v>
      </c>
      <c r="J1310" s="2" t="s">
        <v>844</v>
      </c>
      <c r="K1310" s="2" t="s">
        <v>713</v>
      </c>
      <c r="L1310" s="3">
        <v>32</v>
      </c>
      <c r="M1310" s="3">
        <v>33.6</v>
      </c>
      <c r="N1310" s="3">
        <v>79.99</v>
      </c>
      <c r="O1310" s="2" t="s">
        <v>97</v>
      </c>
      <c r="P1310" s="2" t="s">
        <v>143</v>
      </c>
      <c r="Q1310" s="2" t="s">
        <v>99</v>
      </c>
      <c r="R1310" s="2" t="s">
        <v>100</v>
      </c>
      <c r="S1310" s="2" t="s">
        <v>4450</v>
      </c>
      <c r="T1310" s="2" t="s">
        <v>184</v>
      </c>
      <c r="U1310" s="2" t="s">
        <v>1610</v>
      </c>
      <c r="V1310" s="2" t="s">
        <v>601</v>
      </c>
      <c r="W1310" s="2" t="s">
        <v>759</v>
      </c>
      <c r="X1310" s="2" t="s">
        <v>104</v>
      </c>
      <c r="Y1310" s="2" t="s">
        <v>4451</v>
      </c>
      <c r="Z1310" s="4">
        <v>1016</v>
      </c>
      <c r="AA1310" s="4">
        <f>=ROUNDDOWN(37.6296296296296,0)</f>
      </c>
      <c r="AB1310" s="5">
        <v>27</v>
      </c>
      <c r="AC1310" s="2" t="s">
        <v>130</v>
      </c>
      <c r="AD1310" s="4">
        <v>100</v>
      </c>
      <c r="AE1310" s="4">
        <v>400</v>
      </c>
      <c r="AF1310" s="6">
        <v>65</v>
      </c>
      <c r="AG1310" s="6">
        <v>48</v>
      </c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>
        <v>0</v>
      </c>
      <c r="AP1310" s="4">
        <v>1</v>
      </c>
      <c r="AQ1310" s="8">
        <v>33.6</v>
      </c>
      <c r="AR1310" s="4">
        <v>9</v>
      </c>
      <c r="AS1310" s="8">
        <v>302.4</v>
      </c>
      <c r="AT1310" s="7">
        <v>-0.8889</v>
      </c>
      <c r="AU1310" s="7">
        <v>-0.8889</v>
      </c>
      <c r="AV1310" s="4">
        <v>6</v>
      </c>
      <c r="AW1310" s="8">
        <v>232.05</v>
      </c>
      <c r="AX1310" s="4">
        <v>13</v>
      </c>
      <c r="AY1310" s="8">
        <v>461.16</v>
      </c>
      <c r="AZ1310" s="7">
        <v>-0.5385</v>
      </c>
      <c r="BA1310" s="7">
        <v>-0.4968</v>
      </c>
      <c r="BB1310" s="7">
        <v>0.1448</v>
      </c>
      <c r="BC1310" s="4">
        <v>6</v>
      </c>
      <c r="BD1310" s="8">
        <v>232.05</v>
      </c>
      <c r="BE1310" s="4">
        <v>22</v>
      </c>
      <c r="BF1310" s="8">
        <v>806.19</v>
      </c>
      <c r="BG1310" s="7">
        <v>-0.7273</v>
      </c>
      <c r="BH1310" s="7">
        <v>-0.7122</v>
      </c>
      <c r="BI1310" s="7">
        <v>1</v>
      </c>
      <c r="BJ1310" s="4">
        <v>582</v>
      </c>
      <c r="BK1310" s="8">
        <v>19949.8</v>
      </c>
      <c r="BL1310" s="2" t="s">
        <v>4452</v>
      </c>
      <c r="BM1310" s="7">
        <v>0.0017</v>
      </c>
      <c r="BN1310" s="7">
        <v>0.0017</v>
      </c>
      <c r="BO1310" s="4">
        <v>1</v>
      </c>
      <c r="BP1310" s="8">
        <v>33.6</v>
      </c>
      <c r="BQ1310" s="4">
        <v>9</v>
      </c>
      <c r="BR1310" s="8">
        <v>302.4</v>
      </c>
      <c r="BS1310" s="7">
        <v>-0.8889</v>
      </c>
      <c r="BT1310" s="7">
        <v>-0.8889</v>
      </c>
      <c r="BU1310" s="2" t="s">
        <v>109</v>
      </c>
      <c r="BV1310" s="2" t="s">
        <v>97</v>
      </c>
      <c r="BW1310" s="2" t="s">
        <v>110</v>
      </c>
      <c r="BX1310" s="2" t="s">
        <v>4453</v>
      </c>
      <c r="BY1310" s="2" t="s">
        <v>112</v>
      </c>
      <c r="BZ1310" s="2" t="s">
        <v>100</v>
      </c>
    </row>
    <row r="1311">
      <c r="A1311" s="2" t="s">
        <v>4454</v>
      </c>
      <c r="B1311" s="2" t="s">
        <v>87</v>
      </c>
      <c r="C1311" s="2" t="s">
        <v>4305</v>
      </c>
      <c r="D1311" s="2" t="s">
        <v>2308</v>
      </c>
      <c r="E1311" s="2" t="s">
        <v>2927</v>
      </c>
      <c r="F1311" s="2" t="s">
        <v>4447</v>
      </c>
      <c r="G1311" s="2" t="s">
        <v>4448</v>
      </c>
      <c r="H1311" s="2" t="s">
        <v>4449</v>
      </c>
      <c r="I1311" s="2" t="s">
        <v>3090</v>
      </c>
      <c r="J1311" s="2" t="s">
        <v>850</v>
      </c>
      <c r="K1311" s="2" t="s">
        <v>713</v>
      </c>
      <c r="L1311" s="3">
        <v>37.8</v>
      </c>
      <c r="M1311" s="3">
        <v>39.69</v>
      </c>
      <c r="N1311" s="3">
        <v>89.99</v>
      </c>
      <c r="O1311" s="2" t="s">
        <v>97</v>
      </c>
      <c r="P1311" s="2" t="s">
        <v>143</v>
      </c>
      <c r="Q1311" s="2" t="s">
        <v>99</v>
      </c>
      <c r="R1311" s="2" t="s">
        <v>100</v>
      </c>
      <c r="S1311" s="2" t="s">
        <v>4450</v>
      </c>
      <c r="T1311" s="2" t="s">
        <v>184</v>
      </c>
      <c r="U1311" s="2" t="s">
        <v>1610</v>
      </c>
      <c r="V1311" s="2" t="s">
        <v>601</v>
      </c>
      <c r="W1311" s="2" t="s">
        <v>759</v>
      </c>
      <c r="X1311" s="2" t="s">
        <v>104</v>
      </c>
      <c r="Y1311" s="2" t="s">
        <v>4451</v>
      </c>
      <c r="Z1311" s="4">
        <v>1241</v>
      </c>
      <c r="AA1311" s="4">
        <f>=ROUNDDOWN(36.5,0)</f>
      </c>
      <c r="AB1311" s="5">
        <v>34</v>
      </c>
      <c r="AC1311" s="2" t="s">
        <v>130</v>
      </c>
      <c r="AD1311" s="4">
        <v>200</v>
      </c>
      <c r="AE1311" s="4">
        <v>500</v>
      </c>
      <c r="AF1311" s="6">
        <v>65</v>
      </c>
      <c r="AG1311" s="6">
        <v>48</v>
      </c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>
        <v>0</v>
      </c>
      <c r="AP1311" s="4">
        <v>5</v>
      </c>
      <c r="AQ1311" s="8">
        <v>198.45</v>
      </c>
      <c r="AR1311" s="4">
        <v>4</v>
      </c>
      <c r="AS1311" s="8">
        <v>158.76</v>
      </c>
      <c r="AT1311" s="7">
        <v>0.25</v>
      </c>
      <c r="AU1311" s="7">
        <v>0.25</v>
      </c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>
        <v>0.8552</v>
      </c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 t="s">
        <v>100</v>
      </c>
      <c r="BJ1311" s="4">
        <v>817</v>
      </c>
      <c r="BK1311" s="8">
        <v>32856.85</v>
      </c>
      <c r="BL1311" s="2" t="s">
        <v>4455</v>
      </c>
      <c r="BM1311" s="7">
        <v>0.0061</v>
      </c>
      <c r="BN1311" s="7">
        <v>0.006</v>
      </c>
      <c r="BO1311" s="4">
        <v>5</v>
      </c>
      <c r="BP1311" s="8">
        <v>198.45</v>
      </c>
      <c r="BQ1311" s="4">
        <v>4</v>
      </c>
      <c r="BR1311" s="8">
        <v>158.76</v>
      </c>
      <c r="BS1311" s="7">
        <v>0.25</v>
      </c>
      <c r="BT1311" s="7">
        <v>0.25</v>
      </c>
      <c r="BU1311" s="2" t="s">
        <v>109</v>
      </c>
      <c r="BV1311" s="2" t="s">
        <v>97</v>
      </c>
      <c r="BW1311" s="2" t="s">
        <v>110</v>
      </c>
      <c r="BX1311" s="2" t="s">
        <v>4401</v>
      </c>
      <c r="BY1311" s="2" t="s">
        <v>112</v>
      </c>
      <c r="BZ1311" s="2" t="s">
        <v>100</v>
      </c>
    </row>
    <row r="1312">
      <c r="A1312" s="2" t="s">
        <v>4456</v>
      </c>
      <c r="B1312" s="2" t="s">
        <v>87</v>
      </c>
      <c r="C1312" s="2" t="s">
        <v>4305</v>
      </c>
      <c r="D1312" s="2" t="s">
        <v>2308</v>
      </c>
      <c r="E1312" s="2" t="s">
        <v>2927</v>
      </c>
      <c r="F1312" s="2" t="s">
        <v>4447</v>
      </c>
      <c r="G1312" s="2" t="s">
        <v>4448</v>
      </c>
      <c r="H1312" s="2" t="s">
        <v>4449</v>
      </c>
      <c r="I1312" s="2" t="s">
        <v>3090</v>
      </c>
      <c r="J1312" s="2" t="s">
        <v>844</v>
      </c>
      <c r="K1312" s="2" t="s">
        <v>2367</v>
      </c>
      <c r="L1312" s="3">
        <v>32</v>
      </c>
      <c r="M1312" s="3">
        <v>33.6</v>
      </c>
      <c r="N1312" s="3">
        <v>79.99</v>
      </c>
      <c r="O1312" s="2" t="s">
        <v>97</v>
      </c>
      <c r="P1312" s="2" t="s">
        <v>143</v>
      </c>
      <c r="Q1312" s="2" t="s">
        <v>99</v>
      </c>
      <c r="R1312" s="2" t="s">
        <v>100</v>
      </c>
      <c r="S1312" s="2" t="s">
        <v>4457</v>
      </c>
      <c r="T1312" s="2" t="s">
        <v>184</v>
      </c>
      <c r="U1312" s="2" t="s">
        <v>1610</v>
      </c>
      <c r="V1312" s="2" t="s">
        <v>601</v>
      </c>
      <c r="W1312" s="2" t="s">
        <v>759</v>
      </c>
      <c r="X1312" s="2" t="s">
        <v>104</v>
      </c>
      <c r="Y1312" s="2" t="s">
        <v>4451</v>
      </c>
      <c r="Z1312" s="4">
        <v>835</v>
      </c>
      <c r="AA1312" s="4">
        <f>=ROUNDDOWN(33.4,0)</f>
      </c>
      <c r="AB1312" s="5">
        <v>25</v>
      </c>
      <c r="AC1312" s="2" t="s">
        <v>1193</v>
      </c>
      <c r="AD1312" s="4">
        <v>50</v>
      </c>
      <c r="AE1312" s="4">
        <v>350</v>
      </c>
      <c r="AF1312" s="6">
        <v>65</v>
      </c>
      <c r="AG1312" s="6">
        <v>48</v>
      </c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>
        <v>0</v>
      </c>
      <c r="AP1312" s="4"/>
      <c r="AQ1312" s="8"/>
      <c r="AR1312" s="4">
        <v>2</v>
      </c>
      <c r="AS1312" s="8">
        <v>67.2</v>
      </c>
      <c r="AT1312" s="7">
        <v>-1</v>
      </c>
      <c r="AU1312" s="7">
        <v>-1</v>
      </c>
      <c r="AV1312" s="4" t="s">
        <v>100</v>
      </c>
      <c r="AW1312" s="8" t="s">
        <v>100</v>
      </c>
      <c r="AX1312" s="4">
        <v>9</v>
      </c>
      <c r="AY1312" s="8">
        <v>345.03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 t="s">
        <v>100</v>
      </c>
      <c r="BJ1312" s="4">
        <v>562</v>
      </c>
      <c r="BK1312" s="8">
        <v>19301.72</v>
      </c>
      <c r="BL1312" s="2" t="s">
        <v>4458</v>
      </c>
      <c r="BM1312" s="7"/>
      <c r="BN1312" s="7"/>
      <c r="BO1312" s="4"/>
      <c r="BP1312" s="8"/>
      <c r="BQ1312" s="4">
        <v>2</v>
      </c>
      <c r="BR1312" s="8">
        <v>67.2</v>
      </c>
      <c r="BS1312" s="7">
        <v>-1</v>
      </c>
      <c r="BT1312" s="7">
        <v>-1</v>
      </c>
      <c r="BU1312" s="2" t="s">
        <v>109</v>
      </c>
      <c r="BV1312" s="2" t="s">
        <v>97</v>
      </c>
      <c r="BW1312" s="2" t="s">
        <v>4459</v>
      </c>
      <c r="BX1312" s="2" t="s">
        <v>4460</v>
      </c>
      <c r="BY1312" s="2" t="s">
        <v>112</v>
      </c>
      <c r="BZ1312" s="2" t="s">
        <v>100</v>
      </c>
    </row>
    <row r="1313">
      <c r="A1313" s="2" t="s">
        <v>4461</v>
      </c>
      <c r="B1313" s="2" t="s">
        <v>87</v>
      </c>
      <c r="C1313" s="2" t="s">
        <v>4305</v>
      </c>
      <c r="D1313" s="2" t="s">
        <v>2308</v>
      </c>
      <c r="E1313" s="2" t="s">
        <v>2927</v>
      </c>
      <c r="F1313" s="2" t="s">
        <v>4447</v>
      </c>
      <c r="G1313" s="2" t="s">
        <v>4448</v>
      </c>
      <c r="H1313" s="2" t="s">
        <v>4449</v>
      </c>
      <c r="I1313" s="2" t="s">
        <v>3090</v>
      </c>
      <c r="J1313" s="2" t="s">
        <v>850</v>
      </c>
      <c r="K1313" s="2" t="s">
        <v>2367</v>
      </c>
      <c r="L1313" s="3">
        <v>37.8</v>
      </c>
      <c r="M1313" s="3">
        <v>39.69</v>
      </c>
      <c r="N1313" s="3">
        <v>89.99</v>
      </c>
      <c r="O1313" s="2" t="s">
        <v>97</v>
      </c>
      <c r="P1313" s="2" t="s">
        <v>143</v>
      </c>
      <c r="Q1313" s="2" t="s">
        <v>99</v>
      </c>
      <c r="R1313" s="2" t="s">
        <v>100</v>
      </c>
      <c r="S1313" s="2" t="s">
        <v>4457</v>
      </c>
      <c r="T1313" s="2" t="s">
        <v>184</v>
      </c>
      <c r="U1313" s="2" t="s">
        <v>1610</v>
      </c>
      <c r="V1313" s="2" t="s">
        <v>601</v>
      </c>
      <c r="W1313" s="2" t="s">
        <v>759</v>
      </c>
      <c r="X1313" s="2" t="s">
        <v>104</v>
      </c>
      <c r="Y1313" s="2" t="s">
        <v>4451</v>
      </c>
      <c r="Z1313" s="4">
        <v>1297</v>
      </c>
      <c r="AA1313" s="4">
        <f>=ROUNDDOWN(29.4772727272727,0)</f>
      </c>
      <c r="AB1313" s="5">
        <v>44</v>
      </c>
      <c r="AC1313" s="2" t="s">
        <v>792</v>
      </c>
      <c r="AD1313" s="4">
        <v>100</v>
      </c>
      <c r="AE1313" s="4">
        <v>300</v>
      </c>
      <c r="AF1313" s="6">
        <v>65</v>
      </c>
      <c r="AG1313" s="6">
        <v>48</v>
      </c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>
        <v>0</v>
      </c>
      <c r="AP1313" s="4"/>
      <c r="AQ1313" s="8"/>
      <c r="AR1313" s="4">
        <v>7</v>
      </c>
      <c r="AS1313" s="8">
        <v>277.83</v>
      </c>
      <c r="AT1313" s="7">
        <v>-1</v>
      </c>
      <c r="AU1313" s="7">
        <v>-1</v>
      </c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 t="s">
        <v>100</v>
      </c>
      <c r="BJ1313" s="4">
        <v>1049</v>
      </c>
      <c r="BK1313" s="8">
        <v>41768.32</v>
      </c>
      <c r="BL1313" s="2" t="s">
        <v>4462</v>
      </c>
      <c r="BM1313" s="7"/>
      <c r="BN1313" s="7"/>
      <c r="BO1313" s="4"/>
      <c r="BP1313" s="8"/>
      <c r="BQ1313" s="4">
        <v>7</v>
      </c>
      <c r="BR1313" s="8">
        <v>277.83</v>
      </c>
      <c r="BS1313" s="7">
        <v>-1</v>
      </c>
      <c r="BT1313" s="7">
        <v>-1</v>
      </c>
      <c r="BU1313" s="2" t="s">
        <v>109</v>
      </c>
      <c r="BV1313" s="2" t="s">
        <v>97</v>
      </c>
      <c r="BW1313" s="2" t="s">
        <v>110</v>
      </c>
      <c r="BX1313" s="2" t="s">
        <v>915</v>
      </c>
      <c r="BY1313" s="2" t="s">
        <v>112</v>
      </c>
      <c r="BZ1313" s="2" t="s">
        <v>100</v>
      </c>
    </row>
    <row r="1314">
      <c r="A1314" s="2" t="s">
        <v>4463</v>
      </c>
      <c r="B1314" s="2" t="s">
        <v>87</v>
      </c>
      <c r="C1314" s="2" t="s">
        <v>4305</v>
      </c>
      <c r="D1314" s="2" t="s">
        <v>2308</v>
      </c>
      <c r="E1314" s="2" t="s">
        <v>2927</v>
      </c>
      <c r="F1314" s="2" t="s">
        <v>4447</v>
      </c>
      <c r="G1314" s="2" t="s">
        <v>4448</v>
      </c>
      <c r="H1314" s="2" t="s">
        <v>4449</v>
      </c>
      <c r="I1314" s="2" t="s">
        <v>3090</v>
      </c>
      <c r="J1314" s="2" t="s">
        <v>844</v>
      </c>
      <c r="K1314" s="2" t="s">
        <v>1018</v>
      </c>
      <c r="L1314" s="3">
        <v>32</v>
      </c>
      <c r="M1314" s="3">
        <v>33.6</v>
      </c>
      <c r="N1314" s="3">
        <v>79.99</v>
      </c>
      <c r="O1314" s="2" t="s">
        <v>97</v>
      </c>
      <c r="P1314" s="2" t="s">
        <v>143</v>
      </c>
      <c r="Q1314" s="2" t="s">
        <v>99</v>
      </c>
      <c r="R1314" s="2" t="s">
        <v>100</v>
      </c>
      <c r="S1314" s="2" t="s">
        <v>4464</v>
      </c>
      <c r="T1314" s="2" t="s">
        <v>184</v>
      </c>
      <c r="U1314" s="2" t="s">
        <v>1610</v>
      </c>
      <c r="V1314" s="2" t="s">
        <v>601</v>
      </c>
      <c r="W1314" s="2" t="s">
        <v>759</v>
      </c>
      <c r="X1314" s="2" t="s">
        <v>104</v>
      </c>
      <c r="Y1314" s="2" t="s">
        <v>4451</v>
      </c>
      <c r="Z1314" s="4">
        <v>713</v>
      </c>
      <c r="AA1314" s="4">
        <f>=ROUNDDOWN(32.4090909090909,0)</f>
      </c>
      <c r="AB1314" s="5">
        <v>22</v>
      </c>
      <c r="AC1314" s="2" t="s">
        <v>130</v>
      </c>
      <c r="AD1314" s="4">
        <v>150</v>
      </c>
      <c r="AE1314" s="4">
        <v>450</v>
      </c>
      <c r="AF1314" s="6">
        <v>65</v>
      </c>
      <c r="AG1314" s="6">
        <v>48</v>
      </c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 t="s">
        <v>100</v>
      </c>
      <c r="BJ1314" s="4">
        <v>442</v>
      </c>
      <c r="BK1314" s="8">
        <v>15163.19</v>
      </c>
      <c r="BL1314" s="2" t="s">
        <v>4465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147</v>
      </c>
      <c r="BV1314" s="2" t="s">
        <v>97</v>
      </c>
      <c r="BW1314" s="2" t="s">
        <v>100</v>
      </c>
      <c r="BX1314" s="2" t="s">
        <v>100</v>
      </c>
      <c r="BY1314" s="2" t="s">
        <v>112</v>
      </c>
      <c r="BZ1314" s="2" t="s">
        <v>100</v>
      </c>
    </row>
    <row r="1315">
      <c r="A1315" s="2" t="s">
        <v>4466</v>
      </c>
      <c r="B1315" s="2" t="s">
        <v>87</v>
      </c>
      <c r="C1315" s="2" t="s">
        <v>4305</v>
      </c>
      <c r="D1315" s="2" t="s">
        <v>2308</v>
      </c>
      <c r="E1315" s="2" t="s">
        <v>2927</v>
      </c>
      <c r="F1315" s="2" t="s">
        <v>4447</v>
      </c>
      <c r="G1315" s="2" t="s">
        <v>4448</v>
      </c>
      <c r="H1315" s="2" t="s">
        <v>4449</v>
      </c>
      <c r="I1315" s="2" t="s">
        <v>3090</v>
      </c>
      <c r="J1315" s="2" t="s">
        <v>850</v>
      </c>
      <c r="K1315" s="2" t="s">
        <v>1018</v>
      </c>
      <c r="L1315" s="3">
        <v>37.8</v>
      </c>
      <c r="M1315" s="3">
        <v>39.69</v>
      </c>
      <c r="N1315" s="3">
        <v>89.99</v>
      </c>
      <c r="O1315" s="2" t="s">
        <v>97</v>
      </c>
      <c r="P1315" s="2" t="s">
        <v>143</v>
      </c>
      <c r="Q1315" s="2" t="s">
        <v>99</v>
      </c>
      <c r="R1315" s="2" t="s">
        <v>100</v>
      </c>
      <c r="S1315" s="2" t="s">
        <v>4464</v>
      </c>
      <c r="T1315" s="2" t="s">
        <v>184</v>
      </c>
      <c r="U1315" s="2" t="s">
        <v>1610</v>
      </c>
      <c r="V1315" s="2" t="s">
        <v>601</v>
      </c>
      <c r="W1315" s="2" t="s">
        <v>759</v>
      </c>
      <c r="X1315" s="2" t="s">
        <v>104</v>
      </c>
      <c r="Y1315" s="2" t="s">
        <v>4451</v>
      </c>
      <c r="Z1315" s="4">
        <v>913</v>
      </c>
      <c r="AA1315" s="4">
        <f>=ROUNDDOWN(25.3611111111111,0)</f>
      </c>
      <c r="AB1315" s="5">
        <v>36</v>
      </c>
      <c r="AC1315" s="2" t="s">
        <v>130</v>
      </c>
      <c r="AD1315" s="4">
        <v>30</v>
      </c>
      <c r="AE1315" s="4">
        <v>600</v>
      </c>
      <c r="AF1315" s="6">
        <v>65</v>
      </c>
      <c r="AG1315" s="6">
        <v>48</v>
      </c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 t="s">
        <v>100</v>
      </c>
      <c r="BJ1315" s="4">
        <v>935</v>
      </c>
      <c r="BK1315" s="8">
        <v>37741.89</v>
      </c>
      <c r="BL1315" s="2" t="s">
        <v>4467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147</v>
      </c>
      <c r="BV1315" s="2" t="s">
        <v>97</v>
      </c>
      <c r="BW1315" s="2" t="s">
        <v>100</v>
      </c>
      <c r="BX1315" s="2" t="s">
        <v>100</v>
      </c>
      <c r="BY1315" s="2" t="s">
        <v>112</v>
      </c>
      <c r="BZ1315" s="2" t="s">
        <v>100</v>
      </c>
    </row>
    <row r="1316">
      <c r="A1316" s="2" t="s">
        <v>4468</v>
      </c>
      <c r="B1316" s="2" t="s">
        <v>87</v>
      </c>
      <c r="C1316" s="2" t="s">
        <v>4305</v>
      </c>
      <c r="D1316" s="2" t="s">
        <v>2308</v>
      </c>
      <c r="E1316" s="2" t="s">
        <v>2927</v>
      </c>
      <c r="F1316" s="2" t="s">
        <v>4447</v>
      </c>
      <c r="G1316" s="2" t="s">
        <v>4448</v>
      </c>
      <c r="H1316" s="2" t="s">
        <v>4449</v>
      </c>
      <c r="I1316" s="2" t="s">
        <v>3090</v>
      </c>
      <c r="J1316" s="2" t="s">
        <v>844</v>
      </c>
      <c r="K1316" s="2" t="s">
        <v>197</v>
      </c>
      <c r="L1316" s="3">
        <v>32</v>
      </c>
      <c r="M1316" s="3">
        <v>33.6</v>
      </c>
      <c r="N1316" s="3">
        <v>79.99</v>
      </c>
      <c r="O1316" s="2" t="s">
        <v>97</v>
      </c>
      <c r="P1316" s="2" t="s">
        <v>182</v>
      </c>
      <c r="Q1316" s="2" t="s">
        <v>99</v>
      </c>
      <c r="R1316" s="2" t="s">
        <v>100</v>
      </c>
      <c r="S1316" s="2" t="s">
        <v>4469</v>
      </c>
      <c r="T1316" s="2" t="s">
        <v>184</v>
      </c>
      <c r="U1316" s="2" t="s">
        <v>1610</v>
      </c>
      <c r="V1316" s="2" t="s">
        <v>601</v>
      </c>
      <c r="W1316" s="2" t="s">
        <v>759</v>
      </c>
      <c r="X1316" s="2" t="s">
        <v>104</v>
      </c>
      <c r="Y1316" s="2" t="s">
        <v>4470</v>
      </c>
      <c r="Z1316" s="4">
        <v>320</v>
      </c>
      <c r="AA1316" s="4">
        <f>=ROUNDDOWN(16.8421052631579,0)</f>
      </c>
      <c r="AB1316" s="5">
        <v>19</v>
      </c>
      <c r="AC1316" s="2" t="s">
        <v>382</v>
      </c>
      <c r="AD1316" s="4">
        <v>230</v>
      </c>
      <c r="AE1316" s="4">
        <v>455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 t="s">
        <v>100</v>
      </c>
      <c r="BJ1316" s="4">
        <v>120</v>
      </c>
      <c r="BK1316" s="8">
        <v>4137.01</v>
      </c>
      <c r="BL1316" s="2" t="s">
        <v>1484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1171</v>
      </c>
      <c r="BV1316" s="2" t="s">
        <v>97</v>
      </c>
      <c r="BW1316" s="2" t="s">
        <v>100</v>
      </c>
      <c r="BX1316" s="2" t="s">
        <v>100</v>
      </c>
      <c r="BY1316" s="2" t="s">
        <v>112</v>
      </c>
      <c r="BZ1316" s="2" t="s">
        <v>100</v>
      </c>
    </row>
    <row r="1317">
      <c r="A1317" s="2" t="s">
        <v>4471</v>
      </c>
      <c r="B1317" s="2" t="s">
        <v>87</v>
      </c>
      <c r="C1317" s="2" t="s">
        <v>4305</v>
      </c>
      <c r="D1317" s="2" t="s">
        <v>2308</v>
      </c>
      <c r="E1317" s="2" t="s">
        <v>2927</v>
      </c>
      <c r="F1317" s="2" t="s">
        <v>4447</v>
      </c>
      <c r="G1317" s="2" t="s">
        <v>4448</v>
      </c>
      <c r="H1317" s="2" t="s">
        <v>4449</v>
      </c>
      <c r="I1317" s="2" t="s">
        <v>3090</v>
      </c>
      <c r="J1317" s="2" t="s">
        <v>850</v>
      </c>
      <c r="K1317" s="2" t="s">
        <v>197</v>
      </c>
      <c r="L1317" s="3">
        <v>37.8</v>
      </c>
      <c r="M1317" s="3">
        <v>39.69</v>
      </c>
      <c r="N1317" s="3">
        <v>89.99</v>
      </c>
      <c r="O1317" s="2" t="s">
        <v>97</v>
      </c>
      <c r="P1317" s="2" t="s">
        <v>182</v>
      </c>
      <c r="Q1317" s="2" t="s">
        <v>99</v>
      </c>
      <c r="R1317" s="2" t="s">
        <v>100</v>
      </c>
      <c r="S1317" s="2" t="s">
        <v>4469</v>
      </c>
      <c r="T1317" s="2" t="s">
        <v>184</v>
      </c>
      <c r="U1317" s="2" t="s">
        <v>1610</v>
      </c>
      <c r="V1317" s="2" t="s">
        <v>601</v>
      </c>
      <c r="W1317" s="2" t="s">
        <v>759</v>
      </c>
      <c r="X1317" s="2" t="s">
        <v>104</v>
      </c>
      <c r="Y1317" s="2" t="s">
        <v>4470</v>
      </c>
      <c r="Z1317" s="4">
        <v>399</v>
      </c>
      <c r="AA1317" s="4">
        <f>=ROUNDDOWN(14.7777777777778,0)</f>
      </c>
      <c r="AB1317" s="5">
        <v>27</v>
      </c>
      <c r="AC1317" s="2" t="s">
        <v>382</v>
      </c>
      <c r="AD1317" s="4">
        <v>370</v>
      </c>
      <c r="AE1317" s="4">
        <v>720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 t="s">
        <v>100</v>
      </c>
      <c r="BJ1317" s="4">
        <v>229</v>
      </c>
      <c r="BK1317" s="8">
        <v>9402.77</v>
      </c>
      <c r="BL1317" s="2" t="s">
        <v>4472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1171</v>
      </c>
      <c r="BV1317" s="2" t="s">
        <v>97</v>
      </c>
      <c r="BW1317" s="2" t="s">
        <v>100</v>
      </c>
      <c r="BX1317" s="2" t="s">
        <v>100</v>
      </c>
      <c r="BY1317" s="2" t="s">
        <v>112</v>
      </c>
      <c r="BZ1317" s="2" t="s">
        <v>100</v>
      </c>
    </row>
    <row r="1318">
      <c r="A1318" s="2" t="s">
        <v>4473</v>
      </c>
      <c r="B1318" s="2" t="s">
        <v>87</v>
      </c>
      <c r="C1318" s="2" t="s">
        <v>4305</v>
      </c>
      <c r="D1318" s="2" t="s">
        <v>2308</v>
      </c>
      <c r="E1318" s="2" t="s">
        <v>2927</v>
      </c>
      <c r="F1318" s="2" t="s">
        <v>4447</v>
      </c>
      <c r="G1318" s="2" t="s">
        <v>4448</v>
      </c>
      <c r="H1318" s="2" t="s">
        <v>4449</v>
      </c>
      <c r="I1318" s="2" t="s">
        <v>3090</v>
      </c>
      <c r="J1318" s="2" t="s">
        <v>844</v>
      </c>
      <c r="K1318" s="2" t="s">
        <v>666</v>
      </c>
      <c r="L1318" s="3">
        <v>32</v>
      </c>
      <c r="M1318" s="3">
        <v>33.6</v>
      </c>
      <c r="N1318" s="3">
        <v>79.99</v>
      </c>
      <c r="O1318" s="2" t="s">
        <v>97</v>
      </c>
      <c r="P1318" s="2" t="s">
        <v>182</v>
      </c>
      <c r="Q1318" s="2" t="s">
        <v>99</v>
      </c>
      <c r="R1318" s="2" t="s">
        <v>100</v>
      </c>
      <c r="S1318" s="2" t="s">
        <v>4474</v>
      </c>
      <c r="T1318" s="2" t="s">
        <v>184</v>
      </c>
      <c r="U1318" s="2" t="s">
        <v>1610</v>
      </c>
      <c r="V1318" s="2" t="s">
        <v>601</v>
      </c>
      <c r="W1318" s="2" t="s">
        <v>759</v>
      </c>
      <c r="X1318" s="2" t="s">
        <v>104</v>
      </c>
      <c r="Y1318" s="2" t="s">
        <v>4470</v>
      </c>
      <c r="Z1318" s="4">
        <v>370</v>
      </c>
      <c r="AA1318" s="4">
        <f>=ROUNDDOWN(33.6363636363636,0)</f>
      </c>
      <c r="AB1318" s="5">
        <v>11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 t="s">
        <v>100</v>
      </c>
      <c r="BJ1318" s="4">
        <v>57</v>
      </c>
      <c r="BK1318" s="8">
        <v>2009.26</v>
      </c>
      <c r="BL1318" s="2" t="s">
        <v>4475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1171</v>
      </c>
      <c r="BV1318" s="2" t="s">
        <v>97</v>
      </c>
      <c r="BW1318" s="2" t="s">
        <v>100</v>
      </c>
      <c r="BX1318" s="2" t="s">
        <v>100</v>
      </c>
      <c r="BY1318" s="2" t="s">
        <v>112</v>
      </c>
      <c r="BZ1318" s="2" t="s">
        <v>100</v>
      </c>
    </row>
    <row r="1319">
      <c r="A1319" s="2" t="s">
        <v>4476</v>
      </c>
      <c r="B1319" s="2" t="s">
        <v>87</v>
      </c>
      <c r="C1319" s="2" t="s">
        <v>4305</v>
      </c>
      <c r="D1319" s="2" t="s">
        <v>2308</v>
      </c>
      <c r="E1319" s="2" t="s">
        <v>2927</v>
      </c>
      <c r="F1319" s="2" t="s">
        <v>4447</v>
      </c>
      <c r="G1319" s="2" t="s">
        <v>4448</v>
      </c>
      <c r="H1319" s="2" t="s">
        <v>4449</v>
      </c>
      <c r="I1319" s="2" t="s">
        <v>3090</v>
      </c>
      <c r="J1319" s="2" t="s">
        <v>850</v>
      </c>
      <c r="K1319" s="2" t="s">
        <v>666</v>
      </c>
      <c r="L1319" s="3">
        <v>37.8</v>
      </c>
      <c r="M1319" s="3">
        <v>39.69</v>
      </c>
      <c r="N1319" s="3">
        <v>89.99</v>
      </c>
      <c r="O1319" s="2" t="s">
        <v>97</v>
      </c>
      <c r="P1319" s="2" t="s">
        <v>182</v>
      </c>
      <c r="Q1319" s="2" t="s">
        <v>99</v>
      </c>
      <c r="R1319" s="2" t="s">
        <v>100</v>
      </c>
      <c r="S1319" s="2" t="s">
        <v>4474</v>
      </c>
      <c r="T1319" s="2" t="s">
        <v>184</v>
      </c>
      <c r="U1319" s="2" t="s">
        <v>1610</v>
      </c>
      <c r="V1319" s="2" t="s">
        <v>601</v>
      </c>
      <c r="W1319" s="2" t="s">
        <v>759</v>
      </c>
      <c r="X1319" s="2" t="s">
        <v>104</v>
      </c>
      <c r="Y1319" s="2" t="s">
        <v>4470</v>
      </c>
      <c r="Z1319" s="4">
        <v>661</v>
      </c>
      <c r="AA1319" s="4">
        <f>=ROUNDDOWN(36.7222222222222,0)</f>
      </c>
      <c r="AB1319" s="5">
        <v>18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 t="s">
        <v>100</v>
      </c>
      <c r="BJ1319" s="4">
        <v>119</v>
      </c>
      <c r="BK1319" s="8">
        <v>4905.82</v>
      </c>
      <c r="BL1319" s="2" t="s">
        <v>4477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1171</v>
      </c>
      <c r="BV1319" s="2" t="s">
        <v>97</v>
      </c>
      <c r="BW1319" s="2" t="s">
        <v>100</v>
      </c>
      <c r="BX1319" s="2" t="s">
        <v>100</v>
      </c>
      <c r="BY1319" s="2" t="s">
        <v>112</v>
      </c>
      <c r="BZ1319" s="2" t="s">
        <v>100</v>
      </c>
    </row>
    <row r="1320">
      <c r="A1320" s="2" t="s">
        <v>4478</v>
      </c>
      <c r="B1320" s="2" t="s">
        <v>87</v>
      </c>
      <c r="C1320" s="2" t="s">
        <v>4479</v>
      </c>
      <c r="D1320" s="2" t="s">
        <v>89</v>
      </c>
      <c r="E1320" s="2" t="s">
        <v>90</v>
      </c>
      <c r="F1320" s="2" t="s">
        <v>4480</v>
      </c>
      <c r="G1320" s="2" t="s">
        <v>100</v>
      </c>
      <c r="H1320" s="2" t="s">
        <v>100</v>
      </c>
      <c r="I1320" s="2" t="s">
        <v>549</v>
      </c>
      <c r="J1320" s="2" t="s">
        <v>95</v>
      </c>
      <c r="K1320" s="2" t="s">
        <v>4481</v>
      </c>
      <c r="L1320" s="3">
        <v>172.2</v>
      </c>
      <c r="M1320" s="3">
        <v>180.81</v>
      </c>
      <c r="N1320" s="3">
        <v>409.99</v>
      </c>
      <c r="O1320" s="2" t="s">
        <v>97</v>
      </c>
      <c r="P1320" s="2" t="s">
        <v>124</v>
      </c>
      <c r="Q1320" s="2" t="s">
        <v>99</v>
      </c>
      <c r="R1320" s="2" t="s">
        <v>100</v>
      </c>
      <c r="S1320" s="2" t="s">
        <v>4482</v>
      </c>
      <c r="T1320" s="2" t="s">
        <v>100</v>
      </c>
      <c r="U1320" s="2" t="s">
        <v>403</v>
      </c>
      <c r="V1320" s="2" t="s">
        <v>561</v>
      </c>
      <c r="W1320" s="2" t="s">
        <v>312</v>
      </c>
      <c r="X1320" s="2" t="s">
        <v>4483</v>
      </c>
      <c r="Y1320" s="2" t="s">
        <v>106</v>
      </c>
      <c r="Z1320" s="4">
        <v>121</v>
      </c>
      <c r="AA1320" s="4">
        <f>=ROUNDDOWN(17.2857142857143,0)</f>
      </c>
      <c r="AB1320" s="5">
        <v>7</v>
      </c>
      <c r="AC1320" s="2" t="s">
        <v>145</v>
      </c>
      <c r="AD1320" s="4">
        <v>60</v>
      </c>
      <c r="AE1320" s="4">
        <v>240</v>
      </c>
      <c r="AF1320" s="6">
        <v>67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>
        <v>0</v>
      </c>
      <c r="AP1320" s="4">
        <v>4</v>
      </c>
      <c r="AQ1320" s="8">
        <v>723.24</v>
      </c>
      <c r="AR1320" s="4">
        <v>17</v>
      </c>
      <c r="AS1320" s="8">
        <v>3073.77</v>
      </c>
      <c r="AT1320" s="7">
        <v>-0.7647</v>
      </c>
      <c r="AU1320" s="7">
        <v>-0.7647</v>
      </c>
      <c r="AV1320" s="4">
        <v>12</v>
      </c>
      <c r="AW1320" s="8">
        <v>2384.76</v>
      </c>
      <c r="AX1320" s="4">
        <v>48</v>
      </c>
      <c r="AY1320" s="8">
        <v>9512.16</v>
      </c>
      <c r="AZ1320" s="7">
        <v>-0.75</v>
      </c>
      <c r="BA1320" s="7">
        <v>-0.7493</v>
      </c>
      <c r="BB1320" s="7">
        <v>0.3033</v>
      </c>
      <c r="BC1320" s="4">
        <v>12</v>
      </c>
      <c r="BD1320" s="8">
        <v>2384.76</v>
      </c>
      <c r="BE1320" s="4">
        <v>48</v>
      </c>
      <c r="BF1320" s="8">
        <v>9512.16</v>
      </c>
      <c r="BG1320" s="7">
        <v>-0.75</v>
      </c>
      <c r="BH1320" s="7">
        <v>-0.7493</v>
      </c>
      <c r="BI1320" s="7">
        <v>1</v>
      </c>
      <c r="BJ1320" s="4">
        <v>146</v>
      </c>
      <c r="BK1320" s="8">
        <v>26292.9</v>
      </c>
      <c r="BL1320" s="2" t="s">
        <v>4484</v>
      </c>
      <c r="BM1320" s="7">
        <v>0.0274</v>
      </c>
      <c r="BN1320" s="7">
        <v>0.0275</v>
      </c>
      <c r="BO1320" s="4">
        <v>4</v>
      </c>
      <c r="BP1320" s="8">
        <v>723.24</v>
      </c>
      <c r="BQ1320" s="4">
        <v>17</v>
      </c>
      <c r="BR1320" s="8">
        <v>3073.77</v>
      </c>
      <c r="BS1320" s="7">
        <v>-0.7647</v>
      </c>
      <c r="BT1320" s="7">
        <v>-0.7647</v>
      </c>
      <c r="BU1320" s="2" t="s">
        <v>109</v>
      </c>
      <c r="BV1320" s="2" t="s">
        <v>97</v>
      </c>
      <c r="BW1320" s="2" t="s">
        <v>132</v>
      </c>
      <c r="BX1320" s="2" t="s">
        <v>2623</v>
      </c>
      <c r="BY1320" s="2" t="s">
        <v>112</v>
      </c>
      <c r="BZ1320" s="2" t="s">
        <v>100</v>
      </c>
    </row>
    <row r="1321">
      <c r="A1321" s="2" t="s">
        <v>4485</v>
      </c>
      <c r="B1321" s="2" t="s">
        <v>87</v>
      </c>
      <c r="C1321" s="2" t="s">
        <v>4479</v>
      </c>
      <c r="D1321" s="2" t="s">
        <v>89</v>
      </c>
      <c r="E1321" s="2" t="s">
        <v>90</v>
      </c>
      <c r="F1321" s="2" t="s">
        <v>4480</v>
      </c>
      <c r="G1321" s="2" t="s">
        <v>100</v>
      </c>
      <c r="H1321" s="2" t="s">
        <v>100</v>
      </c>
      <c r="I1321" s="2" t="s">
        <v>549</v>
      </c>
      <c r="J1321" s="2" t="s">
        <v>114</v>
      </c>
      <c r="K1321" s="2" t="s">
        <v>4481</v>
      </c>
      <c r="L1321" s="3">
        <v>197.8</v>
      </c>
      <c r="M1321" s="3">
        <v>207.69</v>
      </c>
      <c r="N1321" s="3">
        <v>459.99</v>
      </c>
      <c r="O1321" s="2" t="s">
        <v>97</v>
      </c>
      <c r="P1321" s="2" t="s">
        <v>124</v>
      </c>
      <c r="Q1321" s="2" t="s">
        <v>99</v>
      </c>
      <c r="R1321" s="2" t="s">
        <v>100</v>
      </c>
      <c r="S1321" s="2" t="s">
        <v>4482</v>
      </c>
      <c r="T1321" s="2" t="s">
        <v>100</v>
      </c>
      <c r="U1321" s="2" t="s">
        <v>807</v>
      </c>
      <c r="V1321" s="2" t="s">
        <v>561</v>
      </c>
      <c r="W1321" s="2" t="s">
        <v>312</v>
      </c>
      <c r="X1321" s="2" t="s">
        <v>4483</v>
      </c>
      <c r="Y1321" s="2" t="s">
        <v>106</v>
      </c>
      <c r="Z1321" s="4">
        <v>258</v>
      </c>
      <c r="AA1321" s="4">
        <f>=ROUNDDOWN(21.5,0)</f>
      </c>
      <c r="AB1321" s="5">
        <v>12</v>
      </c>
      <c r="AC1321" s="2" t="s">
        <v>145</v>
      </c>
      <c r="AD1321" s="4">
        <v>120</v>
      </c>
      <c r="AE1321" s="4">
        <v>290</v>
      </c>
      <c r="AF1321" s="6">
        <v>67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>
        <v>0</v>
      </c>
      <c r="AP1321" s="4">
        <v>8</v>
      </c>
      <c r="AQ1321" s="8">
        <v>1661.52</v>
      </c>
      <c r="AR1321" s="4">
        <v>31</v>
      </c>
      <c r="AS1321" s="8">
        <v>6438.39</v>
      </c>
      <c r="AT1321" s="7">
        <v>-0.7419</v>
      </c>
      <c r="AU1321" s="7">
        <v>-0.7419</v>
      </c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>
        <v>0.6967</v>
      </c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 t="s">
        <v>100</v>
      </c>
      <c r="BJ1321" s="4">
        <v>263</v>
      </c>
      <c r="BK1321" s="8">
        <v>54862.12</v>
      </c>
      <c r="BL1321" s="2" t="s">
        <v>4486</v>
      </c>
      <c r="BM1321" s="7">
        <v>0.0304</v>
      </c>
      <c r="BN1321" s="7">
        <v>0.0303</v>
      </c>
      <c r="BO1321" s="4">
        <v>8</v>
      </c>
      <c r="BP1321" s="8">
        <v>1661.52</v>
      </c>
      <c r="BQ1321" s="4">
        <v>31</v>
      </c>
      <c r="BR1321" s="8">
        <v>6438.39</v>
      </c>
      <c r="BS1321" s="7">
        <v>-0.7419</v>
      </c>
      <c r="BT1321" s="7">
        <v>-0.7419</v>
      </c>
      <c r="BU1321" s="2" t="s">
        <v>109</v>
      </c>
      <c r="BV1321" s="2" t="s">
        <v>97</v>
      </c>
      <c r="BW1321" s="2" t="s">
        <v>132</v>
      </c>
      <c r="BX1321" s="2" t="s">
        <v>4487</v>
      </c>
      <c r="BY1321" s="2" t="s">
        <v>112</v>
      </c>
      <c r="BZ1321" s="2" t="s">
        <v>100</v>
      </c>
    </row>
    <row r="1322">
      <c r="A1322" s="2" t="s">
        <v>4488</v>
      </c>
      <c r="B1322" s="2" t="s">
        <v>87</v>
      </c>
      <c r="C1322" s="2" t="s">
        <v>4479</v>
      </c>
      <c r="D1322" s="2" t="s">
        <v>89</v>
      </c>
      <c r="E1322" s="2" t="s">
        <v>90</v>
      </c>
      <c r="F1322" s="2" t="s">
        <v>4489</v>
      </c>
      <c r="G1322" s="2" t="s">
        <v>4489</v>
      </c>
      <c r="H1322" s="2" t="s">
        <v>4489</v>
      </c>
      <c r="I1322" s="2" t="s">
        <v>4490</v>
      </c>
      <c r="J1322" s="2" t="s">
        <v>95</v>
      </c>
      <c r="K1322" s="2" t="s">
        <v>333</v>
      </c>
      <c r="L1322" s="3">
        <v>172.2</v>
      </c>
      <c r="M1322" s="3">
        <v>180.81</v>
      </c>
      <c r="N1322" s="3">
        <v>409.99</v>
      </c>
      <c r="O1322" s="2" t="s">
        <v>550</v>
      </c>
      <c r="P1322" s="2" t="s">
        <v>198</v>
      </c>
      <c r="Q1322" s="2" t="s">
        <v>99</v>
      </c>
      <c r="R1322" s="2" t="s">
        <v>100</v>
      </c>
      <c r="S1322" s="2" t="s">
        <v>4491</v>
      </c>
      <c r="T1322" s="2" t="s">
        <v>100</v>
      </c>
      <c r="U1322" s="2" t="s">
        <v>403</v>
      </c>
      <c r="V1322" s="2" t="s">
        <v>1287</v>
      </c>
      <c r="W1322" s="2" t="s">
        <v>1288</v>
      </c>
      <c r="X1322" s="2" t="s">
        <v>4492</v>
      </c>
      <c r="Y1322" s="2" t="s">
        <v>4493</v>
      </c>
      <c r="Z1322" s="4"/>
      <c r="AA1322" s="4">
        <f>=ROUNDDOWN({0},0)</f>
      </c>
      <c r="AB1322" s="5"/>
      <c r="AC1322" s="2" t="s">
        <v>100</v>
      </c>
      <c r="AD1322" s="4"/>
      <c r="AE1322" s="4"/>
      <c r="AF1322" s="6">
        <v>69</v>
      </c>
      <c r="AG1322" s="6"/>
      <c r="AH1322" s="7">
        <v>0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>
        <v>0</v>
      </c>
      <c r="AP1322" s="4"/>
      <c r="AQ1322" s="8"/>
      <c r="AR1322" s="4">
        <v>2</v>
      </c>
      <c r="AS1322" s="8">
        <v>253.14</v>
      </c>
      <c r="AT1322" s="7">
        <v>-1</v>
      </c>
      <c r="AU1322" s="7">
        <v>-1</v>
      </c>
      <c r="AV1322" s="4">
        <v>5</v>
      </c>
      <c r="AW1322" s="8">
        <v>710</v>
      </c>
      <c r="AX1322" s="4">
        <v>4</v>
      </c>
      <c r="AY1322" s="8">
        <v>537.14</v>
      </c>
      <c r="AZ1322" s="7">
        <v>0.25</v>
      </c>
      <c r="BA1322" s="7">
        <v>0.3218</v>
      </c>
      <c r="BB1322" s="7"/>
      <c r="BC1322" s="4">
        <v>5</v>
      </c>
      <c r="BD1322" s="8">
        <v>710</v>
      </c>
      <c r="BE1322" s="4">
        <v>4</v>
      </c>
      <c r="BF1322" s="8">
        <v>537.14</v>
      </c>
      <c r="BG1322" s="7">
        <v>0.25</v>
      </c>
      <c r="BH1322" s="7">
        <v>0.3218</v>
      </c>
      <c r="BI1322" s="7">
        <v>1</v>
      </c>
      <c r="BJ1322" s="4"/>
      <c r="BK1322" s="8"/>
      <c r="BL1322" s="2" t="s">
        <v>4494</v>
      </c>
      <c r="BM1322" s="7"/>
      <c r="BN1322" s="7"/>
      <c r="BO1322" s="4"/>
      <c r="BP1322" s="8"/>
      <c r="BQ1322" s="4">
        <v>2</v>
      </c>
      <c r="BR1322" s="8">
        <v>253.14</v>
      </c>
      <c r="BS1322" s="7">
        <v>-1</v>
      </c>
      <c r="BT1322" s="7">
        <v>-1</v>
      </c>
      <c r="BU1322" s="2" t="s">
        <v>109</v>
      </c>
      <c r="BV1322" s="2" t="s">
        <v>552</v>
      </c>
      <c r="BW1322" s="2" t="s">
        <v>132</v>
      </c>
      <c r="BX1322" s="2" t="s">
        <v>4495</v>
      </c>
      <c r="BY1322" s="2" t="s">
        <v>112</v>
      </c>
      <c r="BZ1322" s="2" t="s">
        <v>100</v>
      </c>
    </row>
    <row r="1323">
      <c r="A1323" s="2" t="s">
        <v>4496</v>
      </c>
      <c r="B1323" s="2" t="s">
        <v>87</v>
      </c>
      <c r="C1323" s="2" t="s">
        <v>4479</v>
      </c>
      <c r="D1323" s="2" t="s">
        <v>89</v>
      </c>
      <c r="E1323" s="2" t="s">
        <v>90</v>
      </c>
      <c r="F1323" s="2" t="s">
        <v>4489</v>
      </c>
      <c r="G1323" s="2" t="s">
        <v>4489</v>
      </c>
      <c r="H1323" s="2" t="s">
        <v>4489</v>
      </c>
      <c r="I1323" s="2" t="s">
        <v>4490</v>
      </c>
      <c r="J1323" s="2" t="s">
        <v>114</v>
      </c>
      <c r="K1323" s="2" t="s">
        <v>333</v>
      </c>
      <c r="L1323" s="3">
        <v>193.2</v>
      </c>
      <c r="M1323" s="3">
        <v>202.86</v>
      </c>
      <c r="N1323" s="3">
        <v>459.99</v>
      </c>
      <c r="O1323" s="2" t="s">
        <v>550</v>
      </c>
      <c r="P1323" s="2" t="s">
        <v>198</v>
      </c>
      <c r="Q1323" s="2" t="s">
        <v>99</v>
      </c>
      <c r="R1323" s="2" t="s">
        <v>100</v>
      </c>
      <c r="S1323" s="2" t="s">
        <v>4491</v>
      </c>
      <c r="T1323" s="2" t="s">
        <v>100</v>
      </c>
      <c r="U1323" s="2" t="s">
        <v>807</v>
      </c>
      <c r="V1323" s="2" t="s">
        <v>1287</v>
      </c>
      <c r="W1323" s="2" t="s">
        <v>1288</v>
      </c>
      <c r="X1323" s="2" t="s">
        <v>4492</v>
      </c>
      <c r="Y1323" s="2" t="s">
        <v>4497</v>
      </c>
      <c r="Z1323" s="4">
        <v>4</v>
      </c>
      <c r="AA1323" s="4">
        <f>=ROUNDDOWN(1.73913043478261,0)</f>
      </c>
      <c r="AB1323" s="5">
        <v>2.3</v>
      </c>
      <c r="AC1323" s="2" t="s">
        <v>100</v>
      </c>
      <c r="AD1323" s="4"/>
      <c r="AE1323" s="4"/>
      <c r="AF1323" s="6">
        <v>69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>
        <v>0</v>
      </c>
      <c r="AP1323" s="4">
        <v>5</v>
      </c>
      <c r="AQ1323" s="8">
        <v>710</v>
      </c>
      <c r="AR1323" s="4">
        <v>2</v>
      </c>
      <c r="AS1323" s="8">
        <v>284</v>
      </c>
      <c r="AT1323" s="7">
        <v>1.5</v>
      </c>
      <c r="AU1323" s="7">
        <v>1.5</v>
      </c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>
        <v>1</v>
      </c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 t="s">
        <v>100</v>
      </c>
      <c r="BJ1323" s="4">
        <v>72</v>
      </c>
      <c r="BK1323" s="8">
        <v>5847.78</v>
      </c>
      <c r="BL1323" s="2" t="s">
        <v>4498</v>
      </c>
      <c r="BM1323" s="7">
        <v>0.0694</v>
      </c>
      <c r="BN1323" s="7">
        <v>0.1214</v>
      </c>
      <c r="BO1323" s="4">
        <v>5</v>
      </c>
      <c r="BP1323" s="8">
        <v>710</v>
      </c>
      <c r="BQ1323" s="4">
        <v>2</v>
      </c>
      <c r="BR1323" s="8">
        <v>284</v>
      </c>
      <c r="BS1323" s="7">
        <v>1.5</v>
      </c>
      <c r="BT1323" s="7">
        <v>1.5</v>
      </c>
      <c r="BU1323" s="2" t="s">
        <v>109</v>
      </c>
      <c r="BV1323" s="2" t="s">
        <v>97</v>
      </c>
      <c r="BW1323" s="2" t="s">
        <v>132</v>
      </c>
      <c r="BX1323" s="2" t="s">
        <v>4499</v>
      </c>
      <c r="BY1323" s="2" t="s">
        <v>112</v>
      </c>
      <c r="BZ1323" s="2" t="s">
        <v>100</v>
      </c>
    </row>
    <row r="1324">
      <c r="A1324" s="2" t="s">
        <v>4500</v>
      </c>
      <c r="B1324" s="2" t="s">
        <v>87</v>
      </c>
      <c r="C1324" s="2" t="s">
        <v>4479</v>
      </c>
      <c r="D1324" s="2" t="s">
        <v>89</v>
      </c>
      <c r="E1324" s="2" t="s">
        <v>90</v>
      </c>
      <c r="F1324" s="2" t="s">
        <v>4501</v>
      </c>
      <c r="G1324" s="2" t="s">
        <v>4501</v>
      </c>
      <c r="H1324" s="2" t="s">
        <v>4501</v>
      </c>
      <c r="I1324" s="2" t="s">
        <v>549</v>
      </c>
      <c r="J1324" s="2" t="s">
        <v>95</v>
      </c>
      <c r="K1324" s="2" t="s">
        <v>123</v>
      </c>
      <c r="L1324" s="3">
        <v>172.2</v>
      </c>
      <c r="M1324" s="3">
        <v>180.81</v>
      </c>
      <c r="N1324" s="3">
        <v>409.99</v>
      </c>
      <c r="O1324" s="2" t="s">
        <v>97</v>
      </c>
      <c r="P1324" s="2" t="s">
        <v>143</v>
      </c>
      <c r="Q1324" s="2" t="s">
        <v>99</v>
      </c>
      <c r="R1324" s="2" t="s">
        <v>100</v>
      </c>
      <c r="S1324" s="2" t="s">
        <v>4502</v>
      </c>
      <c r="T1324" s="2" t="s">
        <v>100</v>
      </c>
      <c r="U1324" s="2" t="s">
        <v>403</v>
      </c>
      <c r="V1324" s="2" t="s">
        <v>404</v>
      </c>
      <c r="W1324" s="2" t="s">
        <v>808</v>
      </c>
      <c r="X1324" s="2" t="s">
        <v>577</v>
      </c>
      <c r="Y1324" s="2" t="s">
        <v>4503</v>
      </c>
      <c r="Z1324" s="4">
        <v>220</v>
      </c>
      <c r="AA1324" s="4">
        <f>=ROUNDDOWN(31.4285714285714,0)</f>
      </c>
      <c r="AB1324" s="5">
        <v>7</v>
      </c>
      <c r="AC1324" s="2" t="s">
        <v>589</v>
      </c>
      <c r="AD1324" s="4">
        <v>100</v>
      </c>
      <c r="AE1324" s="4">
        <v>180</v>
      </c>
      <c r="AF1324" s="6">
        <v>67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>
        <v>1</v>
      </c>
      <c r="AQ1324" s="8">
        <v>180.81</v>
      </c>
      <c r="AR1324" s="4">
        <v>1</v>
      </c>
      <c r="AS1324" s="8">
        <v>180.81</v>
      </c>
      <c r="AT1324" s="7"/>
      <c r="AU1324" s="7"/>
      <c r="AV1324" s="4">
        <v>3</v>
      </c>
      <c r="AW1324" s="8">
        <v>596.19</v>
      </c>
      <c r="AX1324" s="4">
        <v>6</v>
      </c>
      <c r="AY1324" s="8">
        <v>1219.26</v>
      </c>
      <c r="AZ1324" s="7">
        <v>-0.5</v>
      </c>
      <c r="BA1324" s="7">
        <v>-0.511</v>
      </c>
      <c r="BB1324" s="7">
        <v>0.3033</v>
      </c>
      <c r="BC1324" s="4">
        <v>3</v>
      </c>
      <c r="BD1324" s="8">
        <v>596.19</v>
      </c>
      <c r="BE1324" s="4">
        <v>6</v>
      </c>
      <c r="BF1324" s="8">
        <v>1219.26</v>
      </c>
      <c r="BG1324" s="7">
        <v>-0.5</v>
      </c>
      <c r="BH1324" s="7">
        <v>-0.511</v>
      </c>
      <c r="BI1324" s="7">
        <v>1</v>
      </c>
      <c r="BJ1324" s="4">
        <v>99</v>
      </c>
      <c r="BK1324" s="8">
        <v>18097.04</v>
      </c>
      <c r="BL1324" s="2" t="s">
        <v>4504</v>
      </c>
      <c r="BM1324" s="7">
        <v>0.0101</v>
      </c>
      <c r="BN1324" s="7">
        <v>0.01</v>
      </c>
      <c r="BO1324" s="4">
        <v>1</v>
      </c>
      <c r="BP1324" s="8">
        <v>180.81</v>
      </c>
      <c r="BQ1324" s="4">
        <v>1</v>
      </c>
      <c r="BR1324" s="8">
        <v>180.81</v>
      </c>
      <c r="BS1324" s="7"/>
      <c r="BT1324" s="7"/>
      <c r="BU1324" s="2" t="s">
        <v>109</v>
      </c>
      <c r="BV1324" s="2" t="s">
        <v>97</v>
      </c>
      <c r="BW1324" s="2" t="s">
        <v>4505</v>
      </c>
      <c r="BX1324" s="2" t="s">
        <v>4506</v>
      </c>
      <c r="BY1324" s="2" t="s">
        <v>112</v>
      </c>
      <c r="BZ1324" s="2" t="s">
        <v>100</v>
      </c>
    </row>
    <row r="1325">
      <c r="A1325" s="2" t="s">
        <v>4507</v>
      </c>
      <c r="B1325" s="2" t="s">
        <v>87</v>
      </c>
      <c r="C1325" s="2" t="s">
        <v>4479</v>
      </c>
      <c r="D1325" s="2" t="s">
        <v>89</v>
      </c>
      <c r="E1325" s="2" t="s">
        <v>90</v>
      </c>
      <c r="F1325" s="2" t="s">
        <v>4501</v>
      </c>
      <c r="G1325" s="2" t="s">
        <v>4501</v>
      </c>
      <c r="H1325" s="2" t="s">
        <v>4501</v>
      </c>
      <c r="I1325" s="2" t="s">
        <v>549</v>
      </c>
      <c r="J1325" s="2" t="s">
        <v>114</v>
      </c>
      <c r="K1325" s="2" t="s">
        <v>123</v>
      </c>
      <c r="L1325" s="3">
        <v>197.8</v>
      </c>
      <c r="M1325" s="3">
        <v>207.69</v>
      </c>
      <c r="N1325" s="3">
        <v>459.99</v>
      </c>
      <c r="O1325" s="2" t="s">
        <v>97</v>
      </c>
      <c r="P1325" s="2" t="s">
        <v>143</v>
      </c>
      <c r="Q1325" s="2" t="s">
        <v>99</v>
      </c>
      <c r="R1325" s="2" t="s">
        <v>100</v>
      </c>
      <c r="S1325" s="2" t="s">
        <v>4502</v>
      </c>
      <c r="T1325" s="2" t="s">
        <v>100</v>
      </c>
      <c r="U1325" s="2" t="s">
        <v>807</v>
      </c>
      <c r="V1325" s="2" t="s">
        <v>404</v>
      </c>
      <c r="W1325" s="2" t="s">
        <v>808</v>
      </c>
      <c r="X1325" s="2" t="s">
        <v>577</v>
      </c>
      <c r="Y1325" s="2" t="s">
        <v>4503</v>
      </c>
      <c r="Z1325" s="4">
        <v>146</v>
      </c>
      <c r="AA1325" s="4">
        <f>=ROUNDDOWN(14.6,0)</f>
      </c>
      <c r="AB1325" s="5">
        <v>10</v>
      </c>
      <c r="AC1325" s="2" t="s">
        <v>589</v>
      </c>
      <c r="AD1325" s="4">
        <v>100</v>
      </c>
      <c r="AE1325" s="4">
        <v>370</v>
      </c>
      <c r="AF1325" s="6">
        <v>67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>
        <v>0</v>
      </c>
      <c r="AP1325" s="4">
        <v>2</v>
      </c>
      <c r="AQ1325" s="8">
        <v>415.38</v>
      </c>
      <c r="AR1325" s="4">
        <v>5</v>
      </c>
      <c r="AS1325" s="8">
        <v>1038.45</v>
      </c>
      <c r="AT1325" s="7">
        <v>-0.6</v>
      </c>
      <c r="AU1325" s="7">
        <v>-0.6</v>
      </c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>
        <v>0.6967</v>
      </c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 t="s">
        <v>100</v>
      </c>
      <c r="BJ1325" s="4">
        <v>231</v>
      </c>
      <c r="BK1325" s="8">
        <v>48706.38</v>
      </c>
      <c r="BL1325" s="2" t="s">
        <v>4508</v>
      </c>
      <c r="BM1325" s="7">
        <v>0.0087</v>
      </c>
      <c r="BN1325" s="7">
        <v>0.0085</v>
      </c>
      <c r="BO1325" s="4">
        <v>2</v>
      </c>
      <c r="BP1325" s="8">
        <v>415.38</v>
      </c>
      <c r="BQ1325" s="4">
        <v>5</v>
      </c>
      <c r="BR1325" s="8">
        <v>1038.45</v>
      </c>
      <c r="BS1325" s="7">
        <v>-0.6</v>
      </c>
      <c r="BT1325" s="7">
        <v>-0.6</v>
      </c>
      <c r="BU1325" s="2" t="s">
        <v>109</v>
      </c>
      <c r="BV1325" s="2" t="s">
        <v>97</v>
      </c>
      <c r="BW1325" s="2" t="s">
        <v>4505</v>
      </c>
      <c r="BX1325" s="2" t="s">
        <v>4506</v>
      </c>
      <c r="BY1325" s="2" t="s">
        <v>112</v>
      </c>
      <c r="BZ1325" s="2" t="s">
        <v>100</v>
      </c>
    </row>
    <row r="1326">
      <c r="A1326" s="2" t="s">
        <v>4509</v>
      </c>
      <c r="B1326" s="2" t="s">
        <v>87</v>
      </c>
      <c r="C1326" s="2" t="s">
        <v>4479</v>
      </c>
      <c r="D1326" s="2" t="s">
        <v>89</v>
      </c>
      <c r="E1326" s="2" t="s">
        <v>90</v>
      </c>
      <c r="F1326" s="2" t="s">
        <v>4510</v>
      </c>
      <c r="G1326" s="2" t="s">
        <v>100</v>
      </c>
      <c r="H1326" s="2" t="s">
        <v>100</v>
      </c>
      <c r="I1326" s="2" t="s">
        <v>549</v>
      </c>
      <c r="J1326" s="2" t="s">
        <v>95</v>
      </c>
      <c r="K1326" s="2" t="s">
        <v>666</v>
      </c>
      <c r="L1326" s="3">
        <v>172.2</v>
      </c>
      <c r="M1326" s="3">
        <v>180.81</v>
      </c>
      <c r="N1326" s="3">
        <v>409.99</v>
      </c>
      <c r="O1326" s="2" t="s">
        <v>97</v>
      </c>
      <c r="P1326" s="2" t="s">
        <v>143</v>
      </c>
      <c r="Q1326" s="2" t="s">
        <v>99</v>
      </c>
      <c r="R1326" s="2" t="s">
        <v>100</v>
      </c>
      <c r="S1326" s="2" t="s">
        <v>4511</v>
      </c>
      <c r="T1326" s="2" t="s">
        <v>100</v>
      </c>
      <c r="U1326" s="2" t="s">
        <v>403</v>
      </c>
      <c r="V1326" s="2" t="s">
        <v>1122</v>
      </c>
      <c r="W1326" s="2" t="s">
        <v>1190</v>
      </c>
      <c r="X1326" s="2" t="s">
        <v>4512</v>
      </c>
      <c r="Y1326" s="2" t="s">
        <v>1924</v>
      </c>
      <c r="Z1326" s="4">
        <v>208</v>
      </c>
      <c r="AA1326" s="4">
        <f>=ROUNDDOWN(34.6666666666667,0)</f>
      </c>
      <c r="AB1326" s="5">
        <v>6</v>
      </c>
      <c r="AC1326" s="2" t="s">
        <v>2403</v>
      </c>
      <c r="AD1326" s="4">
        <v>50</v>
      </c>
      <c r="AE1326" s="4">
        <v>50</v>
      </c>
      <c r="AF1326" s="6">
        <v>67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>
        <v>1</v>
      </c>
      <c r="AW1326" s="8">
        <v>212.52</v>
      </c>
      <c r="AX1326" s="4">
        <v>1</v>
      </c>
      <c r="AY1326" s="8">
        <v>212.52</v>
      </c>
      <c r="AZ1326" s="7" t="s">
        <v>100</v>
      </c>
      <c r="BA1326" s="7" t="s">
        <v>100</v>
      </c>
      <c r="BB1326" s="7"/>
      <c r="BC1326" s="4">
        <v>1</v>
      </c>
      <c r="BD1326" s="8">
        <v>212.52</v>
      </c>
      <c r="BE1326" s="4">
        <v>1</v>
      </c>
      <c r="BF1326" s="8">
        <v>212.52</v>
      </c>
      <c r="BG1326" s="7" t="s">
        <v>100</v>
      </c>
      <c r="BH1326" s="7" t="s">
        <v>100</v>
      </c>
      <c r="BI1326" s="7">
        <v>1</v>
      </c>
      <c r="BJ1326" s="4">
        <v>94</v>
      </c>
      <c r="BK1326" s="8">
        <v>17273.89</v>
      </c>
      <c r="BL1326" s="2" t="s">
        <v>4513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97</v>
      </c>
      <c r="BW1326" s="2" t="s">
        <v>2525</v>
      </c>
      <c r="BX1326" s="2" t="s">
        <v>100</v>
      </c>
      <c r="BY1326" s="2" t="s">
        <v>112</v>
      </c>
      <c r="BZ1326" s="2" t="s">
        <v>100</v>
      </c>
    </row>
    <row r="1327">
      <c r="A1327" s="2" t="s">
        <v>4514</v>
      </c>
      <c r="B1327" s="2" t="s">
        <v>87</v>
      </c>
      <c r="C1327" s="2" t="s">
        <v>4479</v>
      </c>
      <c r="D1327" s="2" t="s">
        <v>89</v>
      </c>
      <c r="E1327" s="2" t="s">
        <v>90</v>
      </c>
      <c r="F1327" s="2" t="s">
        <v>4510</v>
      </c>
      <c r="G1327" s="2" t="s">
        <v>100</v>
      </c>
      <c r="H1327" s="2" t="s">
        <v>100</v>
      </c>
      <c r="I1327" s="2" t="s">
        <v>549</v>
      </c>
      <c r="J1327" s="2" t="s">
        <v>114</v>
      </c>
      <c r="K1327" s="2" t="s">
        <v>666</v>
      </c>
      <c r="L1327" s="3">
        <v>202.4</v>
      </c>
      <c r="M1327" s="3">
        <v>212.52</v>
      </c>
      <c r="N1327" s="3">
        <v>459.99</v>
      </c>
      <c r="O1327" s="2" t="s">
        <v>97</v>
      </c>
      <c r="P1327" s="2" t="s">
        <v>143</v>
      </c>
      <c r="Q1327" s="2" t="s">
        <v>99</v>
      </c>
      <c r="R1327" s="2" t="s">
        <v>100</v>
      </c>
      <c r="S1327" s="2" t="s">
        <v>4511</v>
      </c>
      <c r="T1327" s="2" t="s">
        <v>100</v>
      </c>
      <c r="U1327" s="2" t="s">
        <v>807</v>
      </c>
      <c r="V1327" s="2" t="s">
        <v>1122</v>
      </c>
      <c r="W1327" s="2" t="s">
        <v>1190</v>
      </c>
      <c r="X1327" s="2" t="s">
        <v>4512</v>
      </c>
      <c r="Y1327" s="2" t="s">
        <v>1924</v>
      </c>
      <c r="Z1327" s="4">
        <v>186</v>
      </c>
      <c r="AA1327" s="4">
        <f>=ROUNDDOWN(18.6,0)</f>
      </c>
      <c r="AB1327" s="5">
        <v>10</v>
      </c>
      <c r="AC1327" s="2" t="s">
        <v>382</v>
      </c>
      <c r="AD1327" s="4">
        <v>150</v>
      </c>
      <c r="AE1327" s="4">
        <v>300</v>
      </c>
      <c r="AF1327" s="6">
        <v>67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>
        <v>0</v>
      </c>
      <c r="AP1327" s="4">
        <v>1</v>
      </c>
      <c r="AQ1327" s="8">
        <v>212.52</v>
      </c>
      <c r="AR1327" s="4">
        <v>1</v>
      </c>
      <c r="AS1327" s="8">
        <v>212.52</v>
      </c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>
        <v>1</v>
      </c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 t="s">
        <v>100</v>
      </c>
      <c r="BJ1327" s="4">
        <v>184</v>
      </c>
      <c r="BK1327" s="8">
        <v>39493.04</v>
      </c>
      <c r="BL1327" s="2" t="s">
        <v>4515</v>
      </c>
      <c r="BM1327" s="7">
        <v>0.0054</v>
      </c>
      <c r="BN1327" s="7">
        <v>0.0054</v>
      </c>
      <c r="BO1327" s="4">
        <v>1</v>
      </c>
      <c r="BP1327" s="8">
        <v>212.52</v>
      </c>
      <c r="BQ1327" s="4">
        <v>1</v>
      </c>
      <c r="BR1327" s="8">
        <v>212.52</v>
      </c>
      <c r="BS1327" s="7"/>
      <c r="BT1327" s="7"/>
      <c r="BU1327" s="2" t="s">
        <v>109</v>
      </c>
      <c r="BV1327" s="2" t="s">
        <v>97</v>
      </c>
      <c r="BW1327" s="2" t="s">
        <v>737</v>
      </c>
      <c r="BX1327" s="2" t="s">
        <v>3920</v>
      </c>
      <c r="BY1327" s="2" t="s">
        <v>112</v>
      </c>
      <c r="BZ1327" s="2" t="s">
        <v>100</v>
      </c>
    </row>
    <row r="1328">
      <c r="A1328" s="2" t="s">
        <v>4516</v>
      </c>
      <c r="B1328" s="2" t="s">
        <v>87</v>
      </c>
      <c r="C1328" s="2" t="s">
        <v>4479</v>
      </c>
      <c r="D1328" s="2" t="s">
        <v>89</v>
      </c>
      <c r="E1328" s="2" t="s">
        <v>90</v>
      </c>
      <c r="F1328" s="2" t="s">
        <v>4517</v>
      </c>
      <c r="G1328" s="2" t="s">
        <v>4517</v>
      </c>
      <c r="H1328" s="2" t="s">
        <v>4517</v>
      </c>
      <c r="I1328" s="2" t="s">
        <v>4518</v>
      </c>
      <c r="J1328" s="2" t="s">
        <v>95</v>
      </c>
      <c r="K1328" s="2" t="s">
        <v>4519</v>
      </c>
      <c r="L1328" s="3">
        <v>165</v>
      </c>
      <c r="M1328" s="3">
        <v>173.24</v>
      </c>
      <c r="N1328" s="3">
        <v>329.99</v>
      </c>
      <c r="O1328" s="2" t="s">
        <v>97</v>
      </c>
      <c r="P1328" s="2" t="s">
        <v>143</v>
      </c>
      <c r="Q1328" s="2" t="s">
        <v>99</v>
      </c>
      <c r="R1328" s="2" t="s">
        <v>100</v>
      </c>
      <c r="S1328" s="2" t="s">
        <v>4520</v>
      </c>
      <c r="T1328" s="2" t="s">
        <v>100</v>
      </c>
      <c r="U1328" s="2" t="s">
        <v>403</v>
      </c>
      <c r="V1328" s="2" t="s">
        <v>1122</v>
      </c>
      <c r="W1328" s="2" t="s">
        <v>1190</v>
      </c>
      <c r="X1328" s="2" t="s">
        <v>100</v>
      </c>
      <c r="Y1328" s="2" t="s">
        <v>4521</v>
      </c>
      <c r="Z1328" s="4">
        <v>137</v>
      </c>
      <c r="AA1328" s="4">
        <f>=ROUNDDOWN(27.4,0)</f>
      </c>
      <c r="AB1328" s="5">
        <v>5</v>
      </c>
      <c r="AC1328" s="2" t="s">
        <v>2049</v>
      </c>
      <c r="AD1328" s="4">
        <v>70</v>
      </c>
      <c r="AE1328" s="4">
        <v>70</v>
      </c>
      <c r="AF1328" s="6">
        <v>67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>
        <v>1</v>
      </c>
      <c r="AW1328" s="8">
        <v>199.5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>
        <v>1</v>
      </c>
      <c r="BD1328" s="8">
        <v>199.5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>
        <v>1</v>
      </c>
      <c r="BJ1328" s="4">
        <v>108</v>
      </c>
      <c r="BK1328" s="8">
        <v>20564.5</v>
      </c>
      <c r="BL1328" s="2" t="s">
        <v>4522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97</v>
      </c>
      <c r="BW1328" s="2" t="s">
        <v>737</v>
      </c>
      <c r="BX1328" s="2" t="s">
        <v>100</v>
      </c>
      <c r="BY1328" s="2" t="s">
        <v>112</v>
      </c>
      <c r="BZ1328" s="2" t="s">
        <v>100</v>
      </c>
    </row>
    <row r="1329">
      <c r="A1329" s="2" t="s">
        <v>4523</v>
      </c>
      <c r="B1329" s="2" t="s">
        <v>87</v>
      </c>
      <c r="C1329" s="2" t="s">
        <v>4479</v>
      </c>
      <c r="D1329" s="2" t="s">
        <v>89</v>
      </c>
      <c r="E1329" s="2" t="s">
        <v>90</v>
      </c>
      <c r="F1329" s="2" t="s">
        <v>4517</v>
      </c>
      <c r="G1329" s="2" t="s">
        <v>4517</v>
      </c>
      <c r="H1329" s="2" t="s">
        <v>4517</v>
      </c>
      <c r="I1329" s="2" t="s">
        <v>4524</v>
      </c>
      <c r="J1329" s="2" t="s">
        <v>114</v>
      </c>
      <c r="K1329" s="2" t="s">
        <v>4519</v>
      </c>
      <c r="L1329" s="3">
        <v>190</v>
      </c>
      <c r="M1329" s="3">
        <v>199.49</v>
      </c>
      <c r="N1329" s="3">
        <v>379.99</v>
      </c>
      <c r="O1329" s="2" t="s">
        <v>97</v>
      </c>
      <c r="P1329" s="2" t="s">
        <v>143</v>
      </c>
      <c r="Q1329" s="2" t="s">
        <v>99</v>
      </c>
      <c r="R1329" s="2" t="s">
        <v>100</v>
      </c>
      <c r="S1329" s="2" t="s">
        <v>4520</v>
      </c>
      <c r="T1329" s="2" t="s">
        <v>100</v>
      </c>
      <c r="U1329" s="2" t="s">
        <v>807</v>
      </c>
      <c r="V1329" s="2" t="s">
        <v>1122</v>
      </c>
      <c r="W1329" s="2" t="s">
        <v>1190</v>
      </c>
      <c r="X1329" s="2" t="s">
        <v>100</v>
      </c>
      <c r="Y1329" s="2" t="s">
        <v>4521</v>
      </c>
      <c r="Z1329" s="4">
        <v>133</v>
      </c>
      <c r="AA1329" s="4">
        <f>=ROUNDDOWN({0},0)</f>
      </c>
      <c r="AB1329" s="5">
        <v>10</v>
      </c>
      <c r="AC1329" s="2" t="s">
        <v>325</v>
      </c>
      <c r="AD1329" s="4">
        <v>120</v>
      </c>
      <c r="AE1329" s="4">
        <v>280</v>
      </c>
      <c r="AF1329" s="6">
        <v>67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>
        <v>0</v>
      </c>
      <c r="AP1329" s="4">
        <v>1</v>
      </c>
      <c r="AQ1329" s="8">
        <v>199.5</v>
      </c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>
        <v>1</v>
      </c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 t="s">
        <v>100</v>
      </c>
      <c r="BJ1329" s="4">
        <v>198</v>
      </c>
      <c r="BK1329" s="8">
        <v>42095.81</v>
      </c>
      <c r="BL1329" s="2" t="s">
        <v>4525</v>
      </c>
      <c r="BM1329" s="7">
        <v>0.0051</v>
      </c>
      <c r="BN1329" s="7">
        <v>0.0047</v>
      </c>
      <c r="BO1329" s="4">
        <v>1</v>
      </c>
      <c r="BP1329" s="8">
        <v>199.5</v>
      </c>
      <c r="BQ1329" s="4"/>
      <c r="BR1329" s="8"/>
      <c r="BS1329" s="7"/>
      <c r="BT1329" s="7"/>
      <c r="BU1329" s="2" t="s">
        <v>109</v>
      </c>
      <c r="BV1329" s="2" t="s">
        <v>97</v>
      </c>
      <c r="BW1329" s="2" t="s">
        <v>737</v>
      </c>
      <c r="BX1329" s="2" t="s">
        <v>4526</v>
      </c>
      <c r="BY1329" s="2" t="s">
        <v>112</v>
      </c>
      <c r="BZ1329" s="2" t="s">
        <v>100</v>
      </c>
    </row>
    <row r="1330">
      <c r="A1330" s="2" t="s">
        <v>4527</v>
      </c>
      <c r="B1330" s="2" t="s">
        <v>87</v>
      </c>
      <c r="C1330" s="2" t="s">
        <v>4479</v>
      </c>
      <c r="D1330" s="2" t="s">
        <v>89</v>
      </c>
      <c r="E1330" s="2" t="s">
        <v>90</v>
      </c>
      <c r="F1330" s="2" t="s">
        <v>4528</v>
      </c>
      <c r="G1330" s="2" t="s">
        <v>4528</v>
      </c>
      <c r="H1330" s="2" t="s">
        <v>4528</v>
      </c>
      <c r="I1330" s="2" t="s">
        <v>4529</v>
      </c>
      <c r="J1330" s="2" t="s">
        <v>95</v>
      </c>
      <c r="K1330" s="2" t="s">
        <v>4530</v>
      </c>
      <c r="L1330" s="3">
        <v>172.2</v>
      </c>
      <c r="M1330" s="3">
        <v>180.81</v>
      </c>
      <c r="N1330" s="3">
        <v>409.99</v>
      </c>
      <c r="O1330" s="2" t="s">
        <v>550</v>
      </c>
      <c r="P1330" s="2" t="s">
        <v>198</v>
      </c>
      <c r="Q1330" s="2" t="s">
        <v>99</v>
      </c>
      <c r="R1330" s="2" t="s">
        <v>100</v>
      </c>
      <c r="S1330" s="2" t="s">
        <v>4531</v>
      </c>
      <c r="T1330" s="2" t="s">
        <v>100</v>
      </c>
      <c r="U1330" s="2" t="s">
        <v>403</v>
      </c>
      <c r="V1330" s="2" t="s">
        <v>637</v>
      </c>
      <c r="W1330" s="2" t="s">
        <v>104</v>
      </c>
      <c r="X1330" s="2" t="s">
        <v>4532</v>
      </c>
      <c r="Y1330" s="2" t="s">
        <v>4533</v>
      </c>
      <c r="Z1330" s="4">
        <v>1</v>
      </c>
      <c r="AA1330" s="4">
        <f>=ROUNDDOWN(0.416666666666667,0)</f>
      </c>
      <c r="AB1330" s="5">
        <v>2.4</v>
      </c>
      <c r="AC1330" s="2" t="s">
        <v>100</v>
      </c>
      <c r="AD1330" s="4"/>
      <c r="AE1330" s="4"/>
      <c r="AF1330" s="6">
        <v>67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>
        <v>0</v>
      </c>
      <c r="AP1330" s="4">
        <v>1</v>
      </c>
      <c r="AQ1330" s="8">
        <v>180.81</v>
      </c>
      <c r="AR1330" s="4">
        <v>3</v>
      </c>
      <c r="AS1330" s="8">
        <v>542.43</v>
      </c>
      <c r="AT1330" s="7">
        <v>-0.6667</v>
      </c>
      <c r="AU1330" s="7">
        <v>-0.6667</v>
      </c>
      <c r="AV1330" s="4">
        <v>1</v>
      </c>
      <c r="AW1330" s="8">
        <v>180.81</v>
      </c>
      <c r="AX1330" s="4">
        <v>4</v>
      </c>
      <c r="AY1330" s="8">
        <v>754.95</v>
      </c>
      <c r="AZ1330" s="7">
        <v>-0.75</v>
      </c>
      <c r="BA1330" s="7">
        <v>-0.7605</v>
      </c>
      <c r="BB1330" s="7">
        <v>1</v>
      </c>
      <c r="BC1330" s="4">
        <v>1</v>
      </c>
      <c r="BD1330" s="8">
        <v>180.81</v>
      </c>
      <c r="BE1330" s="4">
        <v>4</v>
      </c>
      <c r="BF1330" s="8">
        <v>754.95</v>
      </c>
      <c r="BG1330" s="7">
        <v>-0.75</v>
      </c>
      <c r="BH1330" s="7">
        <v>-0.7605</v>
      </c>
      <c r="BI1330" s="7">
        <v>1</v>
      </c>
      <c r="BJ1330" s="4">
        <v>56</v>
      </c>
      <c r="BK1330" s="8">
        <v>6849.19</v>
      </c>
      <c r="BL1330" s="2" t="s">
        <v>4534</v>
      </c>
      <c r="BM1330" s="7">
        <v>0.0179</v>
      </c>
      <c r="BN1330" s="7">
        <v>0.0264</v>
      </c>
      <c r="BO1330" s="4">
        <v>1</v>
      </c>
      <c r="BP1330" s="8">
        <v>180.81</v>
      </c>
      <c r="BQ1330" s="4">
        <v>3</v>
      </c>
      <c r="BR1330" s="8">
        <v>542.43</v>
      </c>
      <c r="BS1330" s="7">
        <v>-0.6667</v>
      </c>
      <c r="BT1330" s="7">
        <v>-0.6667</v>
      </c>
      <c r="BU1330" s="2" t="s">
        <v>109</v>
      </c>
      <c r="BV1330" s="2" t="s">
        <v>97</v>
      </c>
      <c r="BW1330" s="2" t="s">
        <v>132</v>
      </c>
      <c r="BX1330" s="2" t="s">
        <v>136</v>
      </c>
      <c r="BY1330" s="2" t="s">
        <v>112</v>
      </c>
      <c r="BZ1330" s="2" t="s">
        <v>100</v>
      </c>
    </row>
    <row r="1331">
      <c r="A1331" s="2" t="s">
        <v>4535</v>
      </c>
      <c r="B1331" s="2" t="s">
        <v>87</v>
      </c>
      <c r="C1331" s="2" t="s">
        <v>4479</v>
      </c>
      <c r="D1331" s="2" t="s">
        <v>89</v>
      </c>
      <c r="E1331" s="2" t="s">
        <v>90</v>
      </c>
      <c r="F1331" s="2" t="s">
        <v>4528</v>
      </c>
      <c r="G1331" s="2" t="s">
        <v>4528</v>
      </c>
      <c r="H1331" s="2" t="s">
        <v>4528</v>
      </c>
      <c r="I1331" s="2" t="s">
        <v>4536</v>
      </c>
      <c r="J1331" s="2" t="s">
        <v>114</v>
      </c>
      <c r="K1331" s="2" t="s">
        <v>4530</v>
      </c>
      <c r="L1331" s="3">
        <v>202.4</v>
      </c>
      <c r="M1331" s="3">
        <v>212.52</v>
      </c>
      <c r="N1331" s="3">
        <v>459.99</v>
      </c>
      <c r="O1331" s="2" t="s">
        <v>229</v>
      </c>
      <c r="P1331" s="2" t="s">
        <v>198</v>
      </c>
      <c r="Q1331" s="2" t="s">
        <v>99</v>
      </c>
      <c r="R1331" s="2" t="s">
        <v>100</v>
      </c>
      <c r="S1331" s="2" t="s">
        <v>4531</v>
      </c>
      <c r="T1331" s="2" t="s">
        <v>100</v>
      </c>
      <c r="U1331" s="2" t="s">
        <v>807</v>
      </c>
      <c r="V1331" s="2" t="s">
        <v>637</v>
      </c>
      <c r="W1331" s="2" t="s">
        <v>104</v>
      </c>
      <c r="X1331" s="2" t="s">
        <v>1206</v>
      </c>
      <c r="Y1331" s="2" t="s">
        <v>4533</v>
      </c>
      <c r="Z1331" s="4"/>
      <c r="AA1331" s="4">
        <f>=ROUNDDOWN({0},0)</f>
      </c>
      <c r="AB1331" s="5">
        <v>1.5</v>
      </c>
      <c r="AC1331" s="2" t="s">
        <v>100</v>
      </c>
      <c r="AD1331" s="4"/>
      <c r="AE1331" s="4"/>
      <c r="AF1331" s="6">
        <v>67</v>
      </c>
      <c r="AG1331" s="6"/>
      <c r="AH1331" s="7">
        <v>0.2909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>
        <v>0</v>
      </c>
      <c r="AP1331" s="4"/>
      <c r="AQ1331" s="8"/>
      <c r="AR1331" s="4">
        <v>1</v>
      </c>
      <c r="AS1331" s="8">
        <v>212.52</v>
      </c>
      <c r="AT1331" s="7">
        <v>-1</v>
      </c>
      <c r="AU1331" s="7">
        <v>-1</v>
      </c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 t="s">
        <v>100</v>
      </c>
      <c r="BJ1331" s="4">
        <v>31</v>
      </c>
      <c r="BK1331" s="8">
        <v>5924.48</v>
      </c>
      <c r="BL1331" s="2" t="s">
        <v>4537</v>
      </c>
      <c r="BM1331" s="7"/>
      <c r="BN1331" s="7"/>
      <c r="BO1331" s="4"/>
      <c r="BP1331" s="8"/>
      <c r="BQ1331" s="4">
        <v>1</v>
      </c>
      <c r="BR1331" s="8">
        <v>212.52</v>
      </c>
      <c r="BS1331" s="7">
        <v>-1</v>
      </c>
      <c r="BT1331" s="7">
        <v>-1</v>
      </c>
      <c r="BU1331" s="2" t="s">
        <v>109</v>
      </c>
      <c r="BV1331" s="2" t="s">
        <v>552</v>
      </c>
      <c r="BW1331" s="2" t="s">
        <v>132</v>
      </c>
      <c r="BX1331" s="2" t="s">
        <v>4538</v>
      </c>
      <c r="BY1331" s="2" t="s">
        <v>112</v>
      </c>
      <c r="BZ1331" s="2" t="s">
        <v>100</v>
      </c>
    </row>
    <row r="1332">
      <c r="A1332" s="2" t="s">
        <v>4539</v>
      </c>
      <c r="B1332" s="2" t="s">
        <v>87</v>
      </c>
      <c r="C1332" s="2" t="s">
        <v>4479</v>
      </c>
      <c r="D1332" s="2" t="s">
        <v>89</v>
      </c>
      <c r="E1332" s="2" t="s">
        <v>90</v>
      </c>
      <c r="F1332" s="2" t="s">
        <v>1350</v>
      </c>
      <c r="G1332" s="2" t="s">
        <v>1350</v>
      </c>
      <c r="H1332" s="2" t="s">
        <v>1350</v>
      </c>
      <c r="I1332" s="2" t="s">
        <v>4540</v>
      </c>
      <c r="J1332" s="2" t="s">
        <v>844</v>
      </c>
      <c r="K1332" s="2" t="s">
        <v>4541</v>
      </c>
      <c r="L1332" s="3">
        <v>126</v>
      </c>
      <c r="M1332" s="3">
        <v>132.3</v>
      </c>
      <c r="N1332" s="3">
        <v>299.99</v>
      </c>
      <c r="O1332" s="2" t="s">
        <v>97</v>
      </c>
      <c r="P1332" s="2" t="s">
        <v>198</v>
      </c>
      <c r="Q1332" s="2" t="s">
        <v>99</v>
      </c>
      <c r="R1332" s="2" t="s">
        <v>100</v>
      </c>
      <c r="S1332" s="2" t="s">
        <v>4542</v>
      </c>
      <c r="T1332" s="2" t="s">
        <v>4481</v>
      </c>
      <c r="U1332" s="2" t="s">
        <v>403</v>
      </c>
      <c r="V1332" s="2" t="s">
        <v>561</v>
      </c>
      <c r="W1332" s="2" t="s">
        <v>759</v>
      </c>
      <c r="X1332" s="2" t="s">
        <v>104</v>
      </c>
      <c r="Y1332" s="2" t="s">
        <v>4543</v>
      </c>
      <c r="Z1332" s="4">
        <v>56</v>
      </c>
      <c r="AA1332" s="4">
        <f>=ROUNDDOWN(14,0)</f>
      </c>
      <c r="AB1332" s="5">
        <v>4</v>
      </c>
      <c r="AC1332" s="2" t="s">
        <v>145</v>
      </c>
      <c r="AD1332" s="4">
        <v>80</v>
      </c>
      <c r="AE1332" s="4">
        <v>80</v>
      </c>
      <c r="AF1332" s="6">
        <v>67</v>
      </c>
      <c r="AG1332" s="6"/>
      <c r="AH1332" s="7">
        <v>0.6606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54</v>
      </c>
      <c r="BK1332" s="8">
        <v>7502.22</v>
      </c>
      <c r="BL1332" s="2" t="s">
        <v>4544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147</v>
      </c>
      <c r="BV1332" s="2" t="s">
        <v>97</v>
      </c>
      <c r="BW1332" s="2" t="s">
        <v>100</v>
      </c>
      <c r="BX1332" s="2" t="s">
        <v>100</v>
      </c>
      <c r="BY1332" s="2" t="s">
        <v>112</v>
      </c>
      <c r="BZ1332" s="2" t="s">
        <v>100</v>
      </c>
    </row>
    <row r="1333">
      <c r="A1333" s="2" t="s">
        <v>4545</v>
      </c>
      <c r="B1333" s="2" t="s">
        <v>87</v>
      </c>
      <c r="C1333" s="2" t="s">
        <v>4479</v>
      </c>
      <c r="D1333" s="2" t="s">
        <v>89</v>
      </c>
      <c r="E1333" s="2" t="s">
        <v>90</v>
      </c>
      <c r="F1333" s="2" t="s">
        <v>1350</v>
      </c>
      <c r="G1333" s="2" t="s">
        <v>1350</v>
      </c>
      <c r="H1333" s="2" t="s">
        <v>1350</v>
      </c>
      <c r="I1333" s="2" t="s">
        <v>4546</v>
      </c>
      <c r="J1333" s="2" t="s">
        <v>850</v>
      </c>
      <c r="K1333" s="2" t="s">
        <v>4541</v>
      </c>
      <c r="L1333" s="3">
        <v>147</v>
      </c>
      <c r="M1333" s="3">
        <v>154.35</v>
      </c>
      <c r="N1333" s="3">
        <v>349.99</v>
      </c>
      <c r="O1333" s="2" t="s">
        <v>97</v>
      </c>
      <c r="P1333" s="2" t="s">
        <v>198</v>
      </c>
      <c r="Q1333" s="2" t="s">
        <v>99</v>
      </c>
      <c r="R1333" s="2" t="s">
        <v>100</v>
      </c>
      <c r="S1333" s="2" t="s">
        <v>4542</v>
      </c>
      <c r="T1333" s="2" t="s">
        <v>4481</v>
      </c>
      <c r="U1333" s="2" t="s">
        <v>807</v>
      </c>
      <c r="V1333" s="2" t="s">
        <v>561</v>
      </c>
      <c r="W1333" s="2" t="s">
        <v>759</v>
      </c>
      <c r="X1333" s="2" t="s">
        <v>104</v>
      </c>
      <c r="Y1333" s="2" t="s">
        <v>4543</v>
      </c>
      <c r="Z1333" s="4">
        <v>45</v>
      </c>
      <c r="AA1333" s="4">
        <f>=ROUNDDOWN(9,0)</f>
      </c>
      <c r="AB1333" s="5">
        <v>5</v>
      </c>
      <c r="AC1333" s="2" t="s">
        <v>145</v>
      </c>
      <c r="AD1333" s="4">
        <v>100</v>
      </c>
      <c r="AE1333" s="4">
        <v>100</v>
      </c>
      <c r="AF1333" s="6">
        <v>67</v>
      </c>
      <c r="AG1333" s="6"/>
      <c r="AH1333" s="7">
        <v>0.2485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100</v>
      </c>
      <c r="AW1333" s="8" t="s">
        <v>100</v>
      </c>
      <c r="AX1333" s="4" t="s">
        <v>100</v>
      </c>
      <c r="AY1333" s="8" t="s">
        <v>100</v>
      </c>
      <c r="AZ1333" s="7" t="s">
        <v>100</v>
      </c>
      <c r="BA1333" s="7" t="s">
        <v>100</v>
      </c>
      <c r="BB1333" s="7"/>
      <c r="BC1333" s="4" t="s">
        <v>100</v>
      </c>
      <c r="BD1333" s="8" t="s">
        <v>100</v>
      </c>
      <c r="BE1333" s="4" t="s">
        <v>100</v>
      </c>
      <c r="BF1333" s="8" t="s">
        <v>100</v>
      </c>
      <c r="BG1333" s="7" t="s">
        <v>100</v>
      </c>
      <c r="BH1333" s="7" t="s">
        <v>100</v>
      </c>
      <c r="BI1333" s="7"/>
      <c r="BJ1333" s="4">
        <v>33</v>
      </c>
      <c r="BK1333" s="8">
        <v>5457.81</v>
      </c>
      <c r="BL1333" s="2" t="s">
        <v>4547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147</v>
      </c>
      <c r="BV1333" s="2" t="s">
        <v>97</v>
      </c>
      <c r="BW1333" s="2" t="s">
        <v>100</v>
      </c>
      <c r="BX1333" s="2" t="s">
        <v>100</v>
      </c>
      <c r="BY1333" s="2" t="s">
        <v>112</v>
      </c>
      <c r="BZ1333" s="2" t="s">
        <v>100</v>
      </c>
    </row>
    <row r="1334">
      <c r="A1334" s="2" t="s">
        <v>4548</v>
      </c>
      <c r="B1334" s="2" t="s">
        <v>87</v>
      </c>
      <c r="C1334" s="2" t="s">
        <v>4479</v>
      </c>
      <c r="D1334" s="2" t="s">
        <v>89</v>
      </c>
      <c r="E1334" s="2" t="s">
        <v>90</v>
      </c>
      <c r="F1334" s="2" t="s">
        <v>4549</v>
      </c>
      <c r="G1334" s="2" t="s">
        <v>4549</v>
      </c>
      <c r="H1334" s="2" t="s">
        <v>4549</v>
      </c>
      <c r="I1334" s="2" t="s">
        <v>4550</v>
      </c>
      <c r="J1334" s="2" t="s">
        <v>95</v>
      </c>
      <c r="K1334" s="2" t="s">
        <v>635</v>
      </c>
      <c r="L1334" s="3">
        <v>193.5</v>
      </c>
      <c r="M1334" s="3">
        <v>203.18</v>
      </c>
      <c r="N1334" s="3">
        <v>429.99</v>
      </c>
      <c r="O1334" s="2" t="s">
        <v>229</v>
      </c>
      <c r="P1334" s="2" t="s">
        <v>198</v>
      </c>
      <c r="Q1334" s="2" t="s">
        <v>99</v>
      </c>
      <c r="R1334" s="2" t="s">
        <v>100</v>
      </c>
      <c r="S1334" s="2" t="s">
        <v>4551</v>
      </c>
      <c r="T1334" s="2" t="s">
        <v>100</v>
      </c>
      <c r="U1334" s="2" t="s">
        <v>403</v>
      </c>
      <c r="V1334" s="2" t="s">
        <v>491</v>
      </c>
      <c r="W1334" s="2" t="s">
        <v>808</v>
      </c>
      <c r="X1334" s="2" t="s">
        <v>4552</v>
      </c>
      <c r="Y1334" s="2" t="s">
        <v>4553</v>
      </c>
      <c r="Z1334" s="4">
        <v>46</v>
      </c>
      <c r="AA1334" s="4">
        <f>=ROUNDDOWN(46,0)</f>
      </c>
      <c r="AB1334" s="5">
        <v>1</v>
      </c>
      <c r="AC1334" s="2" t="s">
        <v>100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30</v>
      </c>
      <c r="BK1334" s="8">
        <v>3892.84</v>
      </c>
      <c r="BL1334" s="2" t="s">
        <v>4554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147</v>
      </c>
      <c r="BV1334" s="2" t="s">
        <v>97</v>
      </c>
      <c r="BW1334" s="2" t="s">
        <v>100</v>
      </c>
      <c r="BX1334" s="2" t="s">
        <v>100</v>
      </c>
      <c r="BY1334" s="2" t="s">
        <v>112</v>
      </c>
      <c r="BZ1334" s="2" t="s">
        <v>100</v>
      </c>
    </row>
    <row r="1335">
      <c r="A1335" s="2" t="s">
        <v>4555</v>
      </c>
      <c r="B1335" s="2" t="s">
        <v>87</v>
      </c>
      <c r="C1335" s="2" t="s">
        <v>4479</v>
      </c>
      <c r="D1335" s="2" t="s">
        <v>89</v>
      </c>
      <c r="E1335" s="2" t="s">
        <v>90</v>
      </c>
      <c r="F1335" s="2" t="s">
        <v>4549</v>
      </c>
      <c r="G1335" s="2" t="s">
        <v>4549</v>
      </c>
      <c r="H1335" s="2" t="s">
        <v>4549</v>
      </c>
      <c r="I1335" s="2" t="s">
        <v>4556</v>
      </c>
      <c r="J1335" s="2" t="s">
        <v>114</v>
      </c>
      <c r="K1335" s="2" t="s">
        <v>635</v>
      </c>
      <c r="L1335" s="3">
        <v>216</v>
      </c>
      <c r="M1335" s="3">
        <v>226.8</v>
      </c>
      <c r="N1335" s="3">
        <v>479.99</v>
      </c>
      <c r="O1335" s="2" t="s">
        <v>229</v>
      </c>
      <c r="P1335" s="2" t="s">
        <v>198</v>
      </c>
      <c r="Q1335" s="2" t="s">
        <v>99</v>
      </c>
      <c r="R1335" s="2" t="s">
        <v>100</v>
      </c>
      <c r="S1335" s="2" t="s">
        <v>4551</v>
      </c>
      <c r="T1335" s="2" t="s">
        <v>100</v>
      </c>
      <c r="U1335" s="2" t="s">
        <v>807</v>
      </c>
      <c r="V1335" s="2" t="s">
        <v>491</v>
      </c>
      <c r="W1335" s="2" t="s">
        <v>808</v>
      </c>
      <c r="X1335" s="2" t="s">
        <v>4552</v>
      </c>
      <c r="Y1335" s="2" t="s">
        <v>4553</v>
      </c>
      <c r="Z1335" s="4">
        <v>186</v>
      </c>
      <c r="AA1335" s="4">
        <f>=ROUNDDOWN(186,0)</f>
      </c>
      <c r="AB1335" s="5">
        <v>1</v>
      </c>
      <c r="AC1335" s="2" t="s">
        <v>100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26</v>
      </c>
      <c r="BK1335" s="8">
        <v>4343.62</v>
      </c>
      <c r="BL1335" s="2" t="s">
        <v>4557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147</v>
      </c>
      <c r="BV1335" s="2" t="s">
        <v>97</v>
      </c>
      <c r="BW1335" s="2" t="s">
        <v>100</v>
      </c>
      <c r="BX1335" s="2" t="s">
        <v>100</v>
      </c>
      <c r="BY1335" s="2" t="s">
        <v>112</v>
      </c>
      <c r="BZ1335" s="2" t="s">
        <v>100</v>
      </c>
    </row>
    <row r="1336">
      <c r="A1336" s="2" t="s">
        <v>4558</v>
      </c>
      <c r="B1336" s="2" t="s">
        <v>87</v>
      </c>
      <c r="C1336" s="2" t="s">
        <v>4479</v>
      </c>
      <c r="D1336" s="2" t="s">
        <v>89</v>
      </c>
      <c r="E1336" s="2" t="s">
        <v>90</v>
      </c>
      <c r="F1336" s="2" t="s">
        <v>4559</v>
      </c>
      <c r="G1336" s="2" t="s">
        <v>4559</v>
      </c>
      <c r="H1336" s="2" t="s">
        <v>4559</v>
      </c>
      <c r="I1336" s="2" t="s">
        <v>4560</v>
      </c>
      <c r="J1336" s="2" t="s">
        <v>95</v>
      </c>
      <c r="K1336" s="2" t="s">
        <v>158</v>
      </c>
      <c r="L1336" s="3">
        <v>165</v>
      </c>
      <c r="M1336" s="3">
        <v>173.24</v>
      </c>
      <c r="N1336" s="3">
        <v>329.99</v>
      </c>
      <c r="O1336" s="2" t="s">
        <v>97</v>
      </c>
      <c r="P1336" s="2" t="s">
        <v>1166</v>
      </c>
      <c r="Q1336" s="2" t="s">
        <v>99</v>
      </c>
      <c r="R1336" s="2" t="s">
        <v>100</v>
      </c>
      <c r="S1336" s="2" t="s">
        <v>4561</v>
      </c>
      <c r="T1336" s="2" t="s">
        <v>732</v>
      </c>
      <c r="U1336" s="2" t="s">
        <v>403</v>
      </c>
      <c r="V1336" s="2" t="s">
        <v>561</v>
      </c>
      <c r="W1336" s="2" t="s">
        <v>1288</v>
      </c>
      <c r="X1336" s="2" t="s">
        <v>759</v>
      </c>
      <c r="Y1336" s="2" t="s">
        <v>100</v>
      </c>
      <c r="Z1336" s="4"/>
      <c r="AA1336" s="4">
        <f>=ROUNDDOWN({0},0)</f>
      </c>
      <c r="AB1336" s="5"/>
      <c r="AC1336" s="2" t="s">
        <v>2305</v>
      </c>
      <c r="AD1336" s="4">
        <v>200</v>
      </c>
      <c r="AE1336" s="4">
        <v>360</v>
      </c>
      <c r="AF1336" s="6">
        <v>67</v>
      </c>
      <c r="AG1336" s="6"/>
      <c r="AH1336" s="7">
        <v>0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/>
      <c r="BK1336" s="8"/>
      <c r="BL1336" s="2" t="s">
        <v>100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1171</v>
      </c>
      <c r="BV1336" s="2" t="s">
        <v>97</v>
      </c>
      <c r="BW1336" s="2" t="s">
        <v>100</v>
      </c>
      <c r="BX1336" s="2" t="s">
        <v>100</v>
      </c>
      <c r="BY1336" s="2" t="s">
        <v>112</v>
      </c>
      <c r="BZ1336" s="2" t="s">
        <v>100</v>
      </c>
    </row>
    <row r="1337">
      <c r="A1337" s="2" t="s">
        <v>4562</v>
      </c>
      <c r="B1337" s="2" t="s">
        <v>87</v>
      </c>
      <c r="C1337" s="2" t="s">
        <v>4479</v>
      </c>
      <c r="D1337" s="2" t="s">
        <v>89</v>
      </c>
      <c r="E1337" s="2" t="s">
        <v>90</v>
      </c>
      <c r="F1337" s="2" t="s">
        <v>4559</v>
      </c>
      <c r="G1337" s="2" t="s">
        <v>4559</v>
      </c>
      <c r="H1337" s="2" t="s">
        <v>4559</v>
      </c>
      <c r="I1337" s="2" t="s">
        <v>4560</v>
      </c>
      <c r="J1337" s="2" t="s">
        <v>114</v>
      </c>
      <c r="K1337" s="2" t="s">
        <v>158</v>
      </c>
      <c r="L1337" s="3">
        <v>190</v>
      </c>
      <c r="M1337" s="3">
        <v>199.49</v>
      </c>
      <c r="N1337" s="3">
        <v>379.99</v>
      </c>
      <c r="O1337" s="2" t="s">
        <v>97</v>
      </c>
      <c r="P1337" s="2" t="s">
        <v>1166</v>
      </c>
      <c r="Q1337" s="2" t="s">
        <v>99</v>
      </c>
      <c r="R1337" s="2" t="s">
        <v>100</v>
      </c>
      <c r="S1337" s="2" t="s">
        <v>4561</v>
      </c>
      <c r="T1337" s="2" t="s">
        <v>732</v>
      </c>
      <c r="U1337" s="2" t="s">
        <v>807</v>
      </c>
      <c r="V1337" s="2" t="s">
        <v>561</v>
      </c>
      <c r="W1337" s="2" t="s">
        <v>1288</v>
      </c>
      <c r="X1337" s="2" t="s">
        <v>759</v>
      </c>
      <c r="Y1337" s="2" t="s">
        <v>100</v>
      </c>
      <c r="Z1337" s="4"/>
      <c r="AA1337" s="4">
        <f>=ROUNDDOWN({0},0)</f>
      </c>
      <c r="AB1337" s="5"/>
      <c r="AC1337" s="2" t="s">
        <v>2305</v>
      </c>
      <c r="AD1337" s="4">
        <v>300</v>
      </c>
      <c r="AE1337" s="4">
        <v>540</v>
      </c>
      <c r="AF1337" s="6">
        <v>67</v>
      </c>
      <c r="AG1337" s="6"/>
      <c r="AH1337" s="7">
        <v>0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/>
      <c r="BJ1337" s="4"/>
      <c r="BK1337" s="8"/>
      <c r="BL1337" s="2" t="s">
        <v>100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1171</v>
      </c>
      <c r="BV1337" s="2" t="s">
        <v>97</v>
      </c>
      <c r="BW1337" s="2" t="s">
        <v>100</v>
      </c>
      <c r="BX1337" s="2" t="s">
        <v>100</v>
      </c>
      <c r="BY1337" s="2" t="s">
        <v>112</v>
      </c>
      <c r="BZ1337" s="2" t="s">
        <v>100</v>
      </c>
    </row>
    <row r="1338">
      <c r="A1338" s="2" t="s">
        <v>4563</v>
      </c>
      <c r="B1338" s="2" t="s">
        <v>87</v>
      </c>
      <c r="C1338" s="2" t="s">
        <v>4479</v>
      </c>
      <c r="D1338" s="2" t="s">
        <v>89</v>
      </c>
      <c r="E1338" s="2" t="s">
        <v>90</v>
      </c>
      <c r="F1338" s="2" t="s">
        <v>4559</v>
      </c>
      <c r="G1338" s="2" t="s">
        <v>4559</v>
      </c>
      <c r="H1338" s="2" t="s">
        <v>4559</v>
      </c>
      <c r="I1338" s="2" t="s">
        <v>4560</v>
      </c>
      <c r="J1338" s="2" t="s">
        <v>95</v>
      </c>
      <c r="K1338" s="2" t="s">
        <v>1204</v>
      </c>
      <c r="L1338" s="3">
        <v>165</v>
      </c>
      <c r="M1338" s="3">
        <v>173.24</v>
      </c>
      <c r="N1338" s="3">
        <v>329.99</v>
      </c>
      <c r="O1338" s="2" t="s">
        <v>97</v>
      </c>
      <c r="P1338" s="2" t="s">
        <v>805</v>
      </c>
      <c r="Q1338" s="2" t="s">
        <v>99</v>
      </c>
      <c r="R1338" s="2" t="s">
        <v>100</v>
      </c>
      <c r="S1338" s="2" t="s">
        <v>4564</v>
      </c>
      <c r="T1338" s="2" t="s">
        <v>732</v>
      </c>
      <c r="U1338" s="2" t="s">
        <v>403</v>
      </c>
      <c r="V1338" s="2" t="s">
        <v>561</v>
      </c>
      <c r="W1338" s="2" t="s">
        <v>3896</v>
      </c>
      <c r="X1338" s="2" t="s">
        <v>759</v>
      </c>
      <c r="Y1338" s="2" t="s">
        <v>4565</v>
      </c>
      <c r="Z1338" s="4">
        <v>536</v>
      </c>
      <c r="AA1338" s="4">
        <f>=ROUNDDOWN(14.1052631578947,0)</f>
      </c>
      <c r="AB1338" s="5">
        <v>38</v>
      </c>
      <c r="AC1338" s="2" t="s">
        <v>3601</v>
      </c>
      <c r="AD1338" s="4">
        <v>200</v>
      </c>
      <c r="AE1338" s="4">
        <v>860</v>
      </c>
      <c r="AF1338" s="6">
        <v>67</v>
      </c>
      <c r="AG1338" s="6">
        <v>50</v>
      </c>
      <c r="AH1338" s="7">
        <v>1</v>
      </c>
      <c r="AI1338" s="4"/>
      <c r="AJ1338" s="4">
        <f>=ROUNDDOWN({0},0)</f>
      </c>
      <c r="AK1338" s="5"/>
      <c r="AL1338" s="2" t="s">
        <v>4566</v>
      </c>
      <c r="AM1338" s="4">
        <v>50</v>
      </c>
      <c r="AN1338" s="4">
        <v>250</v>
      </c>
      <c r="AO1338" s="7">
        <v>0</v>
      </c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1019</v>
      </c>
      <c r="BK1338" s="8">
        <v>181124.77</v>
      </c>
      <c r="BL1338" s="2" t="s">
        <v>4567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97</v>
      </c>
      <c r="BW1338" s="2" t="s">
        <v>580</v>
      </c>
      <c r="BX1338" s="2" t="s">
        <v>100</v>
      </c>
      <c r="BY1338" s="2" t="s">
        <v>112</v>
      </c>
      <c r="BZ1338" s="2" t="s">
        <v>100</v>
      </c>
    </row>
    <row r="1339">
      <c r="A1339" s="2" t="s">
        <v>4568</v>
      </c>
      <c r="B1339" s="2" t="s">
        <v>87</v>
      </c>
      <c r="C1339" s="2" t="s">
        <v>4479</v>
      </c>
      <c r="D1339" s="2" t="s">
        <v>89</v>
      </c>
      <c r="E1339" s="2" t="s">
        <v>90</v>
      </c>
      <c r="F1339" s="2" t="s">
        <v>4559</v>
      </c>
      <c r="G1339" s="2" t="s">
        <v>4559</v>
      </c>
      <c r="H1339" s="2" t="s">
        <v>4559</v>
      </c>
      <c r="I1339" s="2" t="s">
        <v>4560</v>
      </c>
      <c r="J1339" s="2" t="s">
        <v>114</v>
      </c>
      <c r="K1339" s="2" t="s">
        <v>1204</v>
      </c>
      <c r="L1339" s="3">
        <v>190</v>
      </c>
      <c r="M1339" s="3">
        <v>199.49</v>
      </c>
      <c r="N1339" s="3">
        <v>379.99</v>
      </c>
      <c r="O1339" s="2" t="s">
        <v>97</v>
      </c>
      <c r="P1339" s="2" t="s">
        <v>805</v>
      </c>
      <c r="Q1339" s="2" t="s">
        <v>99</v>
      </c>
      <c r="R1339" s="2" t="s">
        <v>100</v>
      </c>
      <c r="S1339" s="2" t="s">
        <v>4564</v>
      </c>
      <c r="T1339" s="2" t="s">
        <v>732</v>
      </c>
      <c r="U1339" s="2" t="s">
        <v>807</v>
      </c>
      <c r="V1339" s="2" t="s">
        <v>561</v>
      </c>
      <c r="W1339" s="2" t="s">
        <v>3896</v>
      </c>
      <c r="X1339" s="2" t="s">
        <v>759</v>
      </c>
      <c r="Y1339" s="2" t="s">
        <v>4565</v>
      </c>
      <c r="Z1339" s="4">
        <v>955</v>
      </c>
      <c r="AA1339" s="4">
        <f>=ROUNDDOWN(16.7543859649123,0)</f>
      </c>
      <c r="AB1339" s="5">
        <v>57</v>
      </c>
      <c r="AC1339" s="2" t="s">
        <v>936</v>
      </c>
      <c r="AD1339" s="4">
        <v>60</v>
      </c>
      <c r="AE1339" s="4">
        <v>1100</v>
      </c>
      <c r="AF1339" s="6">
        <v>67</v>
      </c>
      <c r="AG1339" s="6">
        <v>50</v>
      </c>
      <c r="AH1339" s="7">
        <v>1</v>
      </c>
      <c r="AI1339" s="4"/>
      <c r="AJ1339" s="4">
        <f>=ROUNDDOWN({0},0)</f>
      </c>
      <c r="AK1339" s="5"/>
      <c r="AL1339" s="2" t="s">
        <v>4566</v>
      </c>
      <c r="AM1339" s="4">
        <v>100</v>
      </c>
      <c r="AN1339" s="4">
        <v>340</v>
      </c>
      <c r="AO1339" s="7">
        <v>0</v>
      </c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1509</v>
      </c>
      <c r="BK1339" s="8">
        <v>314096.69</v>
      </c>
      <c r="BL1339" s="2" t="s">
        <v>4569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97</v>
      </c>
      <c r="BW1339" s="2" t="s">
        <v>580</v>
      </c>
      <c r="BX1339" s="2" t="s">
        <v>100</v>
      </c>
      <c r="BY1339" s="2" t="s">
        <v>112</v>
      </c>
      <c r="BZ1339" s="2" t="s">
        <v>100</v>
      </c>
    </row>
    <row r="1340">
      <c r="A1340" s="2" t="s">
        <v>4570</v>
      </c>
      <c r="B1340" s="2" t="s">
        <v>87</v>
      </c>
      <c r="C1340" s="2" t="s">
        <v>4479</v>
      </c>
      <c r="D1340" s="2" t="s">
        <v>89</v>
      </c>
      <c r="E1340" s="2" t="s">
        <v>90</v>
      </c>
      <c r="F1340" s="2" t="s">
        <v>4559</v>
      </c>
      <c r="G1340" s="2" t="s">
        <v>4559</v>
      </c>
      <c r="H1340" s="2" t="s">
        <v>4559</v>
      </c>
      <c r="I1340" s="2" t="s">
        <v>4560</v>
      </c>
      <c r="J1340" s="2" t="s">
        <v>95</v>
      </c>
      <c r="K1340" s="2" t="s">
        <v>635</v>
      </c>
      <c r="L1340" s="3">
        <v>165</v>
      </c>
      <c r="M1340" s="3">
        <v>173.24</v>
      </c>
      <c r="N1340" s="3">
        <v>329.99</v>
      </c>
      <c r="O1340" s="2" t="s">
        <v>97</v>
      </c>
      <c r="P1340" s="2" t="s">
        <v>805</v>
      </c>
      <c r="Q1340" s="2" t="s">
        <v>99</v>
      </c>
      <c r="R1340" s="2" t="s">
        <v>100</v>
      </c>
      <c r="S1340" s="2" t="s">
        <v>4571</v>
      </c>
      <c r="T1340" s="2" t="s">
        <v>732</v>
      </c>
      <c r="U1340" s="2" t="s">
        <v>403</v>
      </c>
      <c r="V1340" s="2" t="s">
        <v>561</v>
      </c>
      <c r="W1340" s="2" t="s">
        <v>1288</v>
      </c>
      <c r="X1340" s="2" t="s">
        <v>759</v>
      </c>
      <c r="Y1340" s="2" t="s">
        <v>4572</v>
      </c>
      <c r="Z1340" s="4">
        <v>515</v>
      </c>
      <c r="AA1340" s="4">
        <f>=ROUNDDOWN(11.7045454545455,0)</f>
      </c>
      <c r="AB1340" s="5">
        <v>44</v>
      </c>
      <c r="AC1340" s="2" t="s">
        <v>3601</v>
      </c>
      <c r="AD1340" s="4">
        <v>120</v>
      </c>
      <c r="AE1340" s="4">
        <v>1250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>
        <v>743</v>
      </c>
      <c r="BK1340" s="8">
        <v>135931.92</v>
      </c>
      <c r="BL1340" s="2" t="s">
        <v>4573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97</v>
      </c>
      <c r="BW1340" s="2" t="s">
        <v>580</v>
      </c>
      <c r="BX1340" s="2" t="s">
        <v>100</v>
      </c>
      <c r="BY1340" s="2" t="s">
        <v>112</v>
      </c>
      <c r="BZ1340" s="2" t="s">
        <v>100</v>
      </c>
    </row>
    <row r="1341">
      <c r="A1341" s="2" t="s">
        <v>4574</v>
      </c>
      <c r="B1341" s="2" t="s">
        <v>87</v>
      </c>
      <c r="C1341" s="2" t="s">
        <v>4479</v>
      </c>
      <c r="D1341" s="2" t="s">
        <v>89</v>
      </c>
      <c r="E1341" s="2" t="s">
        <v>90</v>
      </c>
      <c r="F1341" s="2" t="s">
        <v>4559</v>
      </c>
      <c r="G1341" s="2" t="s">
        <v>4559</v>
      </c>
      <c r="H1341" s="2" t="s">
        <v>4559</v>
      </c>
      <c r="I1341" s="2" t="s">
        <v>4560</v>
      </c>
      <c r="J1341" s="2" t="s">
        <v>114</v>
      </c>
      <c r="K1341" s="2" t="s">
        <v>635</v>
      </c>
      <c r="L1341" s="3">
        <v>190</v>
      </c>
      <c r="M1341" s="3">
        <v>199.49</v>
      </c>
      <c r="N1341" s="3">
        <v>379.99</v>
      </c>
      <c r="O1341" s="2" t="s">
        <v>97</v>
      </c>
      <c r="P1341" s="2" t="s">
        <v>805</v>
      </c>
      <c r="Q1341" s="2" t="s">
        <v>99</v>
      </c>
      <c r="R1341" s="2" t="s">
        <v>100</v>
      </c>
      <c r="S1341" s="2" t="s">
        <v>4571</v>
      </c>
      <c r="T1341" s="2" t="s">
        <v>732</v>
      </c>
      <c r="U1341" s="2" t="s">
        <v>807</v>
      </c>
      <c r="V1341" s="2" t="s">
        <v>561</v>
      </c>
      <c r="W1341" s="2" t="s">
        <v>1288</v>
      </c>
      <c r="X1341" s="2" t="s">
        <v>759</v>
      </c>
      <c r="Y1341" s="2" t="s">
        <v>4572</v>
      </c>
      <c r="Z1341" s="4">
        <v>212</v>
      </c>
      <c r="AA1341" s="4">
        <f>=ROUNDDOWN(3.16417910447761,0)</f>
      </c>
      <c r="AB1341" s="5">
        <v>67</v>
      </c>
      <c r="AC1341" s="2" t="s">
        <v>3601</v>
      </c>
      <c r="AD1341" s="4">
        <v>300</v>
      </c>
      <c r="AE1341" s="4">
        <v>2220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/>
      <c r="BJ1341" s="4">
        <v>1413</v>
      </c>
      <c r="BK1341" s="8">
        <v>300241.53</v>
      </c>
      <c r="BL1341" s="2" t="s">
        <v>4575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97</v>
      </c>
      <c r="BW1341" s="2" t="s">
        <v>580</v>
      </c>
      <c r="BX1341" s="2" t="s">
        <v>100</v>
      </c>
      <c r="BY1341" s="2" t="s">
        <v>112</v>
      </c>
      <c r="BZ1341" s="2" t="s">
        <v>100</v>
      </c>
    </row>
    <row r="1342">
      <c r="A1342" s="2" t="s">
        <v>4576</v>
      </c>
      <c r="B1342" s="2" t="s">
        <v>87</v>
      </c>
      <c r="C1342" s="2" t="s">
        <v>4479</v>
      </c>
      <c r="D1342" s="2" t="s">
        <v>89</v>
      </c>
      <c r="E1342" s="2" t="s">
        <v>90</v>
      </c>
      <c r="F1342" s="2" t="s">
        <v>3896</v>
      </c>
      <c r="G1342" s="2" t="s">
        <v>100</v>
      </c>
      <c r="H1342" s="2" t="s">
        <v>100</v>
      </c>
      <c r="I1342" s="2" t="s">
        <v>549</v>
      </c>
      <c r="J1342" s="2" t="s">
        <v>95</v>
      </c>
      <c r="K1342" s="2" t="s">
        <v>158</v>
      </c>
      <c r="L1342" s="3">
        <v>139.5</v>
      </c>
      <c r="M1342" s="3">
        <v>146.48</v>
      </c>
      <c r="N1342" s="3">
        <v>309.99</v>
      </c>
      <c r="O1342" s="2" t="s">
        <v>97</v>
      </c>
      <c r="P1342" s="2" t="s">
        <v>1265</v>
      </c>
      <c r="Q1342" s="2" t="s">
        <v>99</v>
      </c>
      <c r="R1342" s="2" t="s">
        <v>100</v>
      </c>
      <c r="S1342" s="2" t="s">
        <v>4577</v>
      </c>
      <c r="T1342" s="2" t="s">
        <v>100</v>
      </c>
      <c r="U1342" s="2" t="s">
        <v>403</v>
      </c>
      <c r="V1342" s="2" t="s">
        <v>561</v>
      </c>
      <c r="W1342" s="2" t="s">
        <v>1288</v>
      </c>
      <c r="X1342" s="2" t="s">
        <v>1732</v>
      </c>
      <c r="Y1342" s="2" t="s">
        <v>4578</v>
      </c>
      <c r="Z1342" s="4">
        <v>163</v>
      </c>
      <c r="AA1342" s="4">
        <f>=ROUNDDOWN(20.375,0)</f>
      </c>
      <c r="AB1342" s="5">
        <v>8</v>
      </c>
      <c r="AC1342" s="2" t="s">
        <v>1208</v>
      </c>
      <c r="AD1342" s="4">
        <v>110</v>
      </c>
      <c r="AE1342" s="4">
        <v>110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/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/>
      <c r="BJ1342" s="4">
        <v>141</v>
      </c>
      <c r="BK1342" s="8">
        <v>20947.38</v>
      </c>
      <c r="BL1342" s="2" t="s">
        <v>4579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97</v>
      </c>
      <c r="BW1342" s="2" t="s">
        <v>580</v>
      </c>
      <c r="BX1342" s="2" t="s">
        <v>100</v>
      </c>
      <c r="BY1342" s="2" t="s">
        <v>112</v>
      </c>
      <c r="BZ1342" s="2" t="s">
        <v>100</v>
      </c>
    </row>
    <row r="1343">
      <c r="A1343" s="2" t="s">
        <v>4580</v>
      </c>
      <c r="B1343" s="2" t="s">
        <v>87</v>
      </c>
      <c r="C1343" s="2" t="s">
        <v>4479</v>
      </c>
      <c r="D1343" s="2" t="s">
        <v>89</v>
      </c>
      <c r="E1343" s="2" t="s">
        <v>90</v>
      </c>
      <c r="F1343" s="2" t="s">
        <v>3896</v>
      </c>
      <c r="G1343" s="2" t="s">
        <v>100</v>
      </c>
      <c r="H1343" s="2" t="s">
        <v>100</v>
      </c>
      <c r="I1343" s="2" t="s">
        <v>549</v>
      </c>
      <c r="J1343" s="2" t="s">
        <v>114</v>
      </c>
      <c r="K1343" s="2" t="s">
        <v>158</v>
      </c>
      <c r="L1343" s="3">
        <v>180</v>
      </c>
      <c r="M1343" s="3">
        <v>189</v>
      </c>
      <c r="N1343" s="3">
        <v>359.99</v>
      </c>
      <c r="O1343" s="2" t="s">
        <v>97</v>
      </c>
      <c r="P1343" s="2" t="s">
        <v>1265</v>
      </c>
      <c r="Q1343" s="2" t="s">
        <v>99</v>
      </c>
      <c r="R1343" s="2" t="s">
        <v>100</v>
      </c>
      <c r="S1343" s="2" t="s">
        <v>4577</v>
      </c>
      <c r="T1343" s="2" t="s">
        <v>100</v>
      </c>
      <c r="U1343" s="2" t="s">
        <v>807</v>
      </c>
      <c r="V1343" s="2" t="s">
        <v>561</v>
      </c>
      <c r="W1343" s="2" t="s">
        <v>1288</v>
      </c>
      <c r="X1343" s="2" t="s">
        <v>1732</v>
      </c>
      <c r="Y1343" s="2" t="s">
        <v>4578</v>
      </c>
      <c r="Z1343" s="4">
        <v>6</v>
      </c>
      <c r="AA1343" s="4">
        <f>=ROUNDDOWN(0.666666666666667,0)</f>
      </c>
      <c r="AB1343" s="5">
        <v>9</v>
      </c>
      <c r="AC1343" s="2" t="s">
        <v>1193</v>
      </c>
      <c r="AD1343" s="4">
        <v>90</v>
      </c>
      <c r="AE1343" s="4">
        <v>210</v>
      </c>
      <c r="AF1343" s="6">
        <v>67</v>
      </c>
      <c r="AG1343" s="6"/>
      <c r="AH1343" s="7">
        <v>0.5515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/>
      <c r="BJ1343" s="4">
        <v>236</v>
      </c>
      <c r="BK1343" s="8">
        <v>34810.62</v>
      </c>
      <c r="BL1343" s="2" t="s">
        <v>4581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97</v>
      </c>
      <c r="BW1343" s="2" t="s">
        <v>4144</v>
      </c>
      <c r="BX1343" s="2" t="s">
        <v>100</v>
      </c>
      <c r="BY1343" s="2" t="s">
        <v>112</v>
      </c>
      <c r="BZ1343" s="2" t="s">
        <v>100</v>
      </c>
    </row>
    <row r="1344">
      <c r="A1344" s="2" t="s">
        <v>4582</v>
      </c>
      <c r="B1344" s="2" t="s">
        <v>87</v>
      </c>
      <c r="C1344" s="2" t="s">
        <v>4479</v>
      </c>
      <c r="D1344" s="2" t="s">
        <v>89</v>
      </c>
      <c r="E1344" s="2" t="s">
        <v>90</v>
      </c>
      <c r="F1344" s="2" t="s">
        <v>2083</v>
      </c>
      <c r="G1344" s="2" t="s">
        <v>4583</v>
      </c>
      <c r="H1344" s="2" t="s">
        <v>2083</v>
      </c>
      <c r="I1344" s="2" t="s">
        <v>4584</v>
      </c>
      <c r="J1344" s="2" t="s">
        <v>95</v>
      </c>
      <c r="K1344" s="2" t="s">
        <v>622</v>
      </c>
      <c r="L1344" s="3">
        <v>148.5</v>
      </c>
      <c r="M1344" s="3">
        <v>155.93</v>
      </c>
      <c r="N1344" s="3">
        <v>329.99</v>
      </c>
      <c r="O1344" s="2" t="s">
        <v>97</v>
      </c>
      <c r="P1344" s="2" t="s">
        <v>143</v>
      </c>
      <c r="Q1344" s="2" t="s">
        <v>99</v>
      </c>
      <c r="R1344" s="2" t="s">
        <v>100</v>
      </c>
      <c r="S1344" s="2" t="s">
        <v>4585</v>
      </c>
      <c r="T1344" s="2" t="s">
        <v>100</v>
      </c>
      <c r="U1344" s="2" t="s">
        <v>403</v>
      </c>
      <c r="V1344" s="2" t="s">
        <v>991</v>
      </c>
      <c r="W1344" s="2" t="s">
        <v>104</v>
      </c>
      <c r="X1344" s="2" t="s">
        <v>4586</v>
      </c>
      <c r="Y1344" s="2" t="s">
        <v>4587</v>
      </c>
      <c r="Z1344" s="4">
        <v>201</v>
      </c>
      <c r="AA1344" s="4">
        <f>=ROUNDDOWN(20.1,0)</f>
      </c>
      <c r="AB1344" s="5">
        <v>10</v>
      </c>
      <c r="AC1344" s="2" t="s">
        <v>107</v>
      </c>
      <c r="AD1344" s="4">
        <v>50</v>
      </c>
      <c r="AE1344" s="4">
        <v>150</v>
      </c>
      <c r="AF1344" s="6">
        <v>67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/>
      <c r="BJ1344" s="4">
        <v>159</v>
      </c>
      <c r="BK1344" s="8">
        <v>25822.84</v>
      </c>
      <c r="BL1344" s="2" t="s">
        <v>4588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97</v>
      </c>
      <c r="BW1344" s="2" t="s">
        <v>580</v>
      </c>
      <c r="BX1344" s="2" t="s">
        <v>100</v>
      </c>
      <c r="BY1344" s="2" t="s">
        <v>112</v>
      </c>
      <c r="BZ1344" s="2" t="s">
        <v>100</v>
      </c>
    </row>
    <row r="1345">
      <c r="A1345" s="2" t="s">
        <v>4589</v>
      </c>
      <c r="B1345" s="2" t="s">
        <v>87</v>
      </c>
      <c r="C1345" s="2" t="s">
        <v>4479</v>
      </c>
      <c r="D1345" s="2" t="s">
        <v>89</v>
      </c>
      <c r="E1345" s="2" t="s">
        <v>90</v>
      </c>
      <c r="F1345" s="2" t="s">
        <v>2083</v>
      </c>
      <c r="G1345" s="2" t="s">
        <v>4583</v>
      </c>
      <c r="H1345" s="2" t="s">
        <v>2083</v>
      </c>
      <c r="I1345" s="2" t="s">
        <v>4590</v>
      </c>
      <c r="J1345" s="2" t="s">
        <v>114</v>
      </c>
      <c r="K1345" s="2" t="s">
        <v>622</v>
      </c>
      <c r="L1345" s="3">
        <v>171</v>
      </c>
      <c r="M1345" s="3">
        <v>179.55</v>
      </c>
      <c r="N1345" s="3">
        <v>379.99</v>
      </c>
      <c r="O1345" s="2" t="s">
        <v>97</v>
      </c>
      <c r="P1345" s="2" t="s">
        <v>143</v>
      </c>
      <c r="Q1345" s="2" t="s">
        <v>99</v>
      </c>
      <c r="R1345" s="2" t="s">
        <v>100</v>
      </c>
      <c r="S1345" s="2" t="s">
        <v>4585</v>
      </c>
      <c r="T1345" s="2" t="s">
        <v>100</v>
      </c>
      <c r="U1345" s="2" t="s">
        <v>807</v>
      </c>
      <c r="V1345" s="2" t="s">
        <v>991</v>
      </c>
      <c r="W1345" s="2" t="s">
        <v>104</v>
      </c>
      <c r="X1345" s="2" t="s">
        <v>4586</v>
      </c>
      <c r="Y1345" s="2" t="s">
        <v>4587</v>
      </c>
      <c r="Z1345" s="4">
        <v>212</v>
      </c>
      <c r="AA1345" s="4">
        <f>=ROUNDDOWN(17.6666666666667,0)</f>
      </c>
      <c r="AB1345" s="5">
        <v>12</v>
      </c>
      <c r="AC1345" s="2" t="s">
        <v>107</v>
      </c>
      <c r="AD1345" s="4">
        <v>100</v>
      </c>
      <c r="AE1345" s="4">
        <v>200</v>
      </c>
      <c r="AF1345" s="6">
        <v>67</v>
      </c>
      <c r="AG1345" s="6"/>
      <c r="AH1345" s="7">
        <v>0.8121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/>
      <c r="BJ1345" s="4">
        <v>187</v>
      </c>
      <c r="BK1345" s="8">
        <v>35884</v>
      </c>
      <c r="BL1345" s="2" t="s">
        <v>4591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97</v>
      </c>
      <c r="BW1345" s="2" t="s">
        <v>580</v>
      </c>
      <c r="BX1345" s="2" t="s">
        <v>100</v>
      </c>
      <c r="BY1345" s="2" t="s">
        <v>112</v>
      </c>
      <c r="BZ1345" s="2" t="s">
        <v>100</v>
      </c>
    </row>
    <row r="1346">
      <c r="A1346" s="2" t="s">
        <v>4592</v>
      </c>
      <c r="B1346" s="2" t="s">
        <v>87</v>
      </c>
      <c r="C1346" s="2" t="s">
        <v>4479</v>
      </c>
      <c r="D1346" s="2" t="s">
        <v>89</v>
      </c>
      <c r="E1346" s="2" t="s">
        <v>90</v>
      </c>
      <c r="F1346" s="2" t="s">
        <v>4593</v>
      </c>
      <c r="G1346" s="2" t="s">
        <v>4593</v>
      </c>
      <c r="H1346" s="2" t="s">
        <v>4593</v>
      </c>
      <c r="I1346" s="2" t="s">
        <v>4594</v>
      </c>
      <c r="J1346" s="2" t="s">
        <v>114</v>
      </c>
      <c r="K1346" s="2" t="s">
        <v>650</v>
      </c>
      <c r="L1346" s="3">
        <v>197.59</v>
      </c>
      <c r="M1346" s="3">
        <v>207.47</v>
      </c>
      <c r="N1346" s="3">
        <v>379.99</v>
      </c>
      <c r="O1346" s="2" t="s">
        <v>550</v>
      </c>
      <c r="P1346" s="2" t="s">
        <v>198</v>
      </c>
      <c r="Q1346" s="2" t="s">
        <v>99</v>
      </c>
      <c r="R1346" s="2" t="s">
        <v>100</v>
      </c>
      <c r="S1346" s="2" t="s">
        <v>4595</v>
      </c>
      <c r="T1346" s="2" t="s">
        <v>100</v>
      </c>
      <c r="U1346" s="2" t="s">
        <v>807</v>
      </c>
      <c r="V1346" s="2" t="s">
        <v>404</v>
      </c>
      <c r="W1346" s="2" t="s">
        <v>602</v>
      </c>
      <c r="X1346" s="2" t="s">
        <v>100</v>
      </c>
      <c r="Y1346" s="2" t="s">
        <v>4596</v>
      </c>
      <c r="Z1346" s="4">
        <v>59</v>
      </c>
      <c r="AA1346" s="4">
        <f>=ROUNDDOWN(59,0)</f>
      </c>
      <c r="AB1346" s="5">
        <v>1</v>
      </c>
      <c r="AC1346" s="2" t="s">
        <v>100</v>
      </c>
      <c r="AD1346" s="4"/>
      <c r="AE1346" s="4"/>
      <c r="AF1346" s="6">
        <v>67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28</v>
      </c>
      <c r="BK1346" s="8">
        <v>3618.68</v>
      </c>
      <c r="BL1346" s="2" t="s">
        <v>4597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147</v>
      </c>
      <c r="BV1346" s="2" t="s">
        <v>97</v>
      </c>
      <c r="BW1346" s="2" t="s">
        <v>100</v>
      </c>
      <c r="BX1346" s="2" t="s">
        <v>100</v>
      </c>
      <c r="BY1346" s="2" t="s">
        <v>112</v>
      </c>
      <c r="BZ1346" s="2" t="s">
        <v>100</v>
      </c>
    </row>
    <row r="1347">
      <c r="A1347" s="2" t="s">
        <v>4598</v>
      </c>
      <c r="B1347" s="2" t="s">
        <v>87</v>
      </c>
      <c r="C1347" s="2" t="s">
        <v>4479</v>
      </c>
      <c r="D1347" s="2" t="s">
        <v>89</v>
      </c>
      <c r="E1347" s="2" t="s">
        <v>90</v>
      </c>
      <c r="F1347" s="2" t="s">
        <v>4599</v>
      </c>
      <c r="G1347" s="2" t="s">
        <v>4599</v>
      </c>
      <c r="H1347" s="2" t="s">
        <v>4599</v>
      </c>
      <c r="I1347" s="2" t="s">
        <v>4518</v>
      </c>
      <c r="J1347" s="2" t="s">
        <v>95</v>
      </c>
      <c r="K1347" s="2" t="s">
        <v>333</v>
      </c>
      <c r="L1347" s="3">
        <v>171.59</v>
      </c>
      <c r="M1347" s="3">
        <v>180.17</v>
      </c>
      <c r="N1347" s="3">
        <v>329.99</v>
      </c>
      <c r="O1347" s="2" t="s">
        <v>97</v>
      </c>
      <c r="P1347" s="2" t="s">
        <v>198</v>
      </c>
      <c r="Q1347" s="2" t="s">
        <v>99</v>
      </c>
      <c r="R1347" s="2" t="s">
        <v>100</v>
      </c>
      <c r="S1347" s="2" t="s">
        <v>4600</v>
      </c>
      <c r="T1347" s="2" t="s">
        <v>100</v>
      </c>
      <c r="U1347" s="2" t="s">
        <v>403</v>
      </c>
      <c r="V1347" s="2" t="s">
        <v>404</v>
      </c>
      <c r="W1347" s="2" t="s">
        <v>1190</v>
      </c>
      <c r="X1347" s="2" t="s">
        <v>104</v>
      </c>
      <c r="Y1347" s="2" t="s">
        <v>4601</v>
      </c>
      <c r="Z1347" s="4">
        <v>17</v>
      </c>
      <c r="AA1347" s="4">
        <f>=ROUNDDOWN(5.66666666666667,0)</f>
      </c>
      <c r="AB1347" s="5">
        <v>3</v>
      </c>
      <c r="AC1347" s="2" t="s">
        <v>100</v>
      </c>
      <c r="AD1347" s="4"/>
      <c r="AE1347" s="4"/>
      <c r="AF1347" s="6">
        <v>67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/>
      <c r="BJ1347" s="4">
        <v>63</v>
      </c>
      <c r="BK1347" s="8">
        <v>11283.73</v>
      </c>
      <c r="BL1347" s="2" t="s">
        <v>4602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147</v>
      </c>
      <c r="BV1347" s="2" t="s">
        <v>97</v>
      </c>
      <c r="BW1347" s="2" t="s">
        <v>100</v>
      </c>
      <c r="BX1347" s="2" t="s">
        <v>100</v>
      </c>
      <c r="BY1347" s="2" t="s">
        <v>112</v>
      </c>
      <c r="BZ1347" s="2" t="s">
        <v>100</v>
      </c>
    </row>
    <row r="1348">
      <c r="A1348" s="2" t="s">
        <v>4603</v>
      </c>
      <c r="B1348" s="2" t="s">
        <v>87</v>
      </c>
      <c r="C1348" s="2" t="s">
        <v>4479</v>
      </c>
      <c r="D1348" s="2" t="s">
        <v>89</v>
      </c>
      <c r="E1348" s="2" t="s">
        <v>90</v>
      </c>
      <c r="F1348" s="2" t="s">
        <v>4599</v>
      </c>
      <c r="G1348" s="2" t="s">
        <v>4599</v>
      </c>
      <c r="H1348" s="2" t="s">
        <v>4599</v>
      </c>
      <c r="I1348" s="2" t="s">
        <v>4524</v>
      </c>
      <c r="J1348" s="2" t="s">
        <v>114</v>
      </c>
      <c r="K1348" s="2" t="s">
        <v>333</v>
      </c>
      <c r="L1348" s="3">
        <v>197.59</v>
      </c>
      <c r="M1348" s="3">
        <v>207.47</v>
      </c>
      <c r="N1348" s="3">
        <v>379.99</v>
      </c>
      <c r="O1348" s="2" t="s">
        <v>97</v>
      </c>
      <c r="P1348" s="2" t="s">
        <v>198</v>
      </c>
      <c r="Q1348" s="2" t="s">
        <v>99</v>
      </c>
      <c r="R1348" s="2" t="s">
        <v>100</v>
      </c>
      <c r="S1348" s="2" t="s">
        <v>4600</v>
      </c>
      <c r="T1348" s="2" t="s">
        <v>100</v>
      </c>
      <c r="U1348" s="2" t="s">
        <v>807</v>
      </c>
      <c r="V1348" s="2" t="s">
        <v>404</v>
      </c>
      <c r="W1348" s="2" t="s">
        <v>1190</v>
      </c>
      <c r="X1348" s="2" t="s">
        <v>104</v>
      </c>
      <c r="Y1348" s="2" t="s">
        <v>4601</v>
      </c>
      <c r="Z1348" s="4">
        <v>107</v>
      </c>
      <c r="AA1348" s="4">
        <f>=ROUNDDOWN(17.8333333333333,0)</f>
      </c>
      <c r="AB1348" s="5">
        <v>6</v>
      </c>
      <c r="AC1348" s="2" t="s">
        <v>100</v>
      </c>
      <c r="AD1348" s="4"/>
      <c r="AE1348" s="4"/>
      <c r="AF1348" s="6">
        <v>67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/>
      <c r="BJ1348" s="4">
        <v>135</v>
      </c>
      <c r="BK1348" s="8">
        <v>28516.96</v>
      </c>
      <c r="BL1348" s="2" t="s">
        <v>4604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147</v>
      </c>
      <c r="BV1348" s="2" t="s">
        <v>97</v>
      </c>
      <c r="BW1348" s="2" t="s">
        <v>100</v>
      </c>
      <c r="BX1348" s="2" t="s">
        <v>100</v>
      </c>
      <c r="BY1348" s="2" t="s">
        <v>112</v>
      </c>
      <c r="BZ1348" s="2" t="s">
        <v>100</v>
      </c>
    </row>
    <row r="1349">
      <c r="A1349" s="2" t="s">
        <v>4605</v>
      </c>
      <c r="B1349" s="2" t="s">
        <v>87</v>
      </c>
      <c r="C1349" s="2" t="s">
        <v>4479</v>
      </c>
      <c r="D1349" s="2" t="s">
        <v>89</v>
      </c>
      <c r="E1349" s="2" t="s">
        <v>90</v>
      </c>
      <c r="F1349" s="2" t="s">
        <v>4606</v>
      </c>
      <c r="G1349" s="2" t="s">
        <v>4606</v>
      </c>
      <c r="H1349" s="2" t="s">
        <v>4606</v>
      </c>
      <c r="I1349" s="2" t="s">
        <v>4607</v>
      </c>
      <c r="J1349" s="2" t="s">
        <v>844</v>
      </c>
      <c r="K1349" s="2" t="s">
        <v>158</v>
      </c>
      <c r="L1349" s="3">
        <v>150</v>
      </c>
      <c r="M1349" s="3">
        <v>157.5</v>
      </c>
      <c r="N1349" s="3">
        <v>299.99</v>
      </c>
      <c r="O1349" s="2" t="s">
        <v>97</v>
      </c>
      <c r="P1349" s="2" t="s">
        <v>1166</v>
      </c>
      <c r="Q1349" s="2" t="s">
        <v>99</v>
      </c>
      <c r="R1349" s="2" t="s">
        <v>100</v>
      </c>
      <c r="S1349" s="2" t="s">
        <v>4608</v>
      </c>
      <c r="T1349" s="2" t="s">
        <v>732</v>
      </c>
      <c r="U1349" s="2" t="s">
        <v>403</v>
      </c>
      <c r="V1349" s="2" t="s">
        <v>561</v>
      </c>
      <c r="W1349" s="2" t="s">
        <v>104</v>
      </c>
      <c r="X1349" s="2" t="s">
        <v>1288</v>
      </c>
      <c r="Y1349" s="2" t="s">
        <v>4609</v>
      </c>
      <c r="Z1349" s="4">
        <v>109</v>
      </c>
      <c r="AA1349" s="4">
        <f>=ROUNDDOWN(31.1428571428571,0)</f>
      </c>
      <c r="AB1349" s="5">
        <v>3.5</v>
      </c>
      <c r="AC1349" s="2" t="s">
        <v>130</v>
      </c>
      <c r="AD1349" s="4">
        <v>110</v>
      </c>
      <c r="AE1349" s="4">
        <v>267</v>
      </c>
      <c r="AF1349" s="6">
        <v>67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1</v>
      </c>
      <c r="BK1349" s="8">
        <v>210</v>
      </c>
      <c r="BL1349" s="2" t="s">
        <v>1609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1171</v>
      </c>
      <c r="BV1349" s="2" t="s">
        <v>97</v>
      </c>
      <c r="BW1349" s="2" t="s">
        <v>100</v>
      </c>
      <c r="BX1349" s="2" t="s">
        <v>100</v>
      </c>
      <c r="BY1349" s="2" t="s">
        <v>112</v>
      </c>
      <c r="BZ1349" s="2" t="s">
        <v>100</v>
      </c>
    </row>
    <row r="1350">
      <c r="A1350" s="2" t="s">
        <v>4610</v>
      </c>
      <c r="B1350" s="2" t="s">
        <v>87</v>
      </c>
      <c r="C1350" s="2" t="s">
        <v>4479</v>
      </c>
      <c r="D1350" s="2" t="s">
        <v>89</v>
      </c>
      <c r="E1350" s="2" t="s">
        <v>90</v>
      </c>
      <c r="F1350" s="2" t="s">
        <v>4606</v>
      </c>
      <c r="G1350" s="2" t="s">
        <v>4606</v>
      </c>
      <c r="H1350" s="2" t="s">
        <v>4606</v>
      </c>
      <c r="I1350" s="2" t="s">
        <v>4607</v>
      </c>
      <c r="J1350" s="2" t="s">
        <v>850</v>
      </c>
      <c r="K1350" s="2" t="s">
        <v>158</v>
      </c>
      <c r="L1350" s="3">
        <v>175</v>
      </c>
      <c r="M1350" s="3">
        <v>183.75</v>
      </c>
      <c r="N1350" s="3">
        <v>349.99</v>
      </c>
      <c r="O1350" s="2" t="s">
        <v>97</v>
      </c>
      <c r="P1350" s="2" t="s">
        <v>1166</v>
      </c>
      <c r="Q1350" s="2" t="s">
        <v>99</v>
      </c>
      <c r="R1350" s="2" t="s">
        <v>100</v>
      </c>
      <c r="S1350" s="2" t="s">
        <v>4608</v>
      </c>
      <c r="T1350" s="2" t="s">
        <v>732</v>
      </c>
      <c r="U1350" s="2" t="s">
        <v>807</v>
      </c>
      <c r="V1350" s="2" t="s">
        <v>561</v>
      </c>
      <c r="W1350" s="2" t="s">
        <v>104</v>
      </c>
      <c r="X1350" s="2" t="s">
        <v>1288</v>
      </c>
      <c r="Y1350" s="2" t="s">
        <v>3876</v>
      </c>
      <c r="Z1350" s="4">
        <v>128</v>
      </c>
      <c r="AA1350" s="4">
        <f>=ROUNDDOWN(27.2340425531915,0)</f>
      </c>
      <c r="AB1350" s="5">
        <v>4.7</v>
      </c>
      <c r="AC1350" s="2" t="s">
        <v>130</v>
      </c>
      <c r="AD1350" s="4">
        <v>130</v>
      </c>
      <c r="AE1350" s="4">
        <v>213</v>
      </c>
      <c r="AF1350" s="6">
        <v>67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/>
      <c r="BJ1350" s="4">
        <v>2</v>
      </c>
      <c r="BK1350" s="8">
        <v>594.99</v>
      </c>
      <c r="BL1350" s="2" t="s">
        <v>4611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1171</v>
      </c>
      <c r="BV1350" s="2" t="s">
        <v>97</v>
      </c>
      <c r="BW1350" s="2" t="s">
        <v>100</v>
      </c>
      <c r="BX1350" s="2" t="s">
        <v>100</v>
      </c>
      <c r="BY1350" s="2" t="s">
        <v>112</v>
      </c>
      <c r="BZ1350" s="2" t="s">
        <v>100</v>
      </c>
    </row>
    <row r="1351">
      <c r="A1351" s="2" t="s">
        <v>4612</v>
      </c>
      <c r="B1351" s="2" t="s">
        <v>87</v>
      </c>
      <c r="C1351" s="2" t="s">
        <v>4479</v>
      </c>
      <c r="D1351" s="2" t="s">
        <v>89</v>
      </c>
      <c r="E1351" s="2" t="s">
        <v>90</v>
      </c>
      <c r="F1351" s="2" t="s">
        <v>4613</v>
      </c>
      <c r="G1351" s="2" t="s">
        <v>4613</v>
      </c>
      <c r="H1351" s="2" t="s">
        <v>4613</v>
      </c>
      <c r="I1351" s="2" t="s">
        <v>4614</v>
      </c>
      <c r="J1351" s="2" t="s">
        <v>95</v>
      </c>
      <c r="K1351" s="2" t="s">
        <v>158</v>
      </c>
      <c r="L1351" s="3">
        <v>150</v>
      </c>
      <c r="M1351" s="3">
        <v>157.5</v>
      </c>
      <c r="N1351" s="3">
        <v>299.99</v>
      </c>
      <c r="O1351" s="2" t="s">
        <v>229</v>
      </c>
      <c r="P1351" s="2" t="s">
        <v>198</v>
      </c>
      <c r="Q1351" s="2" t="s">
        <v>99</v>
      </c>
      <c r="R1351" s="2" t="s">
        <v>100</v>
      </c>
      <c r="S1351" s="2" t="s">
        <v>4615</v>
      </c>
      <c r="T1351" s="2" t="s">
        <v>732</v>
      </c>
      <c r="U1351" s="2" t="s">
        <v>403</v>
      </c>
      <c r="V1351" s="2" t="s">
        <v>561</v>
      </c>
      <c r="W1351" s="2" t="s">
        <v>3896</v>
      </c>
      <c r="X1351" s="2" t="s">
        <v>759</v>
      </c>
      <c r="Y1351" s="2" t="s">
        <v>4616</v>
      </c>
      <c r="Z1351" s="4">
        <v>48</v>
      </c>
      <c r="AA1351" s="4">
        <f>=ROUNDDOWN(22.8571428571429,0)</f>
      </c>
      <c r="AB1351" s="5">
        <v>2.1</v>
      </c>
      <c r="AC1351" s="2" t="s">
        <v>100</v>
      </c>
      <c r="AD1351" s="4"/>
      <c r="AE1351" s="4"/>
      <c r="AF1351" s="6">
        <v>70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/>
      <c r="BJ1351" s="4">
        <v>35</v>
      </c>
      <c r="BK1351" s="8">
        <v>4932.21</v>
      </c>
      <c r="BL1351" s="2" t="s">
        <v>4617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147</v>
      </c>
      <c r="BV1351" s="2" t="s">
        <v>97</v>
      </c>
      <c r="BW1351" s="2" t="s">
        <v>100</v>
      </c>
      <c r="BX1351" s="2" t="s">
        <v>100</v>
      </c>
      <c r="BY1351" s="2" t="s">
        <v>112</v>
      </c>
      <c r="BZ1351" s="2" t="s">
        <v>100</v>
      </c>
    </row>
    <row r="1352">
      <c r="A1352" s="2" t="s">
        <v>4618</v>
      </c>
      <c r="B1352" s="2" t="s">
        <v>87</v>
      </c>
      <c r="C1352" s="2" t="s">
        <v>4479</v>
      </c>
      <c r="D1352" s="2" t="s">
        <v>89</v>
      </c>
      <c r="E1352" s="2" t="s">
        <v>90</v>
      </c>
      <c r="F1352" s="2" t="s">
        <v>4613</v>
      </c>
      <c r="G1352" s="2" t="s">
        <v>4613</v>
      </c>
      <c r="H1352" s="2" t="s">
        <v>4613</v>
      </c>
      <c r="I1352" s="2" t="s">
        <v>4619</v>
      </c>
      <c r="J1352" s="2" t="s">
        <v>114</v>
      </c>
      <c r="K1352" s="2" t="s">
        <v>158</v>
      </c>
      <c r="L1352" s="3">
        <v>175</v>
      </c>
      <c r="M1352" s="3">
        <v>183.75</v>
      </c>
      <c r="N1352" s="3">
        <v>349.99</v>
      </c>
      <c r="O1352" s="2" t="s">
        <v>229</v>
      </c>
      <c r="P1352" s="2" t="s">
        <v>198</v>
      </c>
      <c r="Q1352" s="2" t="s">
        <v>99</v>
      </c>
      <c r="R1352" s="2" t="s">
        <v>100</v>
      </c>
      <c r="S1352" s="2" t="s">
        <v>4615</v>
      </c>
      <c r="T1352" s="2" t="s">
        <v>732</v>
      </c>
      <c r="U1352" s="2" t="s">
        <v>807</v>
      </c>
      <c r="V1352" s="2" t="s">
        <v>561</v>
      </c>
      <c r="W1352" s="2" t="s">
        <v>3896</v>
      </c>
      <c r="X1352" s="2" t="s">
        <v>759</v>
      </c>
      <c r="Y1352" s="2" t="s">
        <v>4616</v>
      </c>
      <c r="Z1352" s="4">
        <v>98</v>
      </c>
      <c r="AA1352" s="4">
        <f>=ROUNDDOWN(51.578947368421,0)</f>
      </c>
      <c r="AB1352" s="5">
        <v>1.9</v>
      </c>
      <c r="AC1352" s="2" t="s">
        <v>100</v>
      </c>
      <c r="AD1352" s="4"/>
      <c r="AE1352" s="4"/>
      <c r="AF1352" s="6">
        <v>70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>
        <v>57</v>
      </c>
      <c r="BK1352" s="8">
        <v>9228.03</v>
      </c>
      <c r="BL1352" s="2" t="s">
        <v>4620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147</v>
      </c>
      <c r="BV1352" s="2" t="s">
        <v>97</v>
      </c>
      <c r="BW1352" s="2" t="s">
        <v>100</v>
      </c>
      <c r="BX1352" s="2" t="s">
        <v>100</v>
      </c>
      <c r="BY1352" s="2" t="s">
        <v>112</v>
      </c>
      <c r="BZ1352" s="2" t="s">
        <v>100</v>
      </c>
    </row>
    <row r="1353">
      <c r="A1353" s="2" t="s">
        <v>4621</v>
      </c>
      <c r="B1353" s="2" t="s">
        <v>87</v>
      </c>
      <c r="C1353" s="2" t="s">
        <v>4479</v>
      </c>
      <c r="D1353" s="2" t="s">
        <v>89</v>
      </c>
      <c r="E1353" s="2" t="s">
        <v>90</v>
      </c>
      <c r="F1353" s="2" t="s">
        <v>4622</v>
      </c>
      <c r="G1353" s="2" t="s">
        <v>4622</v>
      </c>
      <c r="H1353" s="2" t="s">
        <v>4622</v>
      </c>
      <c r="I1353" s="2" t="s">
        <v>4623</v>
      </c>
      <c r="J1353" s="2" t="s">
        <v>844</v>
      </c>
      <c r="K1353" s="2" t="s">
        <v>2553</v>
      </c>
      <c r="L1353" s="3">
        <v>150</v>
      </c>
      <c r="M1353" s="3">
        <v>157.5</v>
      </c>
      <c r="N1353" s="3">
        <v>299.99</v>
      </c>
      <c r="O1353" s="2" t="s">
        <v>97</v>
      </c>
      <c r="P1353" s="2" t="s">
        <v>1166</v>
      </c>
      <c r="Q1353" s="2" t="s">
        <v>99</v>
      </c>
      <c r="R1353" s="2" t="s">
        <v>100</v>
      </c>
      <c r="S1353" s="2" t="s">
        <v>4624</v>
      </c>
      <c r="T1353" s="2" t="s">
        <v>100</v>
      </c>
      <c r="U1353" s="2" t="s">
        <v>403</v>
      </c>
      <c r="V1353" s="2" t="s">
        <v>561</v>
      </c>
      <c r="W1353" s="2" t="s">
        <v>759</v>
      </c>
      <c r="X1353" s="2" t="s">
        <v>104</v>
      </c>
      <c r="Y1353" s="2" t="s">
        <v>2217</v>
      </c>
      <c r="Z1353" s="4">
        <v>137</v>
      </c>
      <c r="AA1353" s="4">
        <f>=ROUNDDOWN(68.5,0)</f>
      </c>
      <c r="AB1353" s="5">
        <v>2</v>
      </c>
      <c r="AC1353" s="2" t="s">
        <v>100</v>
      </c>
      <c r="AD1353" s="4"/>
      <c r="AE1353" s="4"/>
      <c r="AF1353" s="6">
        <v>67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27</v>
      </c>
      <c r="BK1353" s="8">
        <v>3923.27</v>
      </c>
      <c r="BL1353" s="2" t="s">
        <v>1609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147</v>
      </c>
      <c r="BV1353" s="2" t="s">
        <v>97</v>
      </c>
      <c r="BW1353" s="2" t="s">
        <v>100</v>
      </c>
      <c r="BX1353" s="2" t="s">
        <v>100</v>
      </c>
      <c r="BY1353" s="2" t="s">
        <v>112</v>
      </c>
      <c r="BZ1353" s="2" t="s">
        <v>100</v>
      </c>
    </row>
    <row r="1354">
      <c r="A1354" s="2" t="s">
        <v>4625</v>
      </c>
      <c r="B1354" s="2" t="s">
        <v>87</v>
      </c>
      <c r="C1354" s="2" t="s">
        <v>4479</v>
      </c>
      <c r="D1354" s="2" t="s">
        <v>89</v>
      </c>
      <c r="E1354" s="2" t="s">
        <v>90</v>
      </c>
      <c r="F1354" s="2" t="s">
        <v>4622</v>
      </c>
      <c r="G1354" s="2" t="s">
        <v>4622</v>
      </c>
      <c r="H1354" s="2" t="s">
        <v>4622</v>
      </c>
      <c r="I1354" s="2" t="s">
        <v>4623</v>
      </c>
      <c r="J1354" s="2" t="s">
        <v>850</v>
      </c>
      <c r="K1354" s="2" t="s">
        <v>2553</v>
      </c>
      <c r="L1354" s="3">
        <v>175</v>
      </c>
      <c r="M1354" s="3">
        <v>183.75</v>
      </c>
      <c r="N1354" s="3">
        <v>349.99</v>
      </c>
      <c r="O1354" s="2" t="s">
        <v>97</v>
      </c>
      <c r="P1354" s="2" t="s">
        <v>1166</v>
      </c>
      <c r="Q1354" s="2" t="s">
        <v>99</v>
      </c>
      <c r="R1354" s="2" t="s">
        <v>100</v>
      </c>
      <c r="S1354" s="2" t="s">
        <v>4624</v>
      </c>
      <c r="T1354" s="2" t="s">
        <v>100</v>
      </c>
      <c r="U1354" s="2" t="s">
        <v>807</v>
      </c>
      <c r="V1354" s="2" t="s">
        <v>561</v>
      </c>
      <c r="W1354" s="2" t="s">
        <v>759</v>
      </c>
      <c r="X1354" s="2" t="s">
        <v>104</v>
      </c>
      <c r="Y1354" s="2" t="s">
        <v>4626</v>
      </c>
      <c r="Z1354" s="4">
        <v>143</v>
      </c>
      <c r="AA1354" s="4">
        <f>=ROUNDDOWN(47.6666666666667,0)</f>
      </c>
      <c r="AB1354" s="5">
        <v>3</v>
      </c>
      <c r="AC1354" s="2" t="s">
        <v>100</v>
      </c>
      <c r="AD1354" s="4"/>
      <c r="AE1354" s="4"/>
      <c r="AF1354" s="6">
        <v>67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49</v>
      </c>
      <c r="BK1354" s="8">
        <v>8377.17</v>
      </c>
      <c r="BL1354" s="2" t="s">
        <v>1609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147</v>
      </c>
      <c r="BV1354" s="2" t="s">
        <v>97</v>
      </c>
      <c r="BW1354" s="2" t="s">
        <v>100</v>
      </c>
      <c r="BX1354" s="2" t="s">
        <v>100</v>
      </c>
      <c r="BY1354" s="2" t="s">
        <v>112</v>
      </c>
      <c r="BZ1354" s="2" t="s">
        <v>100</v>
      </c>
    </row>
    <row r="1355">
      <c r="A1355" s="2" t="s">
        <v>4627</v>
      </c>
      <c r="B1355" s="2" t="s">
        <v>87</v>
      </c>
      <c r="C1355" s="2" t="s">
        <v>4479</v>
      </c>
      <c r="D1355" s="2" t="s">
        <v>89</v>
      </c>
      <c r="E1355" s="2" t="s">
        <v>90</v>
      </c>
      <c r="F1355" s="2" t="s">
        <v>4628</v>
      </c>
      <c r="G1355" s="2" t="s">
        <v>4628</v>
      </c>
      <c r="H1355" s="2" t="s">
        <v>4628</v>
      </c>
      <c r="I1355" s="2" t="s">
        <v>4629</v>
      </c>
      <c r="J1355" s="2" t="s">
        <v>844</v>
      </c>
      <c r="K1355" s="2" t="s">
        <v>1412</v>
      </c>
      <c r="L1355" s="3">
        <v>150</v>
      </c>
      <c r="M1355" s="3">
        <v>157.5</v>
      </c>
      <c r="N1355" s="3">
        <v>299.99</v>
      </c>
      <c r="O1355" s="2" t="s">
        <v>97</v>
      </c>
      <c r="P1355" s="2" t="s">
        <v>1166</v>
      </c>
      <c r="Q1355" s="2" t="s">
        <v>99</v>
      </c>
      <c r="R1355" s="2" t="s">
        <v>100</v>
      </c>
      <c r="S1355" s="2" t="s">
        <v>4630</v>
      </c>
      <c r="T1355" s="2" t="s">
        <v>1168</v>
      </c>
      <c r="U1355" s="2" t="s">
        <v>403</v>
      </c>
      <c r="V1355" s="2" t="s">
        <v>1122</v>
      </c>
      <c r="W1355" s="2" t="s">
        <v>104</v>
      </c>
      <c r="X1355" s="2" t="s">
        <v>1190</v>
      </c>
      <c r="Y1355" s="2" t="s">
        <v>100</v>
      </c>
      <c r="Z1355" s="4"/>
      <c r="AA1355" s="4">
        <f>=ROUNDDOWN({0},0)</f>
      </c>
      <c r="AB1355" s="5"/>
      <c r="AC1355" s="2" t="s">
        <v>3601</v>
      </c>
      <c r="AD1355" s="4">
        <v>70</v>
      </c>
      <c r="AE1355" s="4">
        <v>140</v>
      </c>
      <c r="AF1355" s="6">
        <v>67</v>
      </c>
      <c r="AG1355" s="6"/>
      <c r="AH1355" s="7">
        <v>0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100</v>
      </c>
      <c r="AW1355" s="8" t="s">
        <v>100</v>
      </c>
      <c r="AX1355" s="4" t="s">
        <v>100</v>
      </c>
      <c r="AY1355" s="8" t="s">
        <v>100</v>
      </c>
      <c r="AZ1355" s="7" t="s">
        <v>100</v>
      </c>
      <c r="BA1355" s="7" t="s">
        <v>100</v>
      </c>
      <c r="BB1355" s="7"/>
      <c r="BC1355" s="4" t="s">
        <v>100</v>
      </c>
      <c r="BD1355" s="8" t="s">
        <v>100</v>
      </c>
      <c r="BE1355" s="4" t="s">
        <v>100</v>
      </c>
      <c r="BF1355" s="8" t="s">
        <v>100</v>
      </c>
      <c r="BG1355" s="7" t="s">
        <v>100</v>
      </c>
      <c r="BH1355" s="7" t="s">
        <v>100</v>
      </c>
      <c r="BI1355" s="7"/>
      <c r="BJ1355" s="4"/>
      <c r="BK1355" s="8"/>
      <c r="BL1355" s="2" t="s">
        <v>100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1171</v>
      </c>
      <c r="BV1355" s="2" t="s">
        <v>97</v>
      </c>
      <c r="BW1355" s="2" t="s">
        <v>100</v>
      </c>
      <c r="BX1355" s="2" t="s">
        <v>100</v>
      </c>
      <c r="BY1355" s="2" t="s">
        <v>112</v>
      </c>
      <c r="BZ1355" s="2" t="s">
        <v>100</v>
      </c>
    </row>
    <row r="1356">
      <c r="A1356" s="2" t="s">
        <v>4631</v>
      </c>
      <c r="B1356" s="2" t="s">
        <v>87</v>
      </c>
      <c r="C1356" s="2" t="s">
        <v>4479</v>
      </c>
      <c r="D1356" s="2" t="s">
        <v>89</v>
      </c>
      <c r="E1356" s="2" t="s">
        <v>90</v>
      </c>
      <c r="F1356" s="2" t="s">
        <v>4628</v>
      </c>
      <c r="G1356" s="2" t="s">
        <v>4628</v>
      </c>
      <c r="H1356" s="2" t="s">
        <v>4628</v>
      </c>
      <c r="I1356" s="2" t="s">
        <v>4629</v>
      </c>
      <c r="J1356" s="2" t="s">
        <v>850</v>
      </c>
      <c r="K1356" s="2" t="s">
        <v>1412</v>
      </c>
      <c r="L1356" s="3">
        <v>175</v>
      </c>
      <c r="M1356" s="3">
        <v>183.75</v>
      </c>
      <c r="N1356" s="3">
        <v>349.99</v>
      </c>
      <c r="O1356" s="2" t="s">
        <v>97</v>
      </c>
      <c r="P1356" s="2" t="s">
        <v>1166</v>
      </c>
      <c r="Q1356" s="2" t="s">
        <v>99</v>
      </c>
      <c r="R1356" s="2" t="s">
        <v>100</v>
      </c>
      <c r="S1356" s="2" t="s">
        <v>4630</v>
      </c>
      <c r="T1356" s="2" t="s">
        <v>1168</v>
      </c>
      <c r="U1356" s="2" t="s">
        <v>807</v>
      </c>
      <c r="V1356" s="2" t="s">
        <v>1122</v>
      </c>
      <c r="W1356" s="2" t="s">
        <v>104</v>
      </c>
      <c r="X1356" s="2" t="s">
        <v>1190</v>
      </c>
      <c r="Y1356" s="2" t="s">
        <v>100</v>
      </c>
      <c r="Z1356" s="4"/>
      <c r="AA1356" s="4">
        <f>=ROUNDDOWN({0},0)</f>
      </c>
      <c r="AB1356" s="5"/>
      <c r="AC1356" s="2" t="s">
        <v>3601</v>
      </c>
      <c r="AD1356" s="4">
        <v>130</v>
      </c>
      <c r="AE1356" s="4">
        <v>260</v>
      </c>
      <c r="AF1356" s="6">
        <v>67</v>
      </c>
      <c r="AG1356" s="6"/>
      <c r="AH1356" s="7">
        <v>0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/>
      <c r="BK1356" s="8"/>
      <c r="BL1356" s="2" t="s">
        <v>100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1171</v>
      </c>
      <c r="BV1356" s="2" t="s">
        <v>97</v>
      </c>
      <c r="BW1356" s="2" t="s">
        <v>100</v>
      </c>
      <c r="BX1356" s="2" t="s">
        <v>100</v>
      </c>
      <c r="BY1356" s="2" t="s">
        <v>112</v>
      </c>
      <c r="BZ1356" s="2" t="s">
        <v>100</v>
      </c>
    </row>
    <row r="1357">
      <c r="A1357" s="2" t="s">
        <v>4632</v>
      </c>
      <c r="B1357" s="2" t="s">
        <v>87</v>
      </c>
      <c r="C1357" s="2" t="s">
        <v>4479</v>
      </c>
      <c r="D1357" s="2" t="s">
        <v>89</v>
      </c>
      <c r="E1357" s="2" t="s">
        <v>90</v>
      </c>
      <c r="F1357" s="2" t="s">
        <v>4633</v>
      </c>
      <c r="G1357" s="2" t="s">
        <v>100</v>
      </c>
      <c r="H1357" s="2" t="s">
        <v>100</v>
      </c>
      <c r="I1357" s="2" t="s">
        <v>549</v>
      </c>
      <c r="J1357" s="2" t="s">
        <v>95</v>
      </c>
      <c r="K1357" s="2" t="s">
        <v>333</v>
      </c>
      <c r="L1357" s="3">
        <v>139.5</v>
      </c>
      <c r="M1357" s="3">
        <v>146.47</v>
      </c>
      <c r="N1357" s="3">
        <v>309.99</v>
      </c>
      <c r="O1357" s="2" t="s">
        <v>97</v>
      </c>
      <c r="P1357" s="2" t="s">
        <v>805</v>
      </c>
      <c r="Q1357" s="2" t="s">
        <v>99</v>
      </c>
      <c r="R1357" s="2" t="s">
        <v>100</v>
      </c>
      <c r="S1357" s="2" t="s">
        <v>4634</v>
      </c>
      <c r="T1357" s="2" t="s">
        <v>100</v>
      </c>
      <c r="U1357" s="2" t="s">
        <v>403</v>
      </c>
      <c r="V1357" s="2" t="s">
        <v>991</v>
      </c>
      <c r="W1357" s="2" t="s">
        <v>602</v>
      </c>
      <c r="X1357" s="2" t="s">
        <v>4586</v>
      </c>
      <c r="Y1357" s="2" t="s">
        <v>106</v>
      </c>
      <c r="Z1357" s="4">
        <v>270</v>
      </c>
      <c r="AA1357" s="4">
        <f>=ROUNDDOWN(12.2727272727273,0)</f>
      </c>
      <c r="AB1357" s="5">
        <v>22</v>
      </c>
      <c r="AC1357" s="2" t="s">
        <v>4396</v>
      </c>
      <c r="AD1357" s="4">
        <v>100</v>
      </c>
      <c r="AE1357" s="4">
        <v>570</v>
      </c>
      <c r="AF1357" s="6">
        <v>67</v>
      </c>
      <c r="AG1357" s="6">
        <v>50</v>
      </c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312</v>
      </c>
      <c r="BK1357" s="8">
        <v>45303.81</v>
      </c>
      <c r="BL1357" s="2" t="s">
        <v>4635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580</v>
      </c>
      <c r="BX1357" s="2" t="s">
        <v>100</v>
      </c>
      <c r="BY1357" s="2" t="s">
        <v>112</v>
      </c>
      <c r="BZ1357" s="2" t="s">
        <v>100</v>
      </c>
    </row>
    <row r="1358">
      <c r="A1358" s="2" t="s">
        <v>4636</v>
      </c>
      <c r="B1358" s="2" t="s">
        <v>87</v>
      </c>
      <c r="C1358" s="2" t="s">
        <v>4479</v>
      </c>
      <c r="D1358" s="2" t="s">
        <v>89</v>
      </c>
      <c r="E1358" s="2" t="s">
        <v>90</v>
      </c>
      <c r="F1358" s="2" t="s">
        <v>4633</v>
      </c>
      <c r="G1358" s="2" t="s">
        <v>100</v>
      </c>
      <c r="H1358" s="2" t="s">
        <v>100</v>
      </c>
      <c r="I1358" s="2" t="s">
        <v>549</v>
      </c>
      <c r="J1358" s="2" t="s">
        <v>114</v>
      </c>
      <c r="K1358" s="2" t="s">
        <v>333</v>
      </c>
      <c r="L1358" s="3">
        <v>165.6</v>
      </c>
      <c r="M1358" s="3">
        <v>173.88</v>
      </c>
      <c r="N1358" s="3">
        <v>359.99</v>
      </c>
      <c r="O1358" s="2" t="s">
        <v>97</v>
      </c>
      <c r="P1358" s="2" t="s">
        <v>805</v>
      </c>
      <c r="Q1358" s="2" t="s">
        <v>99</v>
      </c>
      <c r="R1358" s="2" t="s">
        <v>100</v>
      </c>
      <c r="S1358" s="2" t="s">
        <v>4634</v>
      </c>
      <c r="T1358" s="2" t="s">
        <v>100</v>
      </c>
      <c r="U1358" s="2" t="s">
        <v>807</v>
      </c>
      <c r="V1358" s="2" t="s">
        <v>991</v>
      </c>
      <c r="W1358" s="2" t="s">
        <v>602</v>
      </c>
      <c r="X1358" s="2" t="s">
        <v>4586</v>
      </c>
      <c r="Y1358" s="2" t="s">
        <v>106</v>
      </c>
      <c r="Z1358" s="4">
        <v>584</v>
      </c>
      <c r="AA1358" s="4">
        <f>=ROUNDDOWN(17.6969696969697,0)</f>
      </c>
      <c r="AB1358" s="5">
        <v>33</v>
      </c>
      <c r="AC1358" s="2" t="s">
        <v>936</v>
      </c>
      <c r="AD1358" s="4">
        <v>60</v>
      </c>
      <c r="AE1358" s="4">
        <v>680</v>
      </c>
      <c r="AF1358" s="6">
        <v>67</v>
      </c>
      <c r="AG1358" s="6">
        <v>50</v>
      </c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655</v>
      </c>
      <c r="BK1358" s="8">
        <v>113114.23</v>
      </c>
      <c r="BL1358" s="2" t="s">
        <v>4637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109</v>
      </c>
      <c r="BV1358" s="2" t="s">
        <v>97</v>
      </c>
      <c r="BW1358" s="2" t="s">
        <v>580</v>
      </c>
      <c r="BX1358" s="2" t="s">
        <v>100</v>
      </c>
      <c r="BY1358" s="2" t="s">
        <v>112</v>
      </c>
      <c r="BZ1358" s="2" t="s">
        <v>100</v>
      </c>
    </row>
    <row r="1359">
      <c r="A1359" s="2" t="s">
        <v>4638</v>
      </c>
      <c r="B1359" s="2" t="s">
        <v>87</v>
      </c>
      <c r="C1359" s="2" t="s">
        <v>4479</v>
      </c>
      <c r="D1359" s="2" t="s">
        <v>89</v>
      </c>
      <c r="E1359" s="2" t="s">
        <v>90</v>
      </c>
      <c r="F1359" s="2" t="s">
        <v>4639</v>
      </c>
      <c r="G1359" s="2" t="s">
        <v>4639</v>
      </c>
      <c r="H1359" s="2" t="s">
        <v>4639</v>
      </c>
      <c r="I1359" s="2" t="s">
        <v>549</v>
      </c>
      <c r="J1359" s="2" t="s">
        <v>95</v>
      </c>
      <c r="K1359" s="2" t="s">
        <v>635</v>
      </c>
      <c r="L1359" s="3">
        <v>139.5</v>
      </c>
      <c r="M1359" s="3">
        <v>146.48</v>
      </c>
      <c r="N1359" s="3">
        <v>309.99</v>
      </c>
      <c r="O1359" s="2" t="s">
        <v>229</v>
      </c>
      <c r="P1359" s="2" t="s">
        <v>198</v>
      </c>
      <c r="Q1359" s="2" t="s">
        <v>99</v>
      </c>
      <c r="R1359" s="2" t="s">
        <v>100</v>
      </c>
      <c r="S1359" s="2" t="s">
        <v>4640</v>
      </c>
      <c r="T1359" s="2" t="s">
        <v>100</v>
      </c>
      <c r="U1359" s="2" t="s">
        <v>403</v>
      </c>
      <c r="V1359" s="2" t="s">
        <v>491</v>
      </c>
      <c r="W1359" s="2" t="s">
        <v>104</v>
      </c>
      <c r="X1359" s="2" t="s">
        <v>4586</v>
      </c>
      <c r="Y1359" s="2" t="s">
        <v>4641</v>
      </c>
      <c r="Z1359" s="4"/>
      <c r="AA1359" s="4">
        <f>=ROUNDDOWN({0},0)</f>
      </c>
      <c r="AB1359" s="5">
        <v>0.9</v>
      </c>
      <c r="AC1359" s="2" t="s">
        <v>100</v>
      </c>
      <c r="AD1359" s="4"/>
      <c r="AE1359" s="4"/>
      <c r="AF1359" s="6">
        <v>67</v>
      </c>
      <c r="AG1359" s="6"/>
      <c r="AH1359" s="7">
        <v>0.3576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/>
      <c r="AW1359" s="8"/>
      <c r="AX1359" s="4"/>
      <c r="AY1359" s="8"/>
      <c r="AZ1359" s="7"/>
      <c r="BA1359" s="7"/>
      <c r="BB1359" s="7"/>
      <c r="BC1359" s="4"/>
      <c r="BD1359" s="8"/>
      <c r="BE1359" s="4"/>
      <c r="BF1359" s="8"/>
      <c r="BG1359" s="7"/>
      <c r="BH1359" s="7"/>
      <c r="BI1359" s="7"/>
      <c r="BJ1359" s="4">
        <v>25</v>
      </c>
      <c r="BK1359" s="8">
        <v>3576.45</v>
      </c>
      <c r="BL1359" s="2" t="s">
        <v>4642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147</v>
      </c>
      <c r="BV1359" s="2" t="s">
        <v>97</v>
      </c>
      <c r="BW1359" s="2" t="s">
        <v>100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4643</v>
      </c>
      <c r="B1360" s="2" t="s">
        <v>87</v>
      </c>
      <c r="C1360" s="2" t="s">
        <v>4479</v>
      </c>
      <c r="D1360" s="2" t="s">
        <v>89</v>
      </c>
      <c r="E1360" s="2" t="s">
        <v>90</v>
      </c>
      <c r="F1360" s="2" t="s">
        <v>4644</v>
      </c>
      <c r="G1360" s="2" t="s">
        <v>4644</v>
      </c>
      <c r="H1360" s="2" t="s">
        <v>4644</v>
      </c>
      <c r="I1360" s="2" t="s">
        <v>4645</v>
      </c>
      <c r="J1360" s="2" t="s">
        <v>95</v>
      </c>
      <c r="K1360" s="2" t="s">
        <v>323</v>
      </c>
      <c r="L1360" s="3">
        <v>172.2</v>
      </c>
      <c r="M1360" s="3">
        <v>180.81</v>
      </c>
      <c r="N1360" s="3">
        <v>409.99</v>
      </c>
      <c r="O1360" s="2" t="s">
        <v>97</v>
      </c>
      <c r="P1360" s="2" t="s">
        <v>805</v>
      </c>
      <c r="Q1360" s="2" t="s">
        <v>99</v>
      </c>
      <c r="R1360" s="2" t="s">
        <v>100</v>
      </c>
      <c r="S1360" s="2" t="s">
        <v>4646</v>
      </c>
      <c r="T1360" s="2" t="s">
        <v>732</v>
      </c>
      <c r="U1360" s="2" t="s">
        <v>403</v>
      </c>
      <c r="V1360" s="2" t="s">
        <v>1287</v>
      </c>
      <c r="W1360" s="2" t="s">
        <v>1288</v>
      </c>
      <c r="X1360" s="2" t="s">
        <v>4586</v>
      </c>
      <c r="Y1360" s="2" t="s">
        <v>4647</v>
      </c>
      <c r="Z1360" s="4">
        <v>538</v>
      </c>
      <c r="AA1360" s="4">
        <f>=ROUNDDOWN(25.6190476190476,0)</f>
      </c>
      <c r="AB1360" s="5">
        <v>21</v>
      </c>
      <c r="AC1360" s="2" t="s">
        <v>2305</v>
      </c>
      <c r="AD1360" s="4">
        <v>170</v>
      </c>
      <c r="AE1360" s="4">
        <v>250</v>
      </c>
      <c r="AF1360" s="6">
        <v>67</v>
      </c>
      <c r="AG1360" s="6">
        <v>50</v>
      </c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/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/>
      <c r="BJ1360" s="4">
        <v>369</v>
      </c>
      <c r="BK1360" s="8">
        <v>67155.48</v>
      </c>
      <c r="BL1360" s="2" t="s">
        <v>4648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109</v>
      </c>
      <c r="BV1360" s="2" t="s">
        <v>97</v>
      </c>
      <c r="BW1360" s="2" t="s">
        <v>580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4649</v>
      </c>
      <c r="B1361" s="2" t="s">
        <v>87</v>
      </c>
      <c r="C1361" s="2" t="s">
        <v>4479</v>
      </c>
      <c r="D1361" s="2" t="s">
        <v>89</v>
      </c>
      <c r="E1361" s="2" t="s">
        <v>90</v>
      </c>
      <c r="F1361" s="2" t="s">
        <v>4644</v>
      </c>
      <c r="G1361" s="2" t="s">
        <v>4644</v>
      </c>
      <c r="H1361" s="2" t="s">
        <v>4644</v>
      </c>
      <c r="I1361" s="2" t="s">
        <v>4645</v>
      </c>
      <c r="J1361" s="2" t="s">
        <v>114</v>
      </c>
      <c r="K1361" s="2" t="s">
        <v>323</v>
      </c>
      <c r="L1361" s="3">
        <v>202.4</v>
      </c>
      <c r="M1361" s="3">
        <v>212.52</v>
      </c>
      <c r="N1361" s="3">
        <v>459.99</v>
      </c>
      <c r="O1361" s="2" t="s">
        <v>97</v>
      </c>
      <c r="P1361" s="2" t="s">
        <v>805</v>
      </c>
      <c r="Q1361" s="2" t="s">
        <v>99</v>
      </c>
      <c r="R1361" s="2" t="s">
        <v>100</v>
      </c>
      <c r="S1361" s="2" t="s">
        <v>4646</v>
      </c>
      <c r="T1361" s="2" t="s">
        <v>732</v>
      </c>
      <c r="U1361" s="2" t="s">
        <v>807</v>
      </c>
      <c r="V1361" s="2" t="s">
        <v>1287</v>
      </c>
      <c r="W1361" s="2" t="s">
        <v>1288</v>
      </c>
      <c r="X1361" s="2" t="s">
        <v>4586</v>
      </c>
      <c r="Y1361" s="2" t="s">
        <v>4647</v>
      </c>
      <c r="Z1361" s="4">
        <v>409</v>
      </c>
      <c r="AA1361" s="4">
        <f>=ROUNDDOWN(22.7222222222222,0)</f>
      </c>
      <c r="AB1361" s="5">
        <v>18</v>
      </c>
      <c r="AC1361" s="2" t="s">
        <v>936</v>
      </c>
      <c r="AD1361" s="4">
        <v>150</v>
      </c>
      <c r="AE1361" s="4">
        <v>600</v>
      </c>
      <c r="AF1361" s="6">
        <v>67</v>
      </c>
      <c r="AG1361" s="6">
        <v>50</v>
      </c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/>
      <c r="BJ1361" s="4">
        <v>413</v>
      </c>
      <c r="BK1361" s="8">
        <v>88248.64</v>
      </c>
      <c r="BL1361" s="2" t="s">
        <v>4650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109</v>
      </c>
      <c r="BV1361" s="2" t="s">
        <v>97</v>
      </c>
      <c r="BW1361" s="2" t="s">
        <v>580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4651</v>
      </c>
      <c r="B1362" s="2" t="s">
        <v>87</v>
      </c>
      <c r="C1362" s="2" t="s">
        <v>4479</v>
      </c>
      <c r="D1362" s="2" t="s">
        <v>89</v>
      </c>
      <c r="E1362" s="2" t="s">
        <v>90</v>
      </c>
      <c r="F1362" s="2" t="s">
        <v>4644</v>
      </c>
      <c r="G1362" s="2" t="s">
        <v>4644</v>
      </c>
      <c r="H1362" s="2" t="s">
        <v>4644</v>
      </c>
      <c r="I1362" s="2" t="s">
        <v>4645</v>
      </c>
      <c r="J1362" s="2" t="s">
        <v>95</v>
      </c>
      <c r="K1362" s="2" t="s">
        <v>1637</v>
      </c>
      <c r="L1362" s="3">
        <v>172.2</v>
      </c>
      <c r="M1362" s="3">
        <v>180.81</v>
      </c>
      <c r="N1362" s="3">
        <v>409.99</v>
      </c>
      <c r="O1362" s="2" t="s">
        <v>97</v>
      </c>
      <c r="P1362" s="2" t="s">
        <v>1166</v>
      </c>
      <c r="Q1362" s="2" t="s">
        <v>99</v>
      </c>
      <c r="R1362" s="2" t="s">
        <v>100</v>
      </c>
      <c r="S1362" s="2" t="s">
        <v>4652</v>
      </c>
      <c r="T1362" s="2" t="s">
        <v>732</v>
      </c>
      <c r="U1362" s="2" t="s">
        <v>403</v>
      </c>
      <c r="V1362" s="2" t="s">
        <v>1287</v>
      </c>
      <c r="W1362" s="2" t="s">
        <v>1288</v>
      </c>
      <c r="X1362" s="2" t="s">
        <v>4586</v>
      </c>
      <c r="Y1362" s="2" t="s">
        <v>100</v>
      </c>
      <c r="Z1362" s="4"/>
      <c r="AA1362" s="4">
        <f>=ROUNDDOWN({0},0)</f>
      </c>
      <c r="AB1362" s="5"/>
      <c r="AC1362" s="2" t="s">
        <v>2113</v>
      </c>
      <c r="AD1362" s="4">
        <v>130</v>
      </c>
      <c r="AE1362" s="4">
        <v>290</v>
      </c>
      <c r="AF1362" s="6">
        <v>67</v>
      </c>
      <c r="AG1362" s="6"/>
      <c r="AH1362" s="7">
        <v>0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/>
      <c r="BK1362" s="8"/>
      <c r="BL1362" s="2" t="s">
        <v>100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1171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4653</v>
      </c>
      <c r="B1363" s="2" t="s">
        <v>87</v>
      </c>
      <c r="C1363" s="2" t="s">
        <v>4479</v>
      </c>
      <c r="D1363" s="2" t="s">
        <v>89</v>
      </c>
      <c r="E1363" s="2" t="s">
        <v>90</v>
      </c>
      <c r="F1363" s="2" t="s">
        <v>4644</v>
      </c>
      <c r="G1363" s="2" t="s">
        <v>4644</v>
      </c>
      <c r="H1363" s="2" t="s">
        <v>4644</v>
      </c>
      <c r="I1363" s="2" t="s">
        <v>4645</v>
      </c>
      <c r="J1363" s="2" t="s">
        <v>114</v>
      </c>
      <c r="K1363" s="2" t="s">
        <v>1637</v>
      </c>
      <c r="L1363" s="3">
        <v>202.4</v>
      </c>
      <c r="M1363" s="3">
        <v>212.52</v>
      </c>
      <c r="N1363" s="3">
        <v>459.99</v>
      </c>
      <c r="O1363" s="2" t="s">
        <v>97</v>
      </c>
      <c r="P1363" s="2" t="s">
        <v>1166</v>
      </c>
      <c r="Q1363" s="2" t="s">
        <v>99</v>
      </c>
      <c r="R1363" s="2" t="s">
        <v>100</v>
      </c>
      <c r="S1363" s="2" t="s">
        <v>4652</v>
      </c>
      <c r="T1363" s="2" t="s">
        <v>732</v>
      </c>
      <c r="U1363" s="2" t="s">
        <v>807</v>
      </c>
      <c r="V1363" s="2" t="s">
        <v>1287</v>
      </c>
      <c r="W1363" s="2" t="s">
        <v>1288</v>
      </c>
      <c r="X1363" s="2" t="s">
        <v>4586</v>
      </c>
      <c r="Y1363" s="2" t="s">
        <v>100</v>
      </c>
      <c r="Z1363" s="4"/>
      <c r="AA1363" s="4">
        <f>=ROUNDDOWN({0},0)</f>
      </c>
      <c r="AB1363" s="5"/>
      <c r="AC1363" s="2" t="s">
        <v>2113</v>
      </c>
      <c r="AD1363" s="4">
        <v>160</v>
      </c>
      <c r="AE1363" s="4">
        <v>360</v>
      </c>
      <c r="AF1363" s="6">
        <v>67</v>
      </c>
      <c r="AG1363" s="6"/>
      <c r="AH1363" s="7">
        <v>0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/>
      <c r="BK1363" s="8"/>
      <c r="BL1363" s="2" t="s">
        <v>100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1171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4654</v>
      </c>
      <c r="B1364" s="2" t="s">
        <v>87</v>
      </c>
      <c r="C1364" s="2" t="s">
        <v>4479</v>
      </c>
      <c r="D1364" s="2" t="s">
        <v>2308</v>
      </c>
      <c r="E1364" s="2" t="s">
        <v>3080</v>
      </c>
      <c r="F1364" s="2" t="s">
        <v>557</v>
      </c>
      <c r="G1364" s="2" t="s">
        <v>557</v>
      </c>
      <c r="H1364" s="2" t="s">
        <v>557</v>
      </c>
      <c r="I1364" s="2" t="s">
        <v>4655</v>
      </c>
      <c r="J1364" s="2" t="s">
        <v>844</v>
      </c>
      <c r="K1364" s="2" t="s">
        <v>158</v>
      </c>
      <c r="L1364" s="3">
        <v>67.2</v>
      </c>
      <c r="M1364" s="3">
        <v>70.56</v>
      </c>
      <c r="N1364" s="3">
        <v>159.99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4656</v>
      </c>
      <c r="T1364" s="2" t="s">
        <v>100</v>
      </c>
      <c r="U1364" s="2" t="s">
        <v>1482</v>
      </c>
      <c r="V1364" s="2" t="s">
        <v>1275</v>
      </c>
      <c r="W1364" s="2" t="s">
        <v>104</v>
      </c>
      <c r="X1364" s="2" t="s">
        <v>759</v>
      </c>
      <c r="Y1364" s="2" t="s">
        <v>1404</v>
      </c>
      <c r="Z1364" s="4">
        <v>97</v>
      </c>
      <c r="AA1364" s="4">
        <f>=ROUNDDOWN(4.85,0)</f>
      </c>
      <c r="AB1364" s="5">
        <v>20</v>
      </c>
      <c r="AC1364" s="2" t="s">
        <v>3601</v>
      </c>
      <c r="AD1364" s="4">
        <v>80</v>
      </c>
      <c r="AE1364" s="4">
        <v>570</v>
      </c>
      <c r="AF1364" s="6">
        <v>67</v>
      </c>
      <c r="AG1364" s="6"/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326</v>
      </c>
      <c r="BK1364" s="8">
        <v>24732.92</v>
      </c>
      <c r="BL1364" s="2" t="s">
        <v>4657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147</v>
      </c>
      <c r="BV1364" s="2" t="s">
        <v>97</v>
      </c>
      <c r="BW1364" s="2" t="s">
        <v>100</v>
      </c>
      <c r="BX1364" s="2" t="s">
        <v>100</v>
      </c>
      <c r="BY1364" s="2" t="s">
        <v>112</v>
      </c>
      <c r="BZ1364" s="2" t="s">
        <v>100</v>
      </c>
    </row>
    <row r="1365">
      <c r="A1365" s="2" t="s">
        <v>4658</v>
      </c>
      <c r="B1365" s="2" t="s">
        <v>87</v>
      </c>
      <c r="C1365" s="2" t="s">
        <v>4479</v>
      </c>
      <c r="D1365" s="2" t="s">
        <v>2308</v>
      </c>
      <c r="E1365" s="2" t="s">
        <v>3080</v>
      </c>
      <c r="F1365" s="2" t="s">
        <v>557</v>
      </c>
      <c r="G1365" s="2" t="s">
        <v>557</v>
      </c>
      <c r="H1365" s="2" t="s">
        <v>557</v>
      </c>
      <c r="I1365" s="2" t="s">
        <v>4655</v>
      </c>
      <c r="J1365" s="2" t="s">
        <v>850</v>
      </c>
      <c r="K1365" s="2" t="s">
        <v>158</v>
      </c>
      <c r="L1365" s="3">
        <v>79.8</v>
      </c>
      <c r="M1365" s="3">
        <v>83.79</v>
      </c>
      <c r="N1365" s="3">
        <v>189.99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4656</v>
      </c>
      <c r="T1365" s="2" t="s">
        <v>100</v>
      </c>
      <c r="U1365" s="2" t="s">
        <v>1482</v>
      </c>
      <c r="V1365" s="2" t="s">
        <v>1275</v>
      </c>
      <c r="W1365" s="2" t="s">
        <v>104</v>
      </c>
      <c r="X1365" s="2" t="s">
        <v>759</v>
      </c>
      <c r="Y1365" s="2" t="s">
        <v>1404</v>
      </c>
      <c r="Z1365" s="4">
        <v>140</v>
      </c>
      <c r="AA1365" s="4">
        <f>=ROUNDDOWN(7,0)</f>
      </c>
      <c r="AB1365" s="5">
        <v>20</v>
      </c>
      <c r="AC1365" s="2" t="s">
        <v>3601</v>
      </c>
      <c r="AD1365" s="4">
        <v>110</v>
      </c>
      <c r="AE1365" s="4">
        <v>470</v>
      </c>
      <c r="AF1365" s="6">
        <v>67</v>
      </c>
      <c r="AG1365" s="6"/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393</v>
      </c>
      <c r="BK1365" s="8">
        <v>35397.12</v>
      </c>
      <c r="BL1365" s="2" t="s">
        <v>4659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147</v>
      </c>
      <c r="BV1365" s="2" t="s">
        <v>97</v>
      </c>
      <c r="BW1365" s="2" t="s">
        <v>100</v>
      </c>
      <c r="BX1365" s="2" t="s">
        <v>100</v>
      </c>
      <c r="BY1365" s="2" t="s">
        <v>112</v>
      </c>
      <c r="BZ1365" s="2" t="s">
        <v>100</v>
      </c>
    </row>
    <row r="1366">
      <c r="A1366" s="2" t="s">
        <v>4660</v>
      </c>
      <c r="B1366" s="2" t="s">
        <v>87</v>
      </c>
      <c r="C1366" s="2" t="s">
        <v>4479</v>
      </c>
      <c r="D1366" s="2" t="s">
        <v>2308</v>
      </c>
      <c r="E1366" s="2" t="s">
        <v>3080</v>
      </c>
      <c r="F1366" s="2" t="s">
        <v>1065</v>
      </c>
      <c r="G1366" s="2" t="s">
        <v>1065</v>
      </c>
      <c r="H1366" s="2" t="s">
        <v>1065</v>
      </c>
      <c r="I1366" s="2" t="s">
        <v>4661</v>
      </c>
      <c r="J1366" s="2" t="s">
        <v>844</v>
      </c>
      <c r="K1366" s="2" t="s">
        <v>158</v>
      </c>
      <c r="L1366" s="3">
        <v>90.65</v>
      </c>
      <c r="M1366" s="3">
        <v>95.18</v>
      </c>
      <c r="N1366" s="3">
        <v>259</v>
      </c>
      <c r="O1366" s="2" t="s">
        <v>97</v>
      </c>
      <c r="P1366" s="2" t="s">
        <v>182</v>
      </c>
      <c r="Q1366" s="2" t="s">
        <v>99</v>
      </c>
      <c r="R1366" s="2" t="s">
        <v>100</v>
      </c>
      <c r="S1366" s="2" t="s">
        <v>4662</v>
      </c>
      <c r="T1366" s="2" t="s">
        <v>100</v>
      </c>
      <c r="U1366" s="2" t="s">
        <v>1610</v>
      </c>
      <c r="V1366" s="2" t="s">
        <v>601</v>
      </c>
      <c r="W1366" s="2" t="s">
        <v>104</v>
      </c>
      <c r="X1366" s="2" t="s">
        <v>577</v>
      </c>
      <c r="Y1366" s="2" t="s">
        <v>4663</v>
      </c>
      <c r="Z1366" s="4">
        <v>284</v>
      </c>
      <c r="AA1366" s="4">
        <f>=ROUNDDOWN(47.3333333333333,0)</f>
      </c>
      <c r="AB1366" s="5">
        <v>6</v>
      </c>
      <c r="AC1366" s="2" t="s">
        <v>130</v>
      </c>
      <c r="AD1366" s="4">
        <v>149</v>
      </c>
      <c r="AE1366" s="4">
        <v>269</v>
      </c>
      <c r="AF1366" s="6">
        <v>70</v>
      </c>
      <c r="AG1366" s="6"/>
      <c r="AH1366" s="7">
        <v>0.9818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91</v>
      </c>
      <c r="BK1366" s="8">
        <v>8638</v>
      </c>
      <c r="BL1366" s="2" t="s">
        <v>4642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</v>
      </c>
      <c r="BV1366" s="2" t="s">
        <v>97</v>
      </c>
      <c r="BW1366" s="2" t="s">
        <v>580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4664</v>
      </c>
      <c r="B1367" s="2" t="s">
        <v>87</v>
      </c>
      <c r="C1367" s="2" t="s">
        <v>4479</v>
      </c>
      <c r="D1367" s="2" t="s">
        <v>2308</v>
      </c>
      <c r="E1367" s="2" t="s">
        <v>3080</v>
      </c>
      <c r="F1367" s="2" t="s">
        <v>1065</v>
      </c>
      <c r="G1367" s="2" t="s">
        <v>1065</v>
      </c>
      <c r="H1367" s="2" t="s">
        <v>1065</v>
      </c>
      <c r="I1367" s="2" t="s">
        <v>4661</v>
      </c>
      <c r="J1367" s="2" t="s">
        <v>114</v>
      </c>
      <c r="K1367" s="2" t="s">
        <v>158</v>
      </c>
      <c r="L1367" s="3">
        <v>108.15</v>
      </c>
      <c r="M1367" s="3">
        <v>113.56</v>
      </c>
      <c r="N1367" s="3">
        <v>309</v>
      </c>
      <c r="O1367" s="2" t="s">
        <v>97</v>
      </c>
      <c r="P1367" s="2" t="s">
        <v>182</v>
      </c>
      <c r="Q1367" s="2" t="s">
        <v>99</v>
      </c>
      <c r="R1367" s="2" t="s">
        <v>100</v>
      </c>
      <c r="S1367" s="2" t="s">
        <v>4662</v>
      </c>
      <c r="T1367" s="2" t="s">
        <v>100</v>
      </c>
      <c r="U1367" s="2" t="s">
        <v>1610</v>
      </c>
      <c r="V1367" s="2" t="s">
        <v>601</v>
      </c>
      <c r="W1367" s="2" t="s">
        <v>104</v>
      </c>
      <c r="X1367" s="2" t="s">
        <v>577</v>
      </c>
      <c r="Y1367" s="2" t="s">
        <v>4663</v>
      </c>
      <c r="Z1367" s="4">
        <v>323</v>
      </c>
      <c r="AA1367" s="4">
        <f>=ROUNDDOWN(40.375,0)</f>
      </c>
      <c r="AB1367" s="5">
        <v>8</v>
      </c>
      <c r="AC1367" s="2" t="s">
        <v>130</v>
      </c>
      <c r="AD1367" s="4">
        <v>120</v>
      </c>
      <c r="AE1367" s="4">
        <v>250</v>
      </c>
      <c r="AF1367" s="6">
        <v>70</v>
      </c>
      <c r="AG1367" s="6"/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151</v>
      </c>
      <c r="BK1367" s="8">
        <v>16791.64</v>
      </c>
      <c r="BL1367" s="2" t="s">
        <v>4665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</v>
      </c>
      <c r="BV1367" s="2" t="s">
        <v>97</v>
      </c>
      <c r="BW1367" s="2" t="s">
        <v>580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4666</v>
      </c>
      <c r="B1368" s="2" t="s">
        <v>87</v>
      </c>
      <c r="C1368" s="2" t="s">
        <v>4479</v>
      </c>
      <c r="D1368" s="2" t="s">
        <v>2308</v>
      </c>
      <c r="E1368" s="2" t="s">
        <v>3080</v>
      </c>
      <c r="F1368" s="2" t="s">
        <v>1065</v>
      </c>
      <c r="G1368" s="2" t="s">
        <v>1065</v>
      </c>
      <c r="H1368" s="2" t="s">
        <v>1065</v>
      </c>
      <c r="I1368" s="2" t="s">
        <v>4661</v>
      </c>
      <c r="J1368" s="2" t="s">
        <v>844</v>
      </c>
      <c r="K1368" s="2" t="s">
        <v>333</v>
      </c>
      <c r="L1368" s="3">
        <v>90.65</v>
      </c>
      <c r="M1368" s="3">
        <v>95.18</v>
      </c>
      <c r="N1368" s="3">
        <v>259</v>
      </c>
      <c r="O1368" s="2" t="s">
        <v>97</v>
      </c>
      <c r="P1368" s="2" t="s">
        <v>182</v>
      </c>
      <c r="Q1368" s="2" t="s">
        <v>99</v>
      </c>
      <c r="R1368" s="2" t="s">
        <v>100</v>
      </c>
      <c r="S1368" s="2" t="s">
        <v>4667</v>
      </c>
      <c r="T1368" s="2" t="s">
        <v>100</v>
      </c>
      <c r="U1368" s="2" t="s">
        <v>1610</v>
      </c>
      <c r="V1368" s="2" t="s">
        <v>601</v>
      </c>
      <c r="W1368" s="2" t="s">
        <v>104</v>
      </c>
      <c r="X1368" s="2" t="s">
        <v>577</v>
      </c>
      <c r="Y1368" s="2" t="s">
        <v>4663</v>
      </c>
      <c r="Z1368" s="4">
        <v>137</v>
      </c>
      <c r="AA1368" s="4">
        <f>=ROUNDDOWN(13.7,0)</f>
      </c>
      <c r="AB1368" s="5">
        <v>10</v>
      </c>
      <c r="AC1368" s="2" t="s">
        <v>855</v>
      </c>
      <c r="AD1368" s="4">
        <v>200</v>
      </c>
      <c r="AE1368" s="4">
        <v>200</v>
      </c>
      <c r="AF1368" s="6">
        <v>70</v>
      </c>
      <c r="AG1368" s="6"/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134</v>
      </c>
      <c r="BK1368" s="8">
        <v>12524.62</v>
      </c>
      <c r="BL1368" s="2" t="s">
        <v>4668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109</v>
      </c>
      <c r="BV1368" s="2" t="s">
        <v>97</v>
      </c>
      <c r="BW1368" s="2" t="s">
        <v>580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4669</v>
      </c>
      <c r="B1369" s="2" t="s">
        <v>87</v>
      </c>
      <c r="C1369" s="2" t="s">
        <v>4479</v>
      </c>
      <c r="D1369" s="2" t="s">
        <v>2308</v>
      </c>
      <c r="E1369" s="2" t="s">
        <v>3080</v>
      </c>
      <c r="F1369" s="2" t="s">
        <v>1065</v>
      </c>
      <c r="G1369" s="2" t="s">
        <v>1065</v>
      </c>
      <c r="H1369" s="2" t="s">
        <v>1065</v>
      </c>
      <c r="I1369" s="2" t="s">
        <v>4661</v>
      </c>
      <c r="J1369" s="2" t="s">
        <v>114</v>
      </c>
      <c r="K1369" s="2" t="s">
        <v>333</v>
      </c>
      <c r="L1369" s="3">
        <v>108.15</v>
      </c>
      <c r="M1369" s="3">
        <v>113.56</v>
      </c>
      <c r="N1369" s="3">
        <v>309</v>
      </c>
      <c r="O1369" s="2" t="s">
        <v>97</v>
      </c>
      <c r="P1369" s="2" t="s">
        <v>182</v>
      </c>
      <c r="Q1369" s="2" t="s">
        <v>99</v>
      </c>
      <c r="R1369" s="2" t="s">
        <v>100</v>
      </c>
      <c r="S1369" s="2" t="s">
        <v>4667</v>
      </c>
      <c r="T1369" s="2" t="s">
        <v>100</v>
      </c>
      <c r="U1369" s="2" t="s">
        <v>1610</v>
      </c>
      <c r="V1369" s="2" t="s">
        <v>601</v>
      </c>
      <c r="W1369" s="2" t="s">
        <v>104</v>
      </c>
      <c r="X1369" s="2" t="s">
        <v>577</v>
      </c>
      <c r="Y1369" s="2" t="s">
        <v>4663</v>
      </c>
      <c r="Z1369" s="4">
        <v>269</v>
      </c>
      <c r="AA1369" s="4">
        <f>=ROUNDDOWN(33.625,0)</f>
      </c>
      <c r="AB1369" s="5">
        <v>8</v>
      </c>
      <c r="AC1369" s="2" t="s">
        <v>855</v>
      </c>
      <c r="AD1369" s="4">
        <v>50</v>
      </c>
      <c r="AE1369" s="4">
        <v>50</v>
      </c>
      <c r="AF1369" s="6">
        <v>70</v>
      </c>
      <c r="AG1369" s="6"/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147</v>
      </c>
      <c r="BK1369" s="8">
        <v>16354.76</v>
      </c>
      <c r="BL1369" s="2" t="s">
        <v>4670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</v>
      </c>
      <c r="BV1369" s="2" t="s">
        <v>97</v>
      </c>
      <c r="BW1369" s="2" t="s">
        <v>580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4671</v>
      </c>
      <c r="B1370" s="2" t="s">
        <v>87</v>
      </c>
      <c r="C1370" s="2" t="s">
        <v>4479</v>
      </c>
      <c r="D1370" s="2" t="s">
        <v>2308</v>
      </c>
      <c r="E1370" s="2" t="s">
        <v>3080</v>
      </c>
      <c r="F1370" s="2" t="s">
        <v>1065</v>
      </c>
      <c r="G1370" s="2" t="s">
        <v>1065</v>
      </c>
      <c r="H1370" s="2" t="s">
        <v>1065</v>
      </c>
      <c r="I1370" s="2" t="s">
        <v>4661</v>
      </c>
      <c r="J1370" s="2" t="s">
        <v>844</v>
      </c>
      <c r="K1370" s="2" t="s">
        <v>4481</v>
      </c>
      <c r="L1370" s="3">
        <v>90.65</v>
      </c>
      <c r="M1370" s="3">
        <v>95.18</v>
      </c>
      <c r="N1370" s="3">
        <v>259</v>
      </c>
      <c r="O1370" s="2" t="s">
        <v>97</v>
      </c>
      <c r="P1370" s="2" t="s">
        <v>182</v>
      </c>
      <c r="Q1370" s="2" t="s">
        <v>99</v>
      </c>
      <c r="R1370" s="2" t="s">
        <v>100</v>
      </c>
      <c r="S1370" s="2" t="s">
        <v>4672</v>
      </c>
      <c r="T1370" s="2" t="s">
        <v>100</v>
      </c>
      <c r="U1370" s="2" t="s">
        <v>1610</v>
      </c>
      <c r="V1370" s="2" t="s">
        <v>601</v>
      </c>
      <c r="W1370" s="2" t="s">
        <v>104</v>
      </c>
      <c r="X1370" s="2" t="s">
        <v>577</v>
      </c>
      <c r="Y1370" s="2" t="s">
        <v>4663</v>
      </c>
      <c r="Z1370" s="4">
        <v>120</v>
      </c>
      <c r="AA1370" s="4">
        <f>=ROUNDDOWN(12,0)</f>
      </c>
      <c r="AB1370" s="5">
        <v>10</v>
      </c>
      <c r="AC1370" s="2" t="s">
        <v>2152</v>
      </c>
      <c r="AD1370" s="4">
        <v>98</v>
      </c>
      <c r="AE1370" s="4">
        <v>98</v>
      </c>
      <c r="AF1370" s="6">
        <v>70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180</v>
      </c>
      <c r="BK1370" s="8">
        <v>16920.81</v>
      </c>
      <c r="BL1370" s="2" t="s">
        <v>4673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</v>
      </c>
      <c r="BV1370" s="2" t="s">
        <v>97</v>
      </c>
      <c r="BW1370" s="2" t="s">
        <v>580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4674</v>
      </c>
      <c r="B1371" s="2" t="s">
        <v>87</v>
      </c>
      <c r="C1371" s="2" t="s">
        <v>4479</v>
      </c>
      <c r="D1371" s="2" t="s">
        <v>2308</v>
      </c>
      <c r="E1371" s="2" t="s">
        <v>3080</v>
      </c>
      <c r="F1371" s="2" t="s">
        <v>1065</v>
      </c>
      <c r="G1371" s="2" t="s">
        <v>1065</v>
      </c>
      <c r="H1371" s="2" t="s">
        <v>1065</v>
      </c>
      <c r="I1371" s="2" t="s">
        <v>4661</v>
      </c>
      <c r="J1371" s="2" t="s">
        <v>114</v>
      </c>
      <c r="K1371" s="2" t="s">
        <v>4481</v>
      </c>
      <c r="L1371" s="3">
        <v>108.15</v>
      </c>
      <c r="M1371" s="3">
        <v>113.56</v>
      </c>
      <c r="N1371" s="3">
        <v>309</v>
      </c>
      <c r="O1371" s="2" t="s">
        <v>97</v>
      </c>
      <c r="P1371" s="2" t="s">
        <v>182</v>
      </c>
      <c r="Q1371" s="2" t="s">
        <v>99</v>
      </c>
      <c r="R1371" s="2" t="s">
        <v>100</v>
      </c>
      <c r="S1371" s="2" t="s">
        <v>4672</v>
      </c>
      <c r="T1371" s="2" t="s">
        <v>100</v>
      </c>
      <c r="U1371" s="2" t="s">
        <v>1610</v>
      </c>
      <c r="V1371" s="2" t="s">
        <v>601</v>
      </c>
      <c r="W1371" s="2" t="s">
        <v>104</v>
      </c>
      <c r="X1371" s="2" t="s">
        <v>577</v>
      </c>
      <c r="Y1371" s="2" t="s">
        <v>4663</v>
      </c>
      <c r="Z1371" s="4">
        <v>321</v>
      </c>
      <c r="AA1371" s="4">
        <f>=ROUNDDOWN(21.4,0)</f>
      </c>
      <c r="AB1371" s="5">
        <v>15</v>
      </c>
      <c r="AC1371" s="2" t="s">
        <v>2152</v>
      </c>
      <c r="AD1371" s="4">
        <v>137</v>
      </c>
      <c r="AE1371" s="4">
        <v>137</v>
      </c>
      <c r="AF1371" s="6">
        <v>70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310</v>
      </c>
      <c r="BK1371" s="8">
        <v>34610.61</v>
      </c>
      <c r="BL1371" s="2" t="s">
        <v>4675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</v>
      </c>
      <c r="BV1371" s="2" t="s">
        <v>97</v>
      </c>
      <c r="BW1371" s="2" t="s">
        <v>580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4676</v>
      </c>
      <c r="B1372" s="2" t="s">
        <v>87</v>
      </c>
      <c r="C1372" s="2" t="s">
        <v>4677</v>
      </c>
      <c r="D1372" s="2" t="s">
        <v>89</v>
      </c>
      <c r="E1372" s="2" t="s">
        <v>2098</v>
      </c>
      <c r="F1372" s="2" t="s">
        <v>4678</v>
      </c>
      <c r="G1372" s="2" t="s">
        <v>4678</v>
      </c>
      <c r="H1372" s="2" t="s">
        <v>4678</v>
      </c>
      <c r="I1372" s="2" t="s">
        <v>4645</v>
      </c>
      <c r="J1372" s="2" t="s">
        <v>844</v>
      </c>
      <c r="K1372" s="2" t="s">
        <v>650</v>
      </c>
      <c r="L1372" s="3">
        <v>62.49</v>
      </c>
      <c r="M1372" s="3">
        <v>65.62</v>
      </c>
      <c r="N1372" s="3">
        <v>124.99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4679</v>
      </c>
      <c r="T1372" s="2" t="s">
        <v>732</v>
      </c>
      <c r="U1372" s="2" t="s">
        <v>1610</v>
      </c>
      <c r="V1372" s="2" t="s">
        <v>991</v>
      </c>
      <c r="W1372" s="2" t="s">
        <v>602</v>
      </c>
      <c r="X1372" s="2" t="s">
        <v>759</v>
      </c>
      <c r="Y1372" s="2" t="s">
        <v>1038</v>
      </c>
      <c r="Z1372" s="4">
        <v>415</v>
      </c>
      <c r="AA1372" s="4">
        <f>=ROUNDDOWN(31.9230769230769,0)</f>
      </c>
      <c r="AB1372" s="5">
        <v>13</v>
      </c>
      <c r="AC1372" s="2" t="s">
        <v>3601</v>
      </c>
      <c r="AD1372" s="4">
        <v>160</v>
      </c>
      <c r="AE1372" s="4">
        <v>330</v>
      </c>
      <c r="AF1372" s="6">
        <v>67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>
        <v>0</v>
      </c>
      <c r="AP1372" s="4">
        <v>8</v>
      </c>
      <c r="AQ1372" s="8">
        <v>524.96</v>
      </c>
      <c r="AR1372" s="4">
        <v>12</v>
      </c>
      <c r="AS1372" s="8">
        <v>787.44</v>
      </c>
      <c r="AT1372" s="7">
        <v>-0.3333</v>
      </c>
      <c r="AU1372" s="7">
        <v>-0.3333</v>
      </c>
      <c r="AV1372" s="4">
        <v>10</v>
      </c>
      <c r="AW1372" s="8">
        <v>687.7</v>
      </c>
      <c r="AX1372" s="4">
        <v>26</v>
      </c>
      <c r="AY1372" s="8">
        <v>1926.62</v>
      </c>
      <c r="AZ1372" s="7">
        <v>-0.6154</v>
      </c>
      <c r="BA1372" s="7">
        <v>-0.6431</v>
      </c>
      <c r="BB1372" s="7">
        <v>0.7634</v>
      </c>
      <c r="BC1372" s="4">
        <v>10</v>
      </c>
      <c r="BD1372" s="8">
        <v>687.7</v>
      </c>
      <c r="BE1372" s="4">
        <v>32</v>
      </c>
      <c r="BF1372" s="8">
        <v>2336.09</v>
      </c>
      <c r="BG1372" s="7">
        <v>-0.6875</v>
      </c>
      <c r="BH1372" s="7">
        <v>-0.7056</v>
      </c>
      <c r="BI1372" s="7">
        <v>1</v>
      </c>
      <c r="BJ1372" s="4">
        <v>240</v>
      </c>
      <c r="BK1372" s="8">
        <v>15827.89</v>
      </c>
      <c r="BL1372" s="2" t="s">
        <v>4680</v>
      </c>
      <c r="BM1372" s="7">
        <v>0.0333</v>
      </c>
      <c r="BN1372" s="7">
        <v>0.0332</v>
      </c>
      <c r="BO1372" s="4">
        <v>8</v>
      </c>
      <c r="BP1372" s="8">
        <v>524.96</v>
      </c>
      <c r="BQ1372" s="4">
        <v>12</v>
      </c>
      <c r="BR1372" s="8">
        <v>787.44</v>
      </c>
      <c r="BS1372" s="7">
        <v>-0.3333</v>
      </c>
      <c r="BT1372" s="7">
        <v>-0.3333</v>
      </c>
      <c r="BU1372" s="2" t="s">
        <v>109</v>
      </c>
      <c r="BV1372" s="2" t="s">
        <v>97</v>
      </c>
      <c r="BW1372" s="2" t="s">
        <v>132</v>
      </c>
      <c r="BX1372" s="2" t="s">
        <v>206</v>
      </c>
      <c r="BY1372" s="2" t="s">
        <v>112</v>
      </c>
      <c r="BZ1372" s="2" t="s">
        <v>100</v>
      </c>
    </row>
    <row r="1373">
      <c r="A1373" s="2" t="s">
        <v>4681</v>
      </c>
      <c r="B1373" s="2" t="s">
        <v>87</v>
      </c>
      <c r="C1373" s="2" t="s">
        <v>4677</v>
      </c>
      <c r="D1373" s="2" t="s">
        <v>89</v>
      </c>
      <c r="E1373" s="2" t="s">
        <v>2098</v>
      </c>
      <c r="F1373" s="2" t="s">
        <v>4678</v>
      </c>
      <c r="G1373" s="2" t="s">
        <v>4678</v>
      </c>
      <c r="H1373" s="2" t="s">
        <v>4678</v>
      </c>
      <c r="I1373" s="2" t="s">
        <v>4645</v>
      </c>
      <c r="J1373" s="2" t="s">
        <v>850</v>
      </c>
      <c r="K1373" s="2" t="s">
        <v>650</v>
      </c>
      <c r="L1373" s="3">
        <v>77.5</v>
      </c>
      <c r="M1373" s="3">
        <v>81.37</v>
      </c>
      <c r="N1373" s="3">
        <v>154.99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4679</v>
      </c>
      <c r="T1373" s="2" t="s">
        <v>732</v>
      </c>
      <c r="U1373" s="2" t="s">
        <v>1610</v>
      </c>
      <c r="V1373" s="2" t="s">
        <v>991</v>
      </c>
      <c r="W1373" s="2" t="s">
        <v>602</v>
      </c>
      <c r="X1373" s="2" t="s">
        <v>759</v>
      </c>
      <c r="Y1373" s="2" t="s">
        <v>1038</v>
      </c>
      <c r="Z1373" s="4">
        <v>200</v>
      </c>
      <c r="AA1373" s="4">
        <f>=ROUNDDOWN(20,0)</f>
      </c>
      <c r="AB1373" s="5">
        <v>10</v>
      </c>
      <c r="AC1373" s="2" t="s">
        <v>3601</v>
      </c>
      <c r="AD1373" s="4">
        <v>50</v>
      </c>
      <c r="AE1373" s="4">
        <v>140</v>
      </c>
      <c r="AF1373" s="6">
        <v>67</v>
      </c>
      <c r="AG1373" s="6"/>
      <c r="AH1373" s="7">
        <v>0.7758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>
        <v>0</v>
      </c>
      <c r="AP1373" s="4">
        <v>2</v>
      </c>
      <c r="AQ1373" s="8">
        <v>162.74</v>
      </c>
      <c r="AR1373" s="4">
        <v>14</v>
      </c>
      <c r="AS1373" s="8">
        <v>1139.18</v>
      </c>
      <c r="AT1373" s="7">
        <v>-0.8571</v>
      </c>
      <c r="AU1373" s="7">
        <v>-0.8571</v>
      </c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>
        <v>0.2366</v>
      </c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 t="s">
        <v>100</v>
      </c>
      <c r="BJ1373" s="4">
        <v>138</v>
      </c>
      <c r="BK1373" s="8">
        <v>11585.62</v>
      </c>
      <c r="BL1373" s="2" t="s">
        <v>4682</v>
      </c>
      <c r="BM1373" s="7">
        <v>0.0145</v>
      </c>
      <c r="BN1373" s="7">
        <v>0.014</v>
      </c>
      <c r="BO1373" s="4">
        <v>2</v>
      </c>
      <c r="BP1373" s="8">
        <v>162.74</v>
      </c>
      <c r="BQ1373" s="4">
        <v>14</v>
      </c>
      <c r="BR1373" s="8">
        <v>1139.18</v>
      </c>
      <c r="BS1373" s="7">
        <v>-0.8571</v>
      </c>
      <c r="BT1373" s="7">
        <v>-0.8571</v>
      </c>
      <c r="BU1373" s="2" t="s">
        <v>109</v>
      </c>
      <c r="BV1373" s="2" t="s">
        <v>97</v>
      </c>
      <c r="BW1373" s="2" t="s">
        <v>132</v>
      </c>
      <c r="BX1373" s="2" t="s">
        <v>783</v>
      </c>
      <c r="BY1373" s="2" t="s">
        <v>112</v>
      </c>
      <c r="BZ1373" s="2" t="s">
        <v>100</v>
      </c>
    </row>
    <row r="1374">
      <c r="A1374" s="2" t="s">
        <v>4683</v>
      </c>
      <c r="B1374" s="2" t="s">
        <v>87</v>
      </c>
      <c r="C1374" s="2" t="s">
        <v>4677</v>
      </c>
      <c r="D1374" s="2" t="s">
        <v>89</v>
      </c>
      <c r="E1374" s="2" t="s">
        <v>2098</v>
      </c>
      <c r="F1374" s="2" t="s">
        <v>4678</v>
      </c>
      <c r="G1374" s="2" t="s">
        <v>4678</v>
      </c>
      <c r="H1374" s="2" t="s">
        <v>4678</v>
      </c>
      <c r="I1374" s="2" t="s">
        <v>4645</v>
      </c>
      <c r="J1374" s="2" t="s">
        <v>844</v>
      </c>
      <c r="K1374" s="2" t="s">
        <v>197</v>
      </c>
      <c r="L1374" s="3">
        <v>62.49</v>
      </c>
      <c r="M1374" s="3">
        <v>65.62</v>
      </c>
      <c r="N1374" s="3">
        <v>124.99</v>
      </c>
      <c r="O1374" s="2" t="s">
        <v>97</v>
      </c>
      <c r="P1374" s="2" t="s">
        <v>182</v>
      </c>
      <c r="Q1374" s="2" t="s">
        <v>99</v>
      </c>
      <c r="R1374" s="2" t="s">
        <v>100</v>
      </c>
      <c r="S1374" s="2" t="s">
        <v>4684</v>
      </c>
      <c r="T1374" s="2" t="s">
        <v>732</v>
      </c>
      <c r="U1374" s="2" t="s">
        <v>1610</v>
      </c>
      <c r="V1374" s="2" t="s">
        <v>991</v>
      </c>
      <c r="W1374" s="2" t="s">
        <v>602</v>
      </c>
      <c r="X1374" s="2" t="s">
        <v>759</v>
      </c>
      <c r="Y1374" s="2" t="s">
        <v>4685</v>
      </c>
      <c r="Z1374" s="4">
        <v>165</v>
      </c>
      <c r="AA1374" s="4">
        <f>=ROUNDDOWN(33,0)</f>
      </c>
      <c r="AB1374" s="5">
        <v>5</v>
      </c>
      <c r="AC1374" s="2" t="s">
        <v>100</v>
      </c>
      <c r="AD1374" s="4"/>
      <c r="AE1374" s="4"/>
      <c r="AF1374" s="6">
        <v>67</v>
      </c>
      <c r="AG1374" s="6"/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>
        <v>0</v>
      </c>
      <c r="AP1374" s="4"/>
      <c r="AQ1374" s="8"/>
      <c r="AR1374" s="4">
        <v>5</v>
      </c>
      <c r="AS1374" s="8">
        <v>328.1</v>
      </c>
      <c r="AT1374" s="7">
        <v>-1</v>
      </c>
      <c r="AU1374" s="7">
        <v>-1</v>
      </c>
      <c r="AV1374" s="4" t="s">
        <v>100</v>
      </c>
      <c r="AW1374" s="8" t="s">
        <v>100</v>
      </c>
      <c r="AX1374" s="4">
        <v>6</v>
      </c>
      <c r="AY1374" s="8">
        <v>409.47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 t="s">
        <v>100</v>
      </c>
      <c r="BJ1374" s="4">
        <v>110</v>
      </c>
      <c r="BK1374" s="8">
        <v>7114.37</v>
      </c>
      <c r="BL1374" s="2" t="s">
        <v>4686</v>
      </c>
      <c r="BM1374" s="7"/>
      <c r="BN1374" s="7"/>
      <c r="BO1374" s="4"/>
      <c r="BP1374" s="8"/>
      <c r="BQ1374" s="4">
        <v>5</v>
      </c>
      <c r="BR1374" s="8">
        <v>328.1</v>
      </c>
      <c r="BS1374" s="7">
        <v>-1</v>
      </c>
      <c r="BT1374" s="7">
        <v>-1</v>
      </c>
      <c r="BU1374" s="2" t="s">
        <v>109</v>
      </c>
      <c r="BV1374" s="2" t="s">
        <v>97</v>
      </c>
      <c r="BW1374" s="2" t="s">
        <v>132</v>
      </c>
      <c r="BX1374" s="2" t="s">
        <v>179</v>
      </c>
      <c r="BY1374" s="2" t="s">
        <v>112</v>
      </c>
      <c r="BZ1374" s="2" t="s">
        <v>100</v>
      </c>
    </row>
    <row r="1375">
      <c r="A1375" s="2" t="s">
        <v>4687</v>
      </c>
      <c r="B1375" s="2" t="s">
        <v>87</v>
      </c>
      <c r="C1375" s="2" t="s">
        <v>4677</v>
      </c>
      <c r="D1375" s="2" t="s">
        <v>89</v>
      </c>
      <c r="E1375" s="2" t="s">
        <v>2098</v>
      </c>
      <c r="F1375" s="2" t="s">
        <v>4678</v>
      </c>
      <c r="G1375" s="2" t="s">
        <v>4678</v>
      </c>
      <c r="H1375" s="2" t="s">
        <v>4678</v>
      </c>
      <c r="I1375" s="2" t="s">
        <v>4645</v>
      </c>
      <c r="J1375" s="2" t="s">
        <v>850</v>
      </c>
      <c r="K1375" s="2" t="s">
        <v>197</v>
      </c>
      <c r="L1375" s="3">
        <v>77.5</v>
      </c>
      <c r="M1375" s="3">
        <v>81.37</v>
      </c>
      <c r="N1375" s="3">
        <v>154.99</v>
      </c>
      <c r="O1375" s="2" t="s">
        <v>97</v>
      </c>
      <c r="P1375" s="2" t="s">
        <v>182</v>
      </c>
      <c r="Q1375" s="2" t="s">
        <v>99</v>
      </c>
      <c r="R1375" s="2" t="s">
        <v>100</v>
      </c>
      <c r="S1375" s="2" t="s">
        <v>4684</v>
      </c>
      <c r="T1375" s="2" t="s">
        <v>732</v>
      </c>
      <c r="U1375" s="2" t="s">
        <v>1610</v>
      </c>
      <c r="V1375" s="2" t="s">
        <v>991</v>
      </c>
      <c r="W1375" s="2" t="s">
        <v>602</v>
      </c>
      <c r="X1375" s="2" t="s">
        <v>759</v>
      </c>
      <c r="Y1375" s="2" t="s">
        <v>1006</v>
      </c>
      <c r="Z1375" s="4">
        <v>79</v>
      </c>
      <c r="AA1375" s="4">
        <f>=ROUNDDOWN(15.8,0)</f>
      </c>
      <c r="AB1375" s="5">
        <v>5</v>
      </c>
      <c r="AC1375" s="2" t="s">
        <v>3601</v>
      </c>
      <c r="AD1375" s="4">
        <v>70</v>
      </c>
      <c r="AE1375" s="4">
        <v>70</v>
      </c>
      <c r="AF1375" s="6">
        <v>67</v>
      </c>
      <c r="AG1375" s="6"/>
      <c r="AH1375" s="7">
        <v>0.5515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>
        <v>0</v>
      </c>
      <c r="AP1375" s="4"/>
      <c r="AQ1375" s="8"/>
      <c r="AR1375" s="4">
        <v>1</v>
      </c>
      <c r="AS1375" s="8">
        <v>81.37</v>
      </c>
      <c r="AT1375" s="7">
        <v>-1</v>
      </c>
      <c r="AU1375" s="7">
        <v>-1</v>
      </c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 t="s">
        <v>100</v>
      </c>
      <c r="BJ1375" s="4">
        <v>80</v>
      </c>
      <c r="BK1375" s="8">
        <v>6513.1</v>
      </c>
      <c r="BL1375" s="2" t="s">
        <v>4688</v>
      </c>
      <c r="BM1375" s="7"/>
      <c r="BN1375" s="7"/>
      <c r="BO1375" s="4"/>
      <c r="BP1375" s="8"/>
      <c r="BQ1375" s="4">
        <v>1</v>
      </c>
      <c r="BR1375" s="8">
        <v>81.37</v>
      </c>
      <c r="BS1375" s="7">
        <v>-1</v>
      </c>
      <c r="BT1375" s="7">
        <v>-1</v>
      </c>
      <c r="BU1375" s="2" t="s">
        <v>109</v>
      </c>
      <c r="BV1375" s="2" t="s">
        <v>97</v>
      </c>
      <c r="BW1375" s="2" t="s">
        <v>132</v>
      </c>
      <c r="BX1375" s="2" t="s">
        <v>2623</v>
      </c>
      <c r="BY1375" s="2" t="s">
        <v>112</v>
      </c>
      <c r="BZ1375" s="2" t="s">
        <v>100</v>
      </c>
    </row>
    <row r="1376">
      <c r="A1376" s="2" t="s">
        <v>4689</v>
      </c>
      <c r="B1376" s="2" t="s">
        <v>87</v>
      </c>
      <c r="C1376" s="2" t="s">
        <v>4677</v>
      </c>
      <c r="D1376" s="2" t="s">
        <v>89</v>
      </c>
      <c r="E1376" s="2" t="s">
        <v>2098</v>
      </c>
      <c r="F1376" s="2" t="s">
        <v>4690</v>
      </c>
      <c r="G1376" s="2" t="s">
        <v>4690</v>
      </c>
      <c r="H1376" s="2" t="s">
        <v>4690</v>
      </c>
      <c r="I1376" s="2" t="s">
        <v>4691</v>
      </c>
      <c r="J1376" s="2" t="s">
        <v>844</v>
      </c>
      <c r="K1376" s="2" t="s">
        <v>197</v>
      </c>
      <c r="L1376" s="3">
        <v>54</v>
      </c>
      <c r="M1376" s="3">
        <v>56.7</v>
      </c>
      <c r="N1376" s="3">
        <v>109.99</v>
      </c>
      <c r="O1376" s="2" t="s">
        <v>97</v>
      </c>
      <c r="P1376" s="2" t="s">
        <v>143</v>
      </c>
      <c r="Q1376" s="2" t="s">
        <v>99</v>
      </c>
      <c r="R1376" s="2" t="s">
        <v>100</v>
      </c>
      <c r="S1376" s="2" t="s">
        <v>4692</v>
      </c>
      <c r="T1376" s="2" t="s">
        <v>732</v>
      </c>
      <c r="U1376" s="2" t="s">
        <v>1610</v>
      </c>
      <c r="V1376" s="2" t="s">
        <v>4693</v>
      </c>
      <c r="W1376" s="2" t="s">
        <v>2195</v>
      </c>
      <c r="X1376" s="2" t="s">
        <v>284</v>
      </c>
      <c r="Y1376" s="2" t="s">
        <v>106</v>
      </c>
      <c r="Z1376" s="4">
        <v>439</v>
      </c>
      <c r="AA1376" s="4">
        <f>=ROUNDDOWN(24.3888888888889,0)</f>
      </c>
      <c r="AB1376" s="5">
        <v>18</v>
      </c>
      <c r="AC1376" s="2" t="s">
        <v>2152</v>
      </c>
      <c r="AD1376" s="4">
        <v>100</v>
      </c>
      <c r="AE1376" s="4">
        <v>569</v>
      </c>
      <c r="AF1376" s="6">
        <v>65</v>
      </c>
      <c r="AG1376" s="6">
        <v>73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>
        <v>0</v>
      </c>
      <c r="AP1376" s="4">
        <v>2</v>
      </c>
      <c r="AQ1376" s="8">
        <v>113.4</v>
      </c>
      <c r="AR1376" s="4">
        <v>11</v>
      </c>
      <c r="AS1376" s="8">
        <v>674.02</v>
      </c>
      <c r="AT1376" s="7">
        <v>-0.8182</v>
      </c>
      <c r="AU1376" s="7">
        <v>-0.8318</v>
      </c>
      <c r="AV1376" s="4">
        <v>5</v>
      </c>
      <c r="AW1376" s="8">
        <v>326.04</v>
      </c>
      <c r="AX1376" s="4">
        <v>16</v>
      </c>
      <c r="AY1376" s="8">
        <v>1044.14</v>
      </c>
      <c r="AZ1376" s="7">
        <v>-0.6875</v>
      </c>
      <c r="BA1376" s="7">
        <v>-0.6877</v>
      </c>
      <c r="BB1376" s="7">
        <v>0.3478</v>
      </c>
      <c r="BC1376" s="4">
        <v>9</v>
      </c>
      <c r="BD1376" s="8">
        <v>595.38</v>
      </c>
      <c r="BE1376" s="4">
        <v>20</v>
      </c>
      <c r="BF1376" s="8">
        <v>1297.72</v>
      </c>
      <c r="BG1376" s="7">
        <v>-0.55</v>
      </c>
      <c r="BH1376" s="7">
        <v>-0.5412</v>
      </c>
      <c r="BI1376" s="7">
        <v>0.5476</v>
      </c>
      <c r="BJ1376" s="4">
        <v>302</v>
      </c>
      <c r="BK1376" s="8">
        <v>19206.38</v>
      </c>
      <c r="BL1376" s="2" t="s">
        <v>4694</v>
      </c>
      <c r="BM1376" s="7">
        <v>0.0066</v>
      </c>
      <c r="BN1376" s="7">
        <v>0.0059</v>
      </c>
      <c r="BO1376" s="4">
        <v>2</v>
      </c>
      <c r="BP1376" s="8">
        <v>113.4</v>
      </c>
      <c r="BQ1376" s="4">
        <v>11</v>
      </c>
      <c r="BR1376" s="8">
        <v>674.02</v>
      </c>
      <c r="BS1376" s="7">
        <v>-0.8182</v>
      </c>
      <c r="BT1376" s="7">
        <v>-0.8318</v>
      </c>
      <c r="BU1376" s="2" t="s">
        <v>109</v>
      </c>
      <c r="BV1376" s="2" t="s">
        <v>97</v>
      </c>
      <c r="BW1376" s="2" t="s">
        <v>4695</v>
      </c>
      <c r="BX1376" s="2" t="s">
        <v>966</v>
      </c>
      <c r="BY1376" s="2" t="s">
        <v>112</v>
      </c>
      <c r="BZ1376" s="2" t="s">
        <v>100</v>
      </c>
    </row>
    <row r="1377">
      <c r="A1377" s="2" t="s">
        <v>4696</v>
      </c>
      <c r="B1377" s="2" t="s">
        <v>87</v>
      </c>
      <c r="C1377" s="2" t="s">
        <v>4677</v>
      </c>
      <c r="D1377" s="2" t="s">
        <v>89</v>
      </c>
      <c r="E1377" s="2" t="s">
        <v>2098</v>
      </c>
      <c r="F1377" s="2" t="s">
        <v>4690</v>
      </c>
      <c r="G1377" s="2" t="s">
        <v>4690</v>
      </c>
      <c r="H1377" s="2" t="s">
        <v>4690</v>
      </c>
      <c r="I1377" s="2" t="s">
        <v>4691</v>
      </c>
      <c r="J1377" s="2" t="s">
        <v>850</v>
      </c>
      <c r="K1377" s="2" t="s">
        <v>197</v>
      </c>
      <c r="L1377" s="3">
        <v>67.5</v>
      </c>
      <c r="M1377" s="3">
        <v>70.88</v>
      </c>
      <c r="N1377" s="3">
        <v>139.99</v>
      </c>
      <c r="O1377" s="2" t="s">
        <v>97</v>
      </c>
      <c r="P1377" s="2" t="s">
        <v>143</v>
      </c>
      <c r="Q1377" s="2" t="s">
        <v>99</v>
      </c>
      <c r="R1377" s="2" t="s">
        <v>100</v>
      </c>
      <c r="S1377" s="2" t="s">
        <v>4692</v>
      </c>
      <c r="T1377" s="2" t="s">
        <v>732</v>
      </c>
      <c r="U1377" s="2" t="s">
        <v>1610</v>
      </c>
      <c r="V1377" s="2" t="s">
        <v>4693</v>
      </c>
      <c r="W1377" s="2" t="s">
        <v>2195</v>
      </c>
      <c r="X1377" s="2" t="s">
        <v>284</v>
      </c>
      <c r="Y1377" s="2" t="s">
        <v>106</v>
      </c>
      <c r="Z1377" s="4">
        <v>497</v>
      </c>
      <c r="AA1377" s="4">
        <f>=ROUNDDOWN(27.6111111111111,0)</f>
      </c>
      <c r="AB1377" s="5">
        <v>18</v>
      </c>
      <c r="AC1377" s="2" t="s">
        <v>563</v>
      </c>
      <c r="AD1377" s="4">
        <v>150</v>
      </c>
      <c r="AE1377" s="4">
        <v>470</v>
      </c>
      <c r="AF1377" s="6">
        <v>65</v>
      </c>
      <c r="AG1377" s="6">
        <v>73</v>
      </c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>
        <v>0</v>
      </c>
      <c r="AP1377" s="4">
        <v>3</v>
      </c>
      <c r="AQ1377" s="8">
        <v>212.64</v>
      </c>
      <c r="AR1377" s="4">
        <v>5</v>
      </c>
      <c r="AS1377" s="8">
        <v>370.12</v>
      </c>
      <c r="AT1377" s="7">
        <v>-0.4</v>
      </c>
      <c r="AU1377" s="7">
        <v>-0.4255</v>
      </c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>
        <v>0.6522</v>
      </c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 t="s">
        <v>100</v>
      </c>
      <c r="BJ1377" s="4">
        <v>324</v>
      </c>
      <c r="BK1377" s="8">
        <v>25501.86</v>
      </c>
      <c r="BL1377" s="2" t="s">
        <v>4697</v>
      </c>
      <c r="BM1377" s="7">
        <v>0.0093</v>
      </c>
      <c r="BN1377" s="7">
        <v>0.0083</v>
      </c>
      <c r="BO1377" s="4">
        <v>3</v>
      </c>
      <c r="BP1377" s="8">
        <v>212.64</v>
      </c>
      <c r="BQ1377" s="4">
        <v>5</v>
      </c>
      <c r="BR1377" s="8">
        <v>370.12</v>
      </c>
      <c r="BS1377" s="7">
        <v>-0.4</v>
      </c>
      <c r="BT1377" s="7">
        <v>-0.4255</v>
      </c>
      <c r="BU1377" s="2" t="s">
        <v>109</v>
      </c>
      <c r="BV1377" s="2" t="s">
        <v>97</v>
      </c>
      <c r="BW1377" s="2" t="s">
        <v>132</v>
      </c>
      <c r="BX1377" s="2" t="s">
        <v>4698</v>
      </c>
      <c r="BY1377" s="2" t="s">
        <v>112</v>
      </c>
      <c r="BZ1377" s="2" t="s">
        <v>100</v>
      </c>
    </row>
    <row r="1378">
      <c r="A1378" s="2" t="s">
        <v>4699</v>
      </c>
      <c r="B1378" s="2" t="s">
        <v>87</v>
      </c>
      <c r="C1378" s="2" t="s">
        <v>4677</v>
      </c>
      <c r="D1378" s="2" t="s">
        <v>89</v>
      </c>
      <c r="E1378" s="2" t="s">
        <v>2098</v>
      </c>
      <c r="F1378" s="2" t="s">
        <v>4690</v>
      </c>
      <c r="G1378" s="2" t="s">
        <v>4690</v>
      </c>
      <c r="H1378" s="2" t="s">
        <v>4690</v>
      </c>
      <c r="I1378" s="2" t="s">
        <v>4691</v>
      </c>
      <c r="J1378" s="2" t="s">
        <v>844</v>
      </c>
      <c r="K1378" s="2" t="s">
        <v>267</v>
      </c>
      <c r="L1378" s="3">
        <v>54</v>
      </c>
      <c r="M1378" s="3">
        <v>56.7</v>
      </c>
      <c r="N1378" s="3">
        <v>109.99</v>
      </c>
      <c r="O1378" s="2" t="s">
        <v>97</v>
      </c>
      <c r="P1378" s="2" t="s">
        <v>143</v>
      </c>
      <c r="Q1378" s="2" t="s">
        <v>99</v>
      </c>
      <c r="R1378" s="2" t="s">
        <v>100</v>
      </c>
      <c r="S1378" s="2" t="s">
        <v>4700</v>
      </c>
      <c r="T1378" s="2" t="s">
        <v>732</v>
      </c>
      <c r="U1378" s="2" t="s">
        <v>1610</v>
      </c>
      <c r="V1378" s="2" t="s">
        <v>4693</v>
      </c>
      <c r="W1378" s="2" t="s">
        <v>2195</v>
      </c>
      <c r="X1378" s="2" t="s">
        <v>284</v>
      </c>
      <c r="Y1378" s="2" t="s">
        <v>106</v>
      </c>
      <c r="Z1378" s="4">
        <v>264</v>
      </c>
      <c r="AA1378" s="4">
        <f>=ROUNDDOWN(20.3076923076923,0)</f>
      </c>
      <c r="AB1378" s="5">
        <v>13</v>
      </c>
      <c r="AC1378" s="2" t="s">
        <v>2152</v>
      </c>
      <c r="AD1378" s="4">
        <v>80</v>
      </c>
      <c r="AE1378" s="4">
        <v>360</v>
      </c>
      <c r="AF1378" s="6">
        <v>65</v>
      </c>
      <c r="AG1378" s="6">
        <v>73</v>
      </c>
      <c r="AH1378" s="7">
        <v>0.7697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>
        <v>0</v>
      </c>
      <c r="AP1378" s="4">
        <v>1</v>
      </c>
      <c r="AQ1378" s="8">
        <v>56.7</v>
      </c>
      <c r="AR1378" s="4">
        <v>3</v>
      </c>
      <c r="AS1378" s="8">
        <v>182.7</v>
      </c>
      <c r="AT1378" s="7">
        <v>-0.6667</v>
      </c>
      <c r="AU1378" s="7">
        <v>-0.6897</v>
      </c>
      <c r="AV1378" s="4">
        <v>4</v>
      </c>
      <c r="AW1378" s="8">
        <v>269.34</v>
      </c>
      <c r="AX1378" s="4">
        <v>4</v>
      </c>
      <c r="AY1378" s="8">
        <v>253.58</v>
      </c>
      <c r="AZ1378" s="7" t="s">
        <v>100</v>
      </c>
      <c r="BA1378" s="7">
        <v>0.0622</v>
      </c>
      <c r="BB1378" s="7">
        <v>0.2105</v>
      </c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>
        <v>0.4524</v>
      </c>
      <c r="BJ1378" s="4">
        <v>233</v>
      </c>
      <c r="BK1378" s="8">
        <v>14781.59</v>
      </c>
      <c r="BL1378" s="2" t="s">
        <v>4701</v>
      </c>
      <c r="BM1378" s="7">
        <v>0.0043</v>
      </c>
      <c r="BN1378" s="7">
        <v>0.0038</v>
      </c>
      <c r="BO1378" s="4">
        <v>1</v>
      </c>
      <c r="BP1378" s="8">
        <v>56.7</v>
      </c>
      <c r="BQ1378" s="4">
        <v>3</v>
      </c>
      <c r="BR1378" s="8">
        <v>182.7</v>
      </c>
      <c r="BS1378" s="7">
        <v>-0.6667</v>
      </c>
      <c r="BT1378" s="7">
        <v>-0.6897</v>
      </c>
      <c r="BU1378" s="2" t="s">
        <v>109</v>
      </c>
      <c r="BV1378" s="2" t="s">
        <v>97</v>
      </c>
      <c r="BW1378" s="2" t="s">
        <v>110</v>
      </c>
      <c r="BX1378" s="2" t="s">
        <v>862</v>
      </c>
      <c r="BY1378" s="2" t="s">
        <v>112</v>
      </c>
      <c r="BZ1378" s="2" t="s">
        <v>100</v>
      </c>
    </row>
    <row r="1379">
      <c r="A1379" s="2" t="s">
        <v>4702</v>
      </c>
      <c r="B1379" s="2" t="s">
        <v>87</v>
      </c>
      <c r="C1379" s="2" t="s">
        <v>4677</v>
      </c>
      <c r="D1379" s="2" t="s">
        <v>89</v>
      </c>
      <c r="E1379" s="2" t="s">
        <v>2098</v>
      </c>
      <c r="F1379" s="2" t="s">
        <v>4690</v>
      </c>
      <c r="G1379" s="2" t="s">
        <v>4690</v>
      </c>
      <c r="H1379" s="2" t="s">
        <v>4690</v>
      </c>
      <c r="I1379" s="2" t="s">
        <v>4691</v>
      </c>
      <c r="J1379" s="2" t="s">
        <v>850</v>
      </c>
      <c r="K1379" s="2" t="s">
        <v>267</v>
      </c>
      <c r="L1379" s="3">
        <v>67.5</v>
      </c>
      <c r="M1379" s="3">
        <v>70.88</v>
      </c>
      <c r="N1379" s="3">
        <v>139.99</v>
      </c>
      <c r="O1379" s="2" t="s">
        <v>97</v>
      </c>
      <c r="P1379" s="2" t="s">
        <v>143</v>
      </c>
      <c r="Q1379" s="2" t="s">
        <v>99</v>
      </c>
      <c r="R1379" s="2" t="s">
        <v>100</v>
      </c>
      <c r="S1379" s="2" t="s">
        <v>4700</v>
      </c>
      <c r="T1379" s="2" t="s">
        <v>732</v>
      </c>
      <c r="U1379" s="2" t="s">
        <v>1610</v>
      </c>
      <c r="V1379" s="2" t="s">
        <v>4693</v>
      </c>
      <c r="W1379" s="2" t="s">
        <v>2195</v>
      </c>
      <c r="X1379" s="2" t="s">
        <v>284</v>
      </c>
      <c r="Y1379" s="2" t="s">
        <v>4703</v>
      </c>
      <c r="Z1379" s="4">
        <v>413</v>
      </c>
      <c r="AA1379" s="4">
        <f>=ROUNDDOWN(21.7368421052632,0)</f>
      </c>
      <c r="AB1379" s="5">
        <v>19</v>
      </c>
      <c r="AC1379" s="2" t="s">
        <v>2152</v>
      </c>
      <c r="AD1379" s="4">
        <v>300</v>
      </c>
      <c r="AE1379" s="4">
        <v>521</v>
      </c>
      <c r="AF1379" s="6">
        <v>65</v>
      </c>
      <c r="AG1379" s="6">
        <v>73</v>
      </c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>
        <v>0</v>
      </c>
      <c r="AP1379" s="4">
        <v>3</v>
      </c>
      <c r="AQ1379" s="8">
        <v>212.64</v>
      </c>
      <c r="AR1379" s="4">
        <v>1</v>
      </c>
      <c r="AS1379" s="8">
        <v>70.88</v>
      </c>
      <c r="AT1379" s="7">
        <v>2</v>
      </c>
      <c r="AU1379" s="7">
        <v>2</v>
      </c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>
        <v>0.7895</v>
      </c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 t="s">
        <v>100</v>
      </c>
      <c r="BJ1379" s="4">
        <v>410</v>
      </c>
      <c r="BK1379" s="8">
        <v>33484.33</v>
      </c>
      <c r="BL1379" s="2" t="s">
        <v>888</v>
      </c>
      <c r="BM1379" s="7">
        <v>0.0073</v>
      </c>
      <c r="BN1379" s="7">
        <v>0.0064</v>
      </c>
      <c r="BO1379" s="4">
        <v>3</v>
      </c>
      <c r="BP1379" s="8">
        <v>212.64</v>
      </c>
      <c r="BQ1379" s="4">
        <v>1</v>
      </c>
      <c r="BR1379" s="8">
        <v>70.88</v>
      </c>
      <c r="BS1379" s="7">
        <v>2</v>
      </c>
      <c r="BT1379" s="7">
        <v>2</v>
      </c>
      <c r="BU1379" s="2" t="s">
        <v>109</v>
      </c>
      <c r="BV1379" s="2" t="s">
        <v>97</v>
      </c>
      <c r="BW1379" s="2" t="s">
        <v>110</v>
      </c>
      <c r="BX1379" s="2" t="s">
        <v>4704</v>
      </c>
      <c r="BY1379" s="2" t="s">
        <v>112</v>
      </c>
      <c r="BZ1379" s="2" t="s">
        <v>100</v>
      </c>
    </row>
    <row r="1380">
      <c r="A1380" s="2" t="s">
        <v>4705</v>
      </c>
      <c r="B1380" s="2" t="s">
        <v>87</v>
      </c>
      <c r="C1380" s="2" t="s">
        <v>4677</v>
      </c>
      <c r="D1380" s="2" t="s">
        <v>89</v>
      </c>
      <c r="E1380" s="2" t="s">
        <v>2098</v>
      </c>
      <c r="F1380" s="2" t="s">
        <v>4690</v>
      </c>
      <c r="G1380" s="2" t="s">
        <v>4690</v>
      </c>
      <c r="H1380" s="2" t="s">
        <v>4690</v>
      </c>
      <c r="I1380" s="2" t="s">
        <v>4691</v>
      </c>
      <c r="J1380" s="2" t="s">
        <v>844</v>
      </c>
      <c r="K1380" s="2" t="s">
        <v>298</v>
      </c>
      <c r="L1380" s="3">
        <v>54</v>
      </c>
      <c r="M1380" s="3">
        <v>56.7</v>
      </c>
      <c r="N1380" s="3">
        <v>109.99</v>
      </c>
      <c r="O1380" s="2" t="s">
        <v>97</v>
      </c>
      <c r="P1380" s="2" t="s">
        <v>98</v>
      </c>
      <c r="Q1380" s="2" t="s">
        <v>99</v>
      </c>
      <c r="R1380" s="2" t="s">
        <v>100</v>
      </c>
      <c r="S1380" s="2" t="s">
        <v>4706</v>
      </c>
      <c r="T1380" s="2" t="s">
        <v>732</v>
      </c>
      <c r="U1380" s="2" t="s">
        <v>1610</v>
      </c>
      <c r="V1380" s="2" t="s">
        <v>4693</v>
      </c>
      <c r="W1380" s="2" t="s">
        <v>2195</v>
      </c>
      <c r="X1380" s="2" t="s">
        <v>284</v>
      </c>
      <c r="Y1380" s="2" t="s">
        <v>106</v>
      </c>
      <c r="Z1380" s="4">
        <v>268</v>
      </c>
      <c r="AA1380" s="4">
        <f>=ROUNDDOWN(26.8,0)</f>
      </c>
      <c r="AB1380" s="5">
        <v>10</v>
      </c>
      <c r="AC1380" s="2" t="s">
        <v>1546</v>
      </c>
      <c r="AD1380" s="4">
        <v>200</v>
      </c>
      <c r="AE1380" s="4">
        <v>300</v>
      </c>
      <c r="AF1380" s="6">
        <v>65</v>
      </c>
      <c r="AG1380" s="6">
        <v>73</v>
      </c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 t="s">
        <v>100</v>
      </c>
      <c r="BJ1380" s="4">
        <v>158</v>
      </c>
      <c r="BK1380" s="8">
        <v>9892.62</v>
      </c>
      <c r="BL1380" s="2" t="s">
        <v>4707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109</v>
      </c>
      <c r="BV1380" s="2" t="s">
        <v>97</v>
      </c>
      <c r="BW1380" s="2" t="s">
        <v>580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4708</v>
      </c>
      <c r="B1381" s="2" t="s">
        <v>87</v>
      </c>
      <c r="C1381" s="2" t="s">
        <v>4677</v>
      </c>
      <c r="D1381" s="2" t="s">
        <v>89</v>
      </c>
      <c r="E1381" s="2" t="s">
        <v>2098</v>
      </c>
      <c r="F1381" s="2" t="s">
        <v>4690</v>
      </c>
      <c r="G1381" s="2" t="s">
        <v>4690</v>
      </c>
      <c r="H1381" s="2" t="s">
        <v>4690</v>
      </c>
      <c r="I1381" s="2" t="s">
        <v>4691</v>
      </c>
      <c r="J1381" s="2" t="s">
        <v>850</v>
      </c>
      <c r="K1381" s="2" t="s">
        <v>298</v>
      </c>
      <c r="L1381" s="3">
        <v>67.5</v>
      </c>
      <c r="M1381" s="3">
        <v>70.88</v>
      </c>
      <c r="N1381" s="3">
        <v>139.99</v>
      </c>
      <c r="O1381" s="2" t="s">
        <v>97</v>
      </c>
      <c r="P1381" s="2" t="s">
        <v>98</v>
      </c>
      <c r="Q1381" s="2" t="s">
        <v>99</v>
      </c>
      <c r="R1381" s="2" t="s">
        <v>100</v>
      </c>
      <c r="S1381" s="2" t="s">
        <v>4706</v>
      </c>
      <c r="T1381" s="2" t="s">
        <v>732</v>
      </c>
      <c r="U1381" s="2" t="s">
        <v>1610</v>
      </c>
      <c r="V1381" s="2" t="s">
        <v>4693</v>
      </c>
      <c r="W1381" s="2" t="s">
        <v>2195</v>
      </c>
      <c r="X1381" s="2" t="s">
        <v>284</v>
      </c>
      <c r="Y1381" s="2" t="s">
        <v>106</v>
      </c>
      <c r="Z1381" s="4">
        <v>253</v>
      </c>
      <c r="AA1381" s="4">
        <f>=ROUNDDOWN(19.4615384615385,0)</f>
      </c>
      <c r="AB1381" s="5">
        <v>13</v>
      </c>
      <c r="AC1381" s="2" t="s">
        <v>1546</v>
      </c>
      <c r="AD1381" s="4">
        <v>300</v>
      </c>
      <c r="AE1381" s="4">
        <v>450</v>
      </c>
      <c r="AF1381" s="6">
        <v>65</v>
      </c>
      <c r="AG1381" s="6">
        <v>73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 t="s">
        <v>100</v>
      </c>
      <c r="BJ1381" s="4">
        <v>247</v>
      </c>
      <c r="BK1381" s="8">
        <v>19855.24</v>
      </c>
      <c r="BL1381" s="2" t="s">
        <v>4709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97</v>
      </c>
      <c r="BW1381" s="2" t="s">
        <v>580</v>
      </c>
      <c r="BX1381" s="2" t="s">
        <v>100</v>
      </c>
      <c r="BY1381" s="2" t="s">
        <v>112</v>
      </c>
      <c r="BZ1381" s="2" t="s">
        <v>100</v>
      </c>
    </row>
    <row r="1382">
      <c r="A1382" s="2" t="s">
        <v>4710</v>
      </c>
      <c r="B1382" s="2" t="s">
        <v>87</v>
      </c>
      <c r="C1382" s="2" t="s">
        <v>4677</v>
      </c>
      <c r="D1382" s="2" t="s">
        <v>89</v>
      </c>
      <c r="E1382" s="2" t="s">
        <v>2098</v>
      </c>
      <c r="F1382" s="2" t="s">
        <v>4711</v>
      </c>
      <c r="G1382" s="2" t="s">
        <v>4711</v>
      </c>
      <c r="H1382" s="2" t="s">
        <v>4711</v>
      </c>
      <c r="I1382" s="2" t="s">
        <v>4712</v>
      </c>
      <c r="J1382" s="2" t="s">
        <v>844</v>
      </c>
      <c r="K1382" s="2" t="s">
        <v>635</v>
      </c>
      <c r="L1382" s="3">
        <v>61.18</v>
      </c>
      <c r="M1382" s="3">
        <v>64.24</v>
      </c>
      <c r="N1382" s="3">
        <v>129.99</v>
      </c>
      <c r="O1382" s="2" t="s">
        <v>97</v>
      </c>
      <c r="P1382" s="2" t="s">
        <v>124</v>
      </c>
      <c r="Q1382" s="2" t="s">
        <v>99</v>
      </c>
      <c r="R1382" s="2" t="s">
        <v>100</v>
      </c>
      <c r="S1382" s="2" t="s">
        <v>4713</v>
      </c>
      <c r="T1382" s="2" t="s">
        <v>732</v>
      </c>
      <c r="U1382" s="2" t="s">
        <v>1610</v>
      </c>
      <c r="V1382" s="2" t="s">
        <v>4714</v>
      </c>
      <c r="W1382" s="2" t="s">
        <v>1530</v>
      </c>
      <c r="X1382" s="2" t="s">
        <v>1310</v>
      </c>
      <c r="Y1382" s="2" t="s">
        <v>4715</v>
      </c>
      <c r="Z1382" s="4">
        <v>1622</v>
      </c>
      <c r="AA1382" s="4">
        <f>=ROUNDDOWN(33.1020408163265,0)</f>
      </c>
      <c r="AB1382" s="5">
        <v>49</v>
      </c>
      <c r="AC1382" s="2" t="s">
        <v>533</v>
      </c>
      <c r="AD1382" s="4">
        <v>130</v>
      </c>
      <c r="AE1382" s="4">
        <v>730</v>
      </c>
      <c r="AF1382" s="6">
        <v>69</v>
      </c>
      <c r="AG1382" s="6">
        <v>77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>
        <v>0</v>
      </c>
      <c r="AP1382" s="4">
        <v>1</v>
      </c>
      <c r="AQ1382" s="8">
        <v>64.24</v>
      </c>
      <c r="AR1382" s="4">
        <v>2</v>
      </c>
      <c r="AS1382" s="8">
        <v>128.48</v>
      </c>
      <c r="AT1382" s="7">
        <v>-0.5</v>
      </c>
      <c r="AU1382" s="7">
        <v>-0.5</v>
      </c>
      <c r="AV1382" s="4">
        <v>3</v>
      </c>
      <c r="AW1382" s="8">
        <v>220.26</v>
      </c>
      <c r="AX1382" s="4">
        <v>6</v>
      </c>
      <c r="AY1382" s="8">
        <v>452.82</v>
      </c>
      <c r="AZ1382" s="7">
        <v>-0.5</v>
      </c>
      <c r="BA1382" s="7">
        <v>-0.5136</v>
      </c>
      <c r="BB1382" s="7">
        <v>0.2917</v>
      </c>
      <c r="BC1382" s="4">
        <v>5</v>
      </c>
      <c r="BD1382" s="8">
        <v>376.28</v>
      </c>
      <c r="BE1382" s="4">
        <v>8</v>
      </c>
      <c r="BF1382" s="8">
        <v>584.68</v>
      </c>
      <c r="BG1382" s="7">
        <v>-0.375</v>
      </c>
      <c r="BH1382" s="7">
        <v>-0.3564</v>
      </c>
      <c r="BI1382" s="7">
        <v>0.5854</v>
      </c>
      <c r="BJ1382" s="4">
        <v>1024</v>
      </c>
      <c r="BK1382" s="8">
        <v>68844.84</v>
      </c>
      <c r="BL1382" s="2" t="s">
        <v>4716</v>
      </c>
      <c r="BM1382" s="7">
        <v>0.001</v>
      </c>
      <c r="BN1382" s="7">
        <v>0.0009</v>
      </c>
      <c r="BO1382" s="4">
        <v>1</v>
      </c>
      <c r="BP1382" s="8">
        <v>64.24</v>
      </c>
      <c r="BQ1382" s="4">
        <v>2</v>
      </c>
      <c r="BR1382" s="8">
        <v>128.48</v>
      </c>
      <c r="BS1382" s="7">
        <v>-0.5</v>
      </c>
      <c r="BT1382" s="7">
        <v>-0.5</v>
      </c>
      <c r="BU1382" s="2" t="s">
        <v>109</v>
      </c>
      <c r="BV1382" s="2" t="s">
        <v>97</v>
      </c>
      <c r="BW1382" s="2" t="s">
        <v>110</v>
      </c>
      <c r="BX1382" s="2" t="s">
        <v>4717</v>
      </c>
      <c r="BY1382" s="2" t="s">
        <v>112</v>
      </c>
      <c r="BZ1382" s="2" t="s">
        <v>100</v>
      </c>
    </row>
    <row r="1383">
      <c r="A1383" s="2" t="s">
        <v>4718</v>
      </c>
      <c r="B1383" s="2" t="s">
        <v>87</v>
      </c>
      <c r="C1383" s="2" t="s">
        <v>4677</v>
      </c>
      <c r="D1383" s="2" t="s">
        <v>89</v>
      </c>
      <c r="E1383" s="2" t="s">
        <v>2098</v>
      </c>
      <c r="F1383" s="2" t="s">
        <v>4711</v>
      </c>
      <c r="G1383" s="2" t="s">
        <v>4711</v>
      </c>
      <c r="H1383" s="2" t="s">
        <v>4711</v>
      </c>
      <c r="I1383" s="2" t="s">
        <v>4712</v>
      </c>
      <c r="J1383" s="2" t="s">
        <v>850</v>
      </c>
      <c r="K1383" s="2" t="s">
        <v>635</v>
      </c>
      <c r="L1383" s="3">
        <v>74.29</v>
      </c>
      <c r="M1383" s="3">
        <v>78</v>
      </c>
      <c r="N1383" s="3">
        <v>159.99</v>
      </c>
      <c r="O1383" s="2" t="s">
        <v>97</v>
      </c>
      <c r="P1383" s="2" t="s">
        <v>124</v>
      </c>
      <c r="Q1383" s="2" t="s">
        <v>99</v>
      </c>
      <c r="R1383" s="2" t="s">
        <v>100</v>
      </c>
      <c r="S1383" s="2" t="s">
        <v>4713</v>
      </c>
      <c r="T1383" s="2" t="s">
        <v>732</v>
      </c>
      <c r="U1383" s="2" t="s">
        <v>1610</v>
      </c>
      <c r="V1383" s="2" t="s">
        <v>4714</v>
      </c>
      <c r="W1383" s="2" t="s">
        <v>1530</v>
      </c>
      <c r="X1383" s="2" t="s">
        <v>1310</v>
      </c>
      <c r="Y1383" s="2" t="s">
        <v>4715</v>
      </c>
      <c r="Z1383" s="4">
        <v>1139</v>
      </c>
      <c r="AA1383" s="4">
        <f>=ROUNDDOWN(12.9431818181818,0)</f>
      </c>
      <c r="AB1383" s="5">
        <v>88</v>
      </c>
      <c r="AC1383" s="2" t="s">
        <v>919</v>
      </c>
      <c r="AD1383" s="4">
        <v>100</v>
      </c>
      <c r="AE1383" s="4">
        <v>3190</v>
      </c>
      <c r="AF1383" s="6">
        <v>69</v>
      </c>
      <c r="AG1383" s="6">
        <v>77</v>
      </c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>
        <v>0</v>
      </c>
      <c r="AP1383" s="4">
        <v>2</v>
      </c>
      <c r="AQ1383" s="8">
        <v>156.02</v>
      </c>
      <c r="AR1383" s="4">
        <v>4</v>
      </c>
      <c r="AS1383" s="8">
        <v>324.34</v>
      </c>
      <c r="AT1383" s="7">
        <v>-0.5</v>
      </c>
      <c r="AU1383" s="7">
        <v>-0.519</v>
      </c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>
        <v>0.7083</v>
      </c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 t="s">
        <v>100</v>
      </c>
      <c r="BJ1383" s="4">
        <v>1524</v>
      </c>
      <c r="BK1383" s="8">
        <v>126603.33</v>
      </c>
      <c r="BL1383" s="2" t="s">
        <v>4719</v>
      </c>
      <c r="BM1383" s="7">
        <v>0.0013</v>
      </c>
      <c r="BN1383" s="7">
        <v>0.0012</v>
      </c>
      <c r="BO1383" s="4">
        <v>2</v>
      </c>
      <c r="BP1383" s="8">
        <v>156.02</v>
      </c>
      <c r="BQ1383" s="4">
        <v>4</v>
      </c>
      <c r="BR1383" s="8">
        <v>324.34</v>
      </c>
      <c r="BS1383" s="7">
        <v>-0.5</v>
      </c>
      <c r="BT1383" s="7">
        <v>-0.519</v>
      </c>
      <c r="BU1383" s="2" t="s">
        <v>109</v>
      </c>
      <c r="BV1383" s="2" t="s">
        <v>97</v>
      </c>
      <c r="BW1383" s="2" t="s">
        <v>110</v>
      </c>
      <c r="BX1383" s="2" t="s">
        <v>4720</v>
      </c>
      <c r="BY1383" s="2" t="s">
        <v>112</v>
      </c>
      <c r="BZ1383" s="2" t="s">
        <v>100</v>
      </c>
    </row>
    <row r="1384">
      <c r="A1384" s="2" t="s">
        <v>4721</v>
      </c>
      <c r="B1384" s="2" t="s">
        <v>87</v>
      </c>
      <c r="C1384" s="2" t="s">
        <v>4677</v>
      </c>
      <c r="D1384" s="2" t="s">
        <v>89</v>
      </c>
      <c r="E1384" s="2" t="s">
        <v>2098</v>
      </c>
      <c r="F1384" s="2" t="s">
        <v>4711</v>
      </c>
      <c r="G1384" s="2" t="s">
        <v>4711</v>
      </c>
      <c r="H1384" s="2" t="s">
        <v>4711</v>
      </c>
      <c r="I1384" s="2" t="s">
        <v>4712</v>
      </c>
      <c r="J1384" s="2" t="s">
        <v>844</v>
      </c>
      <c r="K1384" s="2" t="s">
        <v>1204</v>
      </c>
      <c r="L1384" s="3">
        <v>61.18</v>
      </c>
      <c r="M1384" s="3">
        <v>64.24</v>
      </c>
      <c r="N1384" s="3">
        <v>129.99</v>
      </c>
      <c r="O1384" s="2" t="s">
        <v>97</v>
      </c>
      <c r="P1384" s="2" t="s">
        <v>124</v>
      </c>
      <c r="Q1384" s="2" t="s">
        <v>99</v>
      </c>
      <c r="R1384" s="2" t="s">
        <v>100</v>
      </c>
      <c r="S1384" s="2" t="s">
        <v>4722</v>
      </c>
      <c r="T1384" s="2" t="s">
        <v>732</v>
      </c>
      <c r="U1384" s="2" t="s">
        <v>1610</v>
      </c>
      <c r="V1384" s="2" t="s">
        <v>4714</v>
      </c>
      <c r="W1384" s="2" t="s">
        <v>1530</v>
      </c>
      <c r="X1384" s="2" t="s">
        <v>1310</v>
      </c>
      <c r="Y1384" s="2" t="s">
        <v>4723</v>
      </c>
      <c r="Z1384" s="4">
        <v>623</v>
      </c>
      <c r="AA1384" s="4">
        <f>=ROUNDDOWN(23.0740740740741,0)</f>
      </c>
      <c r="AB1384" s="5">
        <v>27</v>
      </c>
      <c r="AC1384" s="2" t="s">
        <v>269</v>
      </c>
      <c r="AD1384" s="4">
        <v>110</v>
      </c>
      <c r="AE1384" s="4">
        <v>760</v>
      </c>
      <c r="AF1384" s="6">
        <v>69</v>
      </c>
      <c r="AG1384" s="6">
        <v>77</v>
      </c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>
        <v>0</v>
      </c>
      <c r="AP1384" s="4"/>
      <c r="AQ1384" s="8"/>
      <c r="AR1384" s="4">
        <v>2</v>
      </c>
      <c r="AS1384" s="8">
        <v>131.86</v>
      </c>
      <c r="AT1384" s="7">
        <v>-1</v>
      </c>
      <c r="AU1384" s="7">
        <v>-1</v>
      </c>
      <c r="AV1384" s="4">
        <v>2</v>
      </c>
      <c r="AW1384" s="8">
        <v>156.02</v>
      </c>
      <c r="AX1384" s="4">
        <v>2</v>
      </c>
      <c r="AY1384" s="8">
        <v>131.86</v>
      </c>
      <c r="AZ1384" s="7" t="s">
        <v>100</v>
      </c>
      <c r="BA1384" s="7">
        <v>0.1832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>
        <v>0.4146</v>
      </c>
      <c r="BJ1384" s="4">
        <v>570</v>
      </c>
      <c r="BK1384" s="8">
        <v>39452.02</v>
      </c>
      <c r="BL1384" s="2" t="s">
        <v>4724</v>
      </c>
      <c r="BM1384" s="7"/>
      <c r="BN1384" s="7"/>
      <c r="BO1384" s="4"/>
      <c r="BP1384" s="8"/>
      <c r="BQ1384" s="4">
        <v>2</v>
      </c>
      <c r="BR1384" s="8">
        <v>131.86</v>
      </c>
      <c r="BS1384" s="7">
        <v>-1</v>
      </c>
      <c r="BT1384" s="7">
        <v>-1</v>
      </c>
      <c r="BU1384" s="2" t="s">
        <v>109</v>
      </c>
      <c r="BV1384" s="2" t="s">
        <v>97</v>
      </c>
      <c r="BW1384" s="2" t="s">
        <v>110</v>
      </c>
      <c r="BX1384" s="2" t="s">
        <v>4725</v>
      </c>
      <c r="BY1384" s="2" t="s">
        <v>112</v>
      </c>
      <c r="BZ1384" s="2" t="s">
        <v>100</v>
      </c>
    </row>
    <row r="1385">
      <c r="A1385" s="2" t="s">
        <v>4726</v>
      </c>
      <c r="B1385" s="2" t="s">
        <v>87</v>
      </c>
      <c r="C1385" s="2" t="s">
        <v>4677</v>
      </c>
      <c r="D1385" s="2" t="s">
        <v>89</v>
      </c>
      <c r="E1385" s="2" t="s">
        <v>2098</v>
      </c>
      <c r="F1385" s="2" t="s">
        <v>4711</v>
      </c>
      <c r="G1385" s="2" t="s">
        <v>4711</v>
      </c>
      <c r="H1385" s="2" t="s">
        <v>4711</v>
      </c>
      <c r="I1385" s="2" t="s">
        <v>4712</v>
      </c>
      <c r="J1385" s="2" t="s">
        <v>850</v>
      </c>
      <c r="K1385" s="2" t="s">
        <v>1204</v>
      </c>
      <c r="L1385" s="3">
        <v>74.29</v>
      </c>
      <c r="M1385" s="3">
        <v>78</v>
      </c>
      <c r="N1385" s="3">
        <v>159.99</v>
      </c>
      <c r="O1385" s="2" t="s">
        <v>97</v>
      </c>
      <c r="P1385" s="2" t="s">
        <v>124</v>
      </c>
      <c r="Q1385" s="2" t="s">
        <v>99</v>
      </c>
      <c r="R1385" s="2" t="s">
        <v>100</v>
      </c>
      <c r="S1385" s="2" t="s">
        <v>4722</v>
      </c>
      <c r="T1385" s="2" t="s">
        <v>732</v>
      </c>
      <c r="U1385" s="2" t="s">
        <v>1610</v>
      </c>
      <c r="V1385" s="2" t="s">
        <v>4714</v>
      </c>
      <c r="W1385" s="2" t="s">
        <v>1530</v>
      </c>
      <c r="X1385" s="2" t="s">
        <v>1310</v>
      </c>
      <c r="Y1385" s="2" t="s">
        <v>4727</v>
      </c>
      <c r="Z1385" s="4">
        <v>732</v>
      </c>
      <c r="AA1385" s="4">
        <f>=ROUNDDOWN(17.0232558139535,0)</f>
      </c>
      <c r="AB1385" s="5">
        <v>43</v>
      </c>
      <c r="AC1385" s="2" t="s">
        <v>269</v>
      </c>
      <c r="AD1385" s="4">
        <v>38</v>
      </c>
      <c r="AE1385" s="4">
        <v>988</v>
      </c>
      <c r="AF1385" s="6">
        <v>69</v>
      </c>
      <c r="AG1385" s="6">
        <v>77</v>
      </c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>
        <v>0</v>
      </c>
      <c r="AP1385" s="4">
        <v>2</v>
      </c>
      <c r="AQ1385" s="8">
        <v>156.02</v>
      </c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>
        <v>1</v>
      </c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 t="s">
        <v>100</v>
      </c>
      <c r="BJ1385" s="4">
        <v>726</v>
      </c>
      <c r="BK1385" s="8">
        <v>62226.02</v>
      </c>
      <c r="BL1385" s="2" t="s">
        <v>4728</v>
      </c>
      <c r="BM1385" s="7">
        <v>0.0028</v>
      </c>
      <c r="BN1385" s="7">
        <v>0.0025</v>
      </c>
      <c r="BO1385" s="4">
        <v>2</v>
      </c>
      <c r="BP1385" s="8">
        <v>156.02</v>
      </c>
      <c r="BQ1385" s="4"/>
      <c r="BR1385" s="8"/>
      <c r="BS1385" s="7"/>
      <c r="BT1385" s="7"/>
      <c r="BU1385" s="2" t="s">
        <v>109</v>
      </c>
      <c r="BV1385" s="2" t="s">
        <v>97</v>
      </c>
      <c r="BW1385" s="2" t="s">
        <v>110</v>
      </c>
      <c r="BX1385" s="2" t="s">
        <v>2720</v>
      </c>
      <c r="BY1385" s="2" t="s">
        <v>112</v>
      </c>
      <c r="BZ1385" s="2" t="s">
        <v>100</v>
      </c>
    </row>
    <row r="1386">
      <c r="A1386" s="2" t="s">
        <v>4729</v>
      </c>
      <c r="B1386" s="2" t="s">
        <v>87</v>
      </c>
      <c r="C1386" s="2" t="s">
        <v>4677</v>
      </c>
      <c r="D1386" s="2" t="s">
        <v>89</v>
      </c>
      <c r="E1386" s="2" t="s">
        <v>2098</v>
      </c>
      <c r="F1386" s="2" t="s">
        <v>4711</v>
      </c>
      <c r="G1386" s="2" t="s">
        <v>4711</v>
      </c>
      <c r="H1386" s="2" t="s">
        <v>4711</v>
      </c>
      <c r="I1386" s="2" t="s">
        <v>4712</v>
      </c>
      <c r="J1386" s="2" t="s">
        <v>844</v>
      </c>
      <c r="K1386" s="2" t="s">
        <v>650</v>
      </c>
      <c r="L1386" s="3">
        <v>61.18</v>
      </c>
      <c r="M1386" s="3">
        <v>64.24</v>
      </c>
      <c r="N1386" s="3">
        <v>129.99</v>
      </c>
      <c r="O1386" s="2" t="s">
        <v>97</v>
      </c>
      <c r="P1386" s="2" t="s">
        <v>198</v>
      </c>
      <c r="Q1386" s="2" t="s">
        <v>99</v>
      </c>
      <c r="R1386" s="2" t="s">
        <v>100</v>
      </c>
      <c r="S1386" s="2" t="s">
        <v>4730</v>
      </c>
      <c r="T1386" s="2" t="s">
        <v>732</v>
      </c>
      <c r="U1386" s="2" t="s">
        <v>1610</v>
      </c>
      <c r="V1386" s="2" t="s">
        <v>4714</v>
      </c>
      <c r="W1386" s="2" t="s">
        <v>1530</v>
      </c>
      <c r="X1386" s="2" t="s">
        <v>1310</v>
      </c>
      <c r="Y1386" s="2" t="s">
        <v>4727</v>
      </c>
      <c r="Z1386" s="4">
        <v>336</v>
      </c>
      <c r="AA1386" s="4">
        <f>=ROUNDDOWN(30.5454545454545,0)</f>
      </c>
      <c r="AB1386" s="5">
        <v>11</v>
      </c>
      <c r="AC1386" s="2" t="s">
        <v>100</v>
      </c>
      <c r="AD1386" s="4"/>
      <c r="AE1386" s="4"/>
      <c r="AF1386" s="6">
        <v>69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 t="s">
        <v>100</v>
      </c>
      <c r="BJ1386" s="4">
        <v>197</v>
      </c>
      <c r="BK1386" s="8">
        <v>13314.85</v>
      </c>
      <c r="BL1386" s="2" t="s">
        <v>4731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147</v>
      </c>
      <c r="BV1386" s="2" t="s">
        <v>97</v>
      </c>
      <c r="BW1386" s="2" t="s">
        <v>100</v>
      </c>
      <c r="BX1386" s="2" t="s">
        <v>100</v>
      </c>
      <c r="BY1386" s="2" t="s">
        <v>112</v>
      </c>
      <c r="BZ1386" s="2" t="s">
        <v>100</v>
      </c>
    </row>
    <row r="1387">
      <c r="A1387" s="2" t="s">
        <v>4732</v>
      </c>
      <c r="B1387" s="2" t="s">
        <v>87</v>
      </c>
      <c r="C1387" s="2" t="s">
        <v>4677</v>
      </c>
      <c r="D1387" s="2" t="s">
        <v>89</v>
      </c>
      <c r="E1387" s="2" t="s">
        <v>2098</v>
      </c>
      <c r="F1387" s="2" t="s">
        <v>4711</v>
      </c>
      <c r="G1387" s="2" t="s">
        <v>4711</v>
      </c>
      <c r="H1387" s="2" t="s">
        <v>4711</v>
      </c>
      <c r="I1387" s="2" t="s">
        <v>4712</v>
      </c>
      <c r="J1387" s="2" t="s">
        <v>850</v>
      </c>
      <c r="K1387" s="2" t="s">
        <v>650</v>
      </c>
      <c r="L1387" s="3">
        <v>74.29</v>
      </c>
      <c r="M1387" s="3">
        <v>78</v>
      </c>
      <c r="N1387" s="3">
        <v>159.99</v>
      </c>
      <c r="O1387" s="2" t="s">
        <v>97</v>
      </c>
      <c r="P1387" s="2" t="s">
        <v>198</v>
      </c>
      <c r="Q1387" s="2" t="s">
        <v>99</v>
      </c>
      <c r="R1387" s="2" t="s">
        <v>100</v>
      </c>
      <c r="S1387" s="2" t="s">
        <v>4730</v>
      </c>
      <c r="T1387" s="2" t="s">
        <v>732</v>
      </c>
      <c r="U1387" s="2" t="s">
        <v>1610</v>
      </c>
      <c r="V1387" s="2" t="s">
        <v>4714</v>
      </c>
      <c r="W1387" s="2" t="s">
        <v>1530</v>
      </c>
      <c r="X1387" s="2" t="s">
        <v>1310</v>
      </c>
      <c r="Y1387" s="2" t="s">
        <v>4727</v>
      </c>
      <c r="Z1387" s="4">
        <v>252</v>
      </c>
      <c r="AA1387" s="4">
        <f>=ROUNDDOWN(36,0)</f>
      </c>
      <c r="AB1387" s="5">
        <v>7</v>
      </c>
      <c r="AC1387" s="2" t="s">
        <v>100</v>
      </c>
      <c r="AD1387" s="4"/>
      <c r="AE1387" s="4"/>
      <c r="AF1387" s="6">
        <v>69</v>
      </c>
      <c r="AG1387" s="6"/>
      <c r="AH1387" s="7">
        <v>0.6545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 t="s">
        <v>100</v>
      </c>
      <c r="BJ1387" s="4">
        <v>116</v>
      </c>
      <c r="BK1387" s="8">
        <v>9918.99</v>
      </c>
      <c r="BL1387" s="2" t="s">
        <v>1230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147</v>
      </c>
      <c r="BV1387" s="2" t="s">
        <v>97</v>
      </c>
      <c r="BW1387" s="2" t="s">
        <v>100</v>
      </c>
      <c r="BX1387" s="2" t="s">
        <v>100</v>
      </c>
      <c r="BY1387" s="2" t="s">
        <v>112</v>
      </c>
      <c r="BZ1387" s="2" t="s">
        <v>100</v>
      </c>
    </row>
    <row r="1388">
      <c r="A1388" s="2" t="s">
        <v>4733</v>
      </c>
      <c r="B1388" s="2" t="s">
        <v>87</v>
      </c>
      <c r="C1388" s="2" t="s">
        <v>4677</v>
      </c>
      <c r="D1388" s="2" t="s">
        <v>89</v>
      </c>
      <c r="E1388" s="2" t="s">
        <v>2098</v>
      </c>
      <c r="F1388" s="2" t="s">
        <v>4711</v>
      </c>
      <c r="G1388" s="2" t="s">
        <v>4711</v>
      </c>
      <c r="H1388" s="2" t="s">
        <v>4711</v>
      </c>
      <c r="I1388" s="2" t="s">
        <v>4712</v>
      </c>
      <c r="J1388" s="2" t="s">
        <v>844</v>
      </c>
      <c r="K1388" s="2" t="s">
        <v>4734</v>
      </c>
      <c r="L1388" s="3">
        <v>61.18</v>
      </c>
      <c r="M1388" s="3">
        <v>64.24</v>
      </c>
      <c r="N1388" s="3">
        <v>129.99</v>
      </c>
      <c r="O1388" s="2" t="s">
        <v>97</v>
      </c>
      <c r="P1388" s="2" t="s">
        <v>124</v>
      </c>
      <c r="Q1388" s="2" t="s">
        <v>99</v>
      </c>
      <c r="R1388" s="2" t="s">
        <v>100</v>
      </c>
      <c r="S1388" s="2" t="s">
        <v>4735</v>
      </c>
      <c r="T1388" s="2" t="s">
        <v>732</v>
      </c>
      <c r="U1388" s="2" t="s">
        <v>1610</v>
      </c>
      <c r="V1388" s="2" t="s">
        <v>4714</v>
      </c>
      <c r="W1388" s="2" t="s">
        <v>1530</v>
      </c>
      <c r="X1388" s="2" t="s">
        <v>1310</v>
      </c>
      <c r="Y1388" s="2" t="s">
        <v>4736</v>
      </c>
      <c r="Z1388" s="4">
        <v>1152</v>
      </c>
      <c r="AA1388" s="4">
        <f>=ROUNDDOWN(30.3157894736842,0)</f>
      </c>
      <c r="AB1388" s="5">
        <v>38</v>
      </c>
      <c r="AC1388" s="2" t="s">
        <v>325</v>
      </c>
      <c r="AD1388" s="4">
        <v>300</v>
      </c>
      <c r="AE1388" s="4">
        <v>950</v>
      </c>
      <c r="AF1388" s="6">
        <v>69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 t="s">
        <v>100</v>
      </c>
      <c r="BJ1388" s="4">
        <v>714</v>
      </c>
      <c r="BK1388" s="8">
        <v>50234.28</v>
      </c>
      <c r="BL1388" s="2" t="s">
        <v>4737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97</v>
      </c>
      <c r="BW1388" s="2" t="s">
        <v>580</v>
      </c>
      <c r="BX1388" s="2" t="s">
        <v>100</v>
      </c>
      <c r="BY1388" s="2" t="s">
        <v>112</v>
      </c>
      <c r="BZ1388" s="2" t="s">
        <v>100</v>
      </c>
    </row>
    <row r="1389">
      <c r="A1389" s="2" t="s">
        <v>4738</v>
      </c>
      <c r="B1389" s="2" t="s">
        <v>87</v>
      </c>
      <c r="C1389" s="2" t="s">
        <v>4677</v>
      </c>
      <c r="D1389" s="2" t="s">
        <v>89</v>
      </c>
      <c r="E1389" s="2" t="s">
        <v>2098</v>
      </c>
      <c r="F1389" s="2" t="s">
        <v>4711</v>
      </c>
      <c r="G1389" s="2" t="s">
        <v>4711</v>
      </c>
      <c r="H1389" s="2" t="s">
        <v>4711</v>
      </c>
      <c r="I1389" s="2" t="s">
        <v>4712</v>
      </c>
      <c r="J1389" s="2" t="s">
        <v>850</v>
      </c>
      <c r="K1389" s="2" t="s">
        <v>4734</v>
      </c>
      <c r="L1389" s="3">
        <v>74.29</v>
      </c>
      <c r="M1389" s="3">
        <v>78</v>
      </c>
      <c r="N1389" s="3">
        <v>159.99</v>
      </c>
      <c r="O1389" s="2" t="s">
        <v>97</v>
      </c>
      <c r="P1389" s="2" t="s">
        <v>124</v>
      </c>
      <c r="Q1389" s="2" t="s">
        <v>99</v>
      </c>
      <c r="R1389" s="2" t="s">
        <v>100</v>
      </c>
      <c r="S1389" s="2" t="s">
        <v>4735</v>
      </c>
      <c r="T1389" s="2" t="s">
        <v>732</v>
      </c>
      <c r="U1389" s="2" t="s">
        <v>1610</v>
      </c>
      <c r="V1389" s="2" t="s">
        <v>4714</v>
      </c>
      <c r="W1389" s="2" t="s">
        <v>1530</v>
      </c>
      <c r="X1389" s="2" t="s">
        <v>1310</v>
      </c>
      <c r="Y1389" s="2" t="s">
        <v>4736</v>
      </c>
      <c r="Z1389" s="4">
        <v>1305</v>
      </c>
      <c r="AA1389" s="4">
        <f>=ROUNDDOWN(37.2857142857143,0)</f>
      </c>
      <c r="AB1389" s="5">
        <v>35</v>
      </c>
      <c r="AC1389" s="2" t="s">
        <v>847</v>
      </c>
      <c r="AD1389" s="4">
        <v>250</v>
      </c>
      <c r="AE1389" s="4">
        <v>250</v>
      </c>
      <c r="AF1389" s="6">
        <v>69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 t="s">
        <v>100</v>
      </c>
      <c r="BJ1389" s="4">
        <v>680</v>
      </c>
      <c r="BK1389" s="8">
        <v>57796.76</v>
      </c>
      <c r="BL1389" s="2" t="s">
        <v>4739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97</v>
      </c>
      <c r="BW1389" s="2" t="s">
        <v>580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4740</v>
      </c>
      <c r="B1390" s="2" t="s">
        <v>87</v>
      </c>
      <c r="C1390" s="2" t="s">
        <v>4677</v>
      </c>
      <c r="D1390" s="2" t="s">
        <v>89</v>
      </c>
      <c r="E1390" s="2" t="s">
        <v>2098</v>
      </c>
      <c r="F1390" s="2" t="s">
        <v>4741</v>
      </c>
      <c r="G1390" s="2" t="s">
        <v>4741</v>
      </c>
      <c r="H1390" s="2" t="s">
        <v>4741</v>
      </c>
      <c r="I1390" s="2" t="s">
        <v>4742</v>
      </c>
      <c r="J1390" s="2" t="s">
        <v>844</v>
      </c>
      <c r="K1390" s="2" t="s">
        <v>4743</v>
      </c>
      <c r="L1390" s="3">
        <v>52.99</v>
      </c>
      <c r="M1390" s="3">
        <v>55.64</v>
      </c>
      <c r="N1390" s="3">
        <v>104.99</v>
      </c>
      <c r="O1390" s="2" t="s">
        <v>97</v>
      </c>
      <c r="P1390" s="2" t="s">
        <v>182</v>
      </c>
      <c r="Q1390" s="2" t="s">
        <v>99</v>
      </c>
      <c r="R1390" s="2" t="s">
        <v>100</v>
      </c>
      <c r="S1390" s="2" t="s">
        <v>4744</v>
      </c>
      <c r="T1390" s="2" t="s">
        <v>732</v>
      </c>
      <c r="U1390" s="2" t="s">
        <v>1610</v>
      </c>
      <c r="V1390" s="2" t="s">
        <v>991</v>
      </c>
      <c r="W1390" s="2" t="s">
        <v>2195</v>
      </c>
      <c r="X1390" s="2" t="s">
        <v>1310</v>
      </c>
      <c r="Y1390" s="2" t="s">
        <v>4745</v>
      </c>
      <c r="Z1390" s="4">
        <v>309</v>
      </c>
      <c r="AA1390" s="4">
        <f>=ROUNDDOWN(28.0909090909091,0)</f>
      </c>
      <c r="AB1390" s="5">
        <v>11</v>
      </c>
      <c r="AC1390" s="2" t="s">
        <v>1328</v>
      </c>
      <c r="AD1390" s="4">
        <v>130</v>
      </c>
      <c r="AE1390" s="4">
        <v>280</v>
      </c>
      <c r="AF1390" s="6">
        <v>67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>
        <v>0</v>
      </c>
      <c r="AP1390" s="4">
        <v>2</v>
      </c>
      <c r="AQ1390" s="8">
        <v>111.28</v>
      </c>
      <c r="AR1390" s="4">
        <v>1</v>
      </c>
      <c r="AS1390" s="8">
        <v>61.74</v>
      </c>
      <c r="AT1390" s="7">
        <v>1</v>
      </c>
      <c r="AU1390" s="7">
        <v>0.8024</v>
      </c>
      <c r="AV1390" s="4">
        <v>2</v>
      </c>
      <c r="AW1390" s="8">
        <v>111.28</v>
      </c>
      <c r="AX1390" s="4">
        <v>3</v>
      </c>
      <c r="AY1390" s="8">
        <v>212.94</v>
      </c>
      <c r="AZ1390" s="7">
        <v>-0.3333</v>
      </c>
      <c r="BA1390" s="7">
        <v>-0.4774</v>
      </c>
      <c r="BB1390" s="7">
        <v>1</v>
      </c>
      <c r="BC1390" s="4">
        <v>3</v>
      </c>
      <c r="BD1390" s="8">
        <v>183.73</v>
      </c>
      <c r="BE1390" s="4">
        <v>8</v>
      </c>
      <c r="BF1390" s="8">
        <v>583.58</v>
      </c>
      <c r="BG1390" s="7">
        <v>-0.625</v>
      </c>
      <c r="BH1390" s="7">
        <v>-0.6852</v>
      </c>
      <c r="BI1390" s="7">
        <v>0.6057</v>
      </c>
      <c r="BJ1390" s="4">
        <v>160</v>
      </c>
      <c r="BK1390" s="8">
        <v>9538.03</v>
      </c>
      <c r="BL1390" s="2" t="s">
        <v>2323</v>
      </c>
      <c r="BM1390" s="7">
        <v>0.0125</v>
      </c>
      <c r="BN1390" s="7">
        <v>0.0117</v>
      </c>
      <c r="BO1390" s="4">
        <v>2</v>
      </c>
      <c r="BP1390" s="8">
        <v>111.28</v>
      </c>
      <c r="BQ1390" s="4">
        <v>1</v>
      </c>
      <c r="BR1390" s="8">
        <v>61.74</v>
      </c>
      <c r="BS1390" s="7">
        <v>1</v>
      </c>
      <c r="BT1390" s="7">
        <v>0.8024</v>
      </c>
      <c r="BU1390" s="2" t="s">
        <v>109</v>
      </c>
      <c r="BV1390" s="2" t="s">
        <v>97</v>
      </c>
      <c r="BW1390" s="2" t="s">
        <v>110</v>
      </c>
      <c r="BX1390" s="2" t="s">
        <v>111</v>
      </c>
      <c r="BY1390" s="2" t="s">
        <v>112</v>
      </c>
      <c r="BZ1390" s="2" t="s">
        <v>100</v>
      </c>
    </row>
    <row r="1391">
      <c r="A1391" s="2" t="s">
        <v>4746</v>
      </c>
      <c r="B1391" s="2" t="s">
        <v>87</v>
      </c>
      <c r="C1391" s="2" t="s">
        <v>4677</v>
      </c>
      <c r="D1391" s="2" t="s">
        <v>89</v>
      </c>
      <c r="E1391" s="2" t="s">
        <v>2098</v>
      </c>
      <c r="F1391" s="2" t="s">
        <v>4741</v>
      </c>
      <c r="G1391" s="2" t="s">
        <v>4741</v>
      </c>
      <c r="H1391" s="2" t="s">
        <v>4741</v>
      </c>
      <c r="I1391" s="2" t="s">
        <v>4742</v>
      </c>
      <c r="J1391" s="2" t="s">
        <v>850</v>
      </c>
      <c r="K1391" s="2" t="s">
        <v>4743</v>
      </c>
      <c r="L1391" s="3">
        <v>69</v>
      </c>
      <c r="M1391" s="3">
        <v>72.45</v>
      </c>
      <c r="N1391" s="3">
        <v>134.99</v>
      </c>
      <c r="O1391" s="2" t="s">
        <v>97</v>
      </c>
      <c r="P1391" s="2" t="s">
        <v>182</v>
      </c>
      <c r="Q1391" s="2" t="s">
        <v>99</v>
      </c>
      <c r="R1391" s="2" t="s">
        <v>100</v>
      </c>
      <c r="S1391" s="2" t="s">
        <v>4744</v>
      </c>
      <c r="T1391" s="2" t="s">
        <v>732</v>
      </c>
      <c r="U1391" s="2" t="s">
        <v>1610</v>
      </c>
      <c r="V1391" s="2" t="s">
        <v>991</v>
      </c>
      <c r="W1391" s="2" t="s">
        <v>2195</v>
      </c>
      <c r="X1391" s="2" t="s">
        <v>1310</v>
      </c>
      <c r="Y1391" s="2" t="s">
        <v>4745</v>
      </c>
      <c r="Z1391" s="4">
        <v>30</v>
      </c>
      <c r="AA1391" s="4">
        <f>=ROUNDDOWN(1.875,0)</f>
      </c>
      <c r="AB1391" s="5">
        <v>16</v>
      </c>
      <c r="AC1391" s="2" t="s">
        <v>4747</v>
      </c>
      <c r="AD1391" s="4">
        <v>150</v>
      </c>
      <c r="AE1391" s="4">
        <v>740</v>
      </c>
      <c r="AF1391" s="6">
        <v>67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>
        <v>0</v>
      </c>
      <c r="AP1391" s="4"/>
      <c r="AQ1391" s="8"/>
      <c r="AR1391" s="4">
        <v>2</v>
      </c>
      <c r="AS1391" s="8">
        <v>151.2</v>
      </c>
      <c r="AT1391" s="7">
        <v>-1</v>
      </c>
      <c r="AU1391" s="7">
        <v>-1</v>
      </c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 t="s">
        <v>100</v>
      </c>
      <c r="BJ1391" s="4">
        <v>241</v>
      </c>
      <c r="BK1391" s="8">
        <v>18451.44</v>
      </c>
      <c r="BL1391" s="2" t="s">
        <v>4748</v>
      </c>
      <c r="BM1391" s="7"/>
      <c r="BN1391" s="7"/>
      <c r="BO1391" s="4"/>
      <c r="BP1391" s="8"/>
      <c r="BQ1391" s="4">
        <v>2</v>
      </c>
      <c r="BR1391" s="8">
        <v>151.2</v>
      </c>
      <c r="BS1391" s="7">
        <v>-1</v>
      </c>
      <c r="BT1391" s="7">
        <v>-1</v>
      </c>
      <c r="BU1391" s="2" t="s">
        <v>109</v>
      </c>
      <c r="BV1391" s="2" t="s">
        <v>97</v>
      </c>
      <c r="BW1391" s="2" t="s">
        <v>110</v>
      </c>
      <c r="BX1391" s="2" t="s">
        <v>164</v>
      </c>
      <c r="BY1391" s="2" t="s">
        <v>112</v>
      </c>
      <c r="BZ1391" s="2" t="s">
        <v>100</v>
      </c>
    </row>
    <row r="1392">
      <c r="A1392" s="2" t="s">
        <v>4749</v>
      </c>
      <c r="B1392" s="2" t="s">
        <v>87</v>
      </c>
      <c r="C1392" s="2" t="s">
        <v>4677</v>
      </c>
      <c r="D1392" s="2" t="s">
        <v>89</v>
      </c>
      <c r="E1392" s="2" t="s">
        <v>2098</v>
      </c>
      <c r="F1392" s="2" t="s">
        <v>4741</v>
      </c>
      <c r="G1392" s="2" t="s">
        <v>4741</v>
      </c>
      <c r="H1392" s="2" t="s">
        <v>4741</v>
      </c>
      <c r="I1392" s="2" t="s">
        <v>4742</v>
      </c>
      <c r="J1392" s="2" t="s">
        <v>844</v>
      </c>
      <c r="K1392" s="2" t="s">
        <v>4750</v>
      </c>
      <c r="L1392" s="3">
        <v>52.99</v>
      </c>
      <c r="M1392" s="3">
        <v>55.64</v>
      </c>
      <c r="N1392" s="3">
        <v>104.99</v>
      </c>
      <c r="O1392" s="2" t="s">
        <v>97</v>
      </c>
      <c r="P1392" s="2" t="s">
        <v>143</v>
      </c>
      <c r="Q1392" s="2" t="s">
        <v>99</v>
      </c>
      <c r="R1392" s="2" t="s">
        <v>100</v>
      </c>
      <c r="S1392" s="2" t="s">
        <v>4751</v>
      </c>
      <c r="T1392" s="2" t="s">
        <v>732</v>
      </c>
      <c r="U1392" s="2" t="s">
        <v>1610</v>
      </c>
      <c r="V1392" s="2" t="s">
        <v>991</v>
      </c>
      <c r="W1392" s="2" t="s">
        <v>2195</v>
      </c>
      <c r="X1392" s="2" t="s">
        <v>1310</v>
      </c>
      <c r="Y1392" s="2" t="s">
        <v>4752</v>
      </c>
      <c r="Z1392" s="4">
        <v>775</v>
      </c>
      <c r="AA1392" s="4">
        <f>=ROUNDDOWN(56.5693430656934,0)</f>
      </c>
      <c r="AB1392" s="5">
        <v>13.7</v>
      </c>
      <c r="AC1392" s="2" t="s">
        <v>100</v>
      </c>
      <c r="AD1392" s="4"/>
      <c r="AE1392" s="4"/>
      <c r="AF1392" s="6">
        <v>67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>
        <v>0</v>
      </c>
      <c r="AP1392" s="4"/>
      <c r="AQ1392" s="8"/>
      <c r="AR1392" s="4">
        <v>1</v>
      </c>
      <c r="AS1392" s="8">
        <v>55.64</v>
      </c>
      <c r="AT1392" s="7">
        <v>-1</v>
      </c>
      <c r="AU1392" s="7">
        <v>-1</v>
      </c>
      <c r="AV1392" s="4">
        <v>1</v>
      </c>
      <c r="AW1392" s="8">
        <v>72.45</v>
      </c>
      <c r="AX1392" s="4">
        <v>5</v>
      </c>
      <c r="AY1392" s="8">
        <v>370.64</v>
      </c>
      <c r="AZ1392" s="7">
        <v>-0.8</v>
      </c>
      <c r="BA1392" s="7">
        <v>-0.8045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>
        <v>0.3943</v>
      </c>
      <c r="BJ1392" s="4">
        <v>367</v>
      </c>
      <c r="BK1392" s="8">
        <v>22184.57</v>
      </c>
      <c r="BL1392" s="2" t="s">
        <v>4753</v>
      </c>
      <c r="BM1392" s="7"/>
      <c r="BN1392" s="7"/>
      <c r="BO1392" s="4"/>
      <c r="BP1392" s="8"/>
      <c r="BQ1392" s="4">
        <v>1</v>
      </c>
      <c r="BR1392" s="8">
        <v>55.64</v>
      </c>
      <c r="BS1392" s="7">
        <v>-1</v>
      </c>
      <c r="BT1392" s="7">
        <v>-1</v>
      </c>
      <c r="BU1392" s="2" t="s">
        <v>109</v>
      </c>
      <c r="BV1392" s="2" t="s">
        <v>97</v>
      </c>
      <c r="BW1392" s="2" t="s">
        <v>110</v>
      </c>
      <c r="BX1392" s="2" t="s">
        <v>4754</v>
      </c>
      <c r="BY1392" s="2" t="s">
        <v>112</v>
      </c>
      <c r="BZ1392" s="2" t="s">
        <v>100</v>
      </c>
    </row>
    <row r="1393">
      <c r="A1393" s="2" t="s">
        <v>4755</v>
      </c>
      <c r="B1393" s="2" t="s">
        <v>87</v>
      </c>
      <c r="C1393" s="2" t="s">
        <v>4677</v>
      </c>
      <c r="D1393" s="2" t="s">
        <v>89</v>
      </c>
      <c r="E1393" s="2" t="s">
        <v>2098</v>
      </c>
      <c r="F1393" s="2" t="s">
        <v>4741</v>
      </c>
      <c r="G1393" s="2" t="s">
        <v>4741</v>
      </c>
      <c r="H1393" s="2" t="s">
        <v>4741</v>
      </c>
      <c r="I1393" s="2" t="s">
        <v>4742</v>
      </c>
      <c r="J1393" s="2" t="s">
        <v>850</v>
      </c>
      <c r="K1393" s="2" t="s">
        <v>4750</v>
      </c>
      <c r="L1393" s="3">
        <v>69</v>
      </c>
      <c r="M1393" s="3">
        <v>72.45</v>
      </c>
      <c r="N1393" s="3">
        <v>134.99</v>
      </c>
      <c r="O1393" s="2" t="s">
        <v>97</v>
      </c>
      <c r="P1393" s="2" t="s">
        <v>143</v>
      </c>
      <c r="Q1393" s="2" t="s">
        <v>99</v>
      </c>
      <c r="R1393" s="2" t="s">
        <v>100</v>
      </c>
      <c r="S1393" s="2" t="s">
        <v>4751</v>
      </c>
      <c r="T1393" s="2" t="s">
        <v>732</v>
      </c>
      <c r="U1393" s="2" t="s">
        <v>1610</v>
      </c>
      <c r="V1393" s="2" t="s">
        <v>991</v>
      </c>
      <c r="W1393" s="2" t="s">
        <v>2195</v>
      </c>
      <c r="X1393" s="2" t="s">
        <v>1310</v>
      </c>
      <c r="Y1393" s="2" t="s">
        <v>4752</v>
      </c>
      <c r="Z1393" s="4">
        <v>6477</v>
      </c>
      <c r="AA1393" s="4">
        <f>=ROUNDDOWN(198.073394495413,0)</f>
      </c>
      <c r="AB1393" s="5">
        <v>32.7</v>
      </c>
      <c r="AC1393" s="2" t="s">
        <v>100</v>
      </c>
      <c r="AD1393" s="4"/>
      <c r="AE1393" s="4"/>
      <c r="AF1393" s="6">
        <v>67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>
        <v>0</v>
      </c>
      <c r="AP1393" s="4">
        <v>1</v>
      </c>
      <c r="AQ1393" s="8">
        <v>72.45</v>
      </c>
      <c r="AR1393" s="4">
        <v>4</v>
      </c>
      <c r="AS1393" s="8">
        <v>315</v>
      </c>
      <c r="AT1393" s="7">
        <v>-0.75</v>
      </c>
      <c r="AU1393" s="7">
        <v>-0.77</v>
      </c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>
        <v>1</v>
      </c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 t="s">
        <v>100</v>
      </c>
      <c r="BJ1393" s="4">
        <v>763</v>
      </c>
      <c r="BK1393" s="8">
        <v>59373.49</v>
      </c>
      <c r="BL1393" s="2" t="s">
        <v>4756</v>
      </c>
      <c r="BM1393" s="7">
        <v>0.0013</v>
      </c>
      <c r="BN1393" s="7">
        <v>0.0012</v>
      </c>
      <c r="BO1393" s="4">
        <v>1</v>
      </c>
      <c r="BP1393" s="8">
        <v>72.45</v>
      </c>
      <c r="BQ1393" s="4">
        <v>4</v>
      </c>
      <c r="BR1393" s="8">
        <v>315</v>
      </c>
      <c r="BS1393" s="7">
        <v>-0.75</v>
      </c>
      <c r="BT1393" s="7">
        <v>-0.77</v>
      </c>
      <c r="BU1393" s="2" t="s">
        <v>109</v>
      </c>
      <c r="BV1393" s="2" t="s">
        <v>97</v>
      </c>
      <c r="BW1393" s="2" t="s">
        <v>110</v>
      </c>
      <c r="BX1393" s="2" t="s">
        <v>460</v>
      </c>
      <c r="BY1393" s="2" t="s">
        <v>112</v>
      </c>
      <c r="BZ1393" s="2" t="s">
        <v>100</v>
      </c>
    </row>
    <row r="1394">
      <c r="A1394" s="2" t="s">
        <v>4757</v>
      </c>
      <c r="B1394" s="2" t="s">
        <v>87</v>
      </c>
      <c r="C1394" s="2" t="s">
        <v>4677</v>
      </c>
      <c r="D1394" s="2" t="s">
        <v>89</v>
      </c>
      <c r="E1394" s="2" t="s">
        <v>2098</v>
      </c>
      <c r="F1394" s="2" t="s">
        <v>4741</v>
      </c>
      <c r="G1394" s="2" t="s">
        <v>4741</v>
      </c>
      <c r="H1394" s="2" t="s">
        <v>4741</v>
      </c>
      <c r="I1394" s="2" t="s">
        <v>4742</v>
      </c>
      <c r="J1394" s="2" t="s">
        <v>844</v>
      </c>
      <c r="K1394" s="2" t="s">
        <v>4758</v>
      </c>
      <c r="L1394" s="3">
        <v>52.99</v>
      </c>
      <c r="M1394" s="3">
        <v>55.64</v>
      </c>
      <c r="N1394" s="3">
        <v>104.99</v>
      </c>
      <c r="O1394" s="2" t="s">
        <v>229</v>
      </c>
      <c r="P1394" s="2" t="s">
        <v>198</v>
      </c>
      <c r="Q1394" s="2" t="s">
        <v>99</v>
      </c>
      <c r="R1394" s="2" t="s">
        <v>100</v>
      </c>
      <c r="S1394" s="2" t="s">
        <v>4759</v>
      </c>
      <c r="T1394" s="2" t="s">
        <v>732</v>
      </c>
      <c r="U1394" s="2" t="s">
        <v>1610</v>
      </c>
      <c r="V1394" s="2" t="s">
        <v>991</v>
      </c>
      <c r="W1394" s="2" t="s">
        <v>2195</v>
      </c>
      <c r="X1394" s="2" t="s">
        <v>1310</v>
      </c>
      <c r="Y1394" s="2" t="s">
        <v>4760</v>
      </c>
      <c r="Z1394" s="4">
        <v>436</v>
      </c>
      <c r="AA1394" s="4">
        <f>=ROUNDDOWN(109,0)</f>
      </c>
      <c r="AB1394" s="5">
        <v>4</v>
      </c>
      <c r="AC1394" s="2" t="s">
        <v>100</v>
      </c>
      <c r="AD1394" s="4"/>
      <c r="AE1394" s="4"/>
      <c r="AF1394" s="6">
        <v>67</v>
      </c>
      <c r="AG1394" s="6"/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 t="s">
        <v>100</v>
      </c>
      <c r="BJ1394" s="4">
        <v>103</v>
      </c>
      <c r="BK1394" s="8">
        <v>5706.8</v>
      </c>
      <c r="BL1394" s="2" t="s">
        <v>4761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147</v>
      </c>
      <c r="BV1394" s="2" t="s">
        <v>97</v>
      </c>
      <c r="BW1394" s="2" t="s">
        <v>100</v>
      </c>
      <c r="BX1394" s="2" t="s">
        <v>100</v>
      </c>
      <c r="BY1394" s="2" t="s">
        <v>112</v>
      </c>
      <c r="BZ1394" s="2" t="s">
        <v>100</v>
      </c>
    </row>
    <row r="1395">
      <c r="A1395" s="2" t="s">
        <v>4762</v>
      </c>
      <c r="B1395" s="2" t="s">
        <v>87</v>
      </c>
      <c r="C1395" s="2" t="s">
        <v>4677</v>
      </c>
      <c r="D1395" s="2" t="s">
        <v>89</v>
      </c>
      <c r="E1395" s="2" t="s">
        <v>2098</v>
      </c>
      <c r="F1395" s="2" t="s">
        <v>4741</v>
      </c>
      <c r="G1395" s="2" t="s">
        <v>4741</v>
      </c>
      <c r="H1395" s="2" t="s">
        <v>4741</v>
      </c>
      <c r="I1395" s="2" t="s">
        <v>4742</v>
      </c>
      <c r="J1395" s="2" t="s">
        <v>850</v>
      </c>
      <c r="K1395" s="2" t="s">
        <v>4758</v>
      </c>
      <c r="L1395" s="3">
        <v>69</v>
      </c>
      <c r="M1395" s="3">
        <v>72.45</v>
      </c>
      <c r="N1395" s="3">
        <v>134.99</v>
      </c>
      <c r="O1395" s="2" t="s">
        <v>229</v>
      </c>
      <c r="P1395" s="2" t="s">
        <v>198</v>
      </c>
      <c r="Q1395" s="2" t="s">
        <v>99</v>
      </c>
      <c r="R1395" s="2" t="s">
        <v>100</v>
      </c>
      <c r="S1395" s="2" t="s">
        <v>4759</v>
      </c>
      <c r="T1395" s="2" t="s">
        <v>732</v>
      </c>
      <c r="U1395" s="2" t="s">
        <v>1610</v>
      </c>
      <c r="V1395" s="2" t="s">
        <v>991</v>
      </c>
      <c r="W1395" s="2" t="s">
        <v>2195</v>
      </c>
      <c r="X1395" s="2" t="s">
        <v>1310</v>
      </c>
      <c r="Y1395" s="2" t="s">
        <v>4760</v>
      </c>
      <c r="Z1395" s="4">
        <v>297</v>
      </c>
      <c r="AA1395" s="4">
        <f>=ROUNDDOWN(59.4,0)</f>
      </c>
      <c r="AB1395" s="5">
        <v>5</v>
      </c>
      <c r="AC1395" s="2" t="s">
        <v>100</v>
      </c>
      <c r="AD1395" s="4"/>
      <c r="AE1395" s="4"/>
      <c r="AF1395" s="6">
        <v>67</v>
      </c>
      <c r="AG1395" s="6"/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 t="s">
        <v>100</v>
      </c>
      <c r="BJ1395" s="4">
        <v>114</v>
      </c>
      <c r="BK1395" s="8">
        <v>7791.06</v>
      </c>
      <c r="BL1395" s="2" t="s">
        <v>4763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147</v>
      </c>
      <c r="BV1395" s="2" t="s">
        <v>97</v>
      </c>
      <c r="BW1395" s="2" t="s">
        <v>100</v>
      </c>
      <c r="BX1395" s="2" t="s">
        <v>100</v>
      </c>
      <c r="BY1395" s="2" t="s">
        <v>112</v>
      </c>
      <c r="BZ1395" s="2" t="s">
        <v>100</v>
      </c>
    </row>
    <row r="1396">
      <c r="A1396" s="2" t="s">
        <v>4764</v>
      </c>
      <c r="B1396" s="2" t="s">
        <v>87</v>
      </c>
      <c r="C1396" s="2" t="s">
        <v>4677</v>
      </c>
      <c r="D1396" s="2" t="s">
        <v>89</v>
      </c>
      <c r="E1396" s="2" t="s">
        <v>2098</v>
      </c>
      <c r="F1396" s="2" t="s">
        <v>4765</v>
      </c>
      <c r="G1396" s="2" t="s">
        <v>4765</v>
      </c>
      <c r="H1396" s="2" t="s">
        <v>4765</v>
      </c>
      <c r="I1396" s="2" t="s">
        <v>4766</v>
      </c>
      <c r="J1396" s="2" t="s">
        <v>844</v>
      </c>
      <c r="K1396" s="2" t="s">
        <v>4767</v>
      </c>
      <c r="L1396" s="3">
        <v>51.84</v>
      </c>
      <c r="M1396" s="3">
        <v>54.43</v>
      </c>
      <c r="N1396" s="3">
        <v>104.99</v>
      </c>
      <c r="O1396" s="2" t="s">
        <v>97</v>
      </c>
      <c r="P1396" s="2" t="s">
        <v>98</v>
      </c>
      <c r="Q1396" s="2" t="s">
        <v>99</v>
      </c>
      <c r="R1396" s="2" t="s">
        <v>100</v>
      </c>
      <c r="S1396" s="2" t="s">
        <v>4768</v>
      </c>
      <c r="T1396" s="2" t="s">
        <v>732</v>
      </c>
      <c r="U1396" s="2" t="s">
        <v>1610</v>
      </c>
      <c r="V1396" s="2" t="s">
        <v>4769</v>
      </c>
      <c r="W1396" s="2" t="s">
        <v>602</v>
      </c>
      <c r="X1396" s="2" t="s">
        <v>4770</v>
      </c>
      <c r="Y1396" s="2" t="s">
        <v>4771</v>
      </c>
      <c r="Z1396" s="4">
        <v>389</v>
      </c>
      <c r="AA1396" s="4">
        <f>=ROUNDDOWN(35.3636363636364,0)</f>
      </c>
      <c r="AB1396" s="5">
        <v>11</v>
      </c>
      <c r="AC1396" s="2" t="s">
        <v>3131</v>
      </c>
      <c r="AD1396" s="4">
        <v>120</v>
      </c>
      <c r="AE1396" s="4">
        <v>120</v>
      </c>
      <c r="AF1396" s="6">
        <v>66</v>
      </c>
      <c r="AG1396" s="6">
        <v>49</v>
      </c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>
        <v>2</v>
      </c>
      <c r="AW1396" s="8">
        <v>141.76</v>
      </c>
      <c r="AX1396" s="4">
        <v>1</v>
      </c>
      <c r="AY1396" s="8">
        <v>78.75</v>
      </c>
      <c r="AZ1396" s="7">
        <v>1</v>
      </c>
      <c r="BA1396" s="7">
        <v>0.8001</v>
      </c>
      <c r="BB1396" s="7"/>
      <c r="BC1396" s="4">
        <v>2</v>
      </c>
      <c r="BD1396" s="8">
        <v>141.76</v>
      </c>
      <c r="BE1396" s="4">
        <v>1</v>
      </c>
      <c r="BF1396" s="8">
        <v>78.75</v>
      </c>
      <c r="BG1396" s="7">
        <v>1</v>
      </c>
      <c r="BH1396" s="7">
        <v>0.8001</v>
      </c>
      <c r="BI1396" s="7">
        <v>1</v>
      </c>
      <c r="BJ1396" s="4">
        <v>217</v>
      </c>
      <c r="BK1396" s="8">
        <v>12470.03</v>
      </c>
      <c r="BL1396" s="2" t="s">
        <v>4772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97</v>
      </c>
      <c r="BW1396" s="2" t="s">
        <v>110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4773</v>
      </c>
      <c r="B1397" s="2" t="s">
        <v>87</v>
      </c>
      <c r="C1397" s="2" t="s">
        <v>4677</v>
      </c>
      <c r="D1397" s="2" t="s">
        <v>89</v>
      </c>
      <c r="E1397" s="2" t="s">
        <v>2098</v>
      </c>
      <c r="F1397" s="2" t="s">
        <v>4765</v>
      </c>
      <c r="G1397" s="2" t="s">
        <v>4765</v>
      </c>
      <c r="H1397" s="2" t="s">
        <v>4765</v>
      </c>
      <c r="I1397" s="2" t="s">
        <v>4766</v>
      </c>
      <c r="J1397" s="2" t="s">
        <v>850</v>
      </c>
      <c r="K1397" s="2" t="s">
        <v>4767</v>
      </c>
      <c r="L1397" s="3">
        <v>67.5</v>
      </c>
      <c r="M1397" s="3">
        <v>70.88</v>
      </c>
      <c r="N1397" s="3">
        <v>134.99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4768</v>
      </c>
      <c r="T1397" s="2" t="s">
        <v>732</v>
      </c>
      <c r="U1397" s="2" t="s">
        <v>1610</v>
      </c>
      <c r="V1397" s="2" t="s">
        <v>4769</v>
      </c>
      <c r="W1397" s="2" t="s">
        <v>602</v>
      </c>
      <c r="X1397" s="2" t="s">
        <v>4770</v>
      </c>
      <c r="Y1397" s="2" t="s">
        <v>4771</v>
      </c>
      <c r="Z1397" s="4">
        <v>238</v>
      </c>
      <c r="AA1397" s="4">
        <f>=ROUNDDOWN(17,0)</f>
      </c>
      <c r="AB1397" s="5">
        <v>14</v>
      </c>
      <c r="AC1397" s="2" t="s">
        <v>3601</v>
      </c>
      <c r="AD1397" s="4">
        <v>100</v>
      </c>
      <c r="AE1397" s="4">
        <v>230</v>
      </c>
      <c r="AF1397" s="6">
        <v>66</v>
      </c>
      <c r="AG1397" s="6">
        <v>49</v>
      </c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>
        <v>0</v>
      </c>
      <c r="AP1397" s="4">
        <v>2</v>
      </c>
      <c r="AQ1397" s="8">
        <v>141.76</v>
      </c>
      <c r="AR1397" s="4">
        <v>1</v>
      </c>
      <c r="AS1397" s="8">
        <v>78.75</v>
      </c>
      <c r="AT1397" s="7">
        <v>1</v>
      </c>
      <c r="AU1397" s="7">
        <v>0.8001</v>
      </c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>
        <v>1</v>
      </c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 t="s">
        <v>100</v>
      </c>
      <c r="BJ1397" s="4">
        <v>258</v>
      </c>
      <c r="BK1397" s="8">
        <v>19353.43</v>
      </c>
      <c r="BL1397" s="2" t="s">
        <v>4774</v>
      </c>
      <c r="BM1397" s="7">
        <v>0.0078</v>
      </c>
      <c r="BN1397" s="7">
        <v>0.0073</v>
      </c>
      <c r="BO1397" s="4">
        <v>2</v>
      </c>
      <c r="BP1397" s="8">
        <v>141.76</v>
      </c>
      <c r="BQ1397" s="4">
        <v>1</v>
      </c>
      <c r="BR1397" s="8">
        <v>78.75</v>
      </c>
      <c r="BS1397" s="7">
        <v>1</v>
      </c>
      <c r="BT1397" s="7">
        <v>0.8001</v>
      </c>
      <c r="BU1397" s="2" t="s">
        <v>109</v>
      </c>
      <c r="BV1397" s="2" t="s">
        <v>97</v>
      </c>
      <c r="BW1397" s="2" t="s">
        <v>110</v>
      </c>
      <c r="BX1397" s="2" t="s">
        <v>4325</v>
      </c>
      <c r="BY1397" s="2" t="s">
        <v>112</v>
      </c>
      <c r="BZ1397" s="2" t="s">
        <v>100</v>
      </c>
    </row>
    <row r="1398">
      <c r="A1398" s="2" t="s">
        <v>4775</v>
      </c>
      <c r="B1398" s="2" t="s">
        <v>87</v>
      </c>
      <c r="C1398" s="2" t="s">
        <v>4677</v>
      </c>
      <c r="D1398" s="2" t="s">
        <v>89</v>
      </c>
      <c r="E1398" s="2" t="s">
        <v>2098</v>
      </c>
      <c r="F1398" s="2" t="s">
        <v>4765</v>
      </c>
      <c r="G1398" s="2" t="s">
        <v>4765</v>
      </c>
      <c r="H1398" s="2" t="s">
        <v>4765</v>
      </c>
      <c r="I1398" s="2" t="s">
        <v>4766</v>
      </c>
      <c r="J1398" s="2" t="s">
        <v>844</v>
      </c>
      <c r="K1398" s="2" t="s">
        <v>4776</v>
      </c>
      <c r="L1398" s="3">
        <v>51.84</v>
      </c>
      <c r="M1398" s="3">
        <v>54.43</v>
      </c>
      <c r="N1398" s="3">
        <v>104.99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4777</v>
      </c>
      <c r="T1398" s="2" t="s">
        <v>732</v>
      </c>
      <c r="U1398" s="2" t="s">
        <v>1610</v>
      </c>
      <c r="V1398" s="2" t="s">
        <v>4769</v>
      </c>
      <c r="W1398" s="2" t="s">
        <v>602</v>
      </c>
      <c r="X1398" s="2" t="s">
        <v>4769</v>
      </c>
      <c r="Y1398" s="2" t="s">
        <v>4778</v>
      </c>
      <c r="Z1398" s="4">
        <v>184</v>
      </c>
      <c r="AA1398" s="4">
        <f>=ROUNDDOWN(20.9090909090909,0)</f>
      </c>
      <c r="AB1398" s="5">
        <v>8.8</v>
      </c>
      <c r="AC1398" s="2" t="s">
        <v>518</v>
      </c>
      <c r="AD1398" s="4">
        <v>100</v>
      </c>
      <c r="AE1398" s="4">
        <v>160</v>
      </c>
      <c r="AF1398" s="6">
        <v>66</v>
      </c>
      <c r="AG1398" s="6"/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 t="s">
        <v>100</v>
      </c>
      <c r="BJ1398" s="4">
        <v>239</v>
      </c>
      <c r="BK1398" s="8">
        <v>14172.25</v>
      </c>
      <c r="BL1398" s="2" t="s">
        <v>4779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147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4780</v>
      </c>
      <c r="B1399" s="2" t="s">
        <v>87</v>
      </c>
      <c r="C1399" s="2" t="s">
        <v>4677</v>
      </c>
      <c r="D1399" s="2" t="s">
        <v>89</v>
      </c>
      <c r="E1399" s="2" t="s">
        <v>2098</v>
      </c>
      <c r="F1399" s="2" t="s">
        <v>4765</v>
      </c>
      <c r="G1399" s="2" t="s">
        <v>4765</v>
      </c>
      <c r="H1399" s="2" t="s">
        <v>4765</v>
      </c>
      <c r="I1399" s="2" t="s">
        <v>4766</v>
      </c>
      <c r="J1399" s="2" t="s">
        <v>850</v>
      </c>
      <c r="K1399" s="2" t="s">
        <v>4776</v>
      </c>
      <c r="L1399" s="3">
        <v>67.5</v>
      </c>
      <c r="M1399" s="3">
        <v>70.88</v>
      </c>
      <c r="N1399" s="3">
        <v>134.99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4777</v>
      </c>
      <c r="T1399" s="2" t="s">
        <v>732</v>
      </c>
      <c r="U1399" s="2" t="s">
        <v>1610</v>
      </c>
      <c r="V1399" s="2" t="s">
        <v>4769</v>
      </c>
      <c r="W1399" s="2" t="s">
        <v>602</v>
      </c>
      <c r="X1399" s="2" t="s">
        <v>4769</v>
      </c>
      <c r="Y1399" s="2" t="s">
        <v>4778</v>
      </c>
      <c r="Z1399" s="4">
        <v>207</v>
      </c>
      <c r="AA1399" s="4">
        <f>=ROUNDDOWN(25.875,0)</f>
      </c>
      <c r="AB1399" s="5">
        <v>8</v>
      </c>
      <c r="AC1399" s="2" t="s">
        <v>518</v>
      </c>
      <c r="AD1399" s="4">
        <v>120</v>
      </c>
      <c r="AE1399" s="4">
        <v>230</v>
      </c>
      <c r="AF1399" s="6">
        <v>66</v>
      </c>
      <c r="AG1399" s="6"/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 t="s">
        <v>100</v>
      </c>
      <c r="BJ1399" s="4">
        <v>246</v>
      </c>
      <c r="BK1399" s="8">
        <v>18570.36</v>
      </c>
      <c r="BL1399" s="2" t="s">
        <v>4781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147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4782</v>
      </c>
      <c r="B1400" s="2" t="s">
        <v>87</v>
      </c>
      <c r="C1400" s="2" t="s">
        <v>4677</v>
      </c>
      <c r="D1400" s="2" t="s">
        <v>89</v>
      </c>
      <c r="E1400" s="2" t="s">
        <v>2098</v>
      </c>
      <c r="F1400" s="2" t="s">
        <v>4783</v>
      </c>
      <c r="G1400" s="2" t="s">
        <v>4783</v>
      </c>
      <c r="H1400" s="2" t="s">
        <v>4783</v>
      </c>
      <c r="I1400" s="2" t="s">
        <v>4784</v>
      </c>
      <c r="J1400" s="2" t="s">
        <v>844</v>
      </c>
      <c r="K1400" s="2" t="s">
        <v>197</v>
      </c>
      <c r="L1400" s="3">
        <v>59.85</v>
      </c>
      <c r="M1400" s="3">
        <v>62.84</v>
      </c>
      <c r="N1400" s="3">
        <v>129.99</v>
      </c>
      <c r="O1400" s="2" t="s">
        <v>97</v>
      </c>
      <c r="P1400" s="2" t="s">
        <v>143</v>
      </c>
      <c r="Q1400" s="2" t="s">
        <v>99</v>
      </c>
      <c r="R1400" s="2" t="s">
        <v>100</v>
      </c>
      <c r="S1400" s="2" t="s">
        <v>4785</v>
      </c>
      <c r="T1400" s="2" t="s">
        <v>732</v>
      </c>
      <c r="U1400" s="2" t="s">
        <v>1610</v>
      </c>
      <c r="V1400" s="2" t="s">
        <v>4714</v>
      </c>
      <c r="W1400" s="2" t="s">
        <v>1530</v>
      </c>
      <c r="X1400" s="2" t="s">
        <v>1288</v>
      </c>
      <c r="Y1400" s="2" t="s">
        <v>4377</v>
      </c>
      <c r="Z1400" s="4">
        <v>574</v>
      </c>
      <c r="AA1400" s="4">
        <f>=ROUNDDOWN(35.875,0)</f>
      </c>
      <c r="AB1400" s="5">
        <v>16</v>
      </c>
      <c r="AC1400" s="2" t="s">
        <v>269</v>
      </c>
      <c r="AD1400" s="4">
        <v>100</v>
      </c>
      <c r="AE1400" s="4">
        <v>500</v>
      </c>
      <c r="AF1400" s="6">
        <v>66</v>
      </c>
      <c r="AG1400" s="6">
        <v>74</v>
      </c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/>
      <c r="AQ1400" s="8"/>
      <c r="AR1400" s="4">
        <v>2</v>
      </c>
      <c r="AS1400" s="8">
        <v>128.99</v>
      </c>
      <c r="AT1400" s="7">
        <v>-1</v>
      </c>
      <c r="AU1400" s="7">
        <v>-1</v>
      </c>
      <c r="AV1400" s="4">
        <v>1</v>
      </c>
      <c r="AW1400" s="8">
        <v>78.01</v>
      </c>
      <c r="AX1400" s="4">
        <v>3</v>
      </c>
      <c r="AY1400" s="8">
        <v>211.1</v>
      </c>
      <c r="AZ1400" s="7">
        <v>-0.6667</v>
      </c>
      <c r="BA1400" s="7">
        <v>-0.6305</v>
      </c>
      <c r="BB1400" s="7"/>
      <c r="BC1400" s="4">
        <v>1</v>
      </c>
      <c r="BD1400" s="8">
        <v>78.01</v>
      </c>
      <c r="BE1400" s="4">
        <v>3</v>
      </c>
      <c r="BF1400" s="8">
        <v>211.1</v>
      </c>
      <c r="BG1400" s="7">
        <v>-0.6667</v>
      </c>
      <c r="BH1400" s="7">
        <v>-0.6305</v>
      </c>
      <c r="BI1400" s="7">
        <v>1</v>
      </c>
      <c r="BJ1400" s="4">
        <v>276</v>
      </c>
      <c r="BK1400" s="8">
        <v>18911.86</v>
      </c>
      <c r="BL1400" s="2" t="s">
        <v>4786</v>
      </c>
      <c r="BM1400" s="7"/>
      <c r="BN1400" s="7"/>
      <c r="BO1400" s="4"/>
      <c r="BP1400" s="8"/>
      <c r="BQ1400" s="4">
        <v>2</v>
      </c>
      <c r="BR1400" s="8">
        <v>128.99</v>
      </c>
      <c r="BS1400" s="7">
        <v>-1</v>
      </c>
      <c r="BT1400" s="7">
        <v>-1</v>
      </c>
      <c r="BU1400" s="2" t="s">
        <v>109</v>
      </c>
      <c r="BV1400" s="2" t="s">
        <v>97</v>
      </c>
      <c r="BW1400" s="2" t="s">
        <v>110</v>
      </c>
      <c r="BX1400" s="2" t="s">
        <v>4787</v>
      </c>
      <c r="BY1400" s="2" t="s">
        <v>112</v>
      </c>
      <c r="BZ1400" s="2" t="s">
        <v>100</v>
      </c>
    </row>
    <row r="1401">
      <c r="A1401" s="2" t="s">
        <v>4788</v>
      </c>
      <c r="B1401" s="2" t="s">
        <v>87</v>
      </c>
      <c r="C1401" s="2" t="s">
        <v>4677</v>
      </c>
      <c r="D1401" s="2" t="s">
        <v>89</v>
      </c>
      <c r="E1401" s="2" t="s">
        <v>2098</v>
      </c>
      <c r="F1401" s="2" t="s">
        <v>4783</v>
      </c>
      <c r="G1401" s="2" t="s">
        <v>4783</v>
      </c>
      <c r="H1401" s="2" t="s">
        <v>4783</v>
      </c>
      <c r="I1401" s="2" t="s">
        <v>4784</v>
      </c>
      <c r="J1401" s="2" t="s">
        <v>850</v>
      </c>
      <c r="K1401" s="2" t="s">
        <v>197</v>
      </c>
      <c r="L1401" s="3">
        <v>74.29</v>
      </c>
      <c r="M1401" s="3">
        <v>78</v>
      </c>
      <c r="N1401" s="3">
        <v>159.99</v>
      </c>
      <c r="O1401" s="2" t="s">
        <v>97</v>
      </c>
      <c r="P1401" s="2" t="s">
        <v>143</v>
      </c>
      <c r="Q1401" s="2" t="s">
        <v>99</v>
      </c>
      <c r="R1401" s="2" t="s">
        <v>100</v>
      </c>
      <c r="S1401" s="2" t="s">
        <v>4785</v>
      </c>
      <c r="T1401" s="2" t="s">
        <v>732</v>
      </c>
      <c r="U1401" s="2" t="s">
        <v>1610</v>
      </c>
      <c r="V1401" s="2" t="s">
        <v>4714</v>
      </c>
      <c r="W1401" s="2" t="s">
        <v>1530</v>
      </c>
      <c r="X1401" s="2" t="s">
        <v>1288</v>
      </c>
      <c r="Y1401" s="2" t="s">
        <v>4377</v>
      </c>
      <c r="Z1401" s="4">
        <v>662</v>
      </c>
      <c r="AA1401" s="4">
        <f>=ROUNDDOWN(41.375,0)</f>
      </c>
      <c r="AB1401" s="5">
        <v>16</v>
      </c>
      <c r="AC1401" s="2" t="s">
        <v>269</v>
      </c>
      <c r="AD1401" s="4">
        <v>100</v>
      </c>
      <c r="AE1401" s="4">
        <v>550</v>
      </c>
      <c r="AF1401" s="6">
        <v>66</v>
      </c>
      <c r="AG1401" s="6">
        <v>74</v>
      </c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>
        <v>1</v>
      </c>
      <c r="AQ1401" s="8">
        <v>78.01</v>
      </c>
      <c r="AR1401" s="4">
        <v>1</v>
      </c>
      <c r="AS1401" s="8">
        <v>82.11</v>
      </c>
      <c r="AT1401" s="7"/>
      <c r="AU1401" s="7">
        <v>-0.0499</v>
      </c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>
        <v>1</v>
      </c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 t="s">
        <v>100</v>
      </c>
      <c r="BJ1401" s="4">
        <v>332</v>
      </c>
      <c r="BK1401" s="8">
        <v>28013.93</v>
      </c>
      <c r="BL1401" s="2" t="s">
        <v>4789</v>
      </c>
      <c r="BM1401" s="7">
        <v>0.003</v>
      </c>
      <c r="BN1401" s="7">
        <v>0.0028</v>
      </c>
      <c r="BO1401" s="4">
        <v>1</v>
      </c>
      <c r="BP1401" s="8">
        <v>78.01</v>
      </c>
      <c r="BQ1401" s="4">
        <v>1</v>
      </c>
      <c r="BR1401" s="8">
        <v>82.11</v>
      </c>
      <c r="BS1401" s="7"/>
      <c r="BT1401" s="7">
        <v>-0.0499</v>
      </c>
      <c r="BU1401" s="2" t="s">
        <v>109</v>
      </c>
      <c r="BV1401" s="2" t="s">
        <v>97</v>
      </c>
      <c r="BW1401" s="2" t="s">
        <v>110</v>
      </c>
      <c r="BX1401" s="2" t="s">
        <v>213</v>
      </c>
      <c r="BY1401" s="2" t="s">
        <v>112</v>
      </c>
      <c r="BZ1401" s="2" t="s">
        <v>100</v>
      </c>
    </row>
    <row r="1402">
      <c r="A1402" s="2" t="s">
        <v>4790</v>
      </c>
      <c r="B1402" s="2" t="s">
        <v>87</v>
      </c>
      <c r="C1402" s="2" t="s">
        <v>4677</v>
      </c>
      <c r="D1402" s="2" t="s">
        <v>89</v>
      </c>
      <c r="E1402" s="2" t="s">
        <v>2098</v>
      </c>
      <c r="F1402" s="2" t="s">
        <v>4783</v>
      </c>
      <c r="G1402" s="2" t="s">
        <v>4783</v>
      </c>
      <c r="H1402" s="2" t="s">
        <v>4783</v>
      </c>
      <c r="I1402" s="2" t="s">
        <v>4784</v>
      </c>
      <c r="J1402" s="2" t="s">
        <v>844</v>
      </c>
      <c r="K1402" s="2" t="s">
        <v>4791</v>
      </c>
      <c r="L1402" s="3">
        <v>59.85</v>
      </c>
      <c r="M1402" s="3">
        <v>62.84</v>
      </c>
      <c r="N1402" s="3">
        <v>129.99</v>
      </c>
      <c r="O1402" s="2" t="s">
        <v>97</v>
      </c>
      <c r="P1402" s="2" t="s">
        <v>182</v>
      </c>
      <c r="Q1402" s="2" t="s">
        <v>99</v>
      </c>
      <c r="R1402" s="2" t="s">
        <v>100</v>
      </c>
      <c r="S1402" s="2" t="s">
        <v>4792</v>
      </c>
      <c r="T1402" s="2" t="s">
        <v>732</v>
      </c>
      <c r="U1402" s="2" t="s">
        <v>1610</v>
      </c>
      <c r="V1402" s="2" t="s">
        <v>4714</v>
      </c>
      <c r="W1402" s="2" t="s">
        <v>1530</v>
      </c>
      <c r="X1402" s="2" t="s">
        <v>1288</v>
      </c>
      <c r="Y1402" s="2" t="s">
        <v>4793</v>
      </c>
      <c r="Z1402" s="4">
        <v>207</v>
      </c>
      <c r="AA1402" s="4">
        <f>=ROUNDDOWN(51.75,0)</f>
      </c>
      <c r="AB1402" s="5">
        <v>4</v>
      </c>
      <c r="AC1402" s="2" t="s">
        <v>100</v>
      </c>
      <c r="AD1402" s="4"/>
      <c r="AE1402" s="4"/>
      <c r="AF1402" s="6">
        <v>66</v>
      </c>
      <c r="AG1402" s="6"/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 t="s">
        <v>100</v>
      </c>
      <c r="BJ1402" s="4">
        <v>28</v>
      </c>
      <c r="BK1402" s="8">
        <v>1772.9</v>
      </c>
      <c r="BL1402" s="2" t="s">
        <v>4794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147</v>
      </c>
      <c r="BV1402" s="2" t="s">
        <v>97</v>
      </c>
      <c r="BW1402" s="2" t="s">
        <v>100</v>
      </c>
      <c r="BX1402" s="2" t="s">
        <v>100</v>
      </c>
      <c r="BY1402" s="2" t="s">
        <v>112</v>
      </c>
      <c r="BZ1402" s="2" t="s">
        <v>100</v>
      </c>
    </row>
    <row r="1403">
      <c r="A1403" s="2" t="s">
        <v>4795</v>
      </c>
      <c r="B1403" s="2" t="s">
        <v>87</v>
      </c>
      <c r="C1403" s="2" t="s">
        <v>4677</v>
      </c>
      <c r="D1403" s="2" t="s">
        <v>89</v>
      </c>
      <c r="E1403" s="2" t="s">
        <v>2098</v>
      </c>
      <c r="F1403" s="2" t="s">
        <v>4783</v>
      </c>
      <c r="G1403" s="2" t="s">
        <v>4783</v>
      </c>
      <c r="H1403" s="2" t="s">
        <v>4783</v>
      </c>
      <c r="I1403" s="2" t="s">
        <v>4784</v>
      </c>
      <c r="J1403" s="2" t="s">
        <v>850</v>
      </c>
      <c r="K1403" s="2" t="s">
        <v>4791</v>
      </c>
      <c r="L1403" s="3">
        <v>74.29</v>
      </c>
      <c r="M1403" s="3">
        <v>78</v>
      </c>
      <c r="N1403" s="3">
        <v>159.99</v>
      </c>
      <c r="O1403" s="2" t="s">
        <v>97</v>
      </c>
      <c r="P1403" s="2" t="s">
        <v>182</v>
      </c>
      <c r="Q1403" s="2" t="s">
        <v>99</v>
      </c>
      <c r="R1403" s="2" t="s">
        <v>100</v>
      </c>
      <c r="S1403" s="2" t="s">
        <v>4792</v>
      </c>
      <c r="T1403" s="2" t="s">
        <v>732</v>
      </c>
      <c r="U1403" s="2" t="s">
        <v>1610</v>
      </c>
      <c r="V1403" s="2" t="s">
        <v>4714</v>
      </c>
      <c r="W1403" s="2" t="s">
        <v>1530</v>
      </c>
      <c r="X1403" s="2" t="s">
        <v>1288</v>
      </c>
      <c r="Y1403" s="2" t="s">
        <v>4793</v>
      </c>
      <c r="Z1403" s="4">
        <v>244</v>
      </c>
      <c r="AA1403" s="4">
        <f>=ROUNDDOWN(81.3333333333333,0)</f>
      </c>
      <c r="AB1403" s="5">
        <v>3</v>
      </c>
      <c r="AC1403" s="2" t="s">
        <v>100</v>
      </c>
      <c r="AD1403" s="4"/>
      <c r="AE1403" s="4"/>
      <c r="AF1403" s="6">
        <v>66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100</v>
      </c>
      <c r="AW1403" s="8" t="s">
        <v>100</v>
      </c>
      <c r="AX1403" s="4" t="s">
        <v>100</v>
      </c>
      <c r="AY1403" s="8" t="s">
        <v>100</v>
      </c>
      <c r="AZ1403" s="7" t="s">
        <v>100</v>
      </c>
      <c r="BA1403" s="7" t="s">
        <v>100</v>
      </c>
      <c r="BB1403" s="7"/>
      <c r="BC1403" s="4" t="s">
        <v>100</v>
      </c>
      <c r="BD1403" s="8" t="s">
        <v>100</v>
      </c>
      <c r="BE1403" s="4" t="s">
        <v>100</v>
      </c>
      <c r="BF1403" s="8" t="s">
        <v>100</v>
      </c>
      <c r="BG1403" s="7" t="s">
        <v>100</v>
      </c>
      <c r="BH1403" s="7" t="s">
        <v>100</v>
      </c>
      <c r="BI1403" s="7" t="s">
        <v>100</v>
      </c>
      <c r="BJ1403" s="4">
        <v>22</v>
      </c>
      <c r="BK1403" s="8">
        <v>1706.96</v>
      </c>
      <c r="BL1403" s="2" t="s">
        <v>2187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147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4796</v>
      </c>
      <c r="B1404" s="2" t="s">
        <v>87</v>
      </c>
      <c r="C1404" s="2" t="s">
        <v>4677</v>
      </c>
      <c r="D1404" s="2" t="s">
        <v>89</v>
      </c>
      <c r="E1404" s="2" t="s">
        <v>2098</v>
      </c>
      <c r="F1404" s="2" t="s">
        <v>4783</v>
      </c>
      <c r="G1404" s="2" t="s">
        <v>4783</v>
      </c>
      <c r="H1404" s="2" t="s">
        <v>4783</v>
      </c>
      <c r="I1404" s="2" t="s">
        <v>4784</v>
      </c>
      <c r="J1404" s="2" t="s">
        <v>844</v>
      </c>
      <c r="K1404" s="2" t="s">
        <v>1204</v>
      </c>
      <c r="L1404" s="3">
        <v>59.85</v>
      </c>
      <c r="M1404" s="3">
        <v>62.84</v>
      </c>
      <c r="N1404" s="3">
        <v>129.99</v>
      </c>
      <c r="O1404" s="2" t="s">
        <v>97</v>
      </c>
      <c r="P1404" s="2" t="s">
        <v>182</v>
      </c>
      <c r="Q1404" s="2" t="s">
        <v>99</v>
      </c>
      <c r="R1404" s="2" t="s">
        <v>100</v>
      </c>
      <c r="S1404" s="2" t="s">
        <v>4797</v>
      </c>
      <c r="T1404" s="2" t="s">
        <v>732</v>
      </c>
      <c r="U1404" s="2" t="s">
        <v>1610</v>
      </c>
      <c r="V1404" s="2" t="s">
        <v>4714</v>
      </c>
      <c r="W1404" s="2" t="s">
        <v>1530</v>
      </c>
      <c r="X1404" s="2" t="s">
        <v>1288</v>
      </c>
      <c r="Y1404" s="2" t="s">
        <v>4798</v>
      </c>
      <c r="Z1404" s="4">
        <v>286</v>
      </c>
      <c r="AA1404" s="4">
        <f>=ROUNDDOWN(47.6666666666667,0)</f>
      </c>
      <c r="AB1404" s="5">
        <v>6</v>
      </c>
      <c r="AC1404" s="2" t="s">
        <v>126</v>
      </c>
      <c r="AD1404" s="4">
        <v>155</v>
      </c>
      <c r="AE1404" s="4">
        <v>155</v>
      </c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 t="s">
        <v>100</v>
      </c>
      <c r="BJ1404" s="4">
        <v>62</v>
      </c>
      <c r="BK1404" s="8">
        <v>4246.59</v>
      </c>
      <c r="BL1404" s="2" t="s">
        <v>4799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147</v>
      </c>
      <c r="BV1404" s="2" t="s">
        <v>97</v>
      </c>
      <c r="BW1404" s="2" t="s">
        <v>100</v>
      </c>
      <c r="BX1404" s="2" t="s">
        <v>100</v>
      </c>
      <c r="BY1404" s="2" t="s">
        <v>112</v>
      </c>
      <c r="BZ1404" s="2" t="s">
        <v>100</v>
      </c>
    </row>
    <row r="1405">
      <c r="A1405" s="2" t="s">
        <v>4800</v>
      </c>
      <c r="B1405" s="2" t="s">
        <v>87</v>
      </c>
      <c r="C1405" s="2" t="s">
        <v>4677</v>
      </c>
      <c r="D1405" s="2" t="s">
        <v>89</v>
      </c>
      <c r="E1405" s="2" t="s">
        <v>2098</v>
      </c>
      <c r="F1405" s="2" t="s">
        <v>4783</v>
      </c>
      <c r="G1405" s="2" t="s">
        <v>4783</v>
      </c>
      <c r="H1405" s="2" t="s">
        <v>4783</v>
      </c>
      <c r="I1405" s="2" t="s">
        <v>4784</v>
      </c>
      <c r="J1405" s="2" t="s">
        <v>850</v>
      </c>
      <c r="K1405" s="2" t="s">
        <v>1204</v>
      </c>
      <c r="L1405" s="3">
        <v>74.29</v>
      </c>
      <c r="M1405" s="3">
        <v>78</v>
      </c>
      <c r="N1405" s="3">
        <v>159.99</v>
      </c>
      <c r="O1405" s="2" t="s">
        <v>97</v>
      </c>
      <c r="P1405" s="2" t="s">
        <v>182</v>
      </c>
      <c r="Q1405" s="2" t="s">
        <v>99</v>
      </c>
      <c r="R1405" s="2" t="s">
        <v>100</v>
      </c>
      <c r="S1405" s="2" t="s">
        <v>4797</v>
      </c>
      <c r="T1405" s="2" t="s">
        <v>732</v>
      </c>
      <c r="U1405" s="2" t="s">
        <v>1610</v>
      </c>
      <c r="V1405" s="2" t="s">
        <v>4714</v>
      </c>
      <c r="W1405" s="2" t="s">
        <v>1530</v>
      </c>
      <c r="X1405" s="2" t="s">
        <v>1288</v>
      </c>
      <c r="Y1405" s="2" t="s">
        <v>4798</v>
      </c>
      <c r="Z1405" s="4">
        <v>319</v>
      </c>
      <c r="AA1405" s="4">
        <f>=ROUNDDOWN(39.875,0)</f>
      </c>
      <c r="AB1405" s="5">
        <v>8</v>
      </c>
      <c r="AC1405" s="2" t="s">
        <v>126</v>
      </c>
      <c r="AD1405" s="4">
        <v>187</v>
      </c>
      <c r="AE1405" s="4">
        <v>187</v>
      </c>
      <c r="AF1405" s="6">
        <v>66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 t="s">
        <v>100</v>
      </c>
      <c r="BJ1405" s="4">
        <v>117</v>
      </c>
      <c r="BK1405" s="8">
        <v>9912.94</v>
      </c>
      <c r="BL1405" s="2" t="s">
        <v>4801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147</v>
      </c>
      <c r="BV1405" s="2" t="s">
        <v>97</v>
      </c>
      <c r="BW1405" s="2" t="s">
        <v>100</v>
      </c>
      <c r="BX1405" s="2" t="s">
        <v>100</v>
      </c>
      <c r="BY1405" s="2" t="s">
        <v>112</v>
      </c>
      <c r="BZ1405" s="2" t="s">
        <v>100</v>
      </c>
    </row>
    <row r="1406">
      <c r="A1406" s="2" t="s">
        <v>4802</v>
      </c>
      <c r="B1406" s="2" t="s">
        <v>87</v>
      </c>
      <c r="C1406" s="2" t="s">
        <v>4677</v>
      </c>
      <c r="D1406" s="2" t="s">
        <v>89</v>
      </c>
      <c r="E1406" s="2" t="s">
        <v>2098</v>
      </c>
      <c r="F1406" s="2" t="s">
        <v>4783</v>
      </c>
      <c r="G1406" s="2" t="s">
        <v>4783</v>
      </c>
      <c r="H1406" s="2" t="s">
        <v>4783</v>
      </c>
      <c r="I1406" s="2" t="s">
        <v>4784</v>
      </c>
      <c r="J1406" s="2" t="s">
        <v>844</v>
      </c>
      <c r="K1406" s="2" t="s">
        <v>622</v>
      </c>
      <c r="L1406" s="3">
        <v>59.85</v>
      </c>
      <c r="M1406" s="3">
        <v>62.84</v>
      </c>
      <c r="N1406" s="3">
        <v>129.99</v>
      </c>
      <c r="O1406" s="2" t="s">
        <v>97</v>
      </c>
      <c r="P1406" s="2" t="s">
        <v>143</v>
      </c>
      <c r="Q1406" s="2" t="s">
        <v>99</v>
      </c>
      <c r="R1406" s="2" t="s">
        <v>100</v>
      </c>
      <c r="S1406" s="2" t="s">
        <v>4803</v>
      </c>
      <c r="T1406" s="2" t="s">
        <v>732</v>
      </c>
      <c r="U1406" s="2" t="s">
        <v>1610</v>
      </c>
      <c r="V1406" s="2" t="s">
        <v>4714</v>
      </c>
      <c r="W1406" s="2" t="s">
        <v>1530</v>
      </c>
      <c r="X1406" s="2" t="s">
        <v>733</v>
      </c>
      <c r="Y1406" s="2" t="s">
        <v>4804</v>
      </c>
      <c r="Z1406" s="4">
        <v>750</v>
      </c>
      <c r="AA1406" s="4">
        <f>=ROUNDDOWN(68.1818181818182,0)</f>
      </c>
      <c r="AB1406" s="5">
        <v>11</v>
      </c>
      <c r="AC1406" s="2" t="s">
        <v>269</v>
      </c>
      <c r="AD1406" s="4">
        <v>60</v>
      </c>
      <c r="AE1406" s="4">
        <v>360</v>
      </c>
      <c r="AF1406" s="6">
        <v>66</v>
      </c>
      <c r="AG1406" s="6">
        <v>74</v>
      </c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 t="s">
        <v>100</v>
      </c>
      <c r="BJ1406" s="4">
        <v>257</v>
      </c>
      <c r="BK1406" s="8">
        <v>17992.54</v>
      </c>
      <c r="BL1406" s="2" t="s">
        <v>4805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97</v>
      </c>
      <c r="BW1406" s="2" t="s">
        <v>580</v>
      </c>
      <c r="BX1406" s="2" t="s">
        <v>100</v>
      </c>
      <c r="BY1406" s="2" t="s">
        <v>112</v>
      </c>
      <c r="BZ1406" s="2" t="s">
        <v>100</v>
      </c>
    </row>
    <row r="1407">
      <c r="A1407" s="2" t="s">
        <v>4806</v>
      </c>
      <c r="B1407" s="2" t="s">
        <v>87</v>
      </c>
      <c r="C1407" s="2" t="s">
        <v>4677</v>
      </c>
      <c r="D1407" s="2" t="s">
        <v>89</v>
      </c>
      <c r="E1407" s="2" t="s">
        <v>2098</v>
      </c>
      <c r="F1407" s="2" t="s">
        <v>4783</v>
      </c>
      <c r="G1407" s="2" t="s">
        <v>4783</v>
      </c>
      <c r="H1407" s="2" t="s">
        <v>4783</v>
      </c>
      <c r="I1407" s="2" t="s">
        <v>4784</v>
      </c>
      <c r="J1407" s="2" t="s">
        <v>850</v>
      </c>
      <c r="K1407" s="2" t="s">
        <v>622</v>
      </c>
      <c r="L1407" s="3">
        <v>74.29</v>
      </c>
      <c r="M1407" s="3">
        <v>78</v>
      </c>
      <c r="N1407" s="3">
        <v>159.99</v>
      </c>
      <c r="O1407" s="2" t="s">
        <v>97</v>
      </c>
      <c r="P1407" s="2" t="s">
        <v>143</v>
      </c>
      <c r="Q1407" s="2" t="s">
        <v>99</v>
      </c>
      <c r="R1407" s="2" t="s">
        <v>100</v>
      </c>
      <c r="S1407" s="2" t="s">
        <v>4803</v>
      </c>
      <c r="T1407" s="2" t="s">
        <v>732</v>
      </c>
      <c r="U1407" s="2" t="s">
        <v>1610</v>
      </c>
      <c r="V1407" s="2" t="s">
        <v>4714</v>
      </c>
      <c r="W1407" s="2" t="s">
        <v>1530</v>
      </c>
      <c r="X1407" s="2" t="s">
        <v>733</v>
      </c>
      <c r="Y1407" s="2" t="s">
        <v>4804</v>
      </c>
      <c r="Z1407" s="4">
        <v>802</v>
      </c>
      <c r="AA1407" s="4">
        <f>=ROUNDDOWN(44.5555555555556,0)</f>
      </c>
      <c r="AB1407" s="5">
        <v>18</v>
      </c>
      <c r="AC1407" s="2" t="s">
        <v>269</v>
      </c>
      <c r="AD1407" s="4">
        <v>150</v>
      </c>
      <c r="AE1407" s="4">
        <v>720</v>
      </c>
      <c r="AF1407" s="6">
        <v>66</v>
      </c>
      <c r="AG1407" s="6">
        <v>74</v>
      </c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 t="s">
        <v>100</v>
      </c>
      <c r="BJ1407" s="4">
        <v>433</v>
      </c>
      <c r="BK1407" s="8">
        <v>37180.3</v>
      </c>
      <c r="BL1407" s="2" t="s">
        <v>4807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97</v>
      </c>
      <c r="BW1407" s="2" t="s">
        <v>580</v>
      </c>
      <c r="BX1407" s="2" t="s">
        <v>100</v>
      </c>
      <c r="BY1407" s="2" t="s">
        <v>112</v>
      </c>
      <c r="BZ1407" s="2" t="s">
        <v>100</v>
      </c>
    </row>
    <row r="1408">
      <c r="A1408" s="2" t="s">
        <v>4808</v>
      </c>
      <c r="B1408" s="2" t="s">
        <v>87</v>
      </c>
      <c r="C1408" s="2" t="s">
        <v>4677</v>
      </c>
      <c r="D1408" s="2" t="s">
        <v>89</v>
      </c>
      <c r="E1408" s="2" t="s">
        <v>2098</v>
      </c>
      <c r="F1408" s="2" t="s">
        <v>4809</v>
      </c>
      <c r="G1408" s="2" t="s">
        <v>4809</v>
      </c>
      <c r="H1408" s="2" t="s">
        <v>4809</v>
      </c>
      <c r="I1408" s="2" t="s">
        <v>4810</v>
      </c>
      <c r="J1408" s="2" t="s">
        <v>844</v>
      </c>
      <c r="K1408" s="2" t="s">
        <v>267</v>
      </c>
      <c r="L1408" s="3">
        <v>65</v>
      </c>
      <c r="M1408" s="3">
        <v>68.25</v>
      </c>
      <c r="N1408" s="3">
        <v>129.99</v>
      </c>
      <c r="O1408" s="2" t="s">
        <v>97</v>
      </c>
      <c r="P1408" s="2" t="s">
        <v>98</v>
      </c>
      <c r="Q1408" s="2" t="s">
        <v>99</v>
      </c>
      <c r="R1408" s="2" t="s">
        <v>100</v>
      </c>
      <c r="S1408" s="2" t="s">
        <v>4811</v>
      </c>
      <c r="T1408" s="2" t="s">
        <v>732</v>
      </c>
      <c r="U1408" s="2" t="s">
        <v>1610</v>
      </c>
      <c r="V1408" s="2" t="s">
        <v>601</v>
      </c>
      <c r="W1408" s="2" t="s">
        <v>3896</v>
      </c>
      <c r="X1408" s="2" t="s">
        <v>759</v>
      </c>
      <c r="Y1408" s="2" t="s">
        <v>4812</v>
      </c>
      <c r="Z1408" s="4">
        <v>207</v>
      </c>
      <c r="AA1408" s="4">
        <f>=ROUNDDOWN(10.8947368421053,0)</f>
      </c>
      <c r="AB1408" s="5">
        <v>19</v>
      </c>
      <c r="AC1408" s="2" t="s">
        <v>269</v>
      </c>
      <c r="AD1408" s="4">
        <v>100</v>
      </c>
      <c r="AE1408" s="4">
        <v>500</v>
      </c>
      <c r="AF1408" s="6">
        <v>67</v>
      </c>
      <c r="AG1408" s="6">
        <v>75</v>
      </c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>
        <v>1</v>
      </c>
      <c r="AQ1408" s="8">
        <v>68.24</v>
      </c>
      <c r="AR1408" s="4"/>
      <c r="AS1408" s="8"/>
      <c r="AT1408" s="7"/>
      <c r="AU1408" s="7"/>
      <c r="AV1408" s="4">
        <v>1</v>
      </c>
      <c r="AW1408" s="8">
        <v>68.24</v>
      </c>
      <c r="AX1408" s="4" t="s">
        <v>100</v>
      </c>
      <c r="AY1408" s="8" t="s">
        <v>100</v>
      </c>
      <c r="AZ1408" s="7" t="s">
        <v>100</v>
      </c>
      <c r="BA1408" s="7" t="s">
        <v>100</v>
      </c>
      <c r="BB1408" s="7">
        <v>1</v>
      </c>
      <c r="BC1408" s="4">
        <v>1</v>
      </c>
      <c r="BD1408" s="8">
        <v>68.24</v>
      </c>
      <c r="BE1408" s="4" t="s">
        <v>100</v>
      </c>
      <c r="BF1408" s="8" t="s">
        <v>100</v>
      </c>
      <c r="BG1408" s="7" t="s">
        <v>100</v>
      </c>
      <c r="BH1408" s="7" t="s">
        <v>100</v>
      </c>
      <c r="BI1408" s="7">
        <v>1</v>
      </c>
      <c r="BJ1408" s="4">
        <v>266</v>
      </c>
      <c r="BK1408" s="8">
        <v>19514.15</v>
      </c>
      <c r="BL1408" s="2" t="s">
        <v>4813</v>
      </c>
      <c r="BM1408" s="7">
        <v>0.0038</v>
      </c>
      <c r="BN1408" s="7">
        <v>0.0035</v>
      </c>
      <c r="BO1408" s="4">
        <v>1</v>
      </c>
      <c r="BP1408" s="8">
        <v>68.24</v>
      </c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110</v>
      </c>
      <c r="BX1408" s="2" t="s">
        <v>4814</v>
      </c>
      <c r="BY1408" s="2" t="s">
        <v>112</v>
      </c>
      <c r="BZ1408" s="2" t="s">
        <v>100</v>
      </c>
    </row>
    <row r="1409">
      <c r="A1409" s="2" t="s">
        <v>4815</v>
      </c>
      <c r="B1409" s="2" t="s">
        <v>87</v>
      </c>
      <c r="C1409" s="2" t="s">
        <v>4677</v>
      </c>
      <c r="D1409" s="2" t="s">
        <v>89</v>
      </c>
      <c r="E1409" s="2" t="s">
        <v>2098</v>
      </c>
      <c r="F1409" s="2" t="s">
        <v>4809</v>
      </c>
      <c r="G1409" s="2" t="s">
        <v>4809</v>
      </c>
      <c r="H1409" s="2" t="s">
        <v>4809</v>
      </c>
      <c r="I1409" s="2" t="s">
        <v>4810</v>
      </c>
      <c r="J1409" s="2" t="s">
        <v>850</v>
      </c>
      <c r="K1409" s="2" t="s">
        <v>267</v>
      </c>
      <c r="L1409" s="3">
        <v>80</v>
      </c>
      <c r="M1409" s="3">
        <v>84</v>
      </c>
      <c r="N1409" s="3">
        <v>159.99</v>
      </c>
      <c r="O1409" s="2" t="s">
        <v>97</v>
      </c>
      <c r="P1409" s="2" t="s">
        <v>98</v>
      </c>
      <c r="Q1409" s="2" t="s">
        <v>99</v>
      </c>
      <c r="R1409" s="2" t="s">
        <v>100</v>
      </c>
      <c r="S1409" s="2" t="s">
        <v>4811</v>
      </c>
      <c r="T1409" s="2" t="s">
        <v>732</v>
      </c>
      <c r="U1409" s="2" t="s">
        <v>1610</v>
      </c>
      <c r="V1409" s="2" t="s">
        <v>601</v>
      </c>
      <c r="W1409" s="2" t="s">
        <v>3896</v>
      </c>
      <c r="X1409" s="2" t="s">
        <v>759</v>
      </c>
      <c r="Y1409" s="2" t="s">
        <v>4812</v>
      </c>
      <c r="Z1409" s="4">
        <v>285</v>
      </c>
      <c r="AA1409" s="4">
        <f>=ROUNDDOWN(25.9090909090909,0)</f>
      </c>
      <c r="AB1409" s="5">
        <v>11</v>
      </c>
      <c r="AC1409" s="2" t="s">
        <v>269</v>
      </c>
      <c r="AD1409" s="4">
        <v>30</v>
      </c>
      <c r="AE1409" s="4">
        <v>352</v>
      </c>
      <c r="AF1409" s="6">
        <v>67</v>
      </c>
      <c r="AG1409" s="6">
        <v>75</v>
      </c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 t="s">
        <v>100</v>
      </c>
      <c r="BJ1409" s="4">
        <v>250</v>
      </c>
      <c r="BK1409" s="8">
        <v>22642.82</v>
      </c>
      <c r="BL1409" s="2" t="s">
        <v>4816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110</v>
      </c>
      <c r="BX1409" s="2" t="s">
        <v>100</v>
      </c>
      <c r="BY1409" s="2" t="s">
        <v>112</v>
      </c>
      <c r="BZ1409" s="2" t="s">
        <v>100</v>
      </c>
    </row>
    <row r="1410">
      <c r="A1410" s="2" t="s">
        <v>4817</v>
      </c>
      <c r="B1410" s="2" t="s">
        <v>87</v>
      </c>
      <c r="C1410" s="2" t="s">
        <v>4677</v>
      </c>
      <c r="D1410" s="2" t="s">
        <v>89</v>
      </c>
      <c r="E1410" s="2" t="s">
        <v>2098</v>
      </c>
      <c r="F1410" s="2" t="s">
        <v>4809</v>
      </c>
      <c r="G1410" s="2" t="s">
        <v>4809</v>
      </c>
      <c r="H1410" s="2" t="s">
        <v>4809</v>
      </c>
      <c r="I1410" s="2" t="s">
        <v>4810</v>
      </c>
      <c r="J1410" s="2" t="s">
        <v>844</v>
      </c>
      <c r="K1410" s="2" t="s">
        <v>650</v>
      </c>
      <c r="L1410" s="3">
        <v>65</v>
      </c>
      <c r="M1410" s="3">
        <v>68.25</v>
      </c>
      <c r="N1410" s="3">
        <v>129.99</v>
      </c>
      <c r="O1410" s="2" t="s">
        <v>97</v>
      </c>
      <c r="P1410" s="2" t="s">
        <v>198</v>
      </c>
      <c r="Q1410" s="2" t="s">
        <v>99</v>
      </c>
      <c r="R1410" s="2" t="s">
        <v>100</v>
      </c>
      <c r="S1410" s="2" t="s">
        <v>4818</v>
      </c>
      <c r="T1410" s="2" t="s">
        <v>732</v>
      </c>
      <c r="U1410" s="2" t="s">
        <v>1610</v>
      </c>
      <c r="V1410" s="2" t="s">
        <v>601</v>
      </c>
      <c r="W1410" s="2" t="s">
        <v>3896</v>
      </c>
      <c r="X1410" s="2" t="s">
        <v>759</v>
      </c>
      <c r="Y1410" s="2" t="s">
        <v>4819</v>
      </c>
      <c r="Z1410" s="4">
        <v>443</v>
      </c>
      <c r="AA1410" s="4">
        <f>=ROUNDDOWN(63.2857142857143,0)</f>
      </c>
      <c r="AB1410" s="5">
        <v>7</v>
      </c>
      <c r="AC1410" s="2" t="s">
        <v>100</v>
      </c>
      <c r="AD1410" s="4"/>
      <c r="AE1410" s="4"/>
      <c r="AF1410" s="6">
        <v>67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 t="s">
        <v>100</v>
      </c>
      <c r="BJ1410" s="4">
        <v>163</v>
      </c>
      <c r="BK1410" s="8">
        <v>11556.78</v>
      </c>
      <c r="BL1410" s="2" t="s">
        <v>4820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147</v>
      </c>
      <c r="BV1410" s="2" t="s">
        <v>97</v>
      </c>
      <c r="BW1410" s="2" t="s">
        <v>100</v>
      </c>
      <c r="BX1410" s="2" t="s">
        <v>100</v>
      </c>
      <c r="BY1410" s="2" t="s">
        <v>112</v>
      </c>
      <c r="BZ1410" s="2" t="s">
        <v>100</v>
      </c>
    </row>
    <row r="1411">
      <c r="A1411" s="2" t="s">
        <v>4821</v>
      </c>
      <c r="B1411" s="2" t="s">
        <v>87</v>
      </c>
      <c r="C1411" s="2" t="s">
        <v>4677</v>
      </c>
      <c r="D1411" s="2" t="s">
        <v>89</v>
      </c>
      <c r="E1411" s="2" t="s">
        <v>2098</v>
      </c>
      <c r="F1411" s="2" t="s">
        <v>4809</v>
      </c>
      <c r="G1411" s="2" t="s">
        <v>4809</v>
      </c>
      <c r="H1411" s="2" t="s">
        <v>4809</v>
      </c>
      <c r="I1411" s="2" t="s">
        <v>4810</v>
      </c>
      <c r="J1411" s="2" t="s">
        <v>850</v>
      </c>
      <c r="K1411" s="2" t="s">
        <v>650</v>
      </c>
      <c r="L1411" s="3">
        <v>80</v>
      </c>
      <c r="M1411" s="3">
        <v>84</v>
      </c>
      <c r="N1411" s="3">
        <v>159.99</v>
      </c>
      <c r="O1411" s="2" t="s">
        <v>97</v>
      </c>
      <c r="P1411" s="2" t="s">
        <v>198</v>
      </c>
      <c r="Q1411" s="2" t="s">
        <v>99</v>
      </c>
      <c r="R1411" s="2" t="s">
        <v>100</v>
      </c>
      <c r="S1411" s="2" t="s">
        <v>4818</v>
      </c>
      <c r="T1411" s="2" t="s">
        <v>732</v>
      </c>
      <c r="U1411" s="2" t="s">
        <v>1610</v>
      </c>
      <c r="V1411" s="2" t="s">
        <v>601</v>
      </c>
      <c r="W1411" s="2" t="s">
        <v>3896</v>
      </c>
      <c r="X1411" s="2" t="s">
        <v>759</v>
      </c>
      <c r="Y1411" s="2" t="s">
        <v>4819</v>
      </c>
      <c r="Z1411" s="4">
        <v>245</v>
      </c>
      <c r="AA1411" s="4">
        <f>=ROUNDDOWN(61.25,0)</f>
      </c>
      <c r="AB1411" s="5">
        <v>4</v>
      </c>
      <c r="AC1411" s="2" t="s">
        <v>100</v>
      </c>
      <c r="AD1411" s="4"/>
      <c r="AE1411" s="4"/>
      <c r="AF1411" s="6">
        <v>67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 t="s">
        <v>100</v>
      </c>
      <c r="BJ1411" s="4">
        <v>52</v>
      </c>
      <c r="BK1411" s="8">
        <v>4654.17</v>
      </c>
      <c r="BL1411" s="2" t="s">
        <v>4822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147</v>
      </c>
      <c r="BV1411" s="2" t="s">
        <v>97</v>
      </c>
      <c r="BW1411" s="2" t="s">
        <v>100</v>
      </c>
      <c r="BX1411" s="2" t="s">
        <v>100</v>
      </c>
      <c r="BY1411" s="2" t="s">
        <v>112</v>
      </c>
      <c r="BZ1411" s="2" t="s">
        <v>100</v>
      </c>
    </row>
    <row r="1412">
      <c r="A1412" s="2" t="s">
        <v>4823</v>
      </c>
      <c r="B1412" s="2" t="s">
        <v>87</v>
      </c>
      <c r="C1412" s="2" t="s">
        <v>4677</v>
      </c>
      <c r="D1412" s="2" t="s">
        <v>89</v>
      </c>
      <c r="E1412" s="2" t="s">
        <v>2098</v>
      </c>
      <c r="F1412" s="2" t="s">
        <v>4809</v>
      </c>
      <c r="G1412" s="2" t="s">
        <v>4809</v>
      </c>
      <c r="H1412" s="2" t="s">
        <v>4809</v>
      </c>
      <c r="I1412" s="2" t="s">
        <v>4810</v>
      </c>
      <c r="J1412" s="2" t="s">
        <v>844</v>
      </c>
      <c r="K1412" s="2" t="s">
        <v>1204</v>
      </c>
      <c r="L1412" s="3">
        <v>65</v>
      </c>
      <c r="M1412" s="3">
        <v>68.25</v>
      </c>
      <c r="N1412" s="3">
        <v>129.99</v>
      </c>
      <c r="O1412" s="2" t="s">
        <v>97</v>
      </c>
      <c r="P1412" s="2" t="s">
        <v>182</v>
      </c>
      <c r="Q1412" s="2" t="s">
        <v>99</v>
      </c>
      <c r="R1412" s="2" t="s">
        <v>100</v>
      </c>
      <c r="S1412" s="2" t="s">
        <v>4824</v>
      </c>
      <c r="T1412" s="2" t="s">
        <v>732</v>
      </c>
      <c r="U1412" s="2" t="s">
        <v>1610</v>
      </c>
      <c r="V1412" s="2" t="s">
        <v>601</v>
      </c>
      <c r="W1412" s="2" t="s">
        <v>3896</v>
      </c>
      <c r="X1412" s="2" t="s">
        <v>759</v>
      </c>
      <c r="Y1412" s="2" t="s">
        <v>4825</v>
      </c>
      <c r="Z1412" s="4">
        <v>248</v>
      </c>
      <c r="AA1412" s="4">
        <f>=ROUNDDOWN(35.4285714285714,0)</f>
      </c>
      <c r="AB1412" s="5">
        <v>7</v>
      </c>
      <c r="AC1412" s="2" t="s">
        <v>4609</v>
      </c>
      <c r="AD1412" s="4">
        <v>90</v>
      </c>
      <c r="AE1412" s="4">
        <v>90</v>
      </c>
      <c r="AF1412" s="6">
        <v>67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 t="s">
        <v>100</v>
      </c>
      <c r="BJ1412" s="4">
        <v>102</v>
      </c>
      <c r="BK1412" s="8">
        <v>7397.99</v>
      </c>
      <c r="BL1412" s="2" t="s">
        <v>4826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147</v>
      </c>
      <c r="BV1412" s="2" t="s">
        <v>97</v>
      </c>
      <c r="BW1412" s="2" t="s">
        <v>100</v>
      </c>
      <c r="BX1412" s="2" t="s">
        <v>100</v>
      </c>
      <c r="BY1412" s="2" t="s">
        <v>112</v>
      </c>
      <c r="BZ1412" s="2" t="s">
        <v>100</v>
      </c>
    </row>
    <row r="1413">
      <c r="A1413" s="2" t="s">
        <v>4827</v>
      </c>
      <c r="B1413" s="2" t="s">
        <v>87</v>
      </c>
      <c r="C1413" s="2" t="s">
        <v>4677</v>
      </c>
      <c r="D1413" s="2" t="s">
        <v>89</v>
      </c>
      <c r="E1413" s="2" t="s">
        <v>2098</v>
      </c>
      <c r="F1413" s="2" t="s">
        <v>4809</v>
      </c>
      <c r="G1413" s="2" t="s">
        <v>4809</v>
      </c>
      <c r="H1413" s="2" t="s">
        <v>4809</v>
      </c>
      <c r="I1413" s="2" t="s">
        <v>4810</v>
      </c>
      <c r="J1413" s="2" t="s">
        <v>850</v>
      </c>
      <c r="K1413" s="2" t="s">
        <v>1204</v>
      </c>
      <c r="L1413" s="3">
        <v>80</v>
      </c>
      <c r="M1413" s="3">
        <v>83.99</v>
      </c>
      <c r="N1413" s="3">
        <v>159.99</v>
      </c>
      <c r="O1413" s="2" t="s">
        <v>97</v>
      </c>
      <c r="P1413" s="2" t="s">
        <v>182</v>
      </c>
      <c r="Q1413" s="2" t="s">
        <v>99</v>
      </c>
      <c r="R1413" s="2" t="s">
        <v>100</v>
      </c>
      <c r="S1413" s="2" t="s">
        <v>4824</v>
      </c>
      <c r="T1413" s="2" t="s">
        <v>732</v>
      </c>
      <c r="U1413" s="2" t="s">
        <v>1610</v>
      </c>
      <c r="V1413" s="2" t="s">
        <v>601</v>
      </c>
      <c r="W1413" s="2" t="s">
        <v>3896</v>
      </c>
      <c r="X1413" s="2" t="s">
        <v>759</v>
      </c>
      <c r="Y1413" s="2" t="s">
        <v>4825</v>
      </c>
      <c r="Z1413" s="4">
        <v>176</v>
      </c>
      <c r="AA1413" s="4">
        <f>=ROUNDDOWN(17.6,0)</f>
      </c>
      <c r="AB1413" s="5">
        <v>10</v>
      </c>
      <c r="AC1413" s="2" t="s">
        <v>4609</v>
      </c>
      <c r="AD1413" s="4">
        <v>210</v>
      </c>
      <c r="AE1413" s="4">
        <v>210</v>
      </c>
      <c r="AF1413" s="6">
        <v>67</v>
      </c>
      <c r="AG1413" s="6"/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 t="s">
        <v>100</v>
      </c>
      <c r="BJ1413" s="4">
        <v>130</v>
      </c>
      <c r="BK1413" s="8">
        <v>11473.58</v>
      </c>
      <c r="BL1413" s="2" t="s">
        <v>4828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147</v>
      </c>
      <c r="BV1413" s="2" t="s">
        <v>97</v>
      </c>
      <c r="BW1413" s="2" t="s">
        <v>100</v>
      </c>
      <c r="BX1413" s="2" t="s">
        <v>100</v>
      </c>
      <c r="BY1413" s="2" t="s">
        <v>112</v>
      </c>
      <c r="BZ1413" s="2" t="s">
        <v>100</v>
      </c>
    </row>
    <row r="1414">
      <c r="A1414" s="2" t="s">
        <v>4829</v>
      </c>
      <c r="B1414" s="2" t="s">
        <v>87</v>
      </c>
      <c r="C1414" s="2" t="s">
        <v>4677</v>
      </c>
      <c r="D1414" s="2" t="s">
        <v>89</v>
      </c>
      <c r="E1414" s="2" t="s">
        <v>2098</v>
      </c>
      <c r="F1414" s="2" t="s">
        <v>4809</v>
      </c>
      <c r="G1414" s="2" t="s">
        <v>4809</v>
      </c>
      <c r="H1414" s="2" t="s">
        <v>4809</v>
      </c>
      <c r="I1414" s="2" t="s">
        <v>4810</v>
      </c>
      <c r="J1414" s="2" t="s">
        <v>844</v>
      </c>
      <c r="K1414" s="2" t="s">
        <v>635</v>
      </c>
      <c r="L1414" s="3">
        <v>65</v>
      </c>
      <c r="M1414" s="3">
        <v>68.25</v>
      </c>
      <c r="N1414" s="3">
        <v>129.99</v>
      </c>
      <c r="O1414" s="2" t="s">
        <v>97</v>
      </c>
      <c r="P1414" s="2" t="s">
        <v>198</v>
      </c>
      <c r="Q1414" s="2" t="s">
        <v>99</v>
      </c>
      <c r="R1414" s="2" t="s">
        <v>100</v>
      </c>
      <c r="S1414" s="2" t="s">
        <v>4830</v>
      </c>
      <c r="T1414" s="2" t="s">
        <v>732</v>
      </c>
      <c r="U1414" s="2" t="s">
        <v>1610</v>
      </c>
      <c r="V1414" s="2" t="s">
        <v>601</v>
      </c>
      <c r="W1414" s="2" t="s">
        <v>3896</v>
      </c>
      <c r="X1414" s="2" t="s">
        <v>759</v>
      </c>
      <c r="Y1414" s="2" t="s">
        <v>4825</v>
      </c>
      <c r="Z1414" s="4">
        <v>196</v>
      </c>
      <c r="AA1414" s="4">
        <f>=ROUNDDOWN(39.2,0)</f>
      </c>
      <c r="AB1414" s="5">
        <v>5</v>
      </c>
      <c r="AC1414" s="2" t="s">
        <v>126</v>
      </c>
      <c r="AD1414" s="4">
        <v>150</v>
      </c>
      <c r="AE1414" s="4">
        <v>150</v>
      </c>
      <c r="AF1414" s="6">
        <v>67</v>
      </c>
      <c r="AG1414" s="6"/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 t="s">
        <v>100</v>
      </c>
      <c r="BJ1414" s="4">
        <v>78</v>
      </c>
      <c r="BK1414" s="8">
        <v>5695.52</v>
      </c>
      <c r="BL1414" s="2" t="s">
        <v>4831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147</v>
      </c>
      <c r="BV1414" s="2" t="s">
        <v>97</v>
      </c>
      <c r="BW1414" s="2" t="s">
        <v>100</v>
      </c>
      <c r="BX1414" s="2" t="s">
        <v>100</v>
      </c>
      <c r="BY1414" s="2" t="s">
        <v>112</v>
      </c>
      <c r="BZ1414" s="2" t="s">
        <v>100</v>
      </c>
    </row>
    <row r="1415">
      <c r="A1415" s="2" t="s">
        <v>4832</v>
      </c>
      <c r="B1415" s="2" t="s">
        <v>87</v>
      </c>
      <c r="C1415" s="2" t="s">
        <v>4677</v>
      </c>
      <c r="D1415" s="2" t="s">
        <v>89</v>
      </c>
      <c r="E1415" s="2" t="s">
        <v>2098</v>
      </c>
      <c r="F1415" s="2" t="s">
        <v>4809</v>
      </c>
      <c r="G1415" s="2" t="s">
        <v>4809</v>
      </c>
      <c r="H1415" s="2" t="s">
        <v>4809</v>
      </c>
      <c r="I1415" s="2" t="s">
        <v>4810</v>
      </c>
      <c r="J1415" s="2" t="s">
        <v>850</v>
      </c>
      <c r="K1415" s="2" t="s">
        <v>635</v>
      </c>
      <c r="L1415" s="3">
        <v>80</v>
      </c>
      <c r="M1415" s="3">
        <v>83.99</v>
      </c>
      <c r="N1415" s="3">
        <v>159.99</v>
      </c>
      <c r="O1415" s="2" t="s">
        <v>97</v>
      </c>
      <c r="P1415" s="2" t="s">
        <v>198</v>
      </c>
      <c r="Q1415" s="2" t="s">
        <v>99</v>
      </c>
      <c r="R1415" s="2" t="s">
        <v>100</v>
      </c>
      <c r="S1415" s="2" t="s">
        <v>4830</v>
      </c>
      <c r="T1415" s="2" t="s">
        <v>732</v>
      </c>
      <c r="U1415" s="2" t="s">
        <v>1610</v>
      </c>
      <c r="V1415" s="2" t="s">
        <v>601</v>
      </c>
      <c r="W1415" s="2" t="s">
        <v>3896</v>
      </c>
      <c r="X1415" s="2" t="s">
        <v>759</v>
      </c>
      <c r="Y1415" s="2" t="s">
        <v>4825</v>
      </c>
      <c r="Z1415" s="4">
        <v>180</v>
      </c>
      <c r="AA1415" s="4">
        <f>=ROUNDDOWN(45,0)</f>
      </c>
      <c r="AB1415" s="5">
        <v>4</v>
      </c>
      <c r="AC1415" s="2" t="s">
        <v>126</v>
      </c>
      <c r="AD1415" s="4">
        <v>90</v>
      </c>
      <c r="AE1415" s="4">
        <v>90</v>
      </c>
      <c r="AF1415" s="6">
        <v>67</v>
      </c>
      <c r="AG1415" s="6"/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 t="s">
        <v>100</v>
      </c>
      <c r="BJ1415" s="4">
        <v>71</v>
      </c>
      <c r="BK1415" s="8">
        <v>6313.54</v>
      </c>
      <c r="BL1415" s="2" t="s">
        <v>4833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147</v>
      </c>
      <c r="BV1415" s="2" t="s">
        <v>97</v>
      </c>
      <c r="BW1415" s="2" t="s">
        <v>100</v>
      </c>
      <c r="BX1415" s="2" t="s">
        <v>100</v>
      </c>
      <c r="BY1415" s="2" t="s">
        <v>112</v>
      </c>
      <c r="BZ1415" s="2" t="s">
        <v>100</v>
      </c>
    </row>
    <row r="1416">
      <c r="A1416" s="2" t="s">
        <v>4834</v>
      </c>
      <c r="B1416" s="2" t="s">
        <v>87</v>
      </c>
      <c r="C1416" s="2" t="s">
        <v>4677</v>
      </c>
      <c r="D1416" s="2" t="s">
        <v>89</v>
      </c>
      <c r="E1416" s="2" t="s">
        <v>2098</v>
      </c>
      <c r="F1416" s="2" t="s">
        <v>4835</v>
      </c>
      <c r="G1416" s="2" t="s">
        <v>4835</v>
      </c>
      <c r="H1416" s="2" t="s">
        <v>4835</v>
      </c>
      <c r="I1416" s="2" t="s">
        <v>2241</v>
      </c>
      <c r="J1416" s="2" t="s">
        <v>844</v>
      </c>
      <c r="K1416" s="2" t="s">
        <v>298</v>
      </c>
      <c r="L1416" s="3">
        <v>75.6</v>
      </c>
      <c r="M1416" s="3">
        <v>79.38</v>
      </c>
      <c r="N1416" s="3">
        <v>151.99</v>
      </c>
      <c r="O1416" s="2" t="s">
        <v>97</v>
      </c>
      <c r="P1416" s="2" t="s">
        <v>143</v>
      </c>
      <c r="Q1416" s="2" t="s">
        <v>99</v>
      </c>
      <c r="R1416" s="2" t="s">
        <v>100</v>
      </c>
      <c r="S1416" s="2" t="s">
        <v>4836</v>
      </c>
      <c r="T1416" s="2" t="s">
        <v>732</v>
      </c>
      <c r="U1416" s="2" t="s">
        <v>1610</v>
      </c>
      <c r="V1416" s="2" t="s">
        <v>991</v>
      </c>
      <c r="W1416" s="2" t="s">
        <v>4769</v>
      </c>
      <c r="X1416" s="2" t="s">
        <v>1530</v>
      </c>
      <c r="Y1416" s="2" t="s">
        <v>4837</v>
      </c>
      <c r="Z1416" s="4">
        <v>502</v>
      </c>
      <c r="AA1416" s="4">
        <f>=ROUNDDOWN(35.8571428571429,0)</f>
      </c>
      <c r="AB1416" s="5">
        <v>14</v>
      </c>
      <c r="AC1416" s="2" t="s">
        <v>2305</v>
      </c>
      <c r="AD1416" s="4">
        <v>79</v>
      </c>
      <c r="AE1416" s="4">
        <v>79</v>
      </c>
      <c r="AF1416" s="6">
        <v>67</v>
      </c>
      <c r="AG1416" s="6">
        <v>75</v>
      </c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>
        <v>274</v>
      </c>
      <c r="BK1416" s="8">
        <v>22674.56</v>
      </c>
      <c r="BL1416" s="2" t="s">
        <v>4838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97</v>
      </c>
      <c r="BW1416" s="2" t="s">
        <v>580</v>
      </c>
      <c r="BX1416" s="2" t="s">
        <v>100</v>
      </c>
      <c r="BY1416" s="2" t="s">
        <v>112</v>
      </c>
      <c r="BZ1416" s="2" t="s">
        <v>100</v>
      </c>
    </row>
    <row r="1417">
      <c r="A1417" s="2" t="s">
        <v>4839</v>
      </c>
      <c r="B1417" s="2" t="s">
        <v>87</v>
      </c>
      <c r="C1417" s="2" t="s">
        <v>4677</v>
      </c>
      <c r="D1417" s="2" t="s">
        <v>89</v>
      </c>
      <c r="E1417" s="2" t="s">
        <v>2098</v>
      </c>
      <c r="F1417" s="2" t="s">
        <v>4835</v>
      </c>
      <c r="G1417" s="2" t="s">
        <v>4835</v>
      </c>
      <c r="H1417" s="2" t="s">
        <v>4835</v>
      </c>
      <c r="I1417" s="2" t="s">
        <v>2241</v>
      </c>
      <c r="J1417" s="2" t="s">
        <v>850</v>
      </c>
      <c r="K1417" s="2" t="s">
        <v>298</v>
      </c>
      <c r="L1417" s="3">
        <v>91.8</v>
      </c>
      <c r="M1417" s="3">
        <v>96.39</v>
      </c>
      <c r="N1417" s="3">
        <v>183.99</v>
      </c>
      <c r="O1417" s="2" t="s">
        <v>97</v>
      </c>
      <c r="P1417" s="2" t="s">
        <v>143</v>
      </c>
      <c r="Q1417" s="2" t="s">
        <v>99</v>
      </c>
      <c r="R1417" s="2" t="s">
        <v>100</v>
      </c>
      <c r="S1417" s="2" t="s">
        <v>4836</v>
      </c>
      <c r="T1417" s="2" t="s">
        <v>732</v>
      </c>
      <c r="U1417" s="2" t="s">
        <v>1610</v>
      </c>
      <c r="V1417" s="2" t="s">
        <v>991</v>
      </c>
      <c r="W1417" s="2" t="s">
        <v>4769</v>
      </c>
      <c r="X1417" s="2" t="s">
        <v>1530</v>
      </c>
      <c r="Y1417" s="2" t="s">
        <v>4837</v>
      </c>
      <c r="Z1417" s="4">
        <v>345</v>
      </c>
      <c r="AA1417" s="4">
        <f>=ROUNDDOWN(28.75,0)</f>
      </c>
      <c r="AB1417" s="5">
        <v>12</v>
      </c>
      <c r="AC1417" s="2" t="s">
        <v>2305</v>
      </c>
      <c r="AD1417" s="4">
        <v>109</v>
      </c>
      <c r="AE1417" s="4">
        <v>109</v>
      </c>
      <c r="AF1417" s="6">
        <v>67</v>
      </c>
      <c r="AG1417" s="6">
        <v>75</v>
      </c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>
        <v>248</v>
      </c>
      <c r="BK1417" s="8">
        <v>25018.31</v>
      </c>
      <c r="BL1417" s="2" t="s">
        <v>4840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97</v>
      </c>
      <c r="BW1417" s="2" t="s">
        <v>580</v>
      </c>
      <c r="BX1417" s="2" t="s">
        <v>100</v>
      </c>
      <c r="BY1417" s="2" t="s">
        <v>112</v>
      </c>
      <c r="BZ1417" s="2" t="s">
        <v>100</v>
      </c>
    </row>
    <row r="1418">
      <c r="A1418" s="2" t="s">
        <v>4841</v>
      </c>
      <c r="B1418" s="2" t="s">
        <v>87</v>
      </c>
      <c r="C1418" s="2" t="s">
        <v>4677</v>
      </c>
      <c r="D1418" s="2" t="s">
        <v>89</v>
      </c>
      <c r="E1418" s="2" t="s">
        <v>2098</v>
      </c>
      <c r="F1418" s="2" t="s">
        <v>4842</v>
      </c>
      <c r="G1418" s="2" t="s">
        <v>4842</v>
      </c>
      <c r="H1418" s="2" t="s">
        <v>4842</v>
      </c>
      <c r="I1418" s="2" t="s">
        <v>4810</v>
      </c>
      <c r="J1418" s="2" t="s">
        <v>844</v>
      </c>
      <c r="K1418" s="2" t="s">
        <v>635</v>
      </c>
      <c r="L1418" s="3">
        <v>59.42</v>
      </c>
      <c r="M1418" s="3">
        <v>62.39</v>
      </c>
      <c r="N1418" s="3">
        <v>129.99</v>
      </c>
      <c r="O1418" s="2" t="s">
        <v>97</v>
      </c>
      <c r="P1418" s="2" t="s">
        <v>1166</v>
      </c>
      <c r="Q1418" s="2" t="s">
        <v>99</v>
      </c>
      <c r="R1418" s="2" t="s">
        <v>100</v>
      </c>
      <c r="S1418" s="2" t="s">
        <v>4843</v>
      </c>
      <c r="T1418" s="2" t="s">
        <v>732</v>
      </c>
      <c r="U1418" s="2" t="s">
        <v>1610</v>
      </c>
      <c r="V1418" s="2" t="s">
        <v>991</v>
      </c>
      <c r="W1418" s="2" t="s">
        <v>1403</v>
      </c>
      <c r="X1418" s="2" t="s">
        <v>759</v>
      </c>
      <c r="Y1418" s="2" t="s">
        <v>100</v>
      </c>
      <c r="Z1418" s="4"/>
      <c r="AA1418" s="4">
        <f>=ROUNDDOWN({0},0)</f>
      </c>
      <c r="AB1418" s="5"/>
      <c r="AC1418" s="2" t="s">
        <v>1208</v>
      </c>
      <c r="AD1418" s="4">
        <v>195</v>
      </c>
      <c r="AE1418" s="4">
        <v>390</v>
      </c>
      <c r="AF1418" s="6">
        <v>65</v>
      </c>
      <c r="AG1418" s="6"/>
      <c r="AH1418" s="7">
        <v>0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/>
      <c r="BK1418" s="8"/>
      <c r="BL1418" s="2" t="s">
        <v>100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1171</v>
      </c>
      <c r="BV1418" s="2" t="s">
        <v>97</v>
      </c>
      <c r="BW1418" s="2" t="s">
        <v>100</v>
      </c>
      <c r="BX1418" s="2" t="s">
        <v>100</v>
      </c>
      <c r="BY1418" s="2" t="s">
        <v>112</v>
      </c>
      <c r="BZ1418" s="2" t="s">
        <v>100</v>
      </c>
    </row>
    <row r="1419">
      <c r="A1419" s="2" t="s">
        <v>4844</v>
      </c>
      <c r="B1419" s="2" t="s">
        <v>87</v>
      </c>
      <c r="C1419" s="2" t="s">
        <v>4677</v>
      </c>
      <c r="D1419" s="2" t="s">
        <v>89</v>
      </c>
      <c r="E1419" s="2" t="s">
        <v>2098</v>
      </c>
      <c r="F1419" s="2" t="s">
        <v>4842</v>
      </c>
      <c r="G1419" s="2" t="s">
        <v>4842</v>
      </c>
      <c r="H1419" s="2" t="s">
        <v>4842</v>
      </c>
      <c r="I1419" s="2" t="s">
        <v>4810</v>
      </c>
      <c r="J1419" s="2" t="s">
        <v>850</v>
      </c>
      <c r="K1419" s="2" t="s">
        <v>635</v>
      </c>
      <c r="L1419" s="3">
        <v>68.57</v>
      </c>
      <c r="M1419" s="3">
        <v>72</v>
      </c>
      <c r="N1419" s="3">
        <v>149.99</v>
      </c>
      <c r="O1419" s="2" t="s">
        <v>97</v>
      </c>
      <c r="P1419" s="2" t="s">
        <v>1166</v>
      </c>
      <c r="Q1419" s="2" t="s">
        <v>99</v>
      </c>
      <c r="R1419" s="2" t="s">
        <v>100</v>
      </c>
      <c r="S1419" s="2" t="s">
        <v>4843</v>
      </c>
      <c r="T1419" s="2" t="s">
        <v>732</v>
      </c>
      <c r="U1419" s="2" t="s">
        <v>1610</v>
      </c>
      <c r="V1419" s="2" t="s">
        <v>991</v>
      </c>
      <c r="W1419" s="2" t="s">
        <v>1403</v>
      </c>
      <c r="X1419" s="2" t="s">
        <v>759</v>
      </c>
      <c r="Y1419" s="2" t="s">
        <v>100</v>
      </c>
      <c r="Z1419" s="4"/>
      <c r="AA1419" s="4">
        <f>=ROUNDDOWN({0},0)</f>
      </c>
      <c r="AB1419" s="5"/>
      <c r="AC1419" s="2" t="s">
        <v>1208</v>
      </c>
      <c r="AD1419" s="4">
        <v>140</v>
      </c>
      <c r="AE1419" s="4">
        <v>280</v>
      </c>
      <c r="AF1419" s="6">
        <v>65</v>
      </c>
      <c r="AG1419" s="6"/>
      <c r="AH1419" s="7">
        <v>0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/>
      <c r="BK1419" s="8"/>
      <c r="BL1419" s="2" t="s">
        <v>100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1171</v>
      </c>
      <c r="BV1419" s="2" t="s">
        <v>97</v>
      </c>
      <c r="BW1419" s="2" t="s">
        <v>100</v>
      </c>
      <c r="BX1419" s="2" t="s">
        <v>100</v>
      </c>
      <c r="BY1419" s="2" t="s">
        <v>112</v>
      </c>
      <c r="BZ1419" s="2" t="s">
        <v>100</v>
      </c>
    </row>
    <row r="1420">
      <c r="A1420" s="2" t="s">
        <v>4845</v>
      </c>
      <c r="B1420" s="2" t="s">
        <v>87</v>
      </c>
      <c r="C1420" s="2" t="s">
        <v>4677</v>
      </c>
      <c r="D1420" s="2" t="s">
        <v>89</v>
      </c>
      <c r="E1420" s="2" t="s">
        <v>2098</v>
      </c>
      <c r="F1420" s="2" t="s">
        <v>4846</v>
      </c>
      <c r="G1420" s="2" t="s">
        <v>4846</v>
      </c>
      <c r="H1420" s="2" t="s">
        <v>4846</v>
      </c>
      <c r="I1420" s="2" t="s">
        <v>2241</v>
      </c>
      <c r="J1420" s="2" t="s">
        <v>844</v>
      </c>
      <c r="K1420" s="2" t="s">
        <v>4847</v>
      </c>
      <c r="L1420" s="3">
        <v>70</v>
      </c>
      <c r="M1420" s="3">
        <v>73.49</v>
      </c>
      <c r="N1420" s="3">
        <v>139.99</v>
      </c>
      <c r="O1420" s="2" t="s">
        <v>229</v>
      </c>
      <c r="P1420" s="2" t="s">
        <v>198</v>
      </c>
      <c r="Q1420" s="2" t="s">
        <v>99</v>
      </c>
      <c r="R1420" s="2" t="s">
        <v>100</v>
      </c>
      <c r="S1420" s="2" t="s">
        <v>4848</v>
      </c>
      <c r="T1420" s="2" t="s">
        <v>732</v>
      </c>
      <c r="U1420" s="2" t="s">
        <v>1610</v>
      </c>
      <c r="V1420" s="2" t="s">
        <v>561</v>
      </c>
      <c r="W1420" s="2" t="s">
        <v>4770</v>
      </c>
      <c r="X1420" s="2" t="s">
        <v>759</v>
      </c>
      <c r="Y1420" s="2" t="s">
        <v>4849</v>
      </c>
      <c r="Z1420" s="4">
        <v>254</v>
      </c>
      <c r="AA1420" s="4">
        <f>=ROUNDDOWN(79.375,0)</f>
      </c>
      <c r="AB1420" s="5">
        <v>3.2</v>
      </c>
      <c r="AC1420" s="2" t="s">
        <v>100</v>
      </c>
      <c r="AD1420" s="4"/>
      <c r="AE1420" s="4"/>
      <c r="AF1420" s="6">
        <v>67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101</v>
      </c>
      <c r="BK1420" s="8">
        <v>7403.76</v>
      </c>
      <c r="BL1420" s="2" t="s">
        <v>4850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147</v>
      </c>
      <c r="BV1420" s="2" t="s">
        <v>97</v>
      </c>
      <c r="BW1420" s="2" t="s">
        <v>100</v>
      </c>
      <c r="BX1420" s="2" t="s">
        <v>100</v>
      </c>
      <c r="BY1420" s="2" t="s">
        <v>112</v>
      </c>
      <c r="BZ1420" s="2" t="s">
        <v>100</v>
      </c>
    </row>
    <row r="1421">
      <c r="A1421" s="2" t="s">
        <v>4851</v>
      </c>
      <c r="B1421" s="2" t="s">
        <v>87</v>
      </c>
      <c r="C1421" s="2" t="s">
        <v>4677</v>
      </c>
      <c r="D1421" s="2" t="s">
        <v>89</v>
      </c>
      <c r="E1421" s="2" t="s">
        <v>2098</v>
      </c>
      <c r="F1421" s="2" t="s">
        <v>4846</v>
      </c>
      <c r="G1421" s="2" t="s">
        <v>4846</v>
      </c>
      <c r="H1421" s="2" t="s">
        <v>4846</v>
      </c>
      <c r="I1421" s="2" t="s">
        <v>2241</v>
      </c>
      <c r="J1421" s="2" t="s">
        <v>850</v>
      </c>
      <c r="K1421" s="2" t="s">
        <v>4847</v>
      </c>
      <c r="L1421" s="3">
        <v>85</v>
      </c>
      <c r="M1421" s="3">
        <v>89.24</v>
      </c>
      <c r="N1421" s="3">
        <v>169.99</v>
      </c>
      <c r="O1421" s="2" t="s">
        <v>229</v>
      </c>
      <c r="P1421" s="2" t="s">
        <v>198</v>
      </c>
      <c r="Q1421" s="2" t="s">
        <v>99</v>
      </c>
      <c r="R1421" s="2" t="s">
        <v>100</v>
      </c>
      <c r="S1421" s="2" t="s">
        <v>4848</v>
      </c>
      <c r="T1421" s="2" t="s">
        <v>732</v>
      </c>
      <c r="U1421" s="2" t="s">
        <v>1610</v>
      </c>
      <c r="V1421" s="2" t="s">
        <v>561</v>
      </c>
      <c r="W1421" s="2" t="s">
        <v>4770</v>
      </c>
      <c r="X1421" s="2" t="s">
        <v>759</v>
      </c>
      <c r="Y1421" s="2" t="s">
        <v>4849</v>
      </c>
      <c r="Z1421" s="4">
        <v>296</v>
      </c>
      <c r="AA1421" s="4">
        <f>=ROUNDDOWN(77.8947368421053,0)</f>
      </c>
      <c r="AB1421" s="5">
        <v>3.8</v>
      </c>
      <c r="AC1421" s="2" t="s">
        <v>100</v>
      </c>
      <c r="AD1421" s="4"/>
      <c r="AE1421" s="4"/>
      <c r="AF1421" s="6">
        <v>67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119</v>
      </c>
      <c r="BK1421" s="8">
        <v>10335.69</v>
      </c>
      <c r="BL1421" s="2" t="s">
        <v>4852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147</v>
      </c>
      <c r="BV1421" s="2" t="s">
        <v>97</v>
      </c>
      <c r="BW1421" s="2" t="s">
        <v>100</v>
      </c>
      <c r="BX1421" s="2" t="s">
        <v>100</v>
      </c>
      <c r="BY1421" s="2" t="s">
        <v>112</v>
      </c>
      <c r="BZ1421" s="2" t="s">
        <v>100</v>
      </c>
    </row>
    <row r="1422">
      <c r="A1422" s="2" t="s">
        <v>4853</v>
      </c>
      <c r="B1422" s="2" t="s">
        <v>87</v>
      </c>
      <c r="C1422" s="2" t="s">
        <v>4677</v>
      </c>
      <c r="D1422" s="2" t="s">
        <v>89</v>
      </c>
      <c r="E1422" s="2" t="s">
        <v>2098</v>
      </c>
      <c r="F1422" s="2" t="s">
        <v>4846</v>
      </c>
      <c r="G1422" s="2" t="s">
        <v>4846</v>
      </c>
      <c r="H1422" s="2" t="s">
        <v>4846</v>
      </c>
      <c r="I1422" s="2" t="s">
        <v>2241</v>
      </c>
      <c r="J1422" s="2" t="s">
        <v>844</v>
      </c>
      <c r="K1422" s="2" t="s">
        <v>4854</v>
      </c>
      <c r="L1422" s="3">
        <v>70</v>
      </c>
      <c r="M1422" s="3">
        <v>73.49</v>
      </c>
      <c r="N1422" s="3">
        <v>139.99</v>
      </c>
      <c r="O1422" s="2" t="s">
        <v>97</v>
      </c>
      <c r="P1422" s="2" t="s">
        <v>143</v>
      </c>
      <c r="Q1422" s="2" t="s">
        <v>99</v>
      </c>
      <c r="R1422" s="2" t="s">
        <v>100</v>
      </c>
      <c r="S1422" s="2" t="s">
        <v>4855</v>
      </c>
      <c r="T1422" s="2" t="s">
        <v>732</v>
      </c>
      <c r="U1422" s="2" t="s">
        <v>1610</v>
      </c>
      <c r="V1422" s="2" t="s">
        <v>561</v>
      </c>
      <c r="W1422" s="2" t="s">
        <v>4769</v>
      </c>
      <c r="X1422" s="2" t="s">
        <v>759</v>
      </c>
      <c r="Y1422" s="2" t="s">
        <v>4856</v>
      </c>
      <c r="Z1422" s="4">
        <v>416</v>
      </c>
      <c r="AA1422" s="4">
        <f>=ROUNDDOWN(27.7333333333333,0)</f>
      </c>
      <c r="AB1422" s="5">
        <v>15</v>
      </c>
      <c r="AC1422" s="2" t="s">
        <v>269</v>
      </c>
      <c r="AD1422" s="4">
        <v>80</v>
      </c>
      <c r="AE1422" s="4">
        <v>180</v>
      </c>
      <c r="AF1422" s="6">
        <v>67</v>
      </c>
      <c r="AG1422" s="6">
        <v>75</v>
      </c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264</v>
      </c>
      <c r="BK1422" s="8">
        <v>20304.2</v>
      </c>
      <c r="BL1422" s="2" t="s">
        <v>4857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580</v>
      </c>
      <c r="BX1422" s="2" t="s">
        <v>100</v>
      </c>
      <c r="BY1422" s="2" t="s">
        <v>112</v>
      </c>
      <c r="BZ1422" s="2" t="s">
        <v>100</v>
      </c>
    </row>
    <row r="1423">
      <c r="A1423" s="2" t="s">
        <v>4858</v>
      </c>
      <c r="B1423" s="2" t="s">
        <v>87</v>
      </c>
      <c r="C1423" s="2" t="s">
        <v>4677</v>
      </c>
      <c r="D1423" s="2" t="s">
        <v>89</v>
      </c>
      <c r="E1423" s="2" t="s">
        <v>2098</v>
      </c>
      <c r="F1423" s="2" t="s">
        <v>4846</v>
      </c>
      <c r="G1423" s="2" t="s">
        <v>4846</v>
      </c>
      <c r="H1423" s="2" t="s">
        <v>4846</v>
      </c>
      <c r="I1423" s="2" t="s">
        <v>2241</v>
      </c>
      <c r="J1423" s="2" t="s">
        <v>850</v>
      </c>
      <c r="K1423" s="2" t="s">
        <v>4854</v>
      </c>
      <c r="L1423" s="3">
        <v>85</v>
      </c>
      <c r="M1423" s="3">
        <v>89.24</v>
      </c>
      <c r="N1423" s="3">
        <v>169.99</v>
      </c>
      <c r="O1423" s="2" t="s">
        <v>97</v>
      </c>
      <c r="P1423" s="2" t="s">
        <v>143</v>
      </c>
      <c r="Q1423" s="2" t="s">
        <v>99</v>
      </c>
      <c r="R1423" s="2" t="s">
        <v>100</v>
      </c>
      <c r="S1423" s="2" t="s">
        <v>4855</v>
      </c>
      <c r="T1423" s="2" t="s">
        <v>732</v>
      </c>
      <c r="U1423" s="2" t="s">
        <v>1610</v>
      </c>
      <c r="V1423" s="2" t="s">
        <v>561</v>
      </c>
      <c r="W1423" s="2" t="s">
        <v>4769</v>
      </c>
      <c r="X1423" s="2" t="s">
        <v>759</v>
      </c>
      <c r="Y1423" s="2" t="s">
        <v>4856</v>
      </c>
      <c r="Z1423" s="4">
        <v>323</v>
      </c>
      <c r="AA1423" s="4">
        <f>=ROUNDDOWN(20.1875,0)</f>
      </c>
      <c r="AB1423" s="5">
        <v>16</v>
      </c>
      <c r="AC1423" s="2" t="s">
        <v>269</v>
      </c>
      <c r="AD1423" s="4">
        <v>40</v>
      </c>
      <c r="AE1423" s="4">
        <v>160</v>
      </c>
      <c r="AF1423" s="6">
        <v>67</v>
      </c>
      <c r="AG1423" s="6">
        <v>75</v>
      </c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308</v>
      </c>
      <c r="BK1423" s="8">
        <v>28960.94</v>
      </c>
      <c r="BL1423" s="2" t="s">
        <v>4859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97</v>
      </c>
      <c r="BW1423" s="2" t="s">
        <v>580</v>
      </c>
      <c r="BX1423" s="2" t="s">
        <v>100</v>
      </c>
      <c r="BY1423" s="2" t="s">
        <v>112</v>
      </c>
      <c r="BZ1423" s="2" t="s">
        <v>100</v>
      </c>
    </row>
    <row r="1424">
      <c r="A1424" s="2" t="s">
        <v>4860</v>
      </c>
      <c r="B1424" s="2" t="s">
        <v>87</v>
      </c>
      <c r="C1424" s="2" t="s">
        <v>4677</v>
      </c>
      <c r="D1424" s="2" t="s">
        <v>89</v>
      </c>
      <c r="E1424" s="2" t="s">
        <v>2098</v>
      </c>
      <c r="F1424" s="2" t="s">
        <v>4861</v>
      </c>
      <c r="G1424" s="2" t="s">
        <v>4861</v>
      </c>
      <c r="H1424" s="2" t="s">
        <v>4861</v>
      </c>
      <c r="I1424" s="2" t="s">
        <v>4862</v>
      </c>
      <c r="J1424" s="2" t="s">
        <v>850</v>
      </c>
      <c r="K1424" s="2" t="s">
        <v>1204</v>
      </c>
      <c r="L1424" s="3">
        <v>83.33</v>
      </c>
      <c r="M1424" s="3">
        <v>87.49</v>
      </c>
      <c r="N1424" s="3">
        <v>179.99</v>
      </c>
      <c r="O1424" s="2" t="s">
        <v>229</v>
      </c>
      <c r="P1424" s="2" t="s">
        <v>198</v>
      </c>
      <c r="Q1424" s="2" t="s">
        <v>99</v>
      </c>
      <c r="R1424" s="2" t="s">
        <v>100</v>
      </c>
      <c r="S1424" s="2" t="s">
        <v>4863</v>
      </c>
      <c r="T1424" s="2" t="s">
        <v>732</v>
      </c>
      <c r="U1424" s="2" t="s">
        <v>1610</v>
      </c>
      <c r="V1424" s="2" t="s">
        <v>4769</v>
      </c>
      <c r="W1424" s="2" t="s">
        <v>1530</v>
      </c>
      <c r="X1424" s="2" t="s">
        <v>104</v>
      </c>
      <c r="Y1424" s="2" t="s">
        <v>2331</v>
      </c>
      <c r="Z1424" s="4">
        <v>9</v>
      </c>
      <c r="AA1424" s="4">
        <f>=ROUNDDOWN(1.42857142857143,0)</f>
      </c>
      <c r="AB1424" s="5">
        <v>6.3</v>
      </c>
      <c r="AC1424" s="2" t="s">
        <v>100</v>
      </c>
      <c r="AD1424" s="4"/>
      <c r="AE1424" s="4"/>
      <c r="AF1424" s="6">
        <v>69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/>
      <c r="AW1424" s="8"/>
      <c r="AX1424" s="4"/>
      <c r="AY1424" s="8"/>
      <c r="AZ1424" s="7"/>
      <c r="BA1424" s="7"/>
      <c r="BB1424" s="7"/>
      <c r="BC1424" s="4"/>
      <c r="BD1424" s="8"/>
      <c r="BE1424" s="4"/>
      <c r="BF1424" s="8"/>
      <c r="BG1424" s="7"/>
      <c r="BH1424" s="7"/>
      <c r="BI1424" s="7"/>
      <c r="BJ1424" s="4">
        <v>111</v>
      </c>
      <c r="BK1424" s="8">
        <v>7937.29</v>
      </c>
      <c r="BL1424" s="2" t="s">
        <v>4864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147</v>
      </c>
      <c r="BV1424" s="2" t="s">
        <v>97</v>
      </c>
      <c r="BW1424" s="2" t="s">
        <v>100</v>
      </c>
      <c r="BX1424" s="2" t="s">
        <v>100</v>
      </c>
      <c r="BY1424" s="2" t="s">
        <v>112</v>
      </c>
      <c r="BZ1424" s="2" t="s">
        <v>100</v>
      </c>
    </row>
    <row r="1425">
      <c r="A1425" s="2" t="s">
        <v>4865</v>
      </c>
      <c r="B1425" s="2" t="s">
        <v>87</v>
      </c>
      <c r="C1425" s="2" t="s">
        <v>4677</v>
      </c>
      <c r="D1425" s="2" t="s">
        <v>89</v>
      </c>
      <c r="E1425" s="2" t="s">
        <v>2098</v>
      </c>
      <c r="F1425" s="2" t="s">
        <v>4866</v>
      </c>
      <c r="G1425" s="2" t="s">
        <v>4866</v>
      </c>
      <c r="H1425" s="2" t="s">
        <v>4866</v>
      </c>
      <c r="I1425" s="2" t="s">
        <v>4867</v>
      </c>
      <c r="J1425" s="2" t="s">
        <v>844</v>
      </c>
      <c r="K1425" s="2" t="s">
        <v>2553</v>
      </c>
      <c r="L1425" s="3">
        <v>70</v>
      </c>
      <c r="M1425" s="3">
        <v>73.49</v>
      </c>
      <c r="N1425" s="3">
        <v>139.99</v>
      </c>
      <c r="O1425" s="2" t="s">
        <v>550</v>
      </c>
      <c r="P1425" s="2" t="s">
        <v>198</v>
      </c>
      <c r="Q1425" s="2" t="s">
        <v>99</v>
      </c>
      <c r="R1425" s="2" t="s">
        <v>100</v>
      </c>
      <c r="S1425" s="2" t="s">
        <v>4868</v>
      </c>
      <c r="T1425" s="2" t="s">
        <v>732</v>
      </c>
      <c r="U1425" s="2" t="s">
        <v>1610</v>
      </c>
      <c r="V1425" s="2" t="s">
        <v>561</v>
      </c>
      <c r="W1425" s="2" t="s">
        <v>1288</v>
      </c>
      <c r="X1425" s="2" t="s">
        <v>759</v>
      </c>
      <c r="Y1425" s="2" t="s">
        <v>4869</v>
      </c>
      <c r="Z1425" s="4">
        <v>18</v>
      </c>
      <c r="AA1425" s="4">
        <f>=ROUNDDOWN(3.6,0)</f>
      </c>
      <c r="AB1425" s="5">
        <v>5</v>
      </c>
      <c r="AC1425" s="2" t="s">
        <v>100</v>
      </c>
      <c r="AD1425" s="4"/>
      <c r="AE1425" s="4"/>
      <c r="AF1425" s="6">
        <v>67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/>
      <c r="AW1425" s="8"/>
      <c r="AX1425" s="4"/>
      <c r="AY1425" s="8"/>
      <c r="AZ1425" s="7"/>
      <c r="BA1425" s="7"/>
      <c r="BB1425" s="7"/>
      <c r="BC1425" s="4"/>
      <c r="BD1425" s="8"/>
      <c r="BE1425" s="4"/>
      <c r="BF1425" s="8"/>
      <c r="BG1425" s="7"/>
      <c r="BH1425" s="7"/>
      <c r="BI1425" s="7"/>
      <c r="BJ1425" s="4">
        <v>43</v>
      </c>
      <c r="BK1425" s="8">
        <v>3442.97</v>
      </c>
      <c r="BL1425" s="2" t="s">
        <v>4870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147</v>
      </c>
      <c r="BV1425" s="2" t="s">
        <v>97</v>
      </c>
      <c r="BW1425" s="2" t="s">
        <v>100</v>
      </c>
      <c r="BX1425" s="2" t="s">
        <v>100</v>
      </c>
      <c r="BY1425" s="2" t="s">
        <v>112</v>
      </c>
      <c r="BZ1425" s="2" t="s">
        <v>100</v>
      </c>
    </row>
    <row r="1426">
      <c r="A1426" s="2" t="s">
        <v>4871</v>
      </c>
      <c r="B1426" s="2" t="s">
        <v>87</v>
      </c>
      <c r="C1426" s="2" t="s">
        <v>4677</v>
      </c>
      <c r="D1426" s="2" t="s">
        <v>89</v>
      </c>
      <c r="E1426" s="2" t="s">
        <v>2098</v>
      </c>
      <c r="F1426" s="2" t="s">
        <v>4872</v>
      </c>
      <c r="G1426" s="2" t="s">
        <v>4872</v>
      </c>
      <c r="H1426" s="2" t="s">
        <v>4872</v>
      </c>
      <c r="I1426" s="2" t="s">
        <v>4873</v>
      </c>
      <c r="J1426" s="2" t="s">
        <v>844</v>
      </c>
      <c r="K1426" s="2" t="s">
        <v>123</v>
      </c>
      <c r="L1426" s="3">
        <v>75.6</v>
      </c>
      <c r="M1426" s="3">
        <v>79.38</v>
      </c>
      <c r="N1426" s="3">
        <v>151.99</v>
      </c>
      <c r="O1426" s="2" t="s">
        <v>97</v>
      </c>
      <c r="P1426" s="2" t="s">
        <v>143</v>
      </c>
      <c r="Q1426" s="2" t="s">
        <v>99</v>
      </c>
      <c r="R1426" s="2" t="s">
        <v>100</v>
      </c>
      <c r="S1426" s="2" t="s">
        <v>4874</v>
      </c>
      <c r="T1426" s="2" t="s">
        <v>732</v>
      </c>
      <c r="U1426" s="2" t="s">
        <v>1610</v>
      </c>
      <c r="V1426" s="2" t="s">
        <v>4714</v>
      </c>
      <c r="W1426" s="2" t="s">
        <v>1530</v>
      </c>
      <c r="X1426" s="2" t="s">
        <v>4769</v>
      </c>
      <c r="Y1426" s="2" t="s">
        <v>4875</v>
      </c>
      <c r="Z1426" s="4">
        <v>257</v>
      </c>
      <c r="AA1426" s="4">
        <f>=ROUNDDOWN(19.7692307692308,0)</f>
      </c>
      <c r="AB1426" s="5">
        <v>13</v>
      </c>
      <c r="AC1426" s="2" t="s">
        <v>130</v>
      </c>
      <c r="AD1426" s="4">
        <v>135</v>
      </c>
      <c r="AE1426" s="4">
        <v>455</v>
      </c>
      <c r="AF1426" s="6">
        <v>67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247</v>
      </c>
      <c r="BK1426" s="8">
        <v>20763.8</v>
      </c>
      <c r="BL1426" s="2" t="s">
        <v>4876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97</v>
      </c>
      <c r="BW1426" s="2" t="s">
        <v>580</v>
      </c>
      <c r="BX1426" s="2" t="s">
        <v>100</v>
      </c>
      <c r="BY1426" s="2" t="s">
        <v>112</v>
      </c>
      <c r="BZ1426" s="2" t="s">
        <v>100</v>
      </c>
    </row>
    <row r="1427">
      <c r="A1427" s="2" t="s">
        <v>4877</v>
      </c>
      <c r="B1427" s="2" t="s">
        <v>87</v>
      </c>
      <c r="C1427" s="2" t="s">
        <v>4677</v>
      </c>
      <c r="D1427" s="2" t="s">
        <v>89</v>
      </c>
      <c r="E1427" s="2" t="s">
        <v>2098</v>
      </c>
      <c r="F1427" s="2" t="s">
        <v>4872</v>
      </c>
      <c r="G1427" s="2" t="s">
        <v>4872</v>
      </c>
      <c r="H1427" s="2" t="s">
        <v>4872</v>
      </c>
      <c r="I1427" s="2" t="s">
        <v>4873</v>
      </c>
      <c r="J1427" s="2" t="s">
        <v>850</v>
      </c>
      <c r="K1427" s="2" t="s">
        <v>123</v>
      </c>
      <c r="L1427" s="3">
        <v>91.8</v>
      </c>
      <c r="M1427" s="3">
        <v>96.39</v>
      </c>
      <c r="N1427" s="3">
        <v>183.99</v>
      </c>
      <c r="O1427" s="2" t="s">
        <v>97</v>
      </c>
      <c r="P1427" s="2" t="s">
        <v>143</v>
      </c>
      <c r="Q1427" s="2" t="s">
        <v>99</v>
      </c>
      <c r="R1427" s="2" t="s">
        <v>100</v>
      </c>
      <c r="S1427" s="2" t="s">
        <v>4874</v>
      </c>
      <c r="T1427" s="2" t="s">
        <v>732</v>
      </c>
      <c r="U1427" s="2" t="s">
        <v>1610</v>
      </c>
      <c r="V1427" s="2" t="s">
        <v>4714</v>
      </c>
      <c r="W1427" s="2" t="s">
        <v>1530</v>
      </c>
      <c r="X1427" s="2" t="s">
        <v>4769</v>
      </c>
      <c r="Y1427" s="2" t="s">
        <v>4875</v>
      </c>
      <c r="Z1427" s="4">
        <v>380</v>
      </c>
      <c r="AA1427" s="4">
        <f>=ROUNDDOWN(25.3333333333333,0)</f>
      </c>
      <c r="AB1427" s="5">
        <v>15</v>
      </c>
      <c r="AC1427" s="2" t="s">
        <v>130</v>
      </c>
      <c r="AD1427" s="4">
        <v>185</v>
      </c>
      <c r="AE1427" s="4">
        <v>465</v>
      </c>
      <c r="AF1427" s="6">
        <v>67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277</v>
      </c>
      <c r="BK1427" s="8">
        <v>28231.95</v>
      </c>
      <c r="BL1427" s="2" t="s">
        <v>4878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97</v>
      </c>
      <c r="BW1427" s="2" t="s">
        <v>580</v>
      </c>
      <c r="BX1427" s="2" t="s">
        <v>100</v>
      </c>
      <c r="BY1427" s="2" t="s">
        <v>112</v>
      </c>
      <c r="BZ1427" s="2" t="s">
        <v>100</v>
      </c>
    </row>
    <row r="1428">
      <c r="A1428" s="2" t="s">
        <v>4879</v>
      </c>
      <c r="B1428" s="2" t="s">
        <v>87</v>
      </c>
      <c r="C1428" s="2" t="s">
        <v>4677</v>
      </c>
      <c r="D1428" s="2" t="s">
        <v>89</v>
      </c>
      <c r="E1428" s="2" t="s">
        <v>2098</v>
      </c>
      <c r="F1428" s="2" t="s">
        <v>4880</v>
      </c>
      <c r="G1428" s="2" t="s">
        <v>4880</v>
      </c>
      <c r="H1428" s="2" t="s">
        <v>4880</v>
      </c>
      <c r="I1428" s="2" t="s">
        <v>4881</v>
      </c>
      <c r="J1428" s="2" t="s">
        <v>844</v>
      </c>
      <c r="K1428" s="2" t="s">
        <v>1204</v>
      </c>
      <c r="L1428" s="3">
        <v>62.49</v>
      </c>
      <c r="M1428" s="3">
        <v>65.62</v>
      </c>
      <c r="N1428" s="3">
        <v>124.99</v>
      </c>
      <c r="O1428" s="2" t="s">
        <v>550</v>
      </c>
      <c r="P1428" s="2" t="s">
        <v>198</v>
      </c>
      <c r="Q1428" s="2" t="s">
        <v>99</v>
      </c>
      <c r="R1428" s="2" t="s">
        <v>100</v>
      </c>
      <c r="S1428" s="2" t="s">
        <v>4882</v>
      </c>
      <c r="T1428" s="2" t="s">
        <v>732</v>
      </c>
      <c r="U1428" s="2" t="s">
        <v>1610</v>
      </c>
      <c r="V1428" s="2" t="s">
        <v>637</v>
      </c>
      <c r="W1428" s="2" t="s">
        <v>733</v>
      </c>
      <c r="X1428" s="2" t="s">
        <v>1288</v>
      </c>
      <c r="Y1428" s="2" t="s">
        <v>4883</v>
      </c>
      <c r="Z1428" s="4">
        <v>23</v>
      </c>
      <c r="AA1428" s="4">
        <f>=ROUNDDOWN(25.5555555555556,0)</f>
      </c>
      <c r="AB1428" s="5">
        <v>0.9</v>
      </c>
      <c r="AC1428" s="2" t="s">
        <v>100</v>
      </c>
      <c r="AD1428" s="4"/>
      <c r="AE1428" s="4"/>
      <c r="AF1428" s="6">
        <v>67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31</v>
      </c>
      <c r="BK1428" s="8">
        <v>1529.78</v>
      </c>
      <c r="BL1428" s="2" t="s">
        <v>4884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147</v>
      </c>
      <c r="BV1428" s="2" t="s">
        <v>97</v>
      </c>
      <c r="BW1428" s="2" t="s">
        <v>100</v>
      </c>
      <c r="BX1428" s="2" t="s">
        <v>100</v>
      </c>
      <c r="BY1428" s="2" t="s">
        <v>112</v>
      </c>
      <c r="BZ1428" s="2" t="s">
        <v>100</v>
      </c>
    </row>
    <row r="1429">
      <c r="A1429" s="2" t="s">
        <v>4885</v>
      </c>
      <c r="B1429" s="2" t="s">
        <v>87</v>
      </c>
      <c r="C1429" s="2" t="s">
        <v>4677</v>
      </c>
      <c r="D1429" s="2" t="s">
        <v>89</v>
      </c>
      <c r="E1429" s="2" t="s">
        <v>2098</v>
      </c>
      <c r="F1429" s="2" t="s">
        <v>1030</v>
      </c>
      <c r="G1429" s="2" t="s">
        <v>1030</v>
      </c>
      <c r="H1429" s="2" t="s">
        <v>1030</v>
      </c>
      <c r="I1429" s="2" t="s">
        <v>4886</v>
      </c>
      <c r="J1429" s="2" t="s">
        <v>844</v>
      </c>
      <c r="K1429" s="2" t="s">
        <v>197</v>
      </c>
      <c r="L1429" s="3">
        <v>62.4</v>
      </c>
      <c r="M1429" s="3">
        <v>65.52</v>
      </c>
      <c r="N1429" s="3">
        <v>129.99</v>
      </c>
      <c r="O1429" s="2" t="s">
        <v>550</v>
      </c>
      <c r="P1429" s="2" t="s">
        <v>198</v>
      </c>
      <c r="Q1429" s="2" t="s">
        <v>99</v>
      </c>
      <c r="R1429" s="2" t="s">
        <v>100</v>
      </c>
      <c r="S1429" s="2" t="s">
        <v>4887</v>
      </c>
      <c r="T1429" s="2" t="s">
        <v>100</v>
      </c>
      <c r="U1429" s="2" t="s">
        <v>1610</v>
      </c>
      <c r="V1429" s="2" t="s">
        <v>4769</v>
      </c>
      <c r="W1429" s="2" t="s">
        <v>2195</v>
      </c>
      <c r="X1429" s="2" t="s">
        <v>759</v>
      </c>
      <c r="Y1429" s="2" t="s">
        <v>4888</v>
      </c>
      <c r="Z1429" s="4">
        <v>433</v>
      </c>
      <c r="AA1429" s="4">
        <f>=ROUNDDOWN(144.333333333333,0)</f>
      </c>
      <c r="AB1429" s="5">
        <v>3</v>
      </c>
      <c r="AC1429" s="2" t="s">
        <v>100</v>
      </c>
      <c r="AD1429" s="4"/>
      <c r="AE1429" s="4"/>
      <c r="AF1429" s="6">
        <v>67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/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/>
      <c r="BJ1429" s="4">
        <v>60</v>
      </c>
      <c r="BK1429" s="8">
        <v>3326.96</v>
      </c>
      <c r="BL1429" s="2" t="s">
        <v>4889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147</v>
      </c>
      <c r="BV1429" s="2" t="s">
        <v>97</v>
      </c>
      <c r="BW1429" s="2" t="s">
        <v>100</v>
      </c>
      <c r="BX1429" s="2" t="s">
        <v>100</v>
      </c>
      <c r="BY1429" s="2" t="s">
        <v>112</v>
      </c>
      <c r="BZ1429" s="2" t="s">
        <v>100</v>
      </c>
    </row>
    <row r="1430">
      <c r="A1430" s="2" t="s">
        <v>4890</v>
      </c>
      <c r="B1430" s="2" t="s">
        <v>87</v>
      </c>
      <c r="C1430" s="2" t="s">
        <v>4677</v>
      </c>
      <c r="D1430" s="2" t="s">
        <v>89</v>
      </c>
      <c r="E1430" s="2" t="s">
        <v>2098</v>
      </c>
      <c r="F1430" s="2" t="s">
        <v>1030</v>
      </c>
      <c r="G1430" s="2" t="s">
        <v>1030</v>
      </c>
      <c r="H1430" s="2" t="s">
        <v>1030</v>
      </c>
      <c r="I1430" s="2" t="s">
        <v>4886</v>
      </c>
      <c r="J1430" s="2" t="s">
        <v>850</v>
      </c>
      <c r="K1430" s="2" t="s">
        <v>197</v>
      </c>
      <c r="L1430" s="3">
        <v>76.8</v>
      </c>
      <c r="M1430" s="3">
        <v>80.64</v>
      </c>
      <c r="N1430" s="3">
        <v>159.99</v>
      </c>
      <c r="O1430" s="2" t="s">
        <v>550</v>
      </c>
      <c r="P1430" s="2" t="s">
        <v>198</v>
      </c>
      <c r="Q1430" s="2" t="s">
        <v>99</v>
      </c>
      <c r="R1430" s="2" t="s">
        <v>100</v>
      </c>
      <c r="S1430" s="2" t="s">
        <v>4887</v>
      </c>
      <c r="T1430" s="2" t="s">
        <v>100</v>
      </c>
      <c r="U1430" s="2" t="s">
        <v>1610</v>
      </c>
      <c r="V1430" s="2" t="s">
        <v>4769</v>
      </c>
      <c r="W1430" s="2" t="s">
        <v>2195</v>
      </c>
      <c r="X1430" s="2" t="s">
        <v>759</v>
      </c>
      <c r="Y1430" s="2" t="s">
        <v>4888</v>
      </c>
      <c r="Z1430" s="4">
        <v>509</v>
      </c>
      <c r="AA1430" s="4">
        <f>=ROUNDDOWN(509,0)</f>
      </c>
      <c r="AB1430" s="5">
        <v>1</v>
      </c>
      <c r="AC1430" s="2" t="s">
        <v>100</v>
      </c>
      <c r="AD1430" s="4"/>
      <c r="AE1430" s="4"/>
      <c r="AF1430" s="6">
        <v>67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100</v>
      </c>
      <c r="AW1430" s="8" t="s">
        <v>100</v>
      </c>
      <c r="AX1430" s="4" t="s">
        <v>100</v>
      </c>
      <c r="AY1430" s="8" t="s">
        <v>100</v>
      </c>
      <c r="AZ1430" s="7" t="s">
        <v>100</v>
      </c>
      <c r="BA1430" s="7" t="s">
        <v>100</v>
      </c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>
        <v>46</v>
      </c>
      <c r="BK1430" s="8">
        <v>2901.49</v>
      </c>
      <c r="BL1430" s="2" t="s">
        <v>4891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147</v>
      </c>
      <c r="BV1430" s="2" t="s">
        <v>97</v>
      </c>
      <c r="BW1430" s="2" t="s">
        <v>100</v>
      </c>
      <c r="BX1430" s="2" t="s">
        <v>100</v>
      </c>
      <c r="BY1430" s="2" t="s">
        <v>112</v>
      </c>
      <c r="BZ1430" s="2" t="s">
        <v>100</v>
      </c>
    </row>
    <row r="1431">
      <c r="A1431" s="2" t="s">
        <v>4892</v>
      </c>
      <c r="B1431" s="2" t="s">
        <v>87</v>
      </c>
      <c r="C1431" s="2" t="s">
        <v>4677</v>
      </c>
      <c r="D1431" s="2" t="s">
        <v>89</v>
      </c>
      <c r="E1431" s="2" t="s">
        <v>2098</v>
      </c>
      <c r="F1431" s="2" t="s">
        <v>4893</v>
      </c>
      <c r="G1431" s="2" t="s">
        <v>4893</v>
      </c>
      <c r="H1431" s="2" t="s">
        <v>4893</v>
      </c>
      <c r="I1431" s="2" t="s">
        <v>4894</v>
      </c>
      <c r="J1431" s="2" t="s">
        <v>844</v>
      </c>
      <c r="K1431" s="2" t="s">
        <v>4895</v>
      </c>
      <c r="L1431" s="3">
        <v>54.85</v>
      </c>
      <c r="M1431" s="3">
        <v>57.59</v>
      </c>
      <c r="N1431" s="3">
        <v>119.99</v>
      </c>
      <c r="O1431" s="2" t="s">
        <v>97</v>
      </c>
      <c r="P1431" s="2" t="s">
        <v>1166</v>
      </c>
      <c r="Q1431" s="2" t="s">
        <v>99</v>
      </c>
      <c r="R1431" s="2" t="s">
        <v>100</v>
      </c>
      <c r="S1431" s="2" t="s">
        <v>4896</v>
      </c>
      <c r="T1431" s="2" t="s">
        <v>732</v>
      </c>
      <c r="U1431" s="2" t="s">
        <v>1610</v>
      </c>
      <c r="V1431" s="2" t="s">
        <v>561</v>
      </c>
      <c r="W1431" s="2" t="s">
        <v>4770</v>
      </c>
      <c r="X1431" s="2" t="s">
        <v>759</v>
      </c>
      <c r="Y1431" s="2" t="s">
        <v>4144</v>
      </c>
      <c r="Z1431" s="4">
        <v>110</v>
      </c>
      <c r="AA1431" s="4">
        <f>=ROUNDDOWN({0},0)</f>
      </c>
      <c r="AB1431" s="5"/>
      <c r="AC1431" s="2" t="s">
        <v>2305</v>
      </c>
      <c r="AD1431" s="4">
        <v>110</v>
      </c>
      <c r="AE1431" s="4">
        <v>110</v>
      </c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100</v>
      </c>
      <c r="AW1431" s="8" t="s">
        <v>100</v>
      </c>
      <c r="AX1431" s="4" t="s">
        <v>100</v>
      </c>
      <c r="AY1431" s="8" t="s">
        <v>100</v>
      </c>
      <c r="AZ1431" s="7" t="s">
        <v>100</v>
      </c>
      <c r="BA1431" s="7" t="s">
        <v>100</v>
      </c>
      <c r="BB1431" s="7"/>
      <c r="BC1431" s="4" t="s">
        <v>100</v>
      </c>
      <c r="BD1431" s="8" t="s">
        <v>100</v>
      </c>
      <c r="BE1431" s="4" t="s">
        <v>100</v>
      </c>
      <c r="BF1431" s="8" t="s">
        <v>100</v>
      </c>
      <c r="BG1431" s="7" t="s">
        <v>100</v>
      </c>
      <c r="BH1431" s="7" t="s">
        <v>100</v>
      </c>
      <c r="BI1431" s="7"/>
      <c r="BJ1431" s="4"/>
      <c r="BK1431" s="8"/>
      <c r="BL1431" s="2" t="s">
        <v>100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1171</v>
      </c>
      <c r="BV1431" s="2" t="s">
        <v>97</v>
      </c>
      <c r="BW1431" s="2" t="s">
        <v>100</v>
      </c>
      <c r="BX1431" s="2" t="s">
        <v>100</v>
      </c>
      <c r="BY1431" s="2" t="s">
        <v>112</v>
      </c>
      <c r="BZ1431" s="2" t="s">
        <v>100</v>
      </c>
    </row>
    <row r="1432">
      <c r="A1432" s="2" t="s">
        <v>4897</v>
      </c>
      <c r="B1432" s="2" t="s">
        <v>87</v>
      </c>
      <c r="C1432" s="2" t="s">
        <v>4677</v>
      </c>
      <c r="D1432" s="2" t="s">
        <v>89</v>
      </c>
      <c r="E1432" s="2" t="s">
        <v>2098</v>
      </c>
      <c r="F1432" s="2" t="s">
        <v>4893</v>
      </c>
      <c r="G1432" s="2" t="s">
        <v>4893</v>
      </c>
      <c r="H1432" s="2" t="s">
        <v>4893</v>
      </c>
      <c r="I1432" s="2" t="s">
        <v>4894</v>
      </c>
      <c r="J1432" s="2" t="s">
        <v>850</v>
      </c>
      <c r="K1432" s="2" t="s">
        <v>4895</v>
      </c>
      <c r="L1432" s="3">
        <v>64</v>
      </c>
      <c r="M1432" s="3">
        <v>67.2</v>
      </c>
      <c r="N1432" s="3">
        <v>139.99</v>
      </c>
      <c r="O1432" s="2" t="s">
        <v>97</v>
      </c>
      <c r="P1432" s="2" t="s">
        <v>1166</v>
      </c>
      <c r="Q1432" s="2" t="s">
        <v>99</v>
      </c>
      <c r="R1432" s="2" t="s">
        <v>100</v>
      </c>
      <c r="S1432" s="2" t="s">
        <v>4896</v>
      </c>
      <c r="T1432" s="2" t="s">
        <v>732</v>
      </c>
      <c r="U1432" s="2" t="s">
        <v>1610</v>
      </c>
      <c r="V1432" s="2" t="s">
        <v>561</v>
      </c>
      <c r="W1432" s="2" t="s">
        <v>4770</v>
      </c>
      <c r="X1432" s="2" t="s">
        <v>759</v>
      </c>
      <c r="Y1432" s="2" t="s">
        <v>4144</v>
      </c>
      <c r="Z1432" s="4">
        <v>99</v>
      </c>
      <c r="AA1432" s="4">
        <f>=ROUNDDOWN(141.428571428571,0)</f>
      </c>
      <c r="AB1432" s="5">
        <v>0.7</v>
      </c>
      <c r="AC1432" s="2" t="s">
        <v>2305</v>
      </c>
      <c r="AD1432" s="4">
        <v>100</v>
      </c>
      <c r="AE1432" s="4">
        <v>100</v>
      </c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1</v>
      </c>
      <c r="BK1432" s="8">
        <v>72.58</v>
      </c>
      <c r="BL1432" s="2" t="s">
        <v>1678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1171</v>
      </c>
      <c r="BV1432" s="2" t="s">
        <v>97</v>
      </c>
      <c r="BW1432" s="2" t="s">
        <v>100</v>
      </c>
      <c r="BX1432" s="2" t="s">
        <v>100</v>
      </c>
      <c r="BY1432" s="2" t="s">
        <v>112</v>
      </c>
      <c r="BZ1432" s="2" t="s">
        <v>100</v>
      </c>
    </row>
    <row r="1433">
      <c r="A1433" s="2" t="s">
        <v>4898</v>
      </c>
      <c r="B1433" s="2" t="s">
        <v>87</v>
      </c>
      <c r="C1433" s="2" t="s">
        <v>4677</v>
      </c>
      <c r="D1433" s="2" t="s">
        <v>89</v>
      </c>
      <c r="E1433" s="2" t="s">
        <v>2098</v>
      </c>
      <c r="F1433" s="2" t="s">
        <v>4893</v>
      </c>
      <c r="G1433" s="2" t="s">
        <v>4893</v>
      </c>
      <c r="H1433" s="2" t="s">
        <v>4893</v>
      </c>
      <c r="I1433" s="2" t="s">
        <v>4894</v>
      </c>
      <c r="J1433" s="2" t="s">
        <v>844</v>
      </c>
      <c r="K1433" s="2" t="s">
        <v>622</v>
      </c>
      <c r="L1433" s="3">
        <v>54.85</v>
      </c>
      <c r="M1433" s="3">
        <v>57.59</v>
      </c>
      <c r="N1433" s="3">
        <v>119.99</v>
      </c>
      <c r="O1433" s="2" t="s">
        <v>97</v>
      </c>
      <c r="P1433" s="2" t="s">
        <v>1166</v>
      </c>
      <c r="Q1433" s="2" t="s">
        <v>99</v>
      </c>
      <c r="R1433" s="2" t="s">
        <v>100</v>
      </c>
      <c r="S1433" s="2" t="s">
        <v>4899</v>
      </c>
      <c r="T1433" s="2" t="s">
        <v>732</v>
      </c>
      <c r="U1433" s="2" t="s">
        <v>1610</v>
      </c>
      <c r="V1433" s="2" t="s">
        <v>561</v>
      </c>
      <c r="W1433" s="2" t="s">
        <v>4770</v>
      </c>
      <c r="X1433" s="2" t="s">
        <v>759</v>
      </c>
      <c r="Y1433" s="2" t="s">
        <v>4144</v>
      </c>
      <c r="Z1433" s="4">
        <v>110</v>
      </c>
      <c r="AA1433" s="4">
        <f>=ROUNDDOWN({0},0)</f>
      </c>
      <c r="AB1433" s="5"/>
      <c r="AC1433" s="2" t="s">
        <v>2305</v>
      </c>
      <c r="AD1433" s="4">
        <v>110</v>
      </c>
      <c r="AE1433" s="4">
        <v>110</v>
      </c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/>
      <c r="BK1433" s="8"/>
      <c r="BL1433" s="2" t="s">
        <v>100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1171</v>
      </c>
      <c r="BV1433" s="2" t="s">
        <v>97</v>
      </c>
      <c r="BW1433" s="2" t="s">
        <v>100</v>
      </c>
      <c r="BX1433" s="2" t="s">
        <v>100</v>
      </c>
      <c r="BY1433" s="2" t="s">
        <v>112</v>
      </c>
      <c r="BZ1433" s="2" t="s">
        <v>100</v>
      </c>
    </row>
    <row r="1434">
      <c r="A1434" s="2" t="s">
        <v>4900</v>
      </c>
      <c r="B1434" s="2" t="s">
        <v>87</v>
      </c>
      <c r="C1434" s="2" t="s">
        <v>4677</v>
      </c>
      <c r="D1434" s="2" t="s">
        <v>89</v>
      </c>
      <c r="E1434" s="2" t="s">
        <v>2098</v>
      </c>
      <c r="F1434" s="2" t="s">
        <v>4893</v>
      </c>
      <c r="G1434" s="2" t="s">
        <v>4893</v>
      </c>
      <c r="H1434" s="2" t="s">
        <v>4893</v>
      </c>
      <c r="I1434" s="2" t="s">
        <v>4894</v>
      </c>
      <c r="J1434" s="2" t="s">
        <v>850</v>
      </c>
      <c r="K1434" s="2" t="s">
        <v>622</v>
      </c>
      <c r="L1434" s="3">
        <v>64</v>
      </c>
      <c r="M1434" s="3">
        <v>67.2</v>
      </c>
      <c r="N1434" s="3">
        <v>139.99</v>
      </c>
      <c r="O1434" s="2" t="s">
        <v>97</v>
      </c>
      <c r="P1434" s="2" t="s">
        <v>1166</v>
      </c>
      <c r="Q1434" s="2" t="s">
        <v>99</v>
      </c>
      <c r="R1434" s="2" t="s">
        <v>100</v>
      </c>
      <c r="S1434" s="2" t="s">
        <v>4899</v>
      </c>
      <c r="T1434" s="2" t="s">
        <v>732</v>
      </c>
      <c r="U1434" s="2" t="s">
        <v>1610</v>
      </c>
      <c r="V1434" s="2" t="s">
        <v>561</v>
      </c>
      <c r="W1434" s="2" t="s">
        <v>4770</v>
      </c>
      <c r="X1434" s="2" t="s">
        <v>759</v>
      </c>
      <c r="Y1434" s="2" t="s">
        <v>4095</v>
      </c>
      <c r="Z1434" s="4">
        <v>100</v>
      </c>
      <c r="AA1434" s="4">
        <f>=ROUNDDOWN({0},0)</f>
      </c>
      <c r="AB1434" s="5"/>
      <c r="AC1434" s="2" t="s">
        <v>2305</v>
      </c>
      <c r="AD1434" s="4">
        <v>100</v>
      </c>
      <c r="AE1434" s="4">
        <v>100</v>
      </c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100</v>
      </c>
      <c r="AW1434" s="8" t="s">
        <v>100</v>
      </c>
      <c r="AX1434" s="4" t="s">
        <v>100</v>
      </c>
      <c r="AY1434" s="8" t="s">
        <v>100</v>
      </c>
      <c r="AZ1434" s="7" t="s">
        <v>100</v>
      </c>
      <c r="BA1434" s="7" t="s">
        <v>100</v>
      </c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/>
      <c r="BK1434" s="8"/>
      <c r="BL1434" s="2" t="s">
        <v>100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1171</v>
      </c>
      <c r="BV1434" s="2" t="s">
        <v>97</v>
      </c>
      <c r="BW1434" s="2" t="s">
        <v>100</v>
      </c>
      <c r="BX1434" s="2" t="s">
        <v>100</v>
      </c>
      <c r="BY1434" s="2" t="s">
        <v>112</v>
      </c>
      <c r="BZ1434" s="2" t="s">
        <v>100</v>
      </c>
    </row>
    <row r="1435">
      <c r="A1435" s="2" t="s">
        <v>4901</v>
      </c>
      <c r="B1435" s="2" t="s">
        <v>87</v>
      </c>
      <c r="C1435" s="2" t="s">
        <v>4677</v>
      </c>
      <c r="D1435" s="2" t="s">
        <v>89</v>
      </c>
      <c r="E1435" s="2" t="s">
        <v>2098</v>
      </c>
      <c r="F1435" s="2" t="s">
        <v>4902</v>
      </c>
      <c r="G1435" s="2" t="s">
        <v>4902</v>
      </c>
      <c r="H1435" s="2" t="s">
        <v>4902</v>
      </c>
      <c r="I1435" s="2" t="s">
        <v>4903</v>
      </c>
      <c r="J1435" s="2" t="s">
        <v>844</v>
      </c>
      <c r="K1435" s="2" t="s">
        <v>4904</v>
      </c>
      <c r="L1435" s="3">
        <v>65</v>
      </c>
      <c r="M1435" s="3">
        <v>68.25</v>
      </c>
      <c r="N1435" s="3">
        <v>129.99</v>
      </c>
      <c r="O1435" s="2" t="s">
        <v>97</v>
      </c>
      <c r="P1435" s="2" t="s">
        <v>182</v>
      </c>
      <c r="Q1435" s="2" t="s">
        <v>99</v>
      </c>
      <c r="R1435" s="2" t="s">
        <v>100</v>
      </c>
      <c r="S1435" s="2" t="s">
        <v>4905</v>
      </c>
      <c r="T1435" s="2" t="s">
        <v>732</v>
      </c>
      <c r="U1435" s="2" t="s">
        <v>1610</v>
      </c>
      <c r="V1435" s="2" t="s">
        <v>1122</v>
      </c>
      <c r="W1435" s="2" t="s">
        <v>733</v>
      </c>
      <c r="X1435" s="2" t="s">
        <v>759</v>
      </c>
      <c r="Y1435" s="2" t="s">
        <v>1276</v>
      </c>
      <c r="Z1435" s="4">
        <v>198</v>
      </c>
      <c r="AA1435" s="4">
        <f>=ROUNDDOWN(28.2857142857143,0)</f>
      </c>
      <c r="AB1435" s="5">
        <v>7</v>
      </c>
      <c r="AC1435" s="2" t="s">
        <v>130</v>
      </c>
      <c r="AD1435" s="4">
        <v>125</v>
      </c>
      <c r="AE1435" s="4">
        <v>325</v>
      </c>
      <c r="AF1435" s="6">
        <v>67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129</v>
      </c>
      <c r="BK1435" s="8">
        <v>9239.58</v>
      </c>
      <c r="BL1435" s="2" t="s">
        <v>2187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147</v>
      </c>
      <c r="BV1435" s="2" t="s">
        <v>97</v>
      </c>
      <c r="BW1435" s="2" t="s">
        <v>100</v>
      </c>
      <c r="BX1435" s="2" t="s">
        <v>100</v>
      </c>
      <c r="BY1435" s="2" t="s">
        <v>112</v>
      </c>
      <c r="BZ1435" s="2" t="s">
        <v>100</v>
      </c>
    </row>
    <row r="1436">
      <c r="A1436" s="2" t="s">
        <v>4906</v>
      </c>
      <c r="B1436" s="2" t="s">
        <v>87</v>
      </c>
      <c r="C1436" s="2" t="s">
        <v>4677</v>
      </c>
      <c r="D1436" s="2" t="s">
        <v>89</v>
      </c>
      <c r="E1436" s="2" t="s">
        <v>2098</v>
      </c>
      <c r="F1436" s="2" t="s">
        <v>4902</v>
      </c>
      <c r="G1436" s="2" t="s">
        <v>4902</v>
      </c>
      <c r="H1436" s="2" t="s">
        <v>4902</v>
      </c>
      <c r="I1436" s="2" t="s">
        <v>4903</v>
      </c>
      <c r="J1436" s="2" t="s">
        <v>850</v>
      </c>
      <c r="K1436" s="2" t="s">
        <v>4904</v>
      </c>
      <c r="L1436" s="3">
        <v>80</v>
      </c>
      <c r="M1436" s="3">
        <v>84</v>
      </c>
      <c r="N1436" s="3">
        <v>159.99</v>
      </c>
      <c r="O1436" s="2" t="s">
        <v>97</v>
      </c>
      <c r="P1436" s="2" t="s">
        <v>182</v>
      </c>
      <c r="Q1436" s="2" t="s">
        <v>99</v>
      </c>
      <c r="R1436" s="2" t="s">
        <v>100</v>
      </c>
      <c r="S1436" s="2" t="s">
        <v>4905</v>
      </c>
      <c r="T1436" s="2" t="s">
        <v>732</v>
      </c>
      <c r="U1436" s="2" t="s">
        <v>1610</v>
      </c>
      <c r="V1436" s="2" t="s">
        <v>1122</v>
      </c>
      <c r="W1436" s="2" t="s">
        <v>733</v>
      </c>
      <c r="X1436" s="2" t="s">
        <v>759</v>
      </c>
      <c r="Y1436" s="2" t="s">
        <v>1276</v>
      </c>
      <c r="Z1436" s="4">
        <v>225</v>
      </c>
      <c r="AA1436" s="4">
        <f>=ROUNDDOWN(32.1428571428571,0)</f>
      </c>
      <c r="AB1436" s="5">
        <v>7</v>
      </c>
      <c r="AC1436" s="2" t="s">
        <v>4907</v>
      </c>
      <c r="AD1436" s="4">
        <v>180</v>
      </c>
      <c r="AE1436" s="4">
        <v>180</v>
      </c>
      <c r="AF1436" s="6">
        <v>67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125</v>
      </c>
      <c r="BK1436" s="8">
        <v>11062.79</v>
      </c>
      <c r="BL1436" s="2" t="s">
        <v>4908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147</v>
      </c>
      <c r="BV1436" s="2" t="s">
        <v>97</v>
      </c>
      <c r="BW1436" s="2" t="s">
        <v>100</v>
      </c>
      <c r="BX1436" s="2" t="s">
        <v>100</v>
      </c>
      <c r="BY1436" s="2" t="s">
        <v>112</v>
      </c>
      <c r="BZ1436" s="2" t="s">
        <v>100</v>
      </c>
    </row>
    <row r="1437">
      <c r="A1437" s="2" t="s">
        <v>4909</v>
      </c>
      <c r="B1437" s="2" t="s">
        <v>87</v>
      </c>
      <c r="C1437" s="2" t="s">
        <v>4677</v>
      </c>
      <c r="D1437" s="2" t="s">
        <v>89</v>
      </c>
      <c r="E1437" s="2" t="s">
        <v>90</v>
      </c>
      <c r="F1437" s="2" t="s">
        <v>4690</v>
      </c>
      <c r="G1437" s="2" t="s">
        <v>4690</v>
      </c>
      <c r="H1437" s="2" t="s">
        <v>4690</v>
      </c>
      <c r="I1437" s="2" t="s">
        <v>4910</v>
      </c>
      <c r="J1437" s="2" t="s">
        <v>844</v>
      </c>
      <c r="K1437" s="2" t="s">
        <v>650</v>
      </c>
      <c r="L1437" s="3">
        <v>54</v>
      </c>
      <c r="M1437" s="3">
        <v>56.7</v>
      </c>
      <c r="N1437" s="3">
        <v>109.99</v>
      </c>
      <c r="O1437" s="2" t="s">
        <v>97</v>
      </c>
      <c r="P1437" s="2" t="s">
        <v>3737</v>
      </c>
      <c r="Q1437" s="2" t="s">
        <v>99</v>
      </c>
      <c r="R1437" s="2" t="s">
        <v>100</v>
      </c>
      <c r="S1437" s="2" t="s">
        <v>4911</v>
      </c>
      <c r="T1437" s="2" t="s">
        <v>100</v>
      </c>
      <c r="U1437" s="2" t="s">
        <v>100</v>
      </c>
      <c r="V1437" s="2" t="s">
        <v>4693</v>
      </c>
      <c r="W1437" s="2" t="s">
        <v>2195</v>
      </c>
      <c r="X1437" s="2" t="s">
        <v>284</v>
      </c>
      <c r="Y1437" s="2" t="s">
        <v>1322</v>
      </c>
      <c r="Z1437" s="4"/>
      <c r="AA1437" s="4">
        <f>=ROUNDDOWN({0},0)</f>
      </c>
      <c r="AB1437" s="5">
        <v>4.3</v>
      </c>
      <c r="AC1437" s="2" t="s">
        <v>100</v>
      </c>
      <c r="AD1437" s="4"/>
      <c r="AE1437" s="4"/>
      <c r="AF1437" s="6">
        <v>65</v>
      </c>
      <c r="AG1437" s="6"/>
      <c r="AH1437" s="7">
        <v>0.903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>
        <v>126</v>
      </c>
      <c r="BK1437" s="8">
        <v>7790.02</v>
      </c>
      <c r="BL1437" s="2" t="s">
        <v>4912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147</v>
      </c>
      <c r="BV1437" s="2" t="s">
        <v>97</v>
      </c>
      <c r="BW1437" s="2" t="s">
        <v>100</v>
      </c>
      <c r="BX1437" s="2" t="s">
        <v>100</v>
      </c>
      <c r="BY1437" s="2" t="s">
        <v>112</v>
      </c>
      <c r="BZ1437" s="2" t="s">
        <v>100</v>
      </c>
    </row>
    <row r="1438">
      <c r="A1438" s="2" t="s">
        <v>4913</v>
      </c>
      <c r="B1438" s="2" t="s">
        <v>87</v>
      </c>
      <c r="C1438" s="2" t="s">
        <v>4677</v>
      </c>
      <c r="D1438" s="2" t="s">
        <v>89</v>
      </c>
      <c r="E1438" s="2" t="s">
        <v>90</v>
      </c>
      <c r="F1438" s="2" t="s">
        <v>4690</v>
      </c>
      <c r="G1438" s="2" t="s">
        <v>4690</v>
      </c>
      <c r="H1438" s="2" t="s">
        <v>4690</v>
      </c>
      <c r="I1438" s="2" t="s">
        <v>4910</v>
      </c>
      <c r="J1438" s="2" t="s">
        <v>850</v>
      </c>
      <c r="K1438" s="2" t="s">
        <v>650</v>
      </c>
      <c r="L1438" s="3">
        <v>67.5</v>
      </c>
      <c r="M1438" s="3">
        <v>70.88</v>
      </c>
      <c r="N1438" s="3">
        <v>139.99</v>
      </c>
      <c r="O1438" s="2" t="s">
        <v>97</v>
      </c>
      <c r="P1438" s="2" t="s">
        <v>3737</v>
      </c>
      <c r="Q1438" s="2" t="s">
        <v>99</v>
      </c>
      <c r="R1438" s="2" t="s">
        <v>100</v>
      </c>
      <c r="S1438" s="2" t="s">
        <v>4911</v>
      </c>
      <c r="T1438" s="2" t="s">
        <v>100</v>
      </c>
      <c r="U1438" s="2" t="s">
        <v>100</v>
      </c>
      <c r="V1438" s="2" t="s">
        <v>4693</v>
      </c>
      <c r="W1438" s="2" t="s">
        <v>2195</v>
      </c>
      <c r="X1438" s="2" t="s">
        <v>284</v>
      </c>
      <c r="Y1438" s="2" t="s">
        <v>1322</v>
      </c>
      <c r="Z1438" s="4">
        <v>42</v>
      </c>
      <c r="AA1438" s="4">
        <f>=ROUNDDOWN(7,0)</f>
      </c>
      <c r="AB1438" s="5">
        <v>6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>
        <v>123</v>
      </c>
      <c r="BK1438" s="8">
        <v>9378.7</v>
      </c>
      <c r="BL1438" s="2" t="s">
        <v>4914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147</v>
      </c>
      <c r="BV1438" s="2" t="s">
        <v>97</v>
      </c>
      <c r="BW1438" s="2" t="s">
        <v>100</v>
      </c>
      <c r="BX1438" s="2" t="s">
        <v>100</v>
      </c>
      <c r="BY1438" s="2" t="s">
        <v>112</v>
      </c>
      <c r="BZ1438" s="2" t="s">
        <v>100</v>
      </c>
    </row>
    <row r="1439">
      <c r="A1439" s="2" t="s">
        <v>4915</v>
      </c>
      <c r="B1439" s="2" t="s">
        <v>87</v>
      </c>
      <c r="C1439" s="2" t="s">
        <v>4677</v>
      </c>
      <c r="D1439" s="2" t="s">
        <v>89</v>
      </c>
      <c r="E1439" s="2" t="s">
        <v>90</v>
      </c>
      <c r="F1439" s="2" t="s">
        <v>4916</v>
      </c>
      <c r="G1439" s="2" t="s">
        <v>4916</v>
      </c>
      <c r="H1439" s="2" t="s">
        <v>4916</v>
      </c>
      <c r="I1439" s="2" t="s">
        <v>4917</v>
      </c>
      <c r="J1439" s="2" t="s">
        <v>844</v>
      </c>
      <c r="K1439" s="2" t="s">
        <v>650</v>
      </c>
      <c r="L1439" s="3">
        <v>59.99</v>
      </c>
      <c r="M1439" s="3">
        <v>62.99</v>
      </c>
      <c r="N1439" s="3">
        <v>119.99</v>
      </c>
      <c r="O1439" s="2" t="s">
        <v>229</v>
      </c>
      <c r="P1439" s="2" t="s">
        <v>198</v>
      </c>
      <c r="Q1439" s="2" t="s">
        <v>99</v>
      </c>
      <c r="R1439" s="2" t="s">
        <v>100</v>
      </c>
      <c r="S1439" s="2" t="s">
        <v>4918</v>
      </c>
      <c r="T1439" s="2" t="s">
        <v>100</v>
      </c>
      <c r="U1439" s="2" t="s">
        <v>100</v>
      </c>
      <c r="V1439" s="2" t="s">
        <v>601</v>
      </c>
      <c r="W1439" s="2" t="s">
        <v>104</v>
      </c>
      <c r="X1439" s="2" t="s">
        <v>284</v>
      </c>
      <c r="Y1439" s="2" t="s">
        <v>4715</v>
      </c>
      <c r="Z1439" s="4">
        <v>51</v>
      </c>
      <c r="AA1439" s="4">
        <f>=ROUNDDOWN(9.80769230769231,0)</f>
      </c>
      <c r="AB1439" s="5">
        <v>5.2</v>
      </c>
      <c r="AC1439" s="2" t="s">
        <v>100</v>
      </c>
      <c r="AD1439" s="4"/>
      <c r="AE1439" s="4"/>
      <c r="AF1439" s="6">
        <v>67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/>
      <c r="AW1439" s="8"/>
      <c r="AX1439" s="4"/>
      <c r="AY1439" s="8"/>
      <c r="AZ1439" s="7"/>
      <c r="BA1439" s="7"/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89</v>
      </c>
      <c r="BK1439" s="8">
        <v>4663.71</v>
      </c>
      <c r="BL1439" s="2" t="s">
        <v>4919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147</v>
      </c>
      <c r="BV1439" s="2" t="s">
        <v>97</v>
      </c>
      <c r="BW1439" s="2" t="s">
        <v>100</v>
      </c>
      <c r="BX1439" s="2" t="s">
        <v>100</v>
      </c>
      <c r="BY1439" s="2" t="s">
        <v>112</v>
      </c>
      <c r="BZ1439" s="2" t="s">
        <v>100</v>
      </c>
    </row>
    <row r="1440">
      <c r="A1440" s="2" t="s">
        <v>4920</v>
      </c>
      <c r="B1440" s="2" t="s">
        <v>87</v>
      </c>
      <c r="C1440" s="2" t="s">
        <v>4677</v>
      </c>
      <c r="D1440" s="2" t="s">
        <v>89</v>
      </c>
      <c r="E1440" s="2" t="s">
        <v>90</v>
      </c>
      <c r="F1440" s="2" t="s">
        <v>4916</v>
      </c>
      <c r="G1440" s="2" t="s">
        <v>4916</v>
      </c>
      <c r="H1440" s="2" t="s">
        <v>4916</v>
      </c>
      <c r="I1440" s="2" t="s">
        <v>4917</v>
      </c>
      <c r="J1440" s="2" t="s">
        <v>850</v>
      </c>
      <c r="K1440" s="2" t="s">
        <v>1204</v>
      </c>
      <c r="L1440" s="3">
        <v>75</v>
      </c>
      <c r="M1440" s="3">
        <v>78.74</v>
      </c>
      <c r="N1440" s="3">
        <v>149.99</v>
      </c>
      <c r="O1440" s="2" t="s">
        <v>550</v>
      </c>
      <c r="P1440" s="2" t="s">
        <v>198</v>
      </c>
      <c r="Q1440" s="2" t="s">
        <v>99</v>
      </c>
      <c r="R1440" s="2" t="s">
        <v>100</v>
      </c>
      <c r="S1440" s="2" t="s">
        <v>4921</v>
      </c>
      <c r="T1440" s="2" t="s">
        <v>732</v>
      </c>
      <c r="U1440" s="2" t="s">
        <v>1610</v>
      </c>
      <c r="V1440" s="2" t="s">
        <v>601</v>
      </c>
      <c r="W1440" s="2" t="s">
        <v>104</v>
      </c>
      <c r="X1440" s="2" t="s">
        <v>284</v>
      </c>
      <c r="Y1440" s="2" t="s">
        <v>4922</v>
      </c>
      <c r="Z1440" s="4">
        <v>122</v>
      </c>
      <c r="AA1440" s="4">
        <f>=ROUNDDOWN(55.4545454545455,0)</f>
      </c>
      <c r="AB1440" s="5">
        <v>2.2</v>
      </c>
      <c r="AC1440" s="2" t="s">
        <v>100</v>
      </c>
      <c r="AD1440" s="4"/>
      <c r="AE1440" s="4"/>
      <c r="AF1440" s="6">
        <v>67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/>
      <c r="AW1440" s="8"/>
      <c r="AX1440" s="4"/>
      <c r="AY1440" s="8"/>
      <c r="AZ1440" s="7"/>
      <c r="BA1440" s="7"/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77</v>
      </c>
      <c r="BK1440" s="8">
        <v>5401.19</v>
      </c>
      <c r="BL1440" s="2" t="s">
        <v>4923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147</v>
      </c>
      <c r="BV1440" s="2" t="s">
        <v>97</v>
      </c>
      <c r="BW1440" s="2" t="s">
        <v>100</v>
      </c>
      <c r="BX1440" s="2" t="s">
        <v>100</v>
      </c>
      <c r="BY1440" s="2" t="s">
        <v>112</v>
      </c>
      <c r="BZ1440" s="2" t="s">
        <v>100</v>
      </c>
    </row>
    <row r="1441">
      <c r="A1441" s="2" t="s">
        <v>4924</v>
      </c>
      <c r="B1441" s="2" t="s">
        <v>87</v>
      </c>
      <c r="C1441" s="2" t="s">
        <v>4677</v>
      </c>
      <c r="D1441" s="2" t="s">
        <v>89</v>
      </c>
      <c r="E1441" s="2" t="s">
        <v>90</v>
      </c>
      <c r="F1441" s="2" t="s">
        <v>4916</v>
      </c>
      <c r="G1441" s="2" t="s">
        <v>4916</v>
      </c>
      <c r="H1441" s="2" t="s">
        <v>4916</v>
      </c>
      <c r="I1441" s="2" t="s">
        <v>4917</v>
      </c>
      <c r="J1441" s="2" t="s">
        <v>850</v>
      </c>
      <c r="K1441" s="2" t="s">
        <v>197</v>
      </c>
      <c r="L1441" s="3">
        <v>75</v>
      </c>
      <c r="M1441" s="3">
        <v>78.74</v>
      </c>
      <c r="N1441" s="3">
        <v>149.99</v>
      </c>
      <c r="O1441" s="2" t="s">
        <v>550</v>
      </c>
      <c r="P1441" s="2" t="s">
        <v>198</v>
      </c>
      <c r="Q1441" s="2" t="s">
        <v>99</v>
      </c>
      <c r="R1441" s="2" t="s">
        <v>100</v>
      </c>
      <c r="S1441" s="2" t="s">
        <v>4925</v>
      </c>
      <c r="T1441" s="2" t="s">
        <v>100</v>
      </c>
      <c r="U1441" s="2" t="s">
        <v>100</v>
      </c>
      <c r="V1441" s="2" t="s">
        <v>601</v>
      </c>
      <c r="W1441" s="2" t="s">
        <v>104</v>
      </c>
      <c r="X1441" s="2" t="s">
        <v>284</v>
      </c>
      <c r="Y1441" s="2" t="s">
        <v>106</v>
      </c>
      <c r="Z1441" s="4">
        <v>384</v>
      </c>
      <c r="AA1441" s="4">
        <f>=ROUNDDOWN(225.882352941176,0)</f>
      </c>
      <c r="AB1441" s="5">
        <v>1.7</v>
      </c>
      <c r="AC1441" s="2" t="s">
        <v>100</v>
      </c>
      <c r="AD1441" s="4"/>
      <c r="AE1441" s="4"/>
      <c r="AF1441" s="6">
        <v>67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65</v>
      </c>
      <c r="BK1441" s="8">
        <v>3839.78</v>
      </c>
      <c r="BL1441" s="2" t="s">
        <v>4926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147</v>
      </c>
      <c r="BV1441" s="2" t="s">
        <v>97</v>
      </c>
      <c r="BW1441" s="2" t="s">
        <v>100</v>
      </c>
      <c r="BX1441" s="2" t="s">
        <v>100</v>
      </c>
      <c r="BY1441" s="2" t="s">
        <v>112</v>
      </c>
      <c r="BZ1441" s="2" t="s">
        <v>100</v>
      </c>
    </row>
    <row r="1442">
      <c r="A1442" s="2" t="s">
        <v>4927</v>
      </c>
      <c r="B1442" s="2" t="s">
        <v>87</v>
      </c>
      <c r="C1442" s="2" t="s">
        <v>4677</v>
      </c>
      <c r="D1442" s="2" t="s">
        <v>89</v>
      </c>
      <c r="E1442" s="2" t="s">
        <v>90</v>
      </c>
      <c r="F1442" s="2" t="s">
        <v>4916</v>
      </c>
      <c r="G1442" s="2" t="s">
        <v>4916</v>
      </c>
      <c r="H1442" s="2" t="s">
        <v>4916</v>
      </c>
      <c r="I1442" s="2" t="s">
        <v>4917</v>
      </c>
      <c r="J1442" s="2" t="s">
        <v>844</v>
      </c>
      <c r="K1442" s="2" t="s">
        <v>666</v>
      </c>
      <c r="L1442" s="3">
        <v>59.99</v>
      </c>
      <c r="M1442" s="3">
        <v>62.99</v>
      </c>
      <c r="N1442" s="3">
        <v>119.99</v>
      </c>
      <c r="O1442" s="2" t="s">
        <v>97</v>
      </c>
      <c r="P1442" s="2" t="s">
        <v>182</v>
      </c>
      <c r="Q1442" s="2" t="s">
        <v>99</v>
      </c>
      <c r="R1442" s="2" t="s">
        <v>100</v>
      </c>
      <c r="S1442" s="2" t="s">
        <v>4928</v>
      </c>
      <c r="T1442" s="2" t="s">
        <v>100</v>
      </c>
      <c r="U1442" s="2" t="s">
        <v>1610</v>
      </c>
      <c r="V1442" s="2" t="s">
        <v>601</v>
      </c>
      <c r="W1442" s="2" t="s">
        <v>104</v>
      </c>
      <c r="X1442" s="2" t="s">
        <v>759</v>
      </c>
      <c r="Y1442" s="2" t="s">
        <v>106</v>
      </c>
      <c r="Z1442" s="4">
        <v>63</v>
      </c>
      <c r="AA1442" s="4">
        <f>=ROUNDDOWN(15.75,0)</f>
      </c>
      <c r="AB1442" s="5">
        <v>4</v>
      </c>
      <c r="AC1442" s="2" t="s">
        <v>3601</v>
      </c>
      <c r="AD1442" s="4">
        <v>75</v>
      </c>
      <c r="AE1442" s="4">
        <v>75</v>
      </c>
      <c r="AF1442" s="6">
        <v>67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100</v>
      </c>
      <c r="AW1442" s="8" t="s">
        <v>100</v>
      </c>
      <c r="AX1442" s="4" t="s">
        <v>100</v>
      </c>
      <c r="AY1442" s="8" t="s">
        <v>100</v>
      </c>
      <c r="AZ1442" s="7" t="s">
        <v>100</v>
      </c>
      <c r="BA1442" s="7" t="s">
        <v>100</v>
      </c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>
        <v>65</v>
      </c>
      <c r="BK1442" s="8">
        <v>4107.14</v>
      </c>
      <c r="BL1442" s="2" t="s">
        <v>4929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147</v>
      </c>
      <c r="BV1442" s="2" t="s">
        <v>97</v>
      </c>
      <c r="BW1442" s="2" t="s">
        <v>100</v>
      </c>
      <c r="BX1442" s="2" t="s">
        <v>100</v>
      </c>
      <c r="BY1442" s="2" t="s">
        <v>112</v>
      </c>
      <c r="BZ1442" s="2" t="s">
        <v>100</v>
      </c>
    </row>
    <row r="1443">
      <c r="A1443" s="2" t="s">
        <v>4930</v>
      </c>
      <c r="B1443" s="2" t="s">
        <v>87</v>
      </c>
      <c r="C1443" s="2" t="s">
        <v>4677</v>
      </c>
      <c r="D1443" s="2" t="s">
        <v>89</v>
      </c>
      <c r="E1443" s="2" t="s">
        <v>90</v>
      </c>
      <c r="F1443" s="2" t="s">
        <v>4916</v>
      </c>
      <c r="G1443" s="2" t="s">
        <v>4916</v>
      </c>
      <c r="H1443" s="2" t="s">
        <v>4916</v>
      </c>
      <c r="I1443" s="2" t="s">
        <v>4917</v>
      </c>
      <c r="J1443" s="2" t="s">
        <v>850</v>
      </c>
      <c r="K1443" s="2" t="s">
        <v>666</v>
      </c>
      <c r="L1443" s="3">
        <v>75</v>
      </c>
      <c r="M1443" s="3">
        <v>78.74</v>
      </c>
      <c r="N1443" s="3">
        <v>149.99</v>
      </c>
      <c r="O1443" s="2" t="s">
        <v>97</v>
      </c>
      <c r="P1443" s="2" t="s">
        <v>182</v>
      </c>
      <c r="Q1443" s="2" t="s">
        <v>99</v>
      </c>
      <c r="R1443" s="2" t="s">
        <v>100</v>
      </c>
      <c r="S1443" s="2" t="s">
        <v>4928</v>
      </c>
      <c r="T1443" s="2" t="s">
        <v>100</v>
      </c>
      <c r="U1443" s="2" t="s">
        <v>1610</v>
      </c>
      <c r="V1443" s="2" t="s">
        <v>601</v>
      </c>
      <c r="W1443" s="2" t="s">
        <v>104</v>
      </c>
      <c r="X1443" s="2" t="s">
        <v>759</v>
      </c>
      <c r="Y1443" s="2" t="s">
        <v>106</v>
      </c>
      <c r="Z1443" s="4">
        <v>64</v>
      </c>
      <c r="AA1443" s="4">
        <f>=ROUNDDOWN(16,0)</f>
      </c>
      <c r="AB1443" s="5">
        <v>4</v>
      </c>
      <c r="AC1443" s="2" t="s">
        <v>3601</v>
      </c>
      <c r="AD1443" s="4">
        <v>75</v>
      </c>
      <c r="AE1443" s="4">
        <v>75</v>
      </c>
      <c r="AF1443" s="6">
        <v>67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66</v>
      </c>
      <c r="BK1443" s="8">
        <v>5365.97</v>
      </c>
      <c r="BL1443" s="2" t="s">
        <v>4931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147</v>
      </c>
      <c r="BV1443" s="2" t="s">
        <v>97</v>
      </c>
      <c r="BW1443" s="2" t="s">
        <v>100</v>
      </c>
      <c r="BX1443" s="2" t="s">
        <v>100</v>
      </c>
      <c r="BY1443" s="2" t="s">
        <v>112</v>
      </c>
      <c r="BZ1443" s="2" t="s">
        <v>100</v>
      </c>
    </row>
    <row r="1444">
      <c r="A1444" s="2" t="s">
        <v>4932</v>
      </c>
      <c r="B1444" s="2" t="s">
        <v>87</v>
      </c>
      <c r="C1444" s="2" t="s">
        <v>4677</v>
      </c>
      <c r="D1444" s="2" t="s">
        <v>89</v>
      </c>
      <c r="E1444" s="2" t="s">
        <v>90</v>
      </c>
      <c r="F1444" s="2" t="s">
        <v>4933</v>
      </c>
      <c r="G1444" s="2" t="s">
        <v>4933</v>
      </c>
      <c r="H1444" s="2" t="s">
        <v>4933</v>
      </c>
      <c r="I1444" s="2" t="s">
        <v>2098</v>
      </c>
      <c r="J1444" s="2" t="s">
        <v>3012</v>
      </c>
      <c r="K1444" s="2" t="s">
        <v>333</v>
      </c>
      <c r="L1444" s="3">
        <v>52.8</v>
      </c>
      <c r="M1444" s="3">
        <v>55.43</v>
      </c>
      <c r="N1444" s="3">
        <v>109.99</v>
      </c>
      <c r="O1444" s="2" t="s">
        <v>550</v>
      </c>
      <c r="P1444" s="2" t="s">
        <v>198</v>
      </c>
      <c r="Q1444" s="2" t="s">
        <v>99</v>
      </c>
      <c r="R1444" s="2" t="s">
        <v>100</v>
      </c>
      <c r="S1444" s="2" t="s">
        <v>4934</v>
      </c>
      <c r="T1444" s="2" t="s">
        <v>100</v>
      </c>
      <c r="U1444" s="2" t="s">
        <v>100</v>
      </c>
      <c r="V1444" s="2" t="s">
        <v>1287</v>
      </c>
      <c r="W1444" s="2" t="s">
        <v>759</v>
      </c>
      <c r="X1444" s="2" t="s">
        <v>4935</v>
      </c>
      <c r="Y1444" s="2" t="s">
        <v>106</v>
      </c>
      <c r="Z1444" s="4">
        <v>2</v>
      </c>
      <c r="AA1444" s="4">
        <f>=ROUNDDOWN(2.5,0)</f>
      </c>
      <c r="AB1444" s="5">
        <v>0.8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/>
      <c r="AW1444" s="8"/>
      <c r="AX1444" s="4"/>
      <c r="AY1444" s="8"/>
      <c r="AZ1444" s="7"/>
      <c r="BA1444" s="7"/>
      <c r="BB1444" s="7"/>
      <c r="BC1444" s="4"/>
      <c r="BD1444" s="8"/>
      <c r="BE1444" s="4"/>
      <c r="BF1444" s="8"/>
      <c r="BG1444" s="7"/>
      <c r="BH1444" s="7"/>
      <c r="BI1444" s="7"/>
      <c r="BJ1444" s="4">
        <v>14</v>
      </c>
      <c r="BK1444" s="8">
        <v>676.59</v>
      </c>
      <c r="BL1444" s="2" t="s">
        <v>4936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147</v>
      </c>
      <c r="BV1444" s="2" t="s">
        <v>97</v>
      </c>
      <c r="BW1444" s="2" t="s">
        <v>100</v>
      </c>
      <c r="BX1444" s="2" t="s">
        <v>100</v>
      </c>
      <c r="BY1444" s="2" t="s">
        <v>112</v>
      </c>
      <c r="BZ1444" s="2" t="s">
        <v>100</v>
      </c>
    </row>
    <row r="1445">
      <c r="A1445" s="2" t="s">
        <v>4937</v>
      </c>
      <c r="B1445" s="2" t="s">
        <v>87</v>
      </c>
      <c r="C1445" s="2" t="s">
        <v>4677</v>
      </c>
      <c r="D1445" s="2" t="s">
        <v>89</v>
      </c>
      <c r="E1445" s="2" t="s">
        <v>90</v>
      </c>
      <c r="F1445" s="2" t="s">
        <v>4195</v>
      </c>
      <c r="G1445" s="2" t="s">
        <v>4195</v>
      </c>
      <c r="H1445" s="2" t="s">
        <v>4195</v>
      </c>
      <c r="I1445" s="2" t="s">
        <v>4691</v>
      </c>
      <c r="J1445" s="2" t="s">
        <v>850</v>
      </c>
      <c r="K1445" s="2" t="s">
        <v>168</v>
      </c>
      <c r="L1445" s="3">
        <v>67.2</v>
      </c>
      <c r="M1445" s="3">
        <v>70.56</v>
      </c>
      <c r="N1445" s="3">
        <v>139.99</v>
      </c>
      <c r="O1445" s="2" t="s">
        <v>1148</v>
      </c>
      <c r="P1445" s="2" t="s">
        <v>198</v>
      </c>
      <c r="Q1445" s="2" t="s">
        <v>99</v>
      </c>
      <c r="R1445" s="2" t="s">
        <v>100</v>
      </c>
      <c r="S1445" s="2" t="s">
        <v>4938</v>
      </c>
      <c r="T1445" s="2" t="s">
        <v>100</v>
      </c>
      <c r="U1445" s="2" t="s">
        <v>100</v>
      </c>
      <c r="V1445" s="2" t="s">
        <v>1122</v>
      </c>
      <c r="W1445" s="2" t="s">
        <v>2195</v>
      </c>
      <c r="X1445" s="2" t="s">
        <v>4939</v>
      </c>
      <c r="Y1445" s="2" t="s">
        <v>106</v>
      </c>
      <c r="Z1445" s="4"/>
      <c r="AA1445" s="4">
        <f>=ROUNDDOWN({0},0)</f>
      </c>
      <c r="AB1445" s="5"/>
      <c r="AC1445" s="2" t="s">
        <v>100</v>
      </c>
      <c r="AD1445" s="4"/>
      <c r="AE1445" s="4"/>
      <c r="AF1445" s="6"/>
      <c r="AG1445" s="6"/>
      <c r="AH1445" s="7">
        <v>0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/>
      <c r="BD1445" s="8"/>
      <c r="BE1445" s="4"/>
      <c r="BF1445" s="8"/>
      <c r="BG1445" s="7"/>
      <c r="BH1445" s="7"/>
      <c r="BI1445" s="7"/>
      <c r="BJ1445" s="4"/>
      <c r="BK1445" s="8"/>
      <c r="BL1445" s="2" t="s">
        <v>100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147</v>
      </c>
      <c r="BV1445" s="2" t="s">
        <v>97</v>
      </c>
      <c r="BW1445" s="2" t="s">
        <v>100</v>
      </c>
      <c r="BX1445" s="2" t="s">
        <v>100</v>
      </c>
      <c r="BY1445" s="2" t="s">
        <v>112</v>
      </c>
      <c r="BZ1445" s="2" t="s">
        <v>100</v>
      </c>
    </row>
    <row r="1446">
      <c r="A1446" s="2" t="s">
        <v>4940</v>
      </c>
      <c r="B1446" s="2" t="s">
        <v>87</v>
      </c>
      <c r="C1446" s="2" t="s">
        <v>4677</v>
      </c>
      <c r="D1446" s="2" t="s">
        <v>89</v>
      </c>
      <c r="E1446" s="2" t="s">
        <v>90</v>
      </c>
      <c r="F1446" s="2" t="s">
        <v>4941</v>
      </c>
      <c r="G1446" s="2" t="s">
        <v>4941</v>
      </c>
      <c r="H1446" s="2" t="s">
        <v>4941</v>
      </c>
      <c r="I1446" s="2" t="s">
        <v>4942</v>
      </c>
      <c r="J1446" s="2" t="s">
        <v>3012</v>
      </c>
      <c r="K1446" s="2" t="s">
        <v>158</v>
      </c>
      <c r="L1446" s="3">
        <v>52.8</v>
      </c>
      <c r="M1446" s="3">
        <v>55.43</v>
      </c>
      <c r="N1446" s="3">
        <v>109.99</v>
      </c>
      <c r="O1446" s="2" t="s">
        <v>229</v>
      </c>
      <c r="P1446" s="2" t="s">
        <v>198</v>
      </c>
      <c r="Q1446" s="2" t="s">
        <v>99</v>
      </c>
      <c r="R1446" s="2" t="s">
        <v>100</v>
      </c>
      <c r="S1446" s="2" t="s">
        <v>4943</v>
      </c>
      <c r="T1446" s="2" t="s">
        <v>100</v>
      </c>
      <c r="U1446" s="2" t="s">
        <v>100</v>
      </c>
      <c r="V1446" s="2" t="s">
        <v>561</v>
      </c>
      <c r="W1446" s="2" t="s">
        <v>3896</v>
      </c>
      <c r="X1446" s="2" t="s">
        <v>4944</v>
      </c>
      <c r="Y1446" s="2" t="s">
        <v>106</v>
      </c>
      <c r="Z1446" s="4">
        <v>15</v>
      </c>
      <c r="AA1446" s="4">
        <f>=ROUNDDOWN(2.17391304347826,0)</f>
      </c>
      <c r="AB1446" s="5">
        <v>6.9</v>
      </c>
      <c r="AC1446" s="2" t="s">
        <v>100</v>
      </c>
      <c r="AD1446" s="4"/>
      <c r="AE1446" s="4"/>
      <c r="AF1446" s="6">
        <v>66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>
        <v>100</v>
      </c>
      <c r="BK1446" s="8">
        <v>5607.2</v>
      </c>
      <c r="BL1446" s="2" t="s">
        <v>4945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147</v>
      </c>
      <c r="BV1446" s="2" t="s">
        <v>97</v>
      </c>
      <c r="BW1446" s="2" t="s">
        <v>100</v>
      </c>
      <c r="BX1446" s="2" t="s">
        <v>100</v>
      </c>
      <c r="BY1446" s="2" t="s">
        <v>112</v>
      </c>
      <c r="BZ1446" s="2" t="s">
        <v>100</v>
      </c>
    </row>
    <row r="1447">
      <c r="A1447" s="2" t="s">
        <v>4946</v>
      </c>
      <c r="B1447" s="2" t="s">
        <v>87</v>
      </c>
      <c r="C1447" s="2" t="s">
        <v>4677</v>
      </c>
      <c r="D1447" s="2" t="s">
        <v>89</v>
      </c>
      <c r="E1447" s="2" t="s">
        <v>90</v>
      </c>
      <c r="F1447" s="2" t="s">
        <v>4941</v>
      </c>
      <c r="G1447" s="2" t="s">
        <v>4941</v>
      </c>
      <c r="H1447" s="2" t="s">
        <v>4941</v>
      </c>
      <c r="I1447" s="2" t="s">
        <v>4942</v>
      </c>
      <c r="J1447" s="2" t="s">
        <v>844</v>
      </c>
      <c r="K1447" s="2" t="s">
        <v>158</v>
      </c>
      <c r="L1447" s="3">
        <v>70</v>
      </c>
      <c r="M1447" s="3">
        <v>73.49</v>
      </c>
      <c r="N1447" s="3">
        <v>139.99</v>
      </c>
      <c r="O1447" s="2" t="s">
        <v>229</v>
      </c>
      <c r="P1447" s="2" t="s">
        <v>198</v>
      </c>
      <c r="Q1447" s="2" t="s">
        <v>99</v>
      </c>
      <c r="R1447" s="2" t="s">
        <v>100</v>
      </c>
      <c r="S1447" s="2" t="s">
        <v>4943</v>
      </c>
      <c r="T1447" s="2" t="s">
        <v>100</v>
      </c>
      <c r="U1447" s="2" t="s">
        <v>100</v>
      </c>
      <c r="V1447" s="2" t="s">
        <v>561</v>
      </c>
      <c r="W1447" s="2" t="s">
        <v>3896</v>
      </c>
      <c r="X1447" s="2" t="s">
        <v>4944</v>
      </c>
      <c r="Y1447" s="2" t="s">
        <v>106</v>
      </c>
      <c r="Z1447" s="4">
        <v>211</v>
      </c>
      <c r="AA1447" s="4">
        <f>=ROUNDDOWN(40.5769230769231,0)</f>
      </c>
      <c r="AB1447" s="5">
        <v>5.2</v>
      </c>
      <c r="AC1447" s="2" t="s">
        <v>100</v>
      </c>
      <c r="AD1447" s="4"/>
      <c r="AE1447" s="4"/>
      <c r="AF1447" s="6">
        <v>66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>
        <v>99</v>
      </c>
      <c r="BK1447" s="8">
        <v>7259.88</v>
      </c>
      <c r="BL1447" s="2" t="s">
        <v>4945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147</v>
      </c>
      <c r="BV1447" s="2" t="s">
        <v>97</v>
      </c>
      <c r="BW1447" s="2" t="s">
        <v>100</v>
      </c>
      <c r="BX1447" s="2" t="s">
        <v>100</v>
      </c>
      <c r="BY1447" s="2" t="s">
        <v>112</v>
      </c>
      <c r="BZ1447" s="2" t="s">
        <v>100</v>
      </c>
    </row>
    <row r="1448">
      <c r="A1448" s="2" t="s">
        <v>4947</v>
      </c>
      <c r="B1448" s="2" t="s">
        <v>87</v>
      </c>
      <c r="C1448" s="2" t="s">
        <v>4677</v>
      </c>
      <c r="D1448" s="2" t="s">
        <v>89</v>
      </c>
      <c r="E1448" s="2" t="s">
        <v>90</v>
      </c>
      <c r="F1448" s="2" t="s">
        <v>4941</v>
      </c>
      <c r="G1448" s="2" t="s">
        <v>4941</v>
      </c>
      <c r="H1448" s="2" t="s">
        <v>4941</v>
      </c>
      <c r="I1448" s="2" t="s">
        <v>4942</v>
      </c>
      <c r="J1448" s="2" t="s">
        <v>114</v>
      </c>
      <c r="K1448" s="2" t="s">
        <v>158</v>
      </c>
      <c r="L1448" s="3">
        <v>80</v>
      </c>
      <c r="M1448" s="3">
        <v>83.99</v>
      </c>
      <c r="N1448" s="3">
        <v>159.99</v>
      </c>
      <c r="O1448" s="2" t="s">
        <v>229</v>
      </c>
      <c r="P1448" s="2" t="s">
        <v>198</v>
      </c>
      <c r="Q1448" s="2" t="s">
        <v>99</v>
      </c>
      <c r="R1448" s="2" t="s">
        <v>100</v>
      </c>
      <c r="S1448" s="2" t="s">
        <v>4943</v>
      </c>
      <c r="T1448" s="2" t="s">
        <v>100</v>
      </c>
      <c r="U1448" s="2" t="s">
        <v>100</v>
      </c>
      <c r="V1448" s="2" t="s">
        <v>561</v>
      </c>
      <c r="W1448" s="2" t="s">
        <v>3896</v>
      </c>
      <c r="X1448" s="2" t="s">
        <v>4944</v>
      </c>
      <c r="Y1448" s="2" t="s">
        <v>106</v>
      </c>
      <c r="Z1448" s="4">
        <v>172</v>
      </c>
      <c r="AA1448" s="4">
        <f>=ROUNDDOWN(81.9047619047619,0)</f>
      </c>
      <c r="AB1448" s="5">
        <v>2.1</v>
      </c>
      <c r="AC1448" s="2" t="s">
        <v>100</v>
      </c>
      <c r="AD1448" s="4"/>
      <c r="AE1448" s="4"/>
      <c r="AF1448" s="6">
        <v>66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>
        <v>74</v>
      </c>
      <c r="BK1448" s="8">
        <v>6346.59</v>
      </c>
      <c r="BL1448" s="2" t="s">
        <v>4945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147</v>
      </c>
      <c r="BV1448" s="2" t="s">
        <v>97</v>
      </c>
      <c r="BW1448" s="2" t="s">
        <v>100</v>
      </c>
      <c r="BX1448" s="2" t="s">
        <v>100</v>
      </c>
      <c r="BY1448" s="2" t="s">
        <v>112</v>
      </c>
      <c r="BZ1448" s="2" t="s">
        <v>100</v>
      </c>
    </row>
    <row r="1449">
      <c r="A1449" s="2" t="s">
        <v>4948</v>
      </c>
      <c r="B1449" s="2" t="s">
        <v>87</v>
      </c>
      <c r="C1449" s="2" t="s">
        <v>4677</v>
      </c>
      <c r="D1449" s="2" t="s">
        <v>3234</v>
      </c>
      <c r="E1449" s="2" t="s">
        <v>3360</v>
      </c>
      <c r="F1449" s="2" t="s">
        <v>4711</v>
      </c>
      <c r="G1449" s="2" t="s">
        <v>4711</v>
      </c>
      <c r="H1449" s="2" t="s">
        <v>4711</v>
      </c>
      <c r="I1449" s="2" t="s">
        <v>4949</v>
      </c>
      <c r="J1449" s="2" t="s">
        <v>844</v>
      </c>
      <c r="K1449" s="2" t="s">
        <v>635</v>
      </c>
      <c r="L1449" s="3">
        <v>51.3</v>
      </c>
      <c r="M1449" s="3">
        <v>53.86</v>
      </c>
      <c r="N1449" s="3">
        <v>109.99</v>
      </c>
      <c r="O1449" s="2" t="s">
        <v>97</v>
      </c>
      <c r="P1449" s="2" t="s">
        <v>124</v>
      </c>
      <c r="Q1449" s="2" t="s">
        <v>99</v>
      </c>
      <c r="R1449" s="2" t="s">
        <v>100</v>
      </c>
      <c r="S1449" s="2" t="s">
        <v>4713</v>
      </c>
      <c r="T1449" s="2" t="s">
        <v>732</v>
      </c>
      <c r="U1449" s="2" t="s">
        <v>1610</v>
      </c>
      <c r="V1449" s="2" t="s">
        <v>4714</v>
      </c>
      <c r="W1449" s="2" t="s">
        <v>1530</v>
      </c>
      <c r="X1449" s="2" t="s">
        <v>1310</v>
      </c>
      <c r="Y1449" s="2" t="s">
        <v>4715</v>
      </c>
      <c r="Z1449" s="4">
        <v>651</v>
      </c>
      <c r="AA1449" s="4">
        <f>=ROUNDDOWN(31,0)</f>
      </c>
      <c r="AB1449" s="5">
        <v>21</v>
      </c>
      <c r="AC1449" s="2" t="s">
        <v>919</v>
      </c>
      <c r="AD1449" s="4">
        <v>70</v>
      </c>
      <c r="AE1449" s="4">
        <v>520</v>
      </c>
      <c r="AF1449" s="6">
        <v>69</v>
      </c>
      <c r="AG1449" s="6">
        <v>77</v>
      </c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>
        <v>0</v>
      </c>
      <c r="AP1449" s="4">
        <v>2</v>
      </c>
      <c r="AQ1449" s="8">
        <v>107.74</v>
      </c>
      <c r="AR1449" s="4">
        <v>4</v>
      </c>
      <c r="AS1449" s="8">
        <v>218.31</v>
      </c>
      <c r="AT1449" s="7">
        <v>-0.5</v>
      </c>
      <c r="AU1449" s="7">
        <v>-0.5065</v>
      </c>
      <c r="AV1449" s="4">
        <v>4</v>
      </c>
      <c r="AW1449" s="8">
        <v>245.4</v>
      </c>
      <c r="AX1449" s="4">
        <v>5</v>
      </c>
      <c r="AY1449" s="8">
        <v>287.14</v>
      </c>
      <c r="AZ1449" s="7">
        <v>-0.2</v>
      </c>
      <c r="BA1449" s="7">
        <v>-0.1454</v>
      </c>
      <c r="BB1449" s="7">
        <v>0.439</v>
      </c>
      <c r="BC1449" s="4">
        <v>5</v>
      </c>
      <c r="BD1449" s="8">
        <v>299.27</v>
      </c>
      <c r="BE1449" s="4">
        <v>12</v>
      </c>
      <c r="BF1449" s="8">
        <v>699.81</v>
      </c>
      <c r="BG1449" s="7">
        <v>-0.5833</v>
      </c>
      <c r="BH1449" s="7">
        <v>-0.5724</v>
      </c>
      <c r="BI1449" s="7">
        <v>0.82</v>
      </c>
      <c r="BJ1449" s="4">
        <v>375</v>
      </c>
      <c r="BK1449" s="8">
        <v>20461.13</v>
      </c>
      <c r="BL1449" s="2" t="s">
        <v>4950</v>
      </c>
      <c r="BM1449" s="7">
        <v>0.0053</v>
      </c>
      <c r="BN1449" s="7">
        <v>0.0053</v>
      </c>
      <c r="BO1449" s="4">
        <v>2</v>
      </c>
      <c r="BP1449" s="8">
        <v>107.74</v>
      </c>
      <c r="BQ1449" s="4">
        <v>4</v>
      </c>
      <c r="BR1449" s="8">
        <v>218.31</v>
      </c>
      <c r="BS1449" s="7">
        <v>-0.5</v>
      </c>
      <c r="BT1449" s="7">
        <v>-0.5065</v>
      </c>
      <c r="BU1449" s="2" t="s">
        <v>109</v>
      </c>
      <c r="BV1449" s="2" t="s">
        <v>97</v>
      </c>
      <c r="BW1449" s="2" t="s">
        <v>110</v>
      </c>
      <c r="BX1449" s="2" t="s">
        <v>4951</v>
      </c>
      <c r="BY1449" s="2" t="s">
        <v>112</v>
      </c>
      <c r="BZ1449" s="2" t="s">
        <v>100</v>
      </c>
    </row>
    <row r="1450">
      <c r="A1450" s="2" t="s">
        <v>4952</v>
      </c>
      <c r="B1450" s="2" t="s">
        <v>87</v>
      </c>
      <c r="C1450" s="2" t="s">
        <v>4677</v>
      </c>
      <c r="D1450" s="2" t="s">
        <v>3234</v>
      </c>
      <c r="E1450" s="2" t="s">
        <v>3360</v>
      </c>
      <c r="F1450" s="2" t="s">
        <v>4711</v>
      </c>
      <c r="G1450" s="2" t="s">
        <v>4711</v>
      </c>
      <c r="H1450" s="2" t="s">
        <v>4711</v>
      </c>
      <c r="I1450" s="2" t="s">
        <v>4949</v>
      </c>
      <c r="J1450" s="2" t="s">
        <v>850</v>
      </c>
      <c r="K1450" s="2" t="s">
        <v>635</v>
      </c>
      <c r="L1450" s="3">
        <v>65.55</v>
      </c>
      <c r="M1450" s="3">
        <v>68.83</v>
      </c>
      <c r="N1450" s="3">
        <v>139.99</v>
      </c>
      <c r="O1450" s="2" t="s">
        <v>97</v>
      </c>
      <c r="P1450" s="2" t="s">
        <v>124</v>
      </c>
      <c r="Q1450" s="2" t="s">
        <v>99</v>
      </c>
      <c r="R1450" s="2" t="s">
        <v>100</v>
      </c>
      <c r="S1450" s="2" t="s">
        <v>4713</v>
      </c>
      <c r="T1450" s="2" t="s">
        <v>732</v>
      </c>
      <c r="U1450" s="2" t="s">
        <v>1610</v>
      </c>
      <c r="V1450" s="2" t="s">
        <v>4714</v>
      </c>
      <c r="W1450" s="2" t="s">
        <v>1530</v>
      </c>
      <c r="X1450" s="2" t="s">
        <v>1310</v>
      </c>
      <c r="Y1450" s="2" t="s">
        <v>4715</v>
      </c>
      <c r="Z1450" s="4">
        <v>1111</v>
      </c>
      <c r="AA1450" s="4">
        <f>=ROUNDDOWN(58.4736842105263,0)</f>
      </c>
      <c r="AB1450" s="5">
        <v>19</v>
      </c>
      <c r="AC1450" s="2" t="s">
        <v>100</v>
      </c>
      <c r="AD1450" s="4"/>
      <c r="AE1450" s="4"/>
      <c r="AF1450" s="6">
        <v>69</v>
      </c>
      <c r="AG1450" s="6">
        <v>77</v>
      </c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>
        <v>0</v>
      </c>
      <c r="AP1450" s="4">
        <v>2</v>
      </c>
      <c r="AQ1450" s="8">
        <v>137.66</v>
      </c>
      <c r="AR1450" s="4">
        <v>1</v>
      </c>
      <c r="AS1450" s="8">
        <v>68.83</v>
      </c>
      <c r="AT1450" s="7">
        <v>1</v>
      </c>
      <c r="AU1450" s="7">
        <v>1</v>
      </c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>
        <v>0.561</v>
      </c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 t="s">
        <v>100</v>
      </c>
      <c r="BJ1450" s="4">
        <v>305</v>
      </c>
      <c r="BK1450" s="8">
        <v>21661.66</v>
      </c>
      <c r="BL1450" s="2" t="s">
        <v>4953</v>
      </c>
      <c r="BM1450" s="7">
        <v>0.0066</v>
      </c>
      <c r="BN1450" s="7">
        <v>0.0064</v>
      </c>
      <c r="BO1450" s="4">
        <v>2</v>
      </c>
      <c r="BP1450" s="8">
        <v>137.66</v>
      </c>
      <c r="BQ1450" s="4">
        <v>1</v>
      </c>
      <c r="BR1450" s="8">
        <v>68.83</v>
      </c>
      <c r="BS1450" s="7">
        <v>1</v>
      </c>
      <c r="BT1450" s="7">
        <v>1</v>
      </c>
      <c r="BU1450" s="2" t="s">
        <v>109</v>
      </c>
      <c r="BV1450" s="2" t="s">
        <v>97</v>
      </c>
      <c r="BW1450" s="2" t="s">
        <v>110</v>
      </c>
      <c r="BX1450" s="2" t="s">
        <v>111</v>
      </c>
      <c r="BY1450" s="2" t="s">
        <v>112</v>
      </c>
      <c r="BZ1450" s="2" t="s">
        <v>100</v>
      </c>
    </row>
    <row r="1451">
      <c r="A1451" s="2" t="s">
        <v>4954</v>
      </c>
      <c r="B1451" s="2" t="s">
        <v>87</v>
      </c>
      <c r="C1451" s="2" t="s">
        <v>4677</v>
      </c>
      <c r="D1451" s="2" t="s">
        <v>3234</v>
      </c>
      <c r="E1451" s="2" t="s">
        <v>3360</v>
      </c>
      <c r="F1451" s="2" t="s">
        <v>4711</v>
      </c>
      <c r="G1451" s="2" t="s">
        <v>4711</v>
      </c>
      <c r="H1451" s="2" t="s">
        <v>4711</v>
      </c>
      <c r="I1451" s="2" t="s">
        <v>4949</v>
      </c>
      <c r="J1451" s="2" t="s">
        <v>844</v>
      </c>
      <c r="K1451" s="2" t="s">
        <v>1204</v>
      </c>
      <c r="L1451" s="3">
        <v>51.3</v>
      </c>
      <c r="M1451" s="3">
        <v>53.86</v>
      </c>
      <c r="N1451" s="3">
        <v>109.99</v>
      </c>
      <c r="O1451" s="2" t="s">
        <v>97</v>
      </c>
      <c r="P1451" s="2" t="s">
        <v>182</v>
      </c>
      <c r="Q1451" s="2" t="s">
        <v>99</v>
      </c>
      <c r="R1451" s="2" t="s">
        <v>100</v>
      </c>
      <c r="S1451" s="2" t="s">
        <v>4722</v>
      </c>
      <c r="T1451" s="2" t="s">
        <v>732</v>
      </c>
      <c r="U1451" s="2" t="s">
        <v>1610</v>
      </c>
      <c r="V1451" s="2" t="s">
        <v>4714</v>
      </c>
      <c r="W1451" s="2" t="s">
        <v>1530</v>
      </c>
      <c r="X1451" s="2" t="s">
        <v>1310</v>
      </c>
      <c r="Y1451" s="2" t="s">
        <v>4955</v>
      </c>
      <c r="Z1451" s="4">
        <v>354</v>
      </c>
      <c r="AA1451" s="4">
        <f>=ROUNDDOWN(39.3333333333333,0)</f>
      </c>
      <c r="AB1451" s="5">
        <v>9</v>
      </c>
      <c r="AC1451" s="2" t="s">
        <v>356</v>
      </c>
      <c r="AD1451" s="4">
        <v>30</v>
      </c>
      <c r="AE1451" s="4">
        <v>30</v>
      </c>
      <c r="AF1451" s="6">
        <v>69</v>
      </c>
      <c r="AG1451" s="6">
        <v>77</v>
      </c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>
        <v>0</v>
      </c>
      <c r="AP1451" s="4">
        <v>1</v>
      </c>
      <c r="AQ1451" s="8">
        <v>53.87</v>
      </c>
      <c r="AR1451" s="4">
        <v>5</v>
      </c>
      <c r="AS1451" s="8">
        <v>275.01</v>
      </c>
      <c r="AT1451" s="7">
        <v>-0.8</v>
      </c>
      <c r="AU1451" s="7">
        <v>-0.8041</v>
      </c>
      <c r="AV1451" s="4">
        <v>1</v>
      </c>
      <c r="AW1451" s="8">
        <v>53.87</v>
      </c>
      <c r="AX1451" s="4">
        <v>7</v>
      </c>
      <c r="AY1451" s="8">
        <v>412.67</v>
      </c>
      <c r="AZ1451" s="7">
        <v>-0.8571</v>
      </c>
      <c r="BA1451" s="7">
        <v>-0.8695</v>
      </c>
      <c r="BB1451" s="7">
        <v>1</v>
      </c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>
        <v>0.18</v>
      </c>
      <c r="BJ1451" s="4">
        <v>97</v>
      </c>
      <c r="BK1451" s="8">
        <v>5457.41</v>
      </c>
      <c r="BL1451" s="2" t="s">
        <v>4956</v>
      </c>
      <c r="BM1451" s="7">
        <v>0.0103</v>
      </c>
      <c r="BN1451" s="7">
        <v>0.0099</v>
      </c>
      <c r="BO1451" s="4">
        <v>1</v>
      </c>
      <c r="BP1451" s="8">
        <v>53.87</v>
      </c>
      <c r="BQ1451" s="4">
        <v>5</v>
      </c>
      <c r="BR1451" s="8">
        <v>275.01</v>
      </c>
      <c r="BS1451" s="7">
        <v>-0.8</v>
      </c>
      <c r="BT1451" s="7">
        <v>-0.8041</v>
      </c>
      <c r="BU1451" s="2" t="s">
        <v>109</v>
      </c>
      <c r="BV1451" s="2" t="s">
        <v>97</v>
      </c>
      <c r="BW1451" s="2" t="s">
        <v>110</v>
      </c>
      <c r="BX1451" s="2" t="s">
        <v>4957</v>
      </c>
      <c r="BY1451" s="2" t="s">
        <v>112</v>
      </c>
      <c r="BZ1451" s="2" t="s">
        <v>100</v>
      </c>
    </row>
    <row r="1452">
      <c r="A1452" s="2" t="s">
        <v>4958</v>
      </c>
      <c r="B1452" s="2" t="s">
        <v>87</v>
      </c>
      <c r="C1452" s="2" t="s">
        <v>4677</v>
      </c>
      <c r="D1452" s="2" t="s">
        <v>3234</v>
      </c>
      <c r="E1452" s="2" t="s">
        <v>3360</v>
      </c>
      <c r="F1452" s="2" t="s">
        <v>4711</v>
      </c>
      <c r="G1452" s="2" t="s">
        <v>4711</v>
      </c>
      <c r="H1452" s="2" t="s">
        <v>4711</v>
      </c>
      <c r="I1452" s="2" t="s">
        <v>4949</v>
      </c>
      <c r="J1452" s="2" t="s">
        <v>850</v>
      </c>
      <c r="K1452" s="2" t="s">
        <v>1204</v>
      </c>
      <c r="L1452" s="3">
        <v>65.55</v>
      </c>
      <c r="M1452" s="3">
        <v>68.83</v>
      </c>
      <c r="N1452" s="3">
        <v>139.99</v>
      </c>
      <c r="O1452" s="2" t="s">
        <v>97</v>
      </c>
      <c r="P1452" s="2" t="s">
        <v>182</v>
      </c>
      <c r="Q1452" s="2" t="s">
        <v>99</v>
      </c>
      <c r="R1452" s="2" t="s">
        <v>100</v>
      </c>
      <c r="S1452" s="2" t="s">
        <v>4722</v>
      </c>
      <c r="T1452" s="2" t="s">
        <v>732</v>
      </c>
      <c r="U1452" s="2" t="s">
        <v>1610</v>
      </c>
      <c r="V1452" s="2" t="s">
        <v>4714</v>
      </c>
      <c r="W1452" s="2" t="s">
        <v>1530</v>
      </c>
      <c r="X1452" s="2" t="s">
        <v>1310</v>
      </c>
      <c r="Y1452" s="2" t="s">
        <v>4727</v>
      </c>
      <c r="Z1452" s="4">
        <v>530</v>
      </c>
      <c r="AA1452" s="4">
        <f>=ROUNDDOWN(53,0)</f>
      </c>
      <c r="AB1452" s="5">
        <v>10</v>
      </c>
      <c r="AC1452" s="2" t="s">
        <v>269</v>
      </c>
      <c r="AD1452" s="4">
        <v>40</v>
      </c>
      <c r="AE1452" s="4">
        <v>40</v>
      </c>
      <c r="AF1452" s="6">
        <v>69</v>
      </c>
      <c r="AG1452" s="6">
        <v>77</v>
      </c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>
        <v>0</v>
      </c>
      <c r="AP1452" s="4"/>
      <c r="AQ1452" s="8"/>
      <c r="AR1452" s="4">
        <v>2</v>
      </c>
      <c r="AS1452" s="8">
        <v>137.66</v>
      </c>
      <c r="AT1452" s="7">
        <v>-1</v>
      </c>
      <c r="AU1452" s="7">
        <v>-1</v>
      </c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 t="s">
        <v>100</v>
      </c>
      <c r="BJ1452" s="4">
        <v>157</v>
      </c>
      <c r="BK1452" s="8">
        <v>11364.53</v>
      </c>
      <c r="BL1452" s="2" t="s">
        <v>4959</v>
      </c>
      <c r="BM1452" s="7"/>
      <c r="BN1452" s="7"/>
      <c r="BO1452" s="4"/>
      <c r="BP1452" s="8"/>
      <c r="BQ1452" s="4">
        <v>2</v>
      </c>
      <c r="BR1452" s="8">
        <v>137.66</v>
      </c>
      <c r="BS1452" s="7">
        <v>-1</v>
      </c>
      <c r="BT1452" s="7">
        <v>-1</v>
      </c>
      <c r="BU1452" s="2" t="s">
        <v>109</v>
      </c>
      <c r="BV1452" s="2" t="s">
        <v>97</v>
      </c>
      <c r="BW1452" s="2" t="s">
        <v>110</v>
      </c>
      <c r="BX1452" s="2" t="s">
        <v>2728</v>
      </c>
      <c r="BY1452" s="2" t="s">
        <v>112</v>
      </c>
      <c r="BZ1452" s="2" t="s">
        <v>100</v>
      </c>
    </row>
    <row r="1453">
      <c r="A1453" s="2" t="s">
        <v>4960</v>
      </c>
      <c r="B1453" s="2" t="s">
        <v>87</v>
      </c>
      <c r="C1453" s="2" t="s">
        <v>4677</v>
      </c>
      <c r="D1453" s="2" t="s">
        <v>3234</v>
      </c>
      <c r="E1453" s="2" t="s">
        <v>3360</v>
      </c>
      <c r="F1453" s="2" t="s">
        <v>4711</v>
      </c>
      <c r="G1453" s="2" t="s">
        <v>4711</v>
      </c>
      <c r="H1453" s="2" t="s">
        <v>4711</v>
      </c>
      <c r="I1453" s="2" t="s">
        <v>4949</v>
      </c>
      <c r="J1453" s="2" t="s">
        <v>844</v>
      </c>
      <c r="K1453" s="2" t="s">
        <v>650</v>
      </c>
      <c r="L1453" s="3">
        <v>51.3</v>
      </c>
      <c r="M1453" s="3">
        <v>53.86</v>
      </c>
      <c r="N1453" s="3">
        <v>109.99</v>
      </c>
      <c r="O1453" s="2" t="s">
        <v>97</v>
      </c>
      <c r="P1453" s="2" t="s">
        <v>198</v>
      </c>
      <c r="Q1453" s="2" t="s">
        <v>99</v>
      </c>
      <c r="R1453" s="2" t="s">
        <v>100</v>
      </c>
      <c r="S1453" s="2" t="s">
        <v>4730</v>
      </c>
      <c r="T1453" s="2" t="s">
        <v>732</v>
      </c>
      <c r="U1453" s="2" t="s">
        <v>1610</v>
      </c>
      <c r="V1453" s="2" t="s">
        <v>4714</v>
      </c>
      <c r="W1453" s="2" t="s">
        <v>1530</v>
      </c>
      <c r="X1453" s="2" t="s">
        <v>1310</v>
      </c>
      <c r="Y1453" s="2" t="s">
        <v>4727</v>
      </c>
      <c r="Z1453" s="4">
        <v>104</v>
      </c>
      <c r="AA1453" s="4">
        <f>=ROUNDDOWN(26,0)</f>
      </c>
      <c r="AB1453" s="5">
        <v>4</v>
      </c>
      <c r="AC1453" s="2" t="s">
        <v>100</v>
      </c>
      <c r="AD1453" s="4"/>
      <c r="AE1453" s="4"/>
      <c r="AF1453" s="6">
        <v>69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 t="s">
        <v>100</v>
      </c>
      <c r="BJ1453" s="4">
        <v>71</v>
      </c>
      <c r="BK1453" s="8">
        <v>3857.16</v>
      </c>
      <c r="BL1453" s="2" t="s">
        <v>1948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147</v>
      </c>
      <c r="BV1453" s="2" t="s">
        <v>97</v>
      </c>
      <c r="BW1453" s="2" t="s">
        <v>100</v>
      </c>
      <c r="BX1453" s="2" t="s">
        <v>100</v>
      </c>
      <c r="BY1453" s="2" t="s">
        <v>112</v>
      </c>
      <c r="BZ1453" s="2" t="s">
        <v>100</v>
      </c>
    </row>
    <row r="1454">
      <c r="A1454" s="2" t="s">
        <v>4961</v>
      </c>
      <c r="B1454" s="2" t="s">
        <v>87</v>
      </c>
      <c r="C1454" s="2" t="s">
        <v>4677</v>
      </c>
      <c r="D1454" s="2" t="s">
        <v>3234</v>
      </c>
      <c r="E1454" s="2" t="s">
        <v>3360</v>
      </c>
      <c r="F1454" s="2" t="s">
        <v>4711</v>
      </c>
      <c r="G1454" s="2" t="s">
        <v>4711</v>
      </c>
      <c r="H1454" s="2" t="s">
        <v>4711</v>
      </c>
      <c r="I1454" s="2" t="s">
        <v>4949</v>
      </c>
      <c r="J1454" s="2" t="s">
        <v>850</v>
      </c>
      <c r="K1454" s="2" t="s">
        <v>650</v>
      </c>
      <c r="L1454" s="3">
        <v>65.55</v>
      </c>
      <c r="M1454" s="3">
        <v>68.83</v>
      </c>
      <c r="N1454" s="3">
        <v>139.99</v>
      </c>
      <c r="O1454" s="2" t="s">
        <v>97</v>
      </c>
      <c r="P1454" s="2" t="s">
        <v>198</v>
      </c>
      <c r="Q1454" s="2" t="s">
        <v>99</v>
      </c>
      <c r="R1454" s="2" t="s">
        <v>100</v>
      </c>
      <c r="S1454" s="2" t="s">
        <v>4730</v>
      </c>
      <c r="T1454" s="2" t="s">
        <v>732</v>
      </c>
      <c r="U1454" s="2" t="s">
        <v>1610</v>
      </c>
      <c r="V1454" s="2" t="s">
        <v>4714</v>
      </c>
      <c r="W1454" s="2" t="s">
        <v>1530</v>
      </c>
      <c r="X1454" s="2" t="s">
        <v>1310</v>
      </c>
      <c r="Y1454" s="2" t="s">
        <v>4727</v>
      </c>
      <c r="Z1454" s="4">
        <v>102</v>
      </c>
      <c r="AA1454" s="4">
        <f>=ROUNDDOWN(34,0)</f>
      </c>
      <c r="AB1454" s="5">
        <v>3</v>
      </c>
      <c r="AC1454" s="2" t="s">
        <v>100</v>
      </c>
      <c r="AD1454" s="4"/>
      <c r="AE1454" s="4"/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 t="s">
        <v>100</v>
      </c>
      <c r="BJ1454" s="4">
        <v>44</v>
      </c>
      <c r="BK1454" s="8">
        <v>3153.61</v>
      </c>
      <c r="BL1454" s="2" t="s">
        <v>4962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147</v>
      </c>
      <c r="BV1454" s="2" t="s">
        <v>97</v>
      </c>
      <c r="BW1454" s="2" t="s">
        <v>100</v>
      </c>
      <c r="BX1454" s="2" t="s">
        <v>100</v>
      </c>
      <c r="BY1454" s="2" t="s">
        <v>112</v>
      </c>
      <c r="BZ1454" s="2" t="s">
        <v>100</v>
      </c>
    </row>
    <row r="1455">
      <c r="A1455" s="2" t="s">
        <v>4963</v>
      </c>
      <c r="B1455" s="2" t="s">
        <v>87</v>
      </c>
      <c r="C1455" s="2" t="s">
        <v>4677</v>
      </c>
      <c r="D1455" s="2" t="s">
        <v>3234</v>
      </c>
      <c r="E1455" s="2" t="s">
        <v>3360</v>
      </c>
      <c r="F1455" s="2" t="s">
        <v>4711</v>
      </c>
      <c r="G1455" s="2" t="s">
        <v>4711</v>
      </c>
      <c r="H1455" s="2" t="s">
        <v>4711</v>
      </c>
      <c r="I1455" s="2" t="s">
        <v>4949</v>
      </c>
      <c r="J1455" s="2" t="s">
        <v>844</v>
      </c>
      <c r="K1455" s="2" t="s">
        <v>4734</v>
      </c>
      <c r="L1455" s="3">
        <v>51.3</v>
      </c>
      <c r="M1455" s="3">
        <v>53.86</v>
      </c>
      <c r="N1455" s="3">
        <v>109.99</v>
      </c>
      <c r="O1455" s="2" t="s">
        <v>97</v>
      </c>
      <c r="P1455" s="2" t="s">
        <v>143</v>
      </c>
      <c r="Q1455" s="2" t="s">
        <v>99</v>
      </c>
      <c r="R1455" s="2" t="s">
        <v>100</v>
      </c>
      <c r="S1455" s="2" t="s">
        <v>4735</v>
      </c>
      <c r="T1455" s="2" t="s">
        <v>732</v>
      </c>
      <c r="U1455" s="2" t="s">
        <v>1610</v>
      </c>
      <c r="V1455" s="2" t="s">
        <v>4714</v>
      </c>
      <c r="W1455" s="2" t="s">
        <v>1530</v>
      </c>
      <c r="X1455" s="2" t="s">
        <v>1310</v>
      </c>
      <c r="Y1455" s="2" t="s">
        <v>4736</v>
      </c>
      <c r="Z1455" s="4">
        <v>499</v>
      </c>
      <c r="AA1455" s="4">
        <f>=ROUNDDOWN(41.5833333333333,0)</f>
      </c>
      <c r="AB1455" s="5">
        <v>12</v>
      </c>
      <c r="AC1455" s="2" t="s">
        <v>847</v>
      </c>
      <c r="AD1455" s="4">
        <v>100</v>
      </c>
      <c r="AE1455" s="4">
        <v>100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 t="s">
        <v>100</v>
      </c>
      <c r="BJ1455" s="4">
        <v>203</v>
      </c>
      <c r="BK1455" s="8">
        <v>11225.36</v>
      </c>
      <c r="BL1455" s="2" t="s">
        <v>4964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147</v>
      </c>
      <c r="BV1455" s="2" t="s">
        <v>97</v>
      </c>
      <c r="BW1455" s="2" t="s">
        <v>100</v>
      </c>
      <c r="BX1455" s="2" t="s">
        <v>100</v>
      </c>
      <c r="BY1455" s="2" t="s">
        <v>112</v>
      </c>
      <c r="BZ1455" s="2" t="s">
        <v>100</v>
      </c>
    </row>
    <row r="1456">
      <c r="A1456" s="2" t="s">
        <v>4965</v>
      </c>
      <c r="B1456" s="2" t="s">
        <v>87</v>
      </c>
      <c r="C1456" s="2" t="s">
        <v>4677</v>
      </c>
      <c r="D1456" s="2" t="s">
        <v>3234</v>
      </c>
      <c r="E1456" s="2" t="s">
        <v>3360</v>
      </c>
      <c r="F1456" s="2" t="s">
        <v>4711</v>
      </c>
      <c r="G1456" s="2" t="s">
        <v>4711</v>
      </c>
      <c r="H1456" s="2" t="s">
        <v>4711</v>
      </c>
      <c r="I1456" s="2" t="s">
        <v>4949</v>
      </c>
      <c r="J1456" s="2" t="s">
        <v>850</v>
      </c>
      <c r="K1456" s="2" t="s">
        <v>4734</v>
      </c>
      <c r="L1456" s="3">
        <v>65.55</v>
      </c>
      <c r="M1456" s="3">
        <v>68.83</v>
      </c>
      <c r="N1456" s="3">
        <v>139.99</v>
      </c>
      <c r="O1456" s="2" t="s">
        <v>97</v>
      </c>
      <c r="P1456" s="2" t="s">
        <v>143</v>
      </c>
      <c r="Q1456" s="2" t="s">
        <v>99</v>
      </c>
      <c r="R1456" s="2" t="s">
        <v>100</v>
      </c>
      <c r="S1456" s="2" t="s">
        <v>4735</v>
      </c>
      <c r="T1456" s="2" t="s">
        <v>732</v>
      </c>
      <c r="U1456" s="2" t="s">
        <v>1610</v>
      </c>
      <c r="V1456" s="2" t="s">
        <v>4714</v>
      </c>
      <c r="W1456" s="2" t="s">
        <v>1530</v>
      </c>
      <c r="X1456" s="2" t="s">
        <v>1310</v>
      </c>
      <c r="Y1456" s="2" t="s">
        <v>4736</v>
      </c>
      <c r="Z1456" s="4">
        <v>527</v>
      </c>
      <c r="AA1456" s="4">
        <f>=ROUNDDOWN(47.9090909090909,0)</f>
      </c>
      <c r="AB1456" s="5">
        <v>11</v>
      </c>
      <c r="AC1456" s="2" t="s">
        <v>100</v>
      </c>
      <c r="AD1456" s="4"/>
      <c r="AE1456" s="4"/>
      <c r="AF1456" s="6">
        <v>69</v>
      </c>
      <c r="AG1456" s="6"/>
      <c r="AH1456" s="7">
        <v>1</v>
      </c>
      <c r="AI1456" s="4"/>
      <c r="AJ1456" s="4">
        <f>=ROUNDDOWN({0},0)</f>
      </c>
      <c r="AK1456" s="5"/>
      <c r="AL1456" s="2" t="s">
        <v>100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 t="s">
        <v>100</v>
      </c>
      <c r="BJ1456" s="4">
        <v>225</v>
      </c>
      <c r="BK1456" s="8">
        <v>16295.07</v>
      </c>
      <c r="BL1456" s="2" t="s">
        <v>4966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147</v>
      </c>
      <c r="BV1456" s="2" t="s">
        <v>97</v>
      </c>
      <c r="BW1456" s="2" t="s">
        <v>100</v>
      </c>
      <c r="BX1456" s="2" t="s">
        <v>100</v>
      </c>
      <c r="BY1456" s="2" t="s">
        <v>112</v>
      </c>
      <c r="BZ1456" s="2" t="s">
        <v>100</v>
      </c>
    </row>
    <row r="1457">
      <c r="A1457" s="2" t="s">
        <v>4967</v>
      </c>
      <c r="B1457" s="2" t="s">
        <v>87</v>
      </c>
      <c r="C1457" s="2" t="s">
        <v>4677</v>
      </c>
      <c r="D1457" s="2" t="s">
        <v>3234</v>
      </c>
      <c r="E1457" s="2" t="s">
        <v>3360</v>
      </c>
      <c r="F1457" s="2" t="s">
        <v>4741</v>
      </c>
      <c r="G1457" s="2" t="s">
        <v>4741</v>
      </c>
      <c r="H1457" s="2" t="s">
        <v>4741</v>
      </c>
      <c r="I1457" s="2" t="s">
        <v>4968</v>
      </c>
      <c r="J1457" s="2" t="s">
        <v>844</v>
      </c>
      <c r="K1457" s="2" t="s">
        <v>4750</v>
      </c>
      <c r="L1457" s="3">
        <v>44.16</v>
      </c>
      <c r="M1457" s="3">
        <v>46.37</v>
      </c>
      <c r="N1457" s="3">
        <v>84.99</v>
      </c>
      <c r="O1457" s="2" t="s">
        <v>97</v>
      </c>
      <c r="P1457" s="2" t="s">
        <v>124</v>
      </c>
      <c r="Q1457" s="2" t="s">
        <v>99</v>
      </c>
      <c r="R1457" s="2" t="s">
        <v>100</v>
      </c>
      <c r="S1457" s="2" t="s">
        <v>4751</v>
      </c>
      <c r="T1457" s="2" t="s">
        <v>732</v>
      </c>
      <c r="U1457" s="2" t="s">
        <v>1610</v>
      </c>
      <c r="V1457" s="2" t="s">
        <v>991</v>
      </c>
      <c r="W1457" s="2" t="s">
        <v>2195</v>
      </c>
      <c r="X1457" s="2" t="s">
        <v>1310</v>
      </c>
      <c r="Y1457" s="2" t="s">
        <v>4752</v>
      </c>
      <c r="Z1457" s="4">
        <v>3264</v>
      </c>
      <c r="AA1457" s="4">
        <f>=ROUNDDOWN(136,0)</f>
      </c>
      <c r="AB1457" s="5">
        <v>24</v>
      </c>
      <c r="AC1457" s="2" t="s">
        <v>100</v>
      </c>
      <c r="AD1457" s="4"/>
      <c r="AE1457" s="4"/>
      <c r="AF1457" s="6">
        <v>67</v>
      </c>
      <c r="AG1457" s="6"/>
      <c r="AH1457" s="7">
        <v>1</v>
      </c>
      <c r="AI1457" s="4"/>
      <c r="AJ1457" s="4">
        <f>=ROUNDDOWN({0},0)</f>
      </c>
      <c r="AK1457" s="5"/>
      <c r="AL1457" s="2" t="s">
        <v>100</v>
      </c>
      <c r="AM1457" s="4"/>
      <c r="AN1457" s="4"/>
      <c r="AO1457" s="7">
        <v>0</v>
      </c>
      <c r="AP1457" s="4">
        <v>2</v>
      </c>
      <c r="AQ1457" s="8">
        <v>92.74</v>
      </c>
      <c r="AR1457" s="4">
        <v>8</v>
      </c>
      <c r="AS1457" s="8">
        <v>391.11</v>
      </c>
      <c r="AT1457" s="7">
        <v>-0.75</v>
      </c>
      <c r="AU1457" s="7">
        <v>-0.7629</v>
      </c>
      <c r="AV1457" s="4">
        <v>2</v>
      </c>
      <c r="AW1457" s="8">
        <v>92.74</v>
      </c>
      <c r="AX1457" s="4">
        <v>13</v>
      </c>
      <c r="AY1457" s="8">
        <v>725.51</v>
      </c>
      <c r="AZ1457" s="7">
        <v>-0.8462</v>
      </c>
      <c r="BA1457" s="7">
        <v>-0.8722</v>
      </c>
      <c r="BB1457" s="7">
        <v>1</v>
      </c>
      <c r="BC1457" s="4">
        <v>2</v>
      </c>
      <c r="BD1457" s="8">
        <v>92.74</v>
      </c>
      <c r="BE1457" s="4">
        <v>13</v>
      </c>
      <c r="BF1457" s="8">
        <v>725.51</v>
      </c>
      <c r="BG1457" s="7">
        <v>-0.8462</v>
      </c>
      <c r="BH1457" s="7">
        <v>-0.8722</v>
      </c>
      <c r="BI1457" s="7">
        <v>1</v>
      </c>
      <c r="BJ1457" s="4">
        <v>408</v>
      </c>
      <c r="BK1457" s="8">
        <v>19332.82</v>
      </c>
      <c r="BL1457" s="2" t="s">
        <v>4969</v>
      </c>
      <c r="BM1457" s="7">
        <v>0.0049</v>
      </c>
      <c r="BN1457" s="7">
        <v>0.0048</v>
      </c>
      <c r="BO1457" s="4">
        <v>2</v>
      </c>
      <c r="BP1457" s="8">
        <v>92.74</v>
      </c>
      <c r="BQ1457" s="4">
        <v>8</v>
      </c>
      <c r="BR1457" s="8">
        <v>391.11</v>
      </c>
      <c r="BS1457" s="7">
        <v>-0.75</v>
      </c>
      <c r="BT1457" s="7">
        <v>-0.7629</v>
      </c>
      <c r="BU1457" s="2" t="s">
        <v>109</v>
      </c>
      <c r="BV1457" s="2" t="s">
        <v>97</v>
      </c>
      <c r="BW1457" s="2" t="s">
        <v>110</v>
      </c>
      <c r="BX1457" s="2" t="s">
        <v>164</v>
      </c>
      <c r="BY1457" s="2" t="s">
        <v>112</v>
      </c>
      <c r="BZ1457" s="2" t="s">
        <v>100</v>
      </c>
    </row>
    <row r="1458">
      <c r="A1458" s="2" t="s">
        <v>4970</v>
      </c>
      <c r="B1458" s="2" t="s">
        <v>87</v>
      </c>
      <c r="C1458" s="2" t="s">
        <v>4677</v>
      </c>
      <c r="D1458" s="2" t="s">
        <v>3234</v>
      </c>
      <c r="E1458" s="2" t="s">
        <v>3360</v>
      </c>
      <c r="F1458" s="2" t="s">
        <v>4741</v>
      </c>
      <c r="G1458" s="2" t="s">
        <v>4741</v>
      </c>
      <c r="H1458" s="2" t="s">
        <v>4741</v>
      </c>
      <c r="I1458" s="2" t="s">
        <v>4968</v>
      </c>
      <c r="J1458" s="2" t="s">
        <v>850</v>
      </c>
      <c r="K1458" s="2" t="s">
        <v>4750</v>
      </c>
      <c r="L1458" s="3">
        <v>58.6</v>
      </c>
      <c r="M1458" s="3">
        <v>61.53</v>
      </c>
      <c r="N1458" s="3">
        <v>114.99</v>
      </c>
      <c r="O1458" s="2" t="s">
        <v>97</v>
      </c>
      <c r="P1458" s="2" t="s">
        <v>124</v>
      </c>
      <c r="Q1458" s="2" t="s">
        <v>99</v>
      </c>
      <c r="R1458" s="2" t="s">
        <v>100</v>
      </c>
      <c r="S1458" s="2" t="s">
        <v>4751</v>
      </c>
      <c r="T1458" s="2" t="s">
        <v>732</v>
      </c>
      <c r="U1458" s="2" t="s">
        <v>1610</v>
      </c>
      <c r="V1458" s="2" t="s">
        <v>991</v>
      </c>
      <c r="W1458" s="2" t="s">
        <v>2195</v>
      </c>
      <c r="X1458" s="2" t="s">
        <v>1310</v>
      </c>
      <c r="Y1458" s="2" t="s">
        <v>4752</v>
      </c>
      <c r="Z1458" s="4">
        <v>3916</v>
      </c>
      <c r="AA1458" s="4">
        <f>=ROUNDDOWN(130.533333333333,0)</f>
      </c>
      <c r="AB1458" s="5">
        <v>30</v>
      </c>
      <c r="AC1458" s="2" t="s">
        <v>100</v>
      </c>
      <c r="AD1458" s="4"/>
      <c r="AE1458" s="4"/>
      <c r="AF1458" s="6">
        <v>67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>
        <v>0</v>
      </c>
      <c r="AP1458" s="4"/>
      <c r="AQ1458" s="8"/>
      <c r="AR1458" s="4">
        <v>5</v>
      </c>
      <c r="AS1458" s="8">
        <v>334.4</v>
      </c>
      <c r="AT1458" s="7">
        <v>-1</v>
      </c>
      <c r="AU1458" s="7">
        <v>-1</v>
      </c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 t="s">
        <v>100</v>
      </c>
      <c r="BJ1458" s="4">
        <v>569</v>
      </c>
      <c r="BK1458" s="8">
        <v>37460.12</v>
      </c>
      <c r="BL1458" s="2" t="s">
        <v>4971</v>
      </c>
      <c r="BM1458" s="7"/>
      <c r="BN1458" s="7"/>
      <c r="BO1458" s="4"/>
      <c r="BP1458" s="8"/>
      <c r="BQ1458" s="4">
        <v>5</v>
      </c>
      <c r="BR1458" s="8">
        <v>334.4</v>
      </c>
      <c r="BS1458" s="7">
        <v>-1</v>
      </c>
      <c r="BT1458" s="7">
        <v>-1</v>
      </c>
      <c r="BU1458" s="2" t="s">
        <v>109</v>
      </c>
      <c r="BV1458" s="2" t="s">
        <v>97</v>
      </c>
      <c r="BW1458" s="2" t="s">
        <v>110</v>
      </c>
      <c r="BX1458" s="2" t="s">
        <v>164</v>
      </c>
      <c r="BY1458" s="2" t="s">
        <v>112</v>
      </c>
      <c r="BZ1458" s="2" t="s">
        <v>100</v>
      </c>
    </row>
    <row r="1459">
      <c r="A1459" s="2" t="s">
        <v>4972</v>
      </c>
      <c r="B1459" s="2" t="s">
        <v>87</v>
      </c>
      <c r="C1459" s="2" t="s">
        <v>4677</v>
      </c>
      <c r="D1459" s="2" t="s">
        <v>3234</v>
      </c>
      <c r="E1459" s="2" t="s">
        <v>3360</v>
      </c>
      <c r="F1459" s="2" t="s">
        <v>4741</v>
      </c>
      <c r="G1459" s="2" t="s">
        <v>4741</v>
      </c>
      <c r="H1459" s="2" t="s">
        <v>4741</v>
      </c>
      <c r="I1459" s="2" t="s">
        <v>4968</v>
      </c>
      <c r="J1459" s="2" t="s">
        <v>844</v>
      </c>
      <c r="K1459" s="2" t="s">
        <v>4743</v>
      </c>
      <c r="L1459" s="3">
        <v>44.16</v>
      </c>
      <c r="M1459" s="3">
        <v>46.37</v>
      </c>
      <c r="N1459" s="3">
        <v>84.99</v>
      </c>
      <c r="O1459" s="2" t="s">
        <v>97</v>
      </c>
      <c r="P1459" s="2" t="s">
        <v>182</v>
      </c>
      <c r="Q1459" s="2" t="s">
        <v>99</v>
      </c>
      <c r="R1459" s="2" t="s">
        <v>100</v>
      </c>
      <c r="S1459" s="2" t="s">
        <v>4744</v>
      </c>
      <c r="T1459" s="2" t="s">
        <v>732</v>
      </c>
      <c r="U1459" s="2" t="s">
        <v>1610</v>
      </c>
      <c r="V1459" s="2" t="s">
        <v>991</v>
      </c>
      <c r="W1459" s="2" t="s">
        <v>2195</v>
      </c>
      <c r="X1459" s="2" t="s">
        <v>1310</v>
      </c>
      <c r="Y1459" s="2" t="s">
        <v>4745</v>
      </c>
      <c r="Z1459" s="4">
        <v>73</v>
      </c>
      <c r="AA1459" s="4">
        <f>=ROUNDDOWN(10.4285714285714,0)</f>
      </c>
      <c r="AB1459" s="5">
        <v>7</v>
      </c>
      <c r="AC1459" s="2" t="s">
        <v>4747</v>
      </c>
      <c r="AD1459" s="4">
        <v>50</v>
      </c>
      <c r="AE1459" s="4">
        <v>165</v>
      </c>
      <c r="AF1459" s="6">
        <v>67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 t="s">
        <v>100</v>
      </c>
      <c r="BJ1459" s="4">
        <v>142</v>
      </c>
      <c r="BK1459" s="8">
        <v>6643.4</v>
      </c>
      <c r="BL1459" s="2" t="s">
        <v>1140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147</v>
      </c>
      <c r="BV1459" s="2" t="s">
        <v>97</v>
      </c>
      <c r="BW1459" s="2" t="s">
        <v>100</v>
      </c>
      <c r="BX1459" s="2" t="s">
        <v>100</v>
      </c>
      <c r="BY1459" s="2" t="s">
        <v>112</v>
      </c>
      <c r="BZ1459" s="2" t="s">
        <v>100</v>
      </c>
    </row>
    <row r="1460">
      <c r="A1460" s="2" t="s">
        <v>4973</v>
      </c>
      <c r="B1460" s="2" t="s">
        <v>87</v>
      </c>
      <c r="C1460" s="2" t="s">
        <v>4677</v>
      </c>
      <c r="D1460" s="2" t="s">
        <v>3234</v>
      </c>
      <c r="E1460" s="2" t="s">
        <v>3360</v>
      </c>
      <c r="F1460" s="2" t="s">
        <v>4741</v>
      </c>
      <c r="G1460" s="2" t="s">
        <v>4741</v>
      </c>
      <c r="H1460" s="2" t="s">
        <v>4741</v>
      </c>
      <c r="I1460" s="2" t="s">
        <v>4968</v>
      </c>
      <c r="J1460" s="2" t="s">
        <v>850</v>
      </c>
      <c r="K1460" s="2" t="s">
        <v>4743</v>
      </c>
      <c r="L1460" s="3">
        <v>58.6</v>
      </c>
      <c r="M1460" s="3">
        <v>61.53</v>
      </c>
      <c r="N1460" s="3">
        <v>114.99</v>
      </c>
      <c r="O1460" s="2" t="s">
        <v>97</v>
      </c>
      <c r="P1460" s="2" t="s">
        <v>182</v>
      </c>
      <c r="Q1460" s="2" t="s">
        <v>99</v>
      </c>
      <c r="R1460" s="2" t="s">
        <v>100</v>
      </c>
      <c r="S1460" s="2" t="s">
        <v>4744</v>
      </c>
      <c r="T1460" s="2" t="s">
        <v>732</v>
      </c>
      <c r="U1460" s="2" t="s">
        <v>1610</v>
      </c>
      <c r="V1460" s="2" t="s">
        <v>991</v>
      </c>
      <c r="W1460" s="2" t="s">
        <v>2195</v>
      </c>
      <c r="X1460" s="2" t="s">
        <v>1310</v>
      </c>
      <c r="Y1460" s="2" t="s">
        <v>4745</v>
      </c>
      <c r="Z1460" s="4">
        <v>25</v>
      </c>
      <c r="AA1460" s="4">
        <f>=ROUNDDOWN(2.77777777777778,0)</f>
      </c>
      <c r="AB1460" s="5">
        <v>9</v>
      </c>
      <c r="AC1460" s="2" t="s">
        <v>4747</v>
      </c>
      <c r="AD1460" s="4">
        <v>70</v>
      </c>
      <c r="AE1460" s="4">
        <v>415</v>
      </c>
      <c r="AF1460" s="6">
        <v>67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 t="s">
        <v>100</v>
      </c>
      <c r="BJ1460" s="4">
        <v>120</v>
      </c>
      <c r="BK1460" s="8">
        <v>7964.76</v>
      </c>
      <c r="BL1460" s="2" t="s">
        <v>3157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147</v>
      </c>
      <c r="BV1460" s="2" t="s">
        <v>97</v>
      </c>
      <c r="BW1460" s="2" t="s">
        <v>100</v>
      </c>
      <c r="BX1460" s="2" t="s">
        <v>100</v>
      </c>
      <c r="BY1460" s="2" t="s">
        <v>112</v>
      </c>
      <c r="BZ1460" s="2" t="s">
        <v>100</v>
      </c>
    </row>
    <row r="1461">
      <c r="A1461" s="2" t="s">
        <v>4974</v>
      </c>
      <c r="B1461" s="2" t="s">
        <v>87</v>
      </c>
      <c r="C1461" s="2" t="s">
        <v>4677</v>
      </c>
      <c r="D1461" s="2" t="s">
        <v>3234</v>
      </c>
      <c r="E1461" s="2" t="s">
        <v>3360</v>
      </c>
      <c r="F1461" s="2" t="s">
        <v>4690</v>
      </c>
      <c r="G1461" s="2" t="s">
        <v>4690</v>
      </c>
      <c r="H1461" s="2" t="s">
        <v>4690</v>
      </c>
      <c r="I1461" s="2" t="s">
        <v>4975</v>
      </c>
      <c r="J1461" s="2" t="s">
        <v>844</v>
      </c>
      <c r="K1461" s="2" t="s">
        <v>267</v>
      </c>
      <c r="L1461" s="3">
        <v>44.1</v>
      </c>
      <c r="M1461" s="3">
        <v>46.3</v>
      </c>
      <c r="N1461" s="3">
        <v>89.99</v>
      </c>
      <c r="O1461" s="2" t="s">
        <v>97</v>
      </c>
      <c r="P1461" s="2" t="s">
        <v>182</v>
      </c>
      <c r="Q1461" s="2" t="s">
        <v>99</v>
      </c>
      <c r="R1461" s="2" t="s">
        <v>100</v>
      </c>
      <c r="S1461" s="2" t="s">
        <v>4700</v>
      </c>
      <c r="T1461" s="2" t="s">
        <v>732</v>
      </c>
      <c r="U1461" s="2" t="s">
        <v>1610</v>
      </c>
      <c r="V1461" s="2" t="s">
        <v>4693</v>
      </c>
      <c r="W1461" s="2" t="s">
        <v>2195</v>
      </c>
      <c r="X1461" s="2" t="s">
        <v>284</v>
      </c>
      <c r="Y1461" s="2" t="s">
        <v>106</v>
      </c>
      <c r="Z1461" s="4">
        <v>200</v>
      </c>
      <c r="AA1461" s="4">
        <f>=ROUNDDOWN(40,0)</f>
      </c>
      <c r="AB1461" s="5">
        <v>5</v>
      </c>
      <c r="AC1461" s="2" t="s">
        <v>100</v>
      </c>
      <c r="AD1461" s="4"/>
      <c r="AE1461" s="4"/>
      <c r="AF1461" s="6">
        <v>65</v>
      </c>
      <c r="AG1461" s="6">
        <v>73</v>
      </c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59</v>
      </c>
      <c r="BK1461" s="8">
        <v>2971.58</v>
      </c>
      <c r="BL1461" s="2" t="s">
        <v>4976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147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4977</v>
      </c>
      <c r="B1462" s="2" t="s">
        <v>87</v>
      </c>
      <c r="C1462" s="2" t="s">
        <v>4677</v>
      </c>
      <c r="D1462" s="2" t="s">
        <v>3234</v>
      </c>
      <c r="E1462" s="2" t="s">
        <v>3360</v>
      </c>
      <c r="F1462" s="2" t="s">
        <v>4690</v>
      </c>
      <c r="G1462" s="2" t="s">
        <v>4690</v>
      </c>
      <c r="H1462" s="2" t="s">
        <v>4690</v>
      </c>
      <c r="I1462" s="2" t="s">
        <v>4975</v>
      </c>
      <c r="J1462" s="2" t="s">
        <v>850</v>
      </c>
      <c r="K1462" s="2" t="s">
        <v>267</v>
      </c>
      <c r="L1462" s="3">
        <v>58.5</v>
      </c>
      <c r="M1462" s="3">
        <v>61.42</v>
      </c>
      <c r="N1462" s="3">
        <v>119.99</v>
      </c>
      <c r="O1462" s="2" t="s">
        <v>97</v>
      </c>
      <c r="P1462" s="2" t="s">
        <v>182</v>
      </c>
      <c r="Q1462" s="2" t="s">
        <v>99</v>
      </c>
      <c r="R1462" s="2" t="s">
        <v>100</v>
      </c>
      <c r="S1462" s="2" t="s">
        <v>4700</v>
      </c>
      <c r="T1462" s="2" t="s">
        <v>732</v>
      </c>
      <c r="U1462" s="2" t="s">
        <v>1610</v>
      </c>
      <c r="V1462" s="2" t="s">
        <v>4693</v>
      </c>
      <c r="W1462" s="2" t="s">
        <v>2195</v>
      </c>
      <c r="X1462" s="2" t="s">
        <v>284</v>
      </c>
      <c r="Y1462" s="2" t="s">
        <v>106</v>
      </c>
      <c r="Z1462" s="4">
        <v>158</v>
      </c>
      <c r="AA1462" s="4">
        <f>=ROUNDDOWN(31.6,0)</f>
      </c>
      <c r="AB1462" s="5">
        <v>5</v>
      </c>
      <c r="AC1462" s="2" t="s">
        <v>100</v>
      </c>
      <c r="AD1462" s="4"/>
      <c r="AE1462" s="4"/>
      <c r="AF1462" s="6">
        <v>65</v>
      </c>
      <c r="AG1462" s="6">
        <v>73</v>
      </c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74</v>
      </c>
      <c r="BK1462" s="8">
        <v>4912.85</v>
      </c>
      <c r="BL1462" s="2" t="s">
        <v>4978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147</v>
      </c>
      <c r="BV1462" s="2" t="s">
        <v>97</v>
      </c>
      <c r="BW1462" s="2" t="s">
        <v>100</v>
      </c>
      <c r="BX1462" s="2" t="s">
        <v>100</v>
      </c>
      <c r="BY1462" s="2" t="s">
        <v>112</v>
      </c>
      <c r="BZ1462" s="2" t="s">
        <v>100</v>
      </c>
    </row>
    <row r="1463">
      <c r="A1463" s="2" t="s">
        <v>4979</v>
      </c>
      <c r="B1463" s="2" t="s">
        <v>87</v>
      </c>
      <c r="C1463" s="2" t="s">
        <v>4677</v>
      </c>
      <c r="D1463" s="2" t="s">
        <v>3234</v>
      </c>
      <c r="E1463" s="2" t="s">
        <v>3360</v>
      </c>
      <c r="F1463" s="2" t="s">
        <v>4690</v>
      </c>
      <c r="G1463" s="2" t="s">
        <v>4690</v>
      </c>
      <c r="H1463" s="2" t="s">
        <v>4690</v>
      </c>
      <c r="I1463" s="2" t="s">
        <v>4975</v>
      </c>
      <c r="J1463" s="2" t="s">
        <v>844</v>
      </c>
      <c r="K1463" s="2" t="s">
        <v>197</v>
      </c>
      <c r="L1463" s="3">
        <v>44.1</v>
      </c>
      <c r="M1463" s="3">
        <v>46.3</v>
      </c>
      <c r="N1463" s="3">
        <v>89.99</v>
      </c>
      <c r="O1463" s="2" t="s">
        <v>97</v>
      </c>
      <c r="P1463" s="2" t="s">
        <v>182</v>
      </c>
      <c r="Q1463" s="2" t="s">
        <v>99</v>
      </c>
      <c r="R1463" s="2" t="s">
        <v>100</v>
      </c>
      <c r="S1463" s="2" t="s">
        <v>4692</v>
      </c>
      <c r="T1463" s="2" t="s">
        <v>732</v>
      </c>
      <c r="U1463" s="2" t="s">
        <v>1610</v>
      </c>
      <c r="V1463" s="2" t="s">
        <v>4693</v>
      </c>
      <c r="W1463" s="2" t="s">
        <v>2195</v>
      </c>
      <c r="X1463" s="2" t="s">
        <v>284</v>
      </c>
      <c r="Y1463" s="2" t="s">
        <v>106</v>
      </c>
      <c r="Z1463" s="4">
        <v>145</v>
      </c>
      <c r="AA1463" s="4">
        <f>=ROUNDDOWN(14.5,0)</f>
      </c>
      <c r="AB1463" s="5">
        <v>10</v>
      </c>
      <c r="AC1463" s="2" t="s">
        <v>1546</v>
      </c>
      <c r="AD1463" s="4">
        <v>280</v>
      </c>
      <c r="AE1463" s="4">
        <v>360</v>
      </c>
      <c r="AF1463" s="6">
        <v>65</v>
      </c>
      <c r="AG1463" s="6">
        <v>73</v>
      </c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98</v>
      </c>
      <c r="BK1463" s="8">
        <v>4916.23</v>
      </c>
      <c r="BL1463" s="2" t="s">
        <v>4980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147</v>
      </c>
      <c r="BV1463" s="2" t="s">
        <v>97</v>
      </c>
      <c r="BW1463" s="2" t="s">
        <v>100</v>
      </c>
      <c r="BX1463" s="2" t="s">
        <v>100</v>
      </c>
      <c r="BY1463" s="2" t="s">
        <v>112</v>
      </c>
      <c r="BZ1463" s="2" t="s">
        <v>100</v>
      </c>
    </row>
    <row r="1464">
      <c r="A1464" s="2" t="s">
        <v>4981</v>
      </c>
      <c r="B1464" s="2" t="s">
        <v>87</v>
      </c>
      <c r="C1464" s="2" t="s">
        <v>4677</v>
      </c>
      <c r="D1464" s="2" t="s">
        <v>3234</v>
      </c>
      <c r="E1464" s="2" t="s">
        <v>3360</v>
      </c>
      <c r="F1464" s="2" t="s">
        <v>4690</v>
      </c>
      <c r="G1464" s="2" t="s">
        <v>4690</v>
      </c>
      <c r="H1464" s="2" t="s">
        <v>4690</v>
      </c>
      <c r="I1464" s="2" t="s">
        <v>4975</v>
      </c>
      <c r="J1464" s="2" t="s">
        <v>850</v>
      </c>
      <c r="K1464" s="2" t="s">
        <v>197</v>
      </c>
      <c r="L1464" s="3">
        <v>58.5</v>
      </c>
      <c r="M1464" s="3">
        <v>61.42</v>
      </c>
      <c r="N1464" s="3">
        <v>119.99</v>
      </c>
      <c r="O1464" s="2" t="s">
        <v>97</v>
      </c>
      <c r="P1464" s="2" t="s">
        <v>182</v>
      </c>
      <c r="Q1464" s="2" t="s">
        <v>99</v>
      </c>
      <c r="R1464" s="2" t="s">
        <v>100</v>
      </c>
      <c r="S1464" s="2" t="s">
        <v>4692</v>
      </c>
      <c r="T1464" s="2" t="s">
        <v>732</v>
      </c>
      <c r="U1464" s="2" t="s">
        <v>1610</v>
      </c>
      <c r="V1464" s="2" t="s">
        <v>4693</v>
      </c>
      <c r="W1464" s="2" t="s">
        <v>2195</v>
      </c>
      <c r="X1464" s="2" t="s">
        <v>284</v>
      </c>
      <c r="Y1464" s="2" t="s">
        <v>106</v>
      </c>
      <c r="Z1464" s="4">
        <v>187</v>
      </c>
      <c r="AA1464" s="4">
        <f>=ROUNDDOWN(37.4,0)</f>
      </c>
      <c r="AB1464" s="5">
        <v>5</v>
      </c>
      <c r="AC1464" s="2" t="s">
        <v>2846</v>
      </c>
      <c r="AD1464" s="4">
        <v>50</v>
      </c>
      <c r="AE1464" s="4">
        <v>50</v>
      </c>
      <c r="AF1464" s="6">
        <v>65</v>
      </c>
      <c r="AG1464" s="6">
        <v>73</v>
      </c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61</v>
      </c>
      <c r="BK1464" s="8">
        <v>4088.62</v>
      </c>
      <c r="BL1464" s="2" t="s">
        <v>4982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147</v>
      </c>
      <c r="BV1464" s="2" t="s">
        <v>97</v>
      </c>
      <c r="BW1464" s="2" t="s">
        <v>100</v>
      </c>
      <c r="BX1464" s="2" t="s">
        <v>100</v>
      </c>
      <c r="BY1464" s="2" t="s">
        <v>112</v>
      </c>
      <c r="BZ1464" s="2" t="s">
        <v>100</v>
      </c>
    </row>
    <row r="1465">
      <c r="A1465" s="2" t="s">
        <v>4983</v>
      </c>
      <c r="B1465" s="2" t="s">
        <v>87</v>
      </c>
      <c r="C1465" s="2" t="s">
        <v>4677</v>
      </c>
      <c r="D1465" s="2" t="s">
        <v>3234</v>
      </c>
      <c r="E1465" s="2" t="s">
        <v>3360</v>
      </c>
      <c r="F1465" s="2" t="s">
        <v>4690</v>
      </c>
      <c r="G1465" s="2" t="s">
        <v>4690</v>
      </c>
      <c r="H1465" s="2" t="s">
        <v>4690</v>
      </c>
      <c r="I1465" s="2" t="s">
        <v>4975</v>
      </c>
      <c r="J1465" s="2" t="s">
        <v>844</v>
      </c>
      <c r="K1465" s="2" t="s">
        <v>298</v>
      </c>
      <c r="L1465" s="3">
        <v>44.1</v>
      </c>
      <c r="M1465" s="3">
        <v>46.3</v>
      </c>
      <c r="N1465" s="3">
        <v>89.99</v>
      </c>
      <c r="O1465" s="2" t="s">
        <v>97</v>
      </c>
      <c r="P1465" s="2" t="s">
        <v>182</v>
      </c>
      <c r="Q1465" s="2" t="s">
        <v>99</v>
      </c>
      <c r="R1465" s="2" t="s">
        <v>100</v>
      </c>
      <c r="S1465" s="2" t="s">
        <v>4706</v>
      </c>
      <c r="T1465" s="2" t="s">
        <v>732</v>
      </c>
      <c r="U1465" s="2" t="s">
        <v>1610</v>
      </c>
      <c r="V1465" s="2" t="s">
        <v>4693</v>
      </c>
      <c r="W1465" s="2" t="s">
        <v>2195</v>
      </c>
      <c r="X1465" s="2" t="s">
        <v>284</v>
      </c>
      <c r="Y1465" s="2" t="s">
        <v>106</v>
      </c>
      <c r="Z1465" s="4">
        <v>210</v>
      </c>
      <c r="AA1465" s="4">
        <f>=ROUNDDOWN(42,0)</f>
      </c>
      <c r="AB1465" s="5">
        <v>5</v>
      </c>
      <c r="AC1465" s="2" t="s">
        <v>1546</v>
      </c>
      <c r="AD1465" s="4">
        <v>50</v>
      </c>
      <c r="AE1465" s="4">
        <v>50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56</v>
      </c>
      <c r="BK1465" s="8">
        <v>2709.81</v>
      </c>
      <c r="BL1465" s="2" t="s">
        <v>290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147</v>
      </c>
      <c r="BV1465" s="2" t="s">
        <v>97</v>
      </c>
      <c r="BW1465" s="2" t="s">
        <v>100</v>
      </c>
      <c r="BX1465" s="2" t="s">
        <v>100</v>
      </c>
      <c r="BY1465" s="2" t="s">
        <v>112</v>
      </c>
      <c r="BZ1465" s="2" t="s">
        <v>100</v>
      </c>
    </row>
    <row r="1466">
      <c r="A1466" s="2" t="s">
        <v>4984</v>
      </c>
      <c r="B1466" s="2" t="s">
        <v>87</v>
      </c>
      <c r="C1466" s="2" t="s">
        <v>4677</v>
      </c>
      <c r="D1466" s="2" t="s">
        <v>3234</v>
      </c>
      <c r="E1466" s="2" t="s">
        <v>3360</v>
      </c>
      <c r="F1466" s="2" t="s">
        <v>4690</v>
      </c>
      <c r="G1466" s="2" t="s">
        <v>4690</v>
      </c>
      <c r="H1466" s="2" t="s">
        <v>4690</v>
      </c>
      <c r="I1466" s="2" t="s">
        <v>4975</v>
      </c>
      <c r="J1466" s="2" t="s">
        <v>850</v>
      </c>
      <c r="K1466" s="2" t="s">
        <v>298</v>
      </c>
      <c r="L1466" s="3">
        <v>58.5</v>
      </c>
      <c r="M1466" s="3">
        <v>61.42</v>
      </c>
      <c r="N1466" s="3">
        <v>119.99</v>
      </c>
      <c r="O1466" s="2" t="s">
        <v>97</v>
      </c>
      <c r="P1466" s="2" t="s">
        <v>182</v>
      </c>
      <c r="Q1466" s="2" t="s">
        <v>99</v>
      </c>
      <c r="R1466" s="2" t="s">
        <v>100</v>
      </c>
      <c r="S1466" s="2" t="s">
        <v>4706</v>
      </c>
      <c r="T1466" s="2" t="s">
        <v>732</v>
      </c>
      <c r="U1466" s="2" t="s">
        <v>1610</v>
      </c>
      <c r="V1466" s="2" t="s">
        <v>4693</v>
      </c>
      <c r="W1466" s="2" t="s">
        <v>2195</v>
      </c>
      <c r="X1466" s="2" t="s">
        <v>284</v>
      </c>
      <c r="Y1466" s="2" t="s">
        <v>106</v>
      </c>
      <c r="Z1466" s="4">
        <v>156</v>
      </c>
      <c r="AA1466" s="4">
        <f>=ROUNDDOWN(67.8260869565217,0)</f>
      </c>
      <c r="AB1466" s="5">
        <v>2.3</v>
      </c>
      <c r="AC1466" s="2" t="s">
        <v>100</v>
      </c>
      <c r="AD1466" s="4"/>
      <c r="AE1466" s="4"/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47</v>
      </c>
      <c r="BK1466" s="8">
        <v>2871.5</v>
      </c>
      <c r="BL1466" s="2" t="s">
        <v>4985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147</v>
      </c>
      <c r="BV1466" s="2" t="s">
        <v>97</v>
      </c>
      <c r="BW1466" s="2" t="s">
        <v>100</v>
      </c>
      <c r="BX1466" s="2" t="s">
        <v>100</v>
      </c>
      <c r="BY1466" s="2" t="s">
        <v>112</v>
      </c>
      <c r="BZ1466" s="2" t="s">
        <v>100</v>
      </c>
    </row>
    <row r="1467">
      <c r="A1467" s="2" t="s">
        <v>4986</v>
      </c>
      <c r="B1467" s="2" t="s">
        <v>87</v>
      </c>
      <c r="C1467" s="2" t="s">
        <v>4677</v>
      </c>
      <c r="D1467" s="2" t="s">
        <v>3234</v>
      </c>
      <c r="E1467" s="2" t="s">
        <v>3360</v>
      </c>
      <c r="F1467" s="2" t="s">
        <v>4835</v>
      </c>
      <c r="G1467" s="2" t="s">
        <v>4835</v>
      </c>
      <c r="H1467" s="2" t="s">
        <v>4835</v>
      </c>
      <c r="I1467" s="2" t="s">
        <v>3416</v>
      </c>
      <c r="J1467" s="2" t="s">
        <v>844</v>
      </c>
      <c r="K1467" s="2" t="s">
        <v>298</v>
      </c>
      <c r="L1467" s="3">
        <v>64.79</v>
      </c>
      <c r="M1467" s="3">
        <v>68.03</v>
      </c>
      <c r="N1467" s="3">
        <v>131.99</v>
      </c>
      <c r="O1467" s="2" t="s">
        <v>97</v>
      </c>
      <c r="P1467" s="2" t="s">
        <v>98</v>
      </c>
      <c r="Q1467" s="2" t="s">
        <v>99</v>
      </c>
      <c r="R1467" s="2" t="s">
        <v>100</v>
      </c>
      <c r="S1467" s="2" t="s">
        <v>4836</v>
      </c>
      <c r="T1467" s="2" t="s">
        <v>732</v>
      </c>
      <c r="U1467" s="2" t="s">
        <v>1610</v>
      </c>
      <c r="V1467" s="2" t="s">
        <v>991</v>
      </c>
      <c r="W1467" s="2" t="s">
        <v>4769</v>
      </c>
      <c r="X1467" s="2" t="s">
        <v>1530</v>
      </c>
      <c r="Y1467" s="2" t="s">
        <v>4837</v>
      </c>
      <c r="Z1467" s="4">
        <v>262</v>
      </c>
      <c r="AA1467" s="4">
        <f>=ROUNDDOWN(37.4285714285714,0)</f>
      </c>
      <c r="AB1467" s="5">
        <v>7</v>
      </c>
      <c r="AC1467" s="2" t="s">
        <v>2305</v>
      </c>
      <c r="AD1467" s="4">
        <v>50</v>
      </c>
      <c r="AE1467" s="4">
        <v>50</v>
      </c>
      <c r="AF1467" s="6">
        <v>67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103</v>
      </c>
      <c r="BK1467" s="8">
        <v>7388.05</v>
      </c>
      <c r="BL1467" s="2" t="s">
        <v>1357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147</v>
      </c>
      <c r="BV1467" s="2" t="s">
        <v>97</v>
      </c>
      <c r="BW1467" s="2" t="s">
        <v>100</v>
      </c>
      <c r="BX1467" s="2" t="s">
        <v>100</v>
      </c>
      <c r="BY1467" s="2" t="s">
        <v>112</v>
      </c>
      <c r="BZ1467" s="2" t="s">
        <v>100</v>
      </c>
    </row>
    <row r="1468">
      <c r="A1468" s="2" t="s">
        <v>4987</v>
      </c>
      <c r="B1468" s="2" t="s">
        <v>87</v>
      </c>
      <c r="C1468" s="2" t="s">
        <v>4677</v>
      </c>
      <c r="D1468" s="2" t="s">
        <v>3234</v>
      </c>
      <c r="E1468" s="2" t="s">
        <v>3360</v>
      </c>
      <c r="F1468" s="2" t="s">
        <v>4835</v>
      </c>
      <c r="G1468" s="2" t="s">
        <v>4835</v>
      </c>
      <c r="H1468" s="2" t="s">
        <v>4835</v>
      </c>
      <c r="I1468" s="2" t="s">
        <v>3416</v>
      </c>
      <c r="J1468" s="2" t="s">
        <v>850</v>
      </c>
      <c r="K1468" s="2" t="s">
        <v>298</v>
      </c>
      <c r="L1468" s="3">
        <v>79.38</v>
      </c>
      <c r="M1468" s="3">
        <v>83.35</v>
      </c>
      <c r="N1468" s="3">
        <v>161.99</v>
      </c>
      <c r="O1468" s="2" t="s">
        <v>97</v>
      </c>
      <c r="P1468" s="2" t="s">
        <v>182</v>
      </c>
      <c r="Q1468" s="2" t="s">
        <v>99</v>
      </c>
      <c r="R1468" s="2" t="s">
        <v>100</v>
      </c>
      <c r="S1468" s="2" t="s">
        <v>4836</v>
      </c>
      <c r="T1468" s="2" t="s">
        <v>732</v>
      </c>
      <c r="U1468" s="2" t="s">
        <v>1610</v>
      </c>
      <c r="V1468" s="2" t="s">
        <v>991</v>
      </c>
      <c r="W1468" s="2" t="s">
        <v>4769</v>
      </c>
      <c r="X1468" s="2" t="s">
        <v>1530</v>
      </c>
      <c r="Y1468" s="2" t="s">
        <v>4837</v>
      </c>
      <c r="Z1468" s="4">
        <v>166</v>
      </c>
      <c r="AA1468" s="4">
        <f>=ROUNDDOWN(23.7142857142857,0)</f>
      </c>
      <c r="AB1468" s="5">
        <v>7</v>
      </c>
      <c r="AC1468" s="2" t="s">
        <v>2305</v>
      </c>
      <c r="AD1468" s="4">
        <v>28</v>
      </c>
      <c r="AE1468" s="4">
        <v>28</v>
      </c>
      <c r="AF1468" s="6">
        <v>67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>
        <v>100</v>
      </c>
      <c r="BK1468" s="8">
        <v>8773.51</v>
      </c>
      <c r="BL1468" s="2" t="s">
        <v>4988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147</v>
      </c>
      <c r="BV1468" s="2" t="s">
        <v>97</v>
      </c>
      <c r="BW1468" s="2" t="s">
        <v>100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4989</v>
      </c>
      <c r="B1469" s="2" t="s">
        <v>87</v>
      </c>
      <c r="C1469" s="2" t="s">
        <v>4677</v>
      </c>
      <c r="D1469" s="2" t="s">
        <v>3234</v>
      </c>
      <c r="E1469" s="2" t="s">
        <v>3360</v>
      </c>
      <c r="F1469" s="2" t="s">
        <v>4842</v>
      </c>
      <c r="G1469" s="2" t="s">
        <v>4842</v>
      </c>
      <c r="H1469" s="2" t="s">
        <v>4842</v>
      </c>
      <c r="I1469" s="2" t="s">
        <v>4990</v>
      </c>
      <c r="J1469" s="2" t="s">
        <v>844</v>
      </c>
      <c r="K1469" s="2" t="s">
        <v>635</v>
      </c>
      <c r="L1469" s="3">
        <v>45.71</v>
      </c>
      <c r="M1469" s="3">
        <v>48</v>
      </c>
      <c r="N1469" s="3">
        <v>99.99</v>
      </c>
      <c r="O1469" s="2" t="s">
        <v>97</v>
      </c>
      <c r="P1469" s="2" t="s">
        <v>1166</v>
      </c>
      <c r="Q1469" s="2" t="s">
        <v>99</v>
      </c>
      <c r="R1469" s="2" t="s">
        <v>100</v>
      </c>
      <c r="S1469" s="2" t="s">
        <v>4843</v>
      </c>
      <c r="T1469" s="2" t="s">
        <v>732</v>
      </c>
      <c r="U1469" s="2" t="s">
        <v>1610</v>
      </c>
      <c r="V1469" s="2" t="s">
        <v>991</v>
      </c>
      <c r="W1469" s="2" t="s">
        <v>1403</v>
      </c>
      <c r="X1469" s="2" t="s">
        <v>759</v>
      </c>
      <c r="Y1469" s="2" t="s">
        <v>100</v>
      </c>
      <c r="Z1469" s="4"/>
      <c r="AA1469" s="4">
        <f>=ROUNDDOWN({0},0)</f>
      </c>
      <c r="AB1469" s="5"/>
      <c r="AC1469" s="2" t="s">
        <v>1208</v>
      </c>
      <c r="AD1469" s="4">
        <v>145</v>
      </c>
      <c r="AE1469" s="4">
        <v>290</v>
      </c>
      <c r="AF1469" s="6">
        <v>65</v>
      </c>
      <c r="AG1469" s="6"/>
      <c r="AH1469" s="7">
        <v>0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/>
      <c r="BK1469" s="8"/>
      <c r="BL1469" s="2" t="s">
        <v>100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1171</v>
      </c>
      <c r="BV1469" s="2" t="s">
        <v>97</v>
      </c>
      <c r="BW1469" s="2" t="s">
        <v>100</v>
      </c>
      <c r="BX1469" s="2" t="s">
        <v>100</v>
      </c>
      <c r="BY1469" s="2" t="s">
        <v>112</v>
      </c>
      <c r="BZ1469" s="2" t="s">
        <v>100</v>
      </c>
    </row>
    <row r="1470">
      <c r="A1470" s="2" t="s">
        <v>4991</v>
      </c>
      <c r="B1470" s="2" t="s">
        <v>87</v>
      </c>
      <c r="C1470" s="2" t="s">
        <v>4677</v>
      </c>
      <c r="D1470" s="2" t="s">
        <v>3234</v>
      </c>
      <c r="E1470" s="2" t="s">
        <v>3360</v>
      </c>
      <c r="F1470" s="2" t="s">
        <v>4842</v>
      </c>
      <c r="G1470" s="2" t="s">
        <v>4842</v>
      </c>
      <c r="H1470" s="2" t="s">
        <v>4842</v>
      </c>
      <c r="I1470" s="2" t="s">
        <v>4990</v>
      </c>
      <c r="J1470" s="2" t="s">
        <v>850</v>
      </c>
      <c r="K1470" s="2" t="s">
        <v>635</v>
      </c>
      <c r="L1470" s="3">
        <v>54.85</v>
      </c>
      <c r="M1470" s="3">
        <v>57.59</v>
      </c>
      <c r="N1470" s="3">
        <v>119.99</v>
      </c>
      <c r="O1470" s="2" t="s">
        <v>97</v>
      </c>
      <c r="P1470" s="2" t="s">
        <v>1166</v>
      </c>
      <c r="Q1470" s="2" t="s">
        <v>99</v>
      </c>
      <c r="R1470" s="2" t="s">
        <v>100</v>
      </c>
      <c r="S1470" s="2" t="s">
        <v>4843</v>
      </c>
      <c r="T1470" s="2" t="s">
        <v>732</v>
      </c>
      <c r="U1470" s="2" t="s">
        <v>1610</v>
      </c>
      <c r="V1470" s="2" t="s">
        <v>991</v>
      </c>
      <c r="W1470" s="2" t="s">
        <v>1403</v>
      </c>
      <c r="X1470" s="2" t="s">
        <v>759</v>
      </c>
      <c r="Y1470" s="2" t="s">
        <v>100</v>
      </c>
      <c r="Z1470" s="4"/>
      <c r="AA1470" s="4">
        <f>=ROUNDDOWN({0},0)</f>
      </c>
      <c r="AB1470" s="5"/>
      <c r="AC1470" s="2" t="s">
        <v>1208</v>
      </c>
      <c r="AD1470" s="4">
        <v>120</v>
      </c>
      <c r="AE1470" s="4">
        <v>240</v>
      </c>
      <c r="AF1470" s="6">
        <v>65</v>
      </c>
      <c r="AG1470" s="6"/>
      <c r="AH1470" s="7">
        <v>0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/>
      <c r="BK1470" s="8"/>
      <c r="BL1470" s="2" t="s">
        <v>100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1171</v>
      </c>
      <c r="BV1470" s="2" t="s">
        <v>97</v>
      </c>
      <c r="BW1470" s="2" t="s">
        <v>100</v>
      </c>
      <c r="BX1470" s="2" t="s">
        <v>100</v>
      </c>
      <c r="BY1470" s="2" t="s">
        <v>112</v>
      </c>
      <c r="BZ1470" s="2" t="s">
        <v>100</v>
      </c>
    </row>
    <row r="1471">
      <c r="A1471" s="2" t="s">
        <v>4992</v>
      </c>
      <c r="B1471" s="2" t="s">
        <v>87</v>
      </c>
      <c r="C1471" s="2" t="s">
        <v>4677</v>
      </c>
      <c r="D1471" s="2" t="s">
        <v>3234</v>
      </c>
      <c r="E1471" s="2" t="s">
        <v>3360</v>
      </c>
      <c r="F1471" s="2" t="s">
        <v>4846</v>
      </c>
      <c r="G1471" s="2" t="s">
        <v>4846</v>
      </c>
      <c r="H1471" s="2" t="s">
        <v>4846</v>
      </c>
      <c r="I1471" s="2" t="s">
        <v>3416</v>
      </c>
      <c r="J1471" s="2" t="s">
        <v>844</v>
      </c>
      <c r="K1471" s="2" t="s">
        <v>4847</v>
      </c>
      <c r="L1471" s="3">
        <v>58.8</v>
      </c>
      <c r="M1471" s="3">
        <v>61.73</v>
      </c>
      <c r="N1471" s="3">
        <v>119.99</v>
      </c>
      <c r="O1471" s="2" t="s">
        <v>229</v>
      </c>
      <c r="P1471" s="2" t="s">
        <v>198</v>
      </c>
      <c r="Q1471" s="2" t="s">
        <v>99</v>
      </c>
      <c r="R1471" s="2" t="s">
        <v>100</v>
      </c>
      <c r="S1471" s="2" t="s">
        <v>4848</v>
      </c>
      <c r="T1471" s="2" t="s">
        <v>732</v>
      </c>
      <c r="U1471" s="2" t="s">
        <v>1610</v>
      </c>
      <c r="V1471" s="2" t="s">
        <v>561</v>
      </c>
      <c r="W1471" s="2" t="s">
        <v>4770</v>
      </c>
      <c r="X1471" s="2" t="s">
        <v>759</v>
      </c>
      <c r="Y1471" s="2" t="s">
        <v>4849</v>
      </c>
      <c r="Z1471" s="4">
        <v>110</v>
      </c>
      <c r="AA1471" s="4">
        <f>=ROUNDDOWN(100,0)</f>
      </c>
      <c r="AB1471" s="5">
        <v>1.1</v>
      </c>
      <c r="AC1471" s="2" t="s">
        <v>100</v>
      </c>
      <c r="AD1471" s="4"/>
      <c r="AE1471" s="4"/>
      <c r="AF1471" s="6">
        <v>67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>
        <v>41</v>
      </c>
      <c r="BK1471" s="8">
        <v>2088.48</v>
      </c>
      <c r="BL1471" s="2" t="s">
        <v>4993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147</v>
      </c>
      <c r="BV1471" s="2" t="s">
        <v>97</v>
      </c>
      <c r="BW1471" s="2" t="s">
        <v>100</v>
      </c>
      <c r="BX1471" s="2" t="s">
        <v>100</v>
      </c>
      <c r="BY1471" s="2" t="s">
        <v>112</v>
      </c>
      <c r="BZ1471" s="2" t="s">
        <v>100</v>
      </c>
    </row>
    <row r="1472">
      <c r="A1472" s="2" t="s">
        <v>4994</v>
      </c>
      <c r="B1472" s="2" t="s">
        <v>87</v>
      </c>
      <c r="C1472" s="2" t="s">
        <v>4677</v>
      </c>
      <c r="D1472" s="2" t="s">
        <v>3234</v>
      </c>
      <c r="E1472" s="2" t="s">
        <v>3360</v>
      </c>
      <c r="F1472" s="2" t="s">
        <v>4846</v>
      </c>
      <c r="G1472" s="2" t="s">
        <v>4846</v>
      </c>
      <c r="H1472" s="2" t="s">
        <v>4846</v>
      </c>
      <c r="I1472" s="2" t="s">
        <v>3416</v>
      </c>
      <c r="J1472" s="2" t="s">
        <v>850</v>
      </c>
      <c r="K1472" s="2" t="s">
        <v>4847</v>
      </c>
      <c r="L1472" s="3">
        <v>73.5</v>
      </c>
      <c r="M1472" s="3">
        <v>77.17</v>
      </c>
      <c r="N1472" s="3">
        <v>149.99</v>
      </c>
      <c r="O1472" s="2" t="s">
        <v>229</v>
      </c>
      <c r="P1472" s="2" t="s">
        <v>198</v>
      </c>
      <c r="Q1472" s="2" t="s">
        <v>99</v>
      </c>
      <c r="R1472" s="2" t="s">
        <v>100</v>
      </c>
      <c r="S1472" s="2" t="s">
        <v>4848</v>
      </c>
      <c r="T1472" s="2" t="s">
        <v>732</v>
      </c>
      <c r="U1472" s="2" t="s">
        <v>1610</v>
      </c>
      <c r="V1472" s="2" t="s">
        <v>561</v>
      </c>
      <c r="W1472" s="2" t="s">
        <v>4770</v>
      </c>
      <c r="X1472" s="2" t="s">
        <v>759</v>
      </c>
      <c r="Y1472" s="2" t="s">
        <v>4849</v>
      </c>
      <c r="Z1472" s="4">
        <v>19</v>
      </c>
      <c r="AA1472" s="4">
        <f>=ROUNDDOWN(14.6153846153846,0)</f>
      </c>
      <c r="AB1472" s="5">
        <v>1.3</v>
      </c>
      <c r="AC1472" s="2" t="s">
        <v>100</v>
      </c>
      <c r="AD1472" s="4"/>
      <c r="AE1472" s="4"/>
      <c r="AF1472" s="6">
        <v>67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>
        <v>48</v>
      </c>
      <c r="BK1472" s="8">
        <v>3099.73</v>
      </c>
      <c r="BL1472" s="2" t="s">
        <v>4995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147</v>
      </c>
      <c r="BV1472" s="2" t="s">
        <v>97</v>
      </c>
      <c r="BW1472" s="2" t="s">
        <v>100</v>
      </c>
      <c r="BX1472" s="2" t="s">
        <v>100</v>
      </c>
      <c r="BY1472" s="2" t="s">
        <v>112</v>
      </c>
      <c r="BZ1472" s="2" t="s">
        <v>100</v>
      </c>
    </row>
    <row r="1473">
      <c r="A1473" s="2" t="s">
        <v>4996</v>
      </c>
      <c r="B1473" s="2" t="s">
        <v>87</v>
      </c>
      <c r="C1473" s="2" t="s">
        <v>4677</v>
      </c>
      <c r="D1473" s="2" t="s">
        <v>3234</v>
      </c>
      <c r="E1473" s="2" t="s">
        <v>3360</v>
      </c>
      <c r="F1473" s="2" t="s">
        <v>4846</v>
      </c>
      <c r="G1473" s="2" t="s">
        <v>4846</v>
      </c>
      <c r="H1473" s="2" t="s">
        <v>4846</v>
      </c>
      <c r="I1473" s="2" t="s">
        <v>3416</v>
      </c>
      <c r="J1473" s="2" t="s">
        <v>844</v>
      </c>
      <c r="K1473" s="2" t="s">
        <v>4854</v>
      </c>
      <c r="L1473" s="3">
        <v>58.8</v>
      </c>
      <c r="M1473" s="3">
        <v>61.73</v>
      </c>
      <c r="N1473" s="3">
        <v>119.99</v>
      </c>
      <c r="O1473" s="2" t="s">
        <v>97</v>
      </c>
      <c r="P1473" s="2" t="s">
        <v>182</v>
      </c>
      <c r="Q1473" s="2" t="s">
        <v>99</v>
      </c>
      <c r="R1473" s="2" t="s">
        <v>100</v>
      </c>
      <c r="S1473" s="2" t="s">
        <v>4855</v>
      </c>
      <c r="T1473" s="2" t="s">
        <v>732</v>
      </c>
      <c r="U1473" s="2" t="s">
        <v>1610</v>
      </c>
      <c r="V1473" s="2" t="s">
        <v>561</v>
      </c>
      <c r="W1473" s="2" t="s">
        <v>4769</v>
      </c>
      <c r="X1473" s="2" t="s">
        <v>759</v>
      </c>
      <c r="Y1473" s="2" t="s">
        <v>4856</v>
      </c>
      <c r="Z1473" s="4">
        <v>182</v>
      </c>
      <c r="AA1473" s="4">
        <f>=ROUNDDOWN(30.3333333333333,0)</f>
      </c>
      <c r="AB1473" s="5">
        <v>6</v>
      </c>
      <c r="AC1473" s="2" t="s">
        <v>126</v>
      </c>
      <c r="AD1473" s="4">
        <v>80</v>
      </c>
      <c r="AE1473" s="4">
        <v>80</v>
      </c>
      <c r="AF1473" s="6">
        <v>67</v>
      </c>
      <c r="AG1473" s="6"/>
      <c r="AH1473" s="7">
        <v>1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117</v>
      </c>
      <c r="BK1473" s="8">
        <v>7507.32</v>
      </c>
      <c r="BL1473" s="2" t="s">
        <v>4997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147</v>
      </c>
      <c r="BV1473" s="2" t="s">
        <v>97</v>
      </c>
      <c r="BW1473" s="2" t="s">
        <v>100</v>
      </c>
      <c r="BX1473" s="2" t="s">
        <v>100</v>
      </c>
      <c r="BY1473" s="2" t="s">
        <v>112</v>
      </c>
      <c r="BZ1473" s="2" t="s">
        <v>100</v>
      </c>
    </row>
    <row r="1474">
      <c r="A1474" s="2" t="s">
        <v>4998</v>
      </c>
      <c r="B1474" s="2" t="s">
        <v>87</v>
      </c>
      <c r="C1474" s="2" t="s">
        <v>4677</v>
      </c>
      <c r="D1474" s="2" t="s">
        <v>3234</v>
      </c>
      <c r="E1474" s="2" t="s">
        <v>3360</v>
      </c>
      <c r="F1474" s="2" t="s">
        <v>4846</v>
      </c>
      <c r="G1474" s="2" t="s">
        <v>4846</v>
      </c>
      <c r="H1474" s="2" t="s">
        <v>4846</v>
      </c>
      <c r="I1474" s="2" t="s">
        <v>3416</v>
      </c>
      <c r="J1474" s="2" t="s">
        <v>850</v>
      </c>
      <c r="K1474" s="2" t="s">
        <v>4854</v>
      </c>
      <c r="L1474" s="3">
        <v>73.5</v>
      </c>
      <c r="M1474" s="3">
        <v>77.17</v>
      </c>
      <c r="N1474" s="3">
        <v>149.99</v>
      </c>
      <c r="O1474" s="2" t="s">
        <v>97</v>
      </c>
      <c r="P1474" s="2" t="s">
        <v>182</v>
      </c>
      <c r="Q1474" s="2" t="s">
        <v>99</v>
      </c>
      <c r="R1474" s="2" t="s">
        <v>100</v>
      </c>
      <c r="S1474" s="2" t="s">
        <v>4855</v>
      </c>
      <c r="T1474" s="2" t="s">
        <v>732</v>
      </c>
      <c r="U1474" s="2" t="s">
        <v>1610</v>
      </c>
      <c r="V1474" s="2" t="s">
        <v>561</v>
      </c>
      <c r="W1474" s="2" t="s">
        <v>4770</v>
      </c>
      <c r="X1474" s="2" t="s">
        <v>759</v>
      </c>
      <c r="Y1474" s="2" t="s">
        <v>4856</v>
      </c>
      <c r="Z1474" s="4">
        <v>210</v>
      </c>
      <c r="AA1474" s="4">
        <f>=ROUNDDOWN(26.25,0)</f>
      </c>
      <c r="AB1474" s="5">
        <v>8</v>
      </c>
      <c r="AC1474" s="2" t="s">
        <v>126</v>
      </c>
      <c r="AD1474" s="4">
        <v>90</v>
      </c>
      <c r="AE1474" s="4">
        <v>90</v>
      </c>
      <c r="AF1474" s="6">
        <v>67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100</v>
      </c>
      <c r="AW1474" s="8" t="s">
        <v>100</v>
      </c>
      <c r="AX1474" s="4" t="s">
        <v>100</v>
      </c>
      <c r="AY1474" s="8" t="s">
        <v>100</v>
      </c>
      <c r="AZ1474" s="7" t="s">
        <v>100</v>
      </c>
      <c r="BA1474" s="7" t="s">
        <v>100</v>
      </c>
      <c r="BB1474" s="7"/>
      <c r="BC1474" s="4" t="s">
        <v>100</v>
      </c>
      <c r="BD1474" s="8" t="s">
        <v>100</v>
      </c>
      <c r="BE1474" s="4" t="s">
        <v>100</v>
      </c>
      <c r="BF1474" s="8" t="s">
        <v>100</v>
      </c>
      <c r="BG1474" s="7" t="s">
        <v>100</v>
      </c>
      <c r="BH1474" s="7" t="s">
        <v>100</v>
      </c>
      <c r="BI1474" s="7"/>
      <c r="BJ1474" s="4">
        <v>113</v>
      </c>
      <c r="BK1474" s="8">
        <v>9136.71</v>
      </c>
      <c r="BL1474" s="2" t="s">
        <v>1138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147</v>
      </c>
      <c r="BV1474" s="2" t="s">
        <v>97</v>
      </c>
      <c r="BW1474" s="2" t="s">
        <v>100</v>
      </c>
      <c r="BX1474" s="2" t="s">
        <v>100</v>
      </c>
      <c r="BY1474" s="2" t="s">
        <v>112</v>
      </c>
      <c r="BZ1474" s="2" t="s">
        <v>100</v>
      </c>
    </row>
    <row r="1475">
      <c r="A1475" s="2" t="s">
        <v>4999</v>
      </c>
      <c r="B1475" s="2" t="s">
        <v>87</v>
      </c>
      <c r="C1475" s="2" t="s">
        <v>4677</v>
      </c>
      <c r="D1475" s="2" t="s">
        <v>3234</v>
      </c>
      <c r="E1475" s="2" t="s">
        <v>3360</v>
      </c>
      <c r="F1475" s="2" t="s">
        <v>5000</v>
      </c>
      <c r="G1475" s="2" t="s">
        <v>5000</v>
      </c>
      <c r="H1475" s="2" t="s">
        <v>5000</v>
      </c>
      <c r="I1475" s="2" t="s">
        <v>5001</v>
      </c>
      <c r="J1475" s="2" t="s">
        <v>850</v>
      </c>
      <c r="K1475" s="2" t="s">
        <v>158</v>
      </c>
      <c r="L1475" s="3">
        <v>73.5</v>
      </c>
      <c r="M1475" s="3">
        <v>77.18</v>
      </c>
      <c r="N1475" s="3">
        <v>149.99</v>
      </c>
      <c r="O1475" s="2" t="s">
        <v>229</v>
      </c>
      <c r="P1475" s="2" t="s">
        <v>198</v>
      </c>
      <c r="Q1475" s="2" t="s">
        <v>99</v>
      </c>
      <c r="R1475" s="2" t="s">
        <v>100</v>
      </c>
      <c r="S1475" s="2" t="s">
        <v>5002</v>
      </c>
      <c r="T1475" s="2" t="s">
        <v>732</v>
      </c>
      <c r="U1475" s="2" t="s">
        <v>1610</v>
      </c>
      <c r="V1475" s="2" t="s">
        <v>4769</v>
      </c>
      <c r="W1475" s="2" t="s">
        <v>1530</v>
      </c>
      <c r="X1475" s="2" t="s">
        <v>759</v>
      </c>
      <c r="Y1475" s="2" t="s">
        <v>5003</v>
      </c>
      <c r="Z1475" s="4">
        <v>26</v>
      </c>
      <c r="AA1475" s="4">
        <f>=ROUNDDOWN(20,0)</f>
      </c>
      <c r="AB1475" s="5">
        <v>1.3</v>
      </c>
      <c r="AC1475" s="2" t="s">
        <v>100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/>
      <c r="AW1475" s="8"/>
      <c r="AX1475" s="4"/>
      <c r="AY1475" s="8"/>
      <c r="AZ1475" s="7"/>
      <c r="BA1475" s="7"/>
      <c r="BB1475" s="7"/>
      <c r="BC1475" s="4"/>
      <c r="BD1475" s="8"/>
      <c r="BE1475" s="4"/>
      <c r="BF1475" s="8"/>
      <c r="BG1475" s="7"/>
      <c r="BH1475" s="7"/>
      <c r="BI1475" s="7"/>
      <c r="BJ1475" s="4">
        <v>57</v>
      </c>
      <c r="BK1475" s="8">
        <v>4579.95</v>
      </c>
      <c r="BL1475" s="2" t="s">
        <v>5004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147</v>
      </c>
      <c r="BV1475" s="2" t="s">
        <v>97</v>
      </c>
      <c r="BW1475" s="2" t="s">
        <v>100</v>
      </c>
      <c r="BX1475" s="2" t="s">
        <v>100</v>
      </c>
      <c r="BY1475" s="2" t="s">
        <v>112</v>
      </c>
      <c r="BZ1475" s="2" t="s">
        <v>100</v>
      </c>
    </row>
    <row r="1476">
      <c r="A1476" s="2" t="s">
        <v>5005</v>
      </c>
      <c r="B1476" s="2" t="s">
        <v>87</v>
      </c>
      <c r="C1476" s="2" t="s">
        <v>4677</v>
      </c>
      <c r="D1476" s="2" t="s">
        <v>3234</v>
      </c>
      <c r="E1476" s="2" t="s">
        <v>3360</v>
      </c>
      <c r="F1476" s="2" t="s">
        <v>4678</v>
      </c>
      <c r="G1476" s="2" t="s">
        <v>4678</v>
      </c>
      <c r="H1476" s="2" t="s">
        <v>4678</v>
      </c>
      <c r="I1476" s="2" t="s">
        <v>5006</v>
      </c>
      <c r="J1476" s="2" t="s">
        <v>844</v>
      </c>
      <c r="K1476" s="2" t="s">
        <v>650</v>
      </c>
      <c r="L1476" s="3">
        <v>50.4</v>
      </c>
      <c r="M1476" s="3">
        <v>52.91</v>
      </c>
      <c r="N1476" s="3">
        <v>104.99</v>
      </c>
      <c r="O1476" s="2" t="s">
        <v>97</v>
      </c>
      <c r="P1476" s="2" t="s">
        <v>98</v>
      </c>
      <c r="Q1476" s="2" t="s">
        <v>99</v>
      </c>
      <c r="R1476" s="2" t="s">
        <v>100</v>
      </c>
      <c r="S1476" s="2" t="s">
        <v>4679</v>
      </c>
      <c r="T1476" s="2" t="s">
        <v>732</v>
      </c>
      <c r="U1476" s="2" t="s">
        <v>1610</v>
      </c>
      <c r="V1476" s="2" t="s">
        <v>991</v>
      </c>
      <c r="W1476" s="2" t="s">
        <v>602</v>
      </c>
      <c r="X1476" s="2" t="s">
        <v>759</v>
      </c>
      <c r="Y1476" s="2" t="s">
        <v>1038</v>
      </c>
      <c r="Z1476" s="4">
        <v>284</v>
      </c>
      <c r="AA1476" s="4">
        <f>=ROUNDDOWN(20.2857142857143,0)</f>
      </c>
      <c r="AB1476" s="5">
        <v>14</v>
      </c>
      <c r="AC1476" s="2" t="s">
        <v>3601</v>
      </c>
      <c r="AD1476" s="4">
        <v>75</v>
      </c>
      <c r="AE1476" s="4">
        <v>190</v>
      </c>
      <c r="AF1476" s="6">
        <v>67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208</v>
      </c>
      <c r="BK1476" s="8">
        <v>11026.3</v>
      </c>
      <c r="BL1476" s="2" t="s">
        <v>5007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147</v>
      </c>
      <c r="BV1476" s="2" t="s">
        <v>97</v>
      </c>
      <c r="BW1476" s="2" t="s">
        <v>100</v>
      </c>
      <c r="BX1476" s="2" t="s">
        <v>100</v>
      </c>
      <c r="BY1476" s="2" t="s">
        <v>112</v>
      </c>
      <c r="BZ1476" s="2" t="s">
        <v>100</v>
      </c>
    </row>
    <row r="1477">
      <c r="A1477" s="2" t="s">
        <v>5008</v>
      </c>
      <c r="B1477" s="2" t="s">
        <v>87</v>
      </c>
      <c r="C1477" s="2" t="s">
        <v>4677</v>
      </c>
      <c r="D1477" s="2" t="s">
        <v>3234</v>
      </c>
      <c r="E1477" s="2" t="s">
        <v>3360</v>
      </c>
      <c r="F1477" s="2" t="s">
        <v>4678</v>
      </c>
      <c r="G1477" s="2" t="s">
        <v>4678</v>
      </c>
      <c r="H1477" s="2" t="s">
        <v>4678</v>
      </c>
      <c r="I1477" s="2" t="s">
        <v>5006</v>
      </c>
      <c r="J1477" s="2" t="s">
        <v>850</v>
      </c>
      <c r="K1477" s="2" t="s">
        <v>650</v>
      </c>
      <c r="L1477" s="3">
        <v>66.15</v>
      </c>
      <c r="M1477" s="3">
        <v>69.45</v>
      </c>
      <c r="N1477" s="3">
        <v>134.99</v>
      </c>
      <c r="O1477" s="2" t="s">
        <v>97</v>
      </c>
      <c r="P1477" s="2" t="s">
        <v>98</v>
      </c>
      <c r="Q1477" s="2" t="s">
        <v>99</v>
      </c>
      <c r="R1477" s="2" t="s">
        <v>100</v>
      </c>
      <c r="S1477" s="2" t="s">
        <v>4679</v>
      </c>
      <c r="T1477" s="2" t="s">
        <v>732</v>
      </c>
      <c r="U1477" s="2" t="s">
        <v>1610</v>
      </c>
      <c r="V1477" s="2" t="s">
        <v>991</v>
      </c>
      <c r="W1477" s="2" t="s">
        <v>602</v>
      </c>
      <c r="X1477" s="2" t="s">
        <v>759</v>
      </c>
      <c r="Y1477" s="2" t="s">
        <v>1038</v>
      </c>
      <c r="Z1477" s="4">
        <v>61</v>
      </c>
      <c r="AA1477" s="4">
        <f>=ROUNDDOWN(8.71428571428572,0)</f>
      </c>
      <c r="AB1477" s="5">
        <v>7</v>
      </c>
      <c r="AC1477" s="2" t="s">
        <v>3601</v>
      </c>
      <c r="AD1477" s="4">
        <v>85</v>
      </c>
      <c r="AE1477" s="4">
        <v>140</v>
      </c>
      <c r="AF1477" s="6">
        <v>67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100</v>
      </c>
      <c r="AW1477" s="8" t="s">
        <v>100</v>
      </c>
      <c r="AX1477" s="4" t="s">
        <v>100</v>
      </c>
      <c r="AY1477" s="8" t="s">
        <v>100</v>
      </c>
      <c r="AZ1477" s="7" t="s">
        <v>100</v>
      </c>
      <c r="BA1477" s="7" t="s">
        <v>100</v>
      </c>
      <c r="BB1477" s="7"/>
      <c r="BC1477" s="4" t="s">
        <v>100</v>
      </c>
      <c r="BD1477" s="8" t="s">
        <v>100</v>
      </c>
      <c r="BE1477" s="4" t="s">
        <v>100</v>
      </c>
      <c r="BF1477" s="8" t="s">
        <v>100</v>
      </c>
      <c r="BG1477" s="7" t="s">
        <v>100</v>
      </c>
      <c r="BH1477" s="7" t="s">
        <v>100</v>
      </c>
      <c r="BI1477" s="7"/>
      <c r="BJ1477" s="4">
        <v>129</v>
      </c>
      <c r="BK1477" s="8">
        <v>8906.57</v>
      </c>
      <c r="BL1477" s="2" t="s">
        <v>5009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147</v>
      </c>
      <c r="BV1477" s="2" t="s">
        <v>97</v>
      </c>
      <c r="BW1477" s="2" t="s">
        <v>100</v>
      </c>
      <c r="BX1477" s="2" t="s">
        <v>100</v>
      </c>
      <c r="BY1477" s="2" t="s">
        <v>112</v>
      </c>
      <c r="BZ1477" s="2" t="s">
        <v>100</v>
      </c>
    </row>
    <row r="1478">
      <c r="A1478" s="2" t="s">
        <v>5010</v>
      </c>
      <c r="B1478" s="2" t="s">
        <v>87</v>
      </c>
      <c r="C1478" s="2" t="s">
        <v>4677</v>
      </c>
      <c r="D1478" s="2" t="s">
        <v>3234</v>
      </c>
      <c r="E1478" s="2" t="s">
        <v>3360</v>
      </c>
      <c r="F1478" s="2" t="s">
        <v>4678</v>
      </c>
      <c r="G1478" s="2" t="s">
        <v>4678</v>
      </c>
      <c r="H1478" s="2" t="s">
        <v>4678</v>
      </c>
      <c r="I1478" s="2" t="s">
        <v>5006</v>
      </c>
      <c r="J1478" s="2" t="s">
        <v>844</v>
      </c>
      <c r="K1478" s="2" t="s">
        <v>197</v>
      </c>
      <c r="L1478" s="3">
        <v>50.4</v>
      </c>
      <c r="M1478" s="3">
        <v>52.91</v>
      </c>
      <c r="N1478" s="3">
        <v>104.99</v>
      </c>
      <c r="O1478" s="2" t="s">
        <v>97</v>
      </c>
      <c r="P1478" s="2" t="s">
        <v>182</v>
      </c>
      <c r="Q1478" s="2" t="s">
        <v>99</v>
      </c>
      <c r="R1478" s="2" t="s">
        <v>100</v>
      </c>
      <c r="S1478" s="2" t="s">
        <v>4684</v>
      </c>
      <c r="T1478" s="2" t="s">
        <v>732</v>
      </c>
      <c r="U1478" s="2" t="s">
        <v>1610</v>
      </c>
      <c r="V1478" s="2" t="s">
        <v>991</v>
      </c>
      <c r="W1478" s="2" t="s">
        <v>602</v>
      </c>
      <c r="X1478" s="2" t="s">
        <v>759</v>
      </c>
      <c r="Y1478" s="2" t="s">
        <v>1006</v>
      </c>
      <c r="Z1478" s="4">
        <v>147</v>
      </c>
      <c r="AA1478" s="4">
        <f>=ROUNDDOWN(36.75,0)</f>
      </c>
      <c r="AB1478" s="5">
        <v>4</v>
      </c>
      <c r="AC1478" s="2" t="s">
        <v>100</v>
      </c>
      <c r="AD1478" s="4"/>
      <c r="AE1478" s="4"/>
      <c r="AF1478" s="6">
        <v>67</v>
      </c>
      <c r="AG1478" s="6"/>
      <c r="AH1478" s="7">
        <v>0.8061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100</v>
      </c>
      <c r="AW1478" s="8" t="s">
        <v>100</v>
      </c>
      <c r="AX1478" s="4" t="s">
        <v>100</v>
      </c>
      <c r="AY1478" s="8" t="s">
        <v>100</v>
      </c>
      <c r="AZ1478" s="7" t="s">
        <v>100</v>
      </c>
      <c r="BA1478" s="7" t="s">
        <v>100</v>
      </c>
      <c r="BB1478" s="7"/>
      <c r="BC1478" s="4" t="s">
        <v>100</v>
      </c>
      <c r="BD1478" s="8" t="s">
        <v>100</v>
      </c>
      <c r="BE1478" s="4" t="s">
        <v>100</v>
      </c>
      <c r="BF1478" s="8" t="s">
        <v>100</v>
      </c>
      <c r="BG1478" s="7" t="s">
        <v>100</v>
      </c>
      <c r="BH1478" s="7" t="s">
        <v>100</v>
      </c>
      <c r="BI1478" s="7"/>
      <c r="BJ1478" s="4">
        <v>70</v>
      </c>
      <c r="BK1478" s="8">
        <v>3706.69</v>
      </c>
      <c r="BL1478" s="2" t="s">
        <v>5011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147</v>
      </c>
      <c r="BV1478" s="2" t="s">
        <v>97</v>
      </c>
      <c r="BW1478" s="2" t="s">
        <v>100</v>
      </c>
      <c r="BX1478" s="2" t="s">
        <v>100</v>
      </c>
      <c r="BY1478" s="2" t="s">
        <v>112</v>
      </c>
      <c r="BZ1478" s="2" t="s">
        <v>100</v>
      </c>
    </row>
    <row r="1479">
      <c r="A1479" s="2" t="s">
        <v>5012</v>
      </c>
      <c r="B1479" s="2" t="s">
        <v>87</v>
      </c>
      <c r="C1479" s="2" t="s">
        <v>4677</v>
      </c>
      <c r="D1479" s="2" t="s">
        <v>3234</v>
      </c>
      <c r="E1479" s="2" t="s">
        <v>3360</v>
      </c>
      <c r="F1479" s="2" t="s">
        <v>4678</v>
      </c>
      <c r="G1479" s="2" t="s">
        <v>4678</v>
      </c>
      <c r="H1479" s="2" t="s">
        <v>4678</v>
      </c>
      <c r="I1479" s="2" t="s">
        <v>5006</v>
      </c>
      <c r="J1479" s="2" t="s">
        <v>850</v>
      </c>
      <c r="K1479" s="2" t="s">
        <v>197</v>
      </c>
      <c r="L1479" s="3">
        <v>66.15</v>
      </c>
      <c r="M1479" s="3">
        <v>69.45</v>
      </c>
      <c r="N1479" s="3">
        <v>134.99</v>
      </c>
      <c r="O1479" s="2" t="s">
        <v>97</v>
      </c>
      <c r="P1479" s="2" t="s">
        <v>182</v>
      </c>
      <c r="Q1479" s="2" t="s">
        <v>99</v>
      </c>
      <c r="R1479" s="2" t="s">
        <v>100</v>
      </c>
      <c r="S1479" s="2" t="s">
        <v>4684</v>
      </c>
      <c r="T1479" s="2" t="s">
        <v>732</v>
      </c>
      <c r="U1479" s="2" t="s">
        <v>1610</v>
      </c>
      <c r="V1479" s="2" t="s">
        <v>991</v>
      </c>
      <c r="W1479" s="2" t="s">
        <v>602</v>
      </c>
      <c r="X1479" s="2" t="s">
        <v>759</v>
      </c>
      <c r="Y1479" s="2" t="s">
        <v>4685</v>
      </c>
      <c r="Z1479" s="4">
        <v>136</v>
      </c>
      <c r="AA1479" s="4">
        <f>=ROUNDDOWN(34,0)</f>
      </c>
      <c r="AB1479" s="5">
        <v>4</v>
      </c>
      <c r="AC1479" s="2" t="s">
        <v>100</v>
      </c>
      <c r="AD1479" s="4"/>
      <c r="AE1479" s="4"/>
      <c r="AF1479" s="6">
        <v>67</v>
      </c>
      <c r="AG1479" s="6"/>
      <c r="AH1479" s="7">
        <v>0.5455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100</v>
      </c>
      <c r="AW1479" s="8" t="s">
        <v>100</v>
      </c>
      <c r="AX1479" s="4" t="s">
        <v>100</v>
      </c>
      <c r="AY1479" s="8" t="s">
        <v>100</v>
      </c>
      <c r="AZ1479" s="7" t="s">
        <v>100</v>
      </c>
      <c r="BA1479" s="7" t="s">
        <v>100</v>
      </c>
      <c r="BB1479" s="7"/>
      <c r="BC1479" s="4" t="s">
        <v>100</v>
      </c>
      <c r="BD1479" s="8" t="s">
        <v>100</v>
      </c>
      <c r="BE1479" s="4" t="s">
        <v>100</v>
      </c>
      <c r="BF1479" s="8" t="s">
        <v>100</v>
      </c>
      <c r="BG1479" s="7" t="s">
        <v>100</v>
      </c>
      <c r="BH1479" s="7" t="s">
        <v>100</v>
      </c>
      <c r="BI1479" s="7"/>
      <c r="BJ1479" s="4">
        <v>35</v>
      </c>
      <c r="BK1479" s="8">
        <v>2471.62</v>
      </c>
      <c r="BL1479" s="2" t="s">
        <v>5013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147</v>
      </c>
      <c r="BV1479" s="2" t="s">
        <v>97</v>
      </c>
      <c r="BW1479" s="2" t="s">
        <v>100</v>
      </c>
      <c r="BX1479" s="2" t="s">
        <v>100</v>
      </c>
      <c r="BY1479" s="2" t="s">
        <v>112</v>
      </c>
      <c r="BZ1479" s="2" t="s">
        <v>100</v>
      </c>
    </row>
    <row r="1480">
      <c r="A1480" s="2" t="s">
        <v>5014</v>
      </c>
      <c r="B1480" s="2" t="s">
        <v>87</v>
      </c>
      <c r="C1480" s="2" t="s">
        <v>4677</v>
      </c>
      <c r="D1480" s="2" t="s">
        <v>3234</v>
      </c>
      <c r="E1480" s="2" t="s">
        <v>3360</v>
      </c>
      <c r="F1480" s="2" t="s">
        <v>4861</v>
      </c>
      <c r="G1480" s="2" t="s">
        <v>4861</v>
      </c>
      <c r="H1480" s="2" t="s">
        <v>4861</v>
      </c>
      <c r="I1480" s="2" t="s">
        <v>5015</v>
      </c>
      <c r="J1480" s="2" t="s">
        <v>844</v>
      </c>
      <c r="K1480" s="2" t="s">
        <v>1204</v>
      </c>
      <c r="L1480" s="3">
        <v>58.57</v>
      </c>
      <c r="M1480" s="3">
        <v>61.5</v>
      </c>
      <c r="N1480" s="3">
        <v>129.99</v>
      </c>
      <c r="O1480" s="2" t="s">
        <v>229</v>
      </c>
      <c r="P1480" s="2" t="s">
        <v>198</v>
      </c>
      <c r="Q1480" s="2" t="s">
        <v>99</v>
      </c>
      <c r="R1480" s="2" t="s">
        <v>100</v>
      </c>
      <c r="S1480" s="2" t="s">
        <v>4863</v>
      </c>
      <c r="T1480" s="2" t="s">
        <v>732</v>
      </c>
      <c r="U1480" s="2" t="s">
        <v>1610</v>
      </c>
      <c r="V1480" s="2" t="s">
        <v>4769</v>
      </c>
      <c r="W1480" s="2" t="s">
        <v>1530</v>
      </c>
      <c r="X1480" s="2" t="s">
        <v>104</v>
      </c>
      <c r="Y1480" s="2" t="s">
        <v>2331</v>
      </c>
      <c r="Z1480" s="4">
        <v>60</v>
      </c>
      <c r="AA1480" s="4">
        <f>=ROUNDDOWN(16.6666666666667,0)</f>
      </c>
      <c r="AB1480" s="5">
        <v>3.6</v>
      </c>
      <c r="AC1480" s="2" t="s">
        <v>100</v>
      </c>
      <c r="AD1480" s="4"/>
      <c r="AE1480" s="4"/>
      <c r="AF1480" s="6">
        <v>69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100</v>
      </c>
      <c r="AW1480" s="8" t="s">
        <v>100</v>
      </c>
      <c r="AX1480" s="4" t="s">
        <v>100</v>
      </c>
      <c r="AY1480" s="8" t="s">
        <v>100</v>
      </c>
      <c r="AZ1480" s="7" t="s">
        <v>100</v>
      </c>
      <c r="BA1480" s="7" t="s">
        <v>100</v>
      </c>
      <c r="BB1480" s="7"/>
      <c r="BC1480" s="4" t="s">
        <v>100</v>
      </c>
      <c r="BD1480" s="8" t="s">
        <v>100</v>
      </c>
      <c r="BE1480" s="4" t="s">
        <v>100</v>
      </c>
      <c r="BF1480" s="8" t="s">
        <v>100</v>
      </c>
      <c r="BG1480" s="7" t="s">
        <v>100</v>
      </c>
      <c r="BH1480" s="7" t="s">
        <v>100</v>
      </c>
      <c r="BI1480" s="7"/>
      <c r="BJ1480" s="4">
        <v>43</v>
      </c>
      <c r="BK1480" s="8">
        <v>2718.08</v>
      </c>
      <c r="BL1480" s="2" t="s">
        <v>5016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147</v>
      </c>
      <c r="BV1480" s="2" t="s">
        <v>97</v>
      </c>
      <c r="BW1480" s="2" t="s">
        <v>100</v>
      </c>
      <c r="BX1480" s="2" t="s">
        <v>100</v>
      </c>
      <c r="BY1480" s="2" t="s">
        <v>112</v>
      </c>
      <c r="BZ1480" s="2" t="s">
        <v>100</v>
      </c>
    </row>
    <row r="1481">
      <c r="A1481" s="2" t="s">
        <v>5017</v>
      </c>
      <c r="B1481" s="2" t="s">
        <v>87</v>
      </c>
      <c r="C1481" s="2" t="s">
        <v>4677</v>
      </c>
      <c r="D1481" s="2" t="s">
        <v>3234</v>
      </c>
      <c r="E1481" s="2" t="s">
        <v>3360</v>
      </c>
      <c r="F1481" s="2" t="s">
        <v>4861</v>
      </c>
      <c r="G1481" s="2" t="s">
        <v>4861</v>
      </c>
      <c r="H1481" s="2" t="s">
        <v>4861</v>
      </c>
      <c r="I1481" s="2" t="s">
        <v>5015</v>
      </c>
      <c r="J1481" s="2" t="s">
        <v>850</v>
      </c>
      <c r="K1481" s="2" t="s">
        <v>1204</v>
      </c>
      <c r="L1481" s="3">
        <v>71.57</v>
      </c>
      <c r="M1481" s="3">
        <v>75.15</v>
      </c>
      <c r="N1481" s="3">
        <v>159.99</v>
      </c>
      <c r="O1481" s="2" t="s">
        <v>229</v>
      </c>
      <c r="P1481" s="2" t="s">
        <v>198</v>
      </c>
      <c r="Q1481" s="2" t="s">
        <v>99</v>
      </c>
      <c r="R1481" s="2" t="s">
        <v>100</v>
      </c>
      <c r="S1481" s="2" t="s">
        <v>4863</v>
      </c>
      <c r="T1481" s="2" t="s">
        <v>732</v>
      </c>
      <c r="U1481" s="2" t="s">
        <v>1610</v>
      </c>
      <c r="V1481" s="2" t="s">
        <v>4769</v>
      </c>
      <c r="W1481" s="2" t="s">
        <v>1530</v>
      </c>
      <c r="X1481" s="2" t="s">
        <v>104</v>
      </c>
      <c r="Y1481" s="2" t="s">
        <v>2331</v>
      </c>
      <c r="Z1481" s="4">
        <v>89</v>
      </c>
      <c r="AA1481" s="4">
        <f>=ROUNDDOWN(22.25,0)</f>
      </c>
      <c r="AB1481" s="5">
        <v>4</v>
      </c>
      <c r="AC1481" s="2" t="s">
        <v>100</v>
      </c>
      <c r="AD1481" s="4"/>
      <c r="AE1481" s="4"/>
      <c r="AF1481" s="6">
        <v>69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51</v>
      </c>
      <c r="BK1481" s="8">
        <v>3261.14</v>
      </c>
      <c r="BL1481" s="2" t="s">
        <v>5018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147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5019</v>
      </c>
      <c r="B1482" s="2" t="s">
        <v>87</v>
      </c>
      <c r="C1482" s="2" t="s">
        <v>4677</v>
      </c>
      <c r="D1482" s="2" t="s">
        <v>3234</v>
      </c>
      <c r="E1482" s="2" t="s">
        <v>3360</v>
      </c>
      <c r="F1482" s="2" t="s">
        <v>4809</v>
      </c>
      <c r="G1482" s="2" t="s">
        <v>4809</v>
      </c>
      <c r="H1482" s="2" t="s">
        <v>4809</v>
      </c>
      <c r="I1482" s="2" t="s">
        <v>5020</v>
      </c>
      <c r="J1482" s="2" t="s">
        <v>844</v>
      </c>
      <c r="K1482" s="2" t="s">
        <v>267</v>
      </c>
      <c r="L1482" s="3">
        <v>55</v>
      </c>
      <c r="M1482" s="3">
        <v>57.75</v>
      </c>
      <c r="N1482" s="3">
        <v>109.99</v>
      </c>
      <c r="O1482" s="2" t="s">
        <v>97</v>
      </c>
      <c r="P1482" s="2" t="s">
        <v>143</v>
      </c>
      <c r="Q1482" s="2" t="s">
        <v>99</v>
      </c>
      <c r="R1482" s="2" t="s">
        <v>100</v>
      </c>
      <c r="S1482" s="2" t="s">
        <v>4811</v>
      </c>
      <c r="T1482" s="2" t="s">
        <v>732</v>
      </c>
      <c r="U1482" s="2" t="s">
        <v>1610</v>
      </c>
      <c r="V1482" s="2" t="s">
        <v>601</v>
      </c>
      <c r="W1482" s="2" t="s">
        <v>3896</v>
      </c>
      <c r="X1482" s="2" t="s">
        <v>759</v>
      </c>
      <c r="Y1482" s="2" t="s">
        <v>4812</v>
      </c>
      <c r="Z1482" s="4">
        <v>361</v>
      </c>
      <c r="AA1482" s="4">
        <f>=ROUNDDOWN(21.2352941176471,0)</f>
      </c>
      <c r="AB1482" s="5">
        <v>17</v>
      </c>
      <c r="AC1482" s="2" t="s">
        <v>2143</v>
      </c>
      <c r="AD1482" s="4">
        <v>100</v>
      </c>
      <c r="AE1482" s="4">
        <v>500</v>
      </c>
      <c r="AF1482" s="6">
        <v>67</v>
      </c>
      <c r="AG1482" s="6"/>
      <c r="AH1482" s="7">
        <v>0.9273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210</v>
      </c>
      <c r="BK1482" s="8">
        <v>12923.85</v>
      </c>
      <c r="BL1482" s="2" t="s">
        <v>5021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147</v>
      </c>
      <c r="BV1482" s="2" t="s">
        <v>97</v>
      </c>
      <c r="BW1482" s="2" t="s">
        <v>100</v>
      </c>
      <c r="BX1482" s="2" t="s">
        <v>100</v>
      </c>
      <c r="BY1482" s="2" t="s">
        <v>112</v>
      </c>
      <c r="BZ1482" s="2" t="s">
        <v>100</v>
      </c>
    </row>
    <row r="1483">
      <c r="A1483" s="2" t="s">
        <v>5022</v>
      </c>
      <c r="B1483" s="2" t="s">
        <v>87</v>
      </c>
      <c r="C1483" s="2" t="s">
        <v>4677</v>
      </c>
      <c r="D1483" s="2" t="s">
        <v>3234</v>
      </c>
      <c r="E1483" s="2" t="s">
        <v>3360</v>
      </c>
      <c r="F1483" s="2" t="s">
        <v>4809</v>
      </c>
      <c r="G1483" s="2" t="s">
        <v>4809</v>
      </c>
      <c r="H1483" s="2" t="s">
        <v>4809</v>
      </c>
      <c r="I1483" s="2" t="s">
        <v>5020</v>
      </c>
      <c r="J1483" s="2" t="s">
        <v>850</v>
      </c>
      <c r="K1483" s="2" t="s">
        <v>267</v>
      </c>
      <c r="L1483" s="3">
        <v>70</v>
      </c>
      <c r="M1483" s="3">
        <v>73.5</v>
      </c>
      <c r="N1483" s="3">
        <v>139.99</v>
      </c>
      <c r="O1483" s="2" t="s">
        <v>97</v>
      </c>
      <c r="P1483" s="2" t="s">
        <v>143</v>
      </c>
      <c r="Q1483" s="2" t="s">
        <v>99</v>
      </c>
      <c r="R1483" s="2" t="s">
        <v>100</v>
      </c>
      <c r="S1483" s="2" t="s">
        <v>4811</v>
      </c>
      <c r="T1483" s="2" t="s">
        <v>732</v>
      </c>
      <c r="U1483" s="2" t="s">
        <v>1610</v>
      </c>
      <c r="V1483" s="2" t="s">
        <v>601</v>
      </c>
      <c r="W1483" s="2" t="s">
        <v>3896</v>
      </c>
      <c r="X1483" s="2" t="s">
        <v>759</v>
      </c>
      <c r="Y1483" s="2" t="s">
        <v>4812</v>
      </c>
      <c r="Z1483" s="4">
        <v>175</v>
      </c>
      <c r="AA1483" s="4">
        <f>=ROUNDDOWN(15.9090909090909,0)</f>
      </c>
      <c r="AB1483" s="5">
        <v>11</v>
      </c>
      <c r="AC1483" s="2" t="s">
        <v>126</v>
      </c>
      <c r="AD1483" s="4">
        <v>75</v>
      </c>
      <c r="AE1483" s="4">
        <v>415</v>
      </c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211</v>
      </c>
      <c r="BK1483" s="8">
        <v>15800.62</v>
      </c>
      <c r="BL1483" s="2" t="s">
        <v>5023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147</v>
      </c>
      <c r="BV1483" s="2" t="s">
        <v>97</v>
      </c>
      <c r="BW1483" s="2" t="s">
        <v>100</v>
      </c>
      <c r="BX1483" s="2" t="s">
        <v>100</v>
      </c>
      <c r="BY1483" s="2" t="s">
        <v>112</v>
      </c>
      <c r="BZ1483" s="2" t="s">
        <v>100</v>
      </c>
    </row>
    <row r="1484">
      <c r="A1484" s="2" t="s">
        <v>5024</v>
      </c>
      <c r="B1484" s="2" t="s">
        <v>87</v>
      </c>
      <c r="C1484" s="2" t="s">
        <v>4677</v>
      </c>
      <c r="D1484" s="2" t="s">
        <v>3234</v>
      </c>
      <c r="E1484" s="2" t="s">
        <v>3360</v>
      </c>
      <c r="F1484" s="2" t="s">
        <v>4809</v>
      </c>
      <c r="G1484" s="2" t="s">
        <v>4809</v>
      </c>
      <c r="H1484" s="2" t="s">
        <v>4809</v>
      </c>
      <c r="I1484" s="2" t="s">
        <v>5020</v>
      </c>
      <c r="J1484" s="2" t="s">
        <v>844</v>
      </c>
      <c r="K1484" s="2" t="s">
        <v>650</v>
      </c>
      <c r="L1484" s="3">
        <v>55</v>
      </c>
      <c r="M1484" s="3">
        <v>57.75</v>
      </c>
      <c r="N1484" s="3">
        <v>109.99</v>
      </c>
      <c r="O1484" s="2" t="s">
        <v>97</v>
      </c>
      <c r="P1484" s="2" t="s">
        <v>198</v>
      </c>
      <c r="Q1484" s="2" t="s">
        <v>99</v>
      </c>
      <c r="R1484" s="2" t="s">
        <v>100</v>
      </c>
      <c r="S1484" s="2" t="s">
        <v>4818</v>
      </c>
      <c r="T1484" s="2" t="s">
        <v>732</v>
      </c>
      <c r="U1484" s="2" t="s">
        <v>1610</v>
      </c>
      <c r="V1484" s="2" t="s">
        <v>601</v>
      </c>
      <c r="W1484" s="2" t="s">
        <v>3896</v>
      </c>
      <c r="X1484" s="2" t="s">
        <v>759</v>
      </c>
      <c r="Y1484" s="2" t="s">
        <v>5025</v>
      </c>
      <c r="Z1484" s="4">
        <v>116</v>
      </c>
      <c r="AA1484" s="4">
        <f>=ROUNDDOWN(14.5,0)</f>
      </c>
      <c r="AB1484" s="5">
        <v>8</v>
      </c>
      <c r="AC1484" s="2" t="s">
        <v>100</v>
      </c>
      <c r="AD1484" s="4"/>
      <c r="AE1484" s="4"/>
      <c r="AF1484" s="6">
        <v>67</v>
      </c>
      <c r="AG1484" s="6"/>
      <c r="AH1484" s="7">
        <v>0.6303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>
        <v>76</v>
      </c>
      <c r="BK1484" s="8">
        <v>4377.07</v>
      </c>
      <c r="BL1484" s="2" t="s">
        <v>5026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147</v>
      </c>
      <c r="BV1484" s="2" t="s">
        <v>97</v>
      </c>
      <c r="BW1484" s="2" t="s">
        <v>100</v>
      </c>
      <c r="BX1484" s="2" t="s">
        <v>100</v>
      </c>
      <c r="BY1484" s="2" t="s">
        <v>112</v>
      </c>
      <c r="BZ1484" s="2" t="s">
        <v>100</v>
      </c>
    </row>
    <row r="1485">
      <c r="A1485" s="2" t="s">
        <v>5027</v>
      </c>
      <c r="B1485" s="2" t="s">
        <v>87</v>
      </c>
      <c r="C1485" s="2" t="s">
        <v>4677</v>
      </c>
      <c r="D1485" s="2" t="s">
        <v>3234</v>
      </c>
      <c r="E1485" s="2" t="s">
        <v>3360</v>
      </c>
      <c r="F1485" s="2" t="s">
        <v>4809</v>
      </c>
      <c r="G1485" s="2" t="s">
        <v>4809</v>
      </c>
      <c r="H1485" s="2" t="s">
        <v>4809</v>
      </c>
      <c r="I1485" s="2" t="s">
        <v>5020</v>
      </c>
      <c r="J1485" s="2" t="s">
        <v>850</v>
      </c>
      <c r="K1485" s="2" t="s">
        <v>650</v>
      </c>
      <c r="L1485" s="3">
        <v>70</v>
      </c>
      <c r="M1485" s="3">
        <v>73.5</v>
      </c>
      <c r="N1485" s="3">
        <v>139.99</v>
      </c>
      <c r="O1485" s="2" t="s">
        <v>97</v>
      </c>
      <c r="P1485" s="2" t="s">
        <v>198</v>
      </c>
      <c r="Q1485" s="2" t="s">
        <v>99</v>
      </c>
      <c r="R1485" s="2" t="s">
        <v>100</v>
      </c>
      <c r="S1485" s="2" t="s">
        <v>4818</v>
      </c>
      <c r="T1485" s="2" t="s">
        <v>732</v>
      </c>
      <c r="U1485" s="2" t="s">
        <v>1610</v>
      </c>
      <c r="V1485" s="2" t="s">
        <v>601</v>
      </c>
      <c r="W1485" s="2" t="s">
        <v>3896</v>
      </c>
      <c r="X1485" s="2" t="s">
        <v>759</v>
      </c>
      <c r="Y1485" s="2" t="s">
        <v>782</v>
      </c>
      <c r="Z1485" s="4">
        <v>70</v>
      </c>
      <c r="AA1485" s="4">
        <f>=ROUNDDOWN(17.5,0)</f>
      </c>
      <c r="AB1485" s="5">
        <v>4</v>
      </c>
      <c r="AC1485" s="2" t="s">
        <v>100</v>
      </c>
      <c r="AD1485" s="4"/>
      <c r="AE1485" s="4"/>
      <c r="AF1485" s="6">
        <v>67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50</v>
      </c>
      <c r="BK1485" s="8">
        <v>3608.24</v>
      </c>
      <c r="BL1485" s="2" t="s">
        <v>5028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147</v>
      </c>
      <c r="BV1485" s="2" t="s">
        <v>97</v>
      </c>
      <c r="BW1485" s="2" t="s">
        <v>100</v>
      </c>
      <c r="BX1485" s="2" t="s">
        <v>100</v>
      </c>
      <c r="BY1485" s="2" t="s">
        <v>112</v>
      </c>
      <c r="BZ1485" s="2" t="s">
        <v>100</v>
      </c>
    </row>
    <row r="1486">
      <c r="A1486" s="2" t="s">
        <v>5029</v>
      </c>
      <c r="B1486" s="2" t="s">
        <v>87</v>
      </c>
      <c r="C1486" s="2" t="s">
        <v>4677</v>
      </c>
      <c r="D1486" s="2" t="s">
        <v>3234</v>
      </c>
      <c r="E1486" s="2" t="s">
        <v>3360</v>
      </c>
      <c r="F1486" s="2" t="s">
        <v>4809</v>
      </c>
      <c r="G1486" s="2" t="s">
        <v>4809</v>
      </c>
      <c r="H1486" s="2" t="s">
        <v>4809</v>
      </c>
      <c r="I1486" s="2" t="s">
        <v>5020</v>
      </c>
      <c r="J1486" s="2" t="s">
        <v>844</v>
      </c>
      <c r="K1486" s="2" t="s">
        <v>1204</v>
      </c>
      <c r="L1486" s="3">
        <v>55</v>
      </c>
      <c r="M1486" s="3">
        <v>57.74</v>
      </c>
      <c r="N1486" s="3">
        <v>109.99</v>
      </c>
      <c r="O1486" s="2" t="s">
        <v>97</v>
      </c>
      <c r="P1486" s="2" t="s">
        <v>182</v>
      </c>
      <c r="Q1486" s="2" t="s">
        <v>99</v>
      </c>
      <c r="R1486" s="2" t="s">
        <v>100</v>
      </c>
      <c r="S1486" s="2" t="s">
        <v>4824</v>
      </c>
      <c r="T1486" s="2" t="s">
        <v>732</v>
      </c>
      <c r="U1486" s="2" t="s">
        <v>1610</v>
      </c>
      <c r="V1486" s="2" t="s">
        <v>601</v>
      </c>
      <c r="W1486" s="2" t="s">
        <v>3896</v>
      </c>
      <c r="X1486" s="2" t="s">
        <v>759</v>
      </c>
      <c r="Y1486" s="2" t="s">
        <v>4825</v>
      </c>
      <c r="Z1486" s="4">
        <v>119</v>
      </c>
      <c r="AA1486" s="4">
        <f>=ROUNDDOWN(26.4444444444444,0)</f>
      </c>
      <c r="AB1486" s="5">
        <v>4.5</v>
      </c>
      <c r="AC1486" s="2" t="s">
        <v>4609</v>
      </c>
      <c r="AD1486" s="4">
        <v>179</v>
      </c>
      <c r="AE1486" s="4">
        <v>179</v>
      </c>
      <c r="AF1486" s="6">
        <v>67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98</v>
      </c>
      <c r="BK1486" s="8">
        <v>6059.66</v>
      </c>
      <c r="BL1486" s="2" t="s">
        <v>5030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147</v>
      </c>
      <c r="BV1486" s="2" t="s">
        <v>97</v>
      </c>
      <c r="BW1486" s="2" t="s">
        <v>100</v>
      </c>
      <c r="BX1486" s="2" t="s">
        <v>100</v>
      </c>
      <c r="BY1486" s="2" t="s">
        <v>112</v>
      </c>
      <c r="BZ1486" s="2" t="s">
        <v>100</v>
      </c>
    </row>
    <row r="1487">
      <c r="A1487" s="2" t="s">
        <v>5031</v>
      </c>
      <c r="B1487" s="2" t="s">
        <v>87</v>
      </c>
      <c r="C1487" s="2" t="s">
        <v>4677</v>
      </c>
      <c r="D1487" s="2" t="s">
        <v>3234</v>
      </c>
      <c r="E1487" s="2" t="s">
        <v>3360</v>
      </c>
      <c r="F1487" s="2" t="s">
        <v>4809</v>
      </c>
      <c r="G1487" s="2" t="s">
        <v>4809</v>
      </c>
      <c r="H1487" s="2" t="s">
        <v>4809</v>
      </c>
      <c r="I1487" s="2" t="s">
        <v>5020</v>
      </c>
      <c r="J1487" s="2" t="s">
        <v>850</v>
      </c>
      <c r="K1487" s="2" t="s">
        <v>1204</v>
      </c>
      <c r="L1487" s="3">
        <v>70</v>
      </c>
      <c r="M1487" s="3">
        <v>73.49</v>
      </c>
      <c r="N1487" s="3">
        <v>139.99</v>
      </c>
      <c r="O1487" s="2" t="s">
        <v>97</v>
      </c>
      <c r="P1487" s="2" t="s">
        <v>182</v>
      </c>
      <c r="Q1487" s="2" t="s">
        <v>99</v>
      </c>
      <c r="R1487" s="2" t="s">
        <v>100</v>
      </c>
      <c r="S1487" s="2" t="s">
        <v>4824</v>
      </c>
      <c r="T1487" s="2" t="s">
        <v>732</v>
      </c>
      <c r="U1487" s="2" t="s">
        <v>1610</v>
      </c>
      <c r="V1487" s="2" t="s">
        <v>601</v>
      </c>
      <c r="W1487" s="2" t="s">
        <v>3896</v>
      </c>
      <c r="X1487" s="2" t="s">
        <v>759</v>
      </c>
      <c r="Y1487" s="2" t="s">
        <v>4825</v>
      </c>
      <c r="Z1487" s="4">
        <v>145</v>
      </c>
      <c r="AA1487" s="4">
        <f>=ROUNDDOWN(29,0)</f>
      </c>
      <c r="AB1487" s="5">
        <v>5</v>
      </c>
      <c r="AC1487" s="2" t="s">
        <v>4609</v>
      </c>
      <c r="AD1487" s="4">
        <v>96</v>
      </c>
      <c r="AE1487" s="4">
        <v>96</v>
      </c>
      <c r="AF1487" s="6">
        <v>67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>
        <v>80</v>
      </c>
      <c r="BK1487" s="8">
        <v>6070.03</v>
      </c>
      <c r="BL1487" s="2" t="s">
        <v>5032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147</v>
      </c>
      <c r="BV1487" s="2" t="s">
        <v>97</v>
      </c>
      <c r="BW1487" s="2" t="s">
        <v>100</v>
      </c>
      <c r="BX1487" s="2" t="s">
        <v>100</v>
      </c>
      <c r="BY1487" s="2" t="s">
        <v>112</v>
      </c>
      <c r="BZ1487" s="2" t="s">
        <v>100</v>
      </c>
    </row>
    <row r="1488">
      <c r="A1488" s="2" t="s">
        <v>5033</v>
      </c>
      <c r="B1488" s="2" t="s">
        <v>87</v>
      </c>
      <c r="C1488" s="2" t="s">
        <v>4677</v>
      </c>
      <c r="D1488" s="2" t="s">
        <v>3234</v>
      </c>
      <c r="E1488" s="2" t="s">
        <v>3360</v>
      </c>
      <c r="F1488" s="2" t="s">
        <v>4809</v>
      </c>
      <c r="G1488" s="2" t="s">
        <v>4809</v>
      </c>
      <c r="H1488" s="2" t="s">
        <v>4809</v>
      </c>
      <c r="I1488" s="2" t="s">
        <v>5020</v>
      </c>
      <c r="J1488" s="2" t="s">
        <v>844</v>
      </c>
      <c r="K1488" s="2" t="s">
        <v>635</v>
      </c>
      <c r="L1488" s="3">
        <v>55</v>
      </c>
      <c r="M1488" s="3">
        <v>57.74</v>
      </c>
      <c r="N1488" s="3">
        <v>109.99</v>
      </c>
      <c r="O1488" s="2" t="s">
        <v>97</v>
      </c>
      <c r="P1488" s="2" t="s">
        <v>198</v>
      </c>
      <c r="Q1488" s="2" t="s">
        <v>99</v>
      </c>
      <c r="R1488" s="2" t="s">
        <v>100</v>
      </c>
      <c r="S1488" s="2" t="s">
        <v>4830</v>
      </c>
      <c r="T1488" s="2" t="s">
        <v>732</v>
      </c>
      <c r="U1488" s="2" t="s">
        <v>1610</v>
      </c>
      <c r="V1488" s="2" t="s">
        <v>601</v>
      </c>
      <c r="W1488" s="2" t="s">
        <v>3896</v>
      </c>
      <c r="X1488" s="2" t="s">
        <v>759</v>
      </c>
      <c r="Y1488" s="2" t="s">
        <v>4825</v>
      </c>
      <c r="Z1488" s="4">
        <v>144</v>
      </c>
      <c r="AA1488" s="4">
        <f>=ROUNDDOWN(20.5714285714286,0)</f>
      </c>
      <c r="AB1488" s="5">
        <v>7</v>
      </c>
      <c r="AC1488" s="2" t="s">
        <v>126</v>
      </c>
      <c r="AD1488" s="4">
        <v>176</v>
      </c>
      <c r="AE1488" s="4">
        <v>176</v>
      </c>
      <c r="AF1488" s="6">
        <v>67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89</v>
      </c>
      <c r="BK1488" s="8">
        <v>5293.92</v>
      </c>
      <c r="BL1488" s="2" t="s">
        <v>5034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147</v>
      </c>
      <c r="BV1488" s="2" t="s">
        <v>97</v>
      </c>
      <c r="BW1488" s="2" t="s">
        <v>100</v>
      </c>
      <c r="BX1488" s="2" t="s">
        <v>100</v>
      </c>
      <c r="BY1488" s="2" t="s">
        <v>112</v>
      </c>
      <c r="BZ1488" s="2" t="s">
        <v>100</v>
      </c>
    </row>
    <row r="1489">
      <c r="A1489" s="2" t="s">
        <v>5035</v>
      </c>
      <c r="B1489" s="2" t="s">
        <v>87</v>
      </c>
      <c r="C1489" s="2" t="s">
        <v>4677</v>
      </c>
      <c r="D1489" s="2" t="s">
        <v>3234</v>
      </c>
      <c r="E1489" s="2" t="s">
        <v>3360</v>
      </c>
      <c r="F1489" s="2" t="s">
        <v>4809</v>
      </c>
      <c r="G1489" s="2" t="s">
        <v>4809</v>
      </c>
      <c r="H1489" s="2" t="s">
        <v>4809</v>
      </c>
      <c r="I1489" s="2" t="s">
        <v>5020</v>
      </c>
      <c r="J1489" s="2" t="s">
        <v>850</v>
      </c>
      <c r="K1489" s="2" t="s">
        <v>635</v>
      </c>
      <c r="L1489" s="3">
        <v>70</v>
      </c>
      <c r="M1489" s="3">
        <v>73.49</v>
      </c>
      <c r="N1489" s="3">
        <v>139.99</v>
      </c>
      <c r="O1489" s="2" t="s">
        <v>97</v>
      </c>
      <c r="P1489" s="2" t="s">
        <v>198</v>
      </c>
      <c r="Q1489" s="2" t="s">
        <v>99</v>
      </c>
      <c r="R1489" s="2" t="s">
        <v>100</v>
      </c>
      <c r="S1489" s="2" t="s">
        <v>4830</v>
      </c>
      <c r="T1489" s="2" t="s">
        <v>732</v>
      </c>
      <c r="U1489" s="2" t="s">
        <v>1610</v>
      </c>
      <c r="V1489" s="2" t="s">
        <v>601</v>
      </c>
      <c r="W1489" s="2" t="s">
        <v>3896</v>
      </c>
      <c r="X1489" s="2" t="s">
        <v>759</v>
      </c>
      <c r="Y1489" s="2" t="s">
        <v>4825</v>
      </c>
      <c r="Z1489" s="4">
        <v>160</v>
      </c>
      <c r="AA1489" s="4">
        <f>=ROUNDDOWN(32,0)</f>
      </c>
      <c r="AB1489" s="5">
        <v>5</v>
      </c>
      <c r="AC1489" s="2" t="s">
        <v>126</v>
      </c>
      <c r="AD1489" s="4">
        <v>130</v>
      </c>
      <c r="AE1489" s="4">
        <v>130</v>
      </c>
      <c r="AF1489" s="6">
        <v>67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51</v>
      </c>
      <c r="BK1489" s="8">
        <v>3799.63</v>
      </c>
      <c r="BL1489" s="2" t="s">
        <v>5036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147</v>
      </c>
      <c r="BV1489" s="2" t="s">
        <v>97</v>
      </c>
      <c r="BW1489" s="2" t="s">
        <v>100</v>
      </c>
      <c r="BX1489" s="2" t="s">
        <v>100</v>
      </c>
      <c r="BY1489" s="2" t="s">
        <v>112</v>
      </c>
      <c r="BZ1489" s="2" t="s">
        <v>100</v>
      </c>
    </row>
    <row r="1490">
      <c r="A1490" s="2" t="s">
        <v>5037</v>
      </c>
      <c r="B1490" s="2" t="s">
        <v>87</v>
      </c>
      <c r="C1490" s="2" t="s">
        <v>4677</v>
      </c>
      <c r="D1490" s="2" t="s">
        <v>3234</v>
      </c>
      <c r="E1490" s="2" t="s">
        <v>3360</v>
      </c>
      <c r="F1490" s="2" t="s">
        <v>4866</v>
      </c>
      <c r="G1490" s="2" t="s">
        <v>4866</v>
      </c>
      <c r="H1490" s="2" t="s">
        <v>4866</v>
      </c>
      <c r="I1490" s="2" t="s">
        <v>5038</v>
      </c>
      <c r="J1490" s="2" t="s">
        <v>844</v>
      </c>
      <c r="K1490" s="2" t="s">
        <v>2553</v>
      </c>
      <c r="L1490" s="3">
        <v>58.8</v>
      </c>
      <c r="M1490" s="3">
        <v>61.73</v>
      </c>
      <c r="N1490" s="3">
        <v>119.99</v>
      </c>
      <c r="O1490" s="2" t="s">
        <v>550</v>
      </c>
      <c r="P1490" s="2" t="s">
        <v>198</v>
      </c>
      <c r="Q1490" s="2" t="s">
        <v>99</v>
      </c>
      <c r="R1490" s="2" t="s">
        <v>100</v>
      </c>
      <c r="S1490" s="2" t="s">
        <v>4868</v>
      </c>
      <c r="T1490" s="2" t="s">
        <v>732</v>
      </c>
      <c r="U1490" s="2" t="s">
        <v>1610</v>
      </c>
      <c r="V1490" s="2" t="s">
        <v>561</v>
      </c>
      <c r="W1490" s="2" t="s">
        <v>3896</v>
      </c>
      <c r="X1490" s="2" t="s">
        <v>759</v>
      </c>
      <c r="Y1490" s="2" t="s">
        <v>4869</v>
      </c>
      <c r="Z1490" s="4">
        <v>51</v>
      </c>
      <c r="AA1490" s="4">
        <f>=ROUNDDOWN(17,0)</f>
      </c>
      <c r="AB1490" s="5">
        <v>3</v>
      </c>
      <c r="AC1490" s="2" t="s">
        <v>100</v>
      </c>
      <c r="AD1490" s="4"/>
      <c r="AE1490" s="4"/>
      <c r="AF1490" s="6">
        <v>67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/>
      <c r="BD1490" s="8"/>
      <c r="BE1490" s="4"/>
      <c r="BF1490" s="8"/>
      <c r="BG1490" s="7"/>
      <c r="BH1490" s="7"/>
      <c r="BI1490" s="7"/>
      <c r="BJ1490" s="4">
        <v>20</v>
      </c>
      <c r="BK1490" s="8">
        <v>1245.42</v>
      </c>
      <c r="BL1490" s="2" t="s">
        <v>5039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147</v>
      </c>
      <c r="BV1490" s="2" t="s">
        <v>97</v>
      </c>
      <c r="BW1490" s="2" t="s">
        <v>100</v>
      </c>
      <c r="BX1490" s="2" t="s">
        <v>100</v>
      </c>
      <c r="BY1490" s="2" t="s">
        <v>112</v>
      </c>
      <c r="BZ1490" s="2" t="s">
        <v>100</v>
      </c>
    </row>
    <row r="1491">
      <c r="A1491" s="2" t="s">
        <v>5040</v>
      </c>
      <c r="B1491" s="2" t="s">
        <v>87</v>
      </c>
      <c r="C1491" s="2" t="s">
        <v>4677</v>
      </c>
      <c r="D1491" s="2" t="s">
        <v>3234</v>
      </c>
      <c r="E1491" s="2" t="s">
        <v>3360</v>
      </c>
      <c r="F1491" s="2" t="s">
        <v>4872</v>
      </c>
      <c r="G1491" s="2" t="s">
        <v>4872</v>
      </c>
      <c r="H1491" s="2" t="s">
        <v>4872</v>
      </c>
      <c r="I1491" s="2" t="s">
        <v>5041</v>
      </c>
      <c r="J1491" s="2" t="s">
        <v>844</v>
      </c>
      <c r="K1491" s="2" t="s">
        <v>123</v>
      </c>
      <c r="L1491" s="3">
        <v>64.79</v>
      </c>
      <c r="M1491" s="3">
        <v>68.03</v>
      </c>
      <c r="N1491" s="3">
        <v>131.99</v>
      </c>
      <c r="O1491" s="2" t="s">
        <v>97</v>
      </c>
      <c r="P1491" s="2" t="s">
        <v>98</v>
      </c>
      <c r="Q1491" s="2" t="s">
        <v>99</v>
      </c>
      <c r="R1491" s="2" t="s">
        <v>100</v>
      </c>
      <c r="S1491" s="2" t="s">
        <v>4874</v>
      </c>
      <c r="T1491" s="2" t="s">
        <v>732</v>
      </c>
      <c r="U1491" s="2" t="s">
        <v>1610</v>
      </c>
      <c r="V1491" s="2" t="s">
        <v>4714</v>
      </c>
      <c r="W1491" s="2" t="s">
        <v>1530</v>
      </c>
      <c r="X1491" s="2" t="s">
        <v>4769</v>
      </c>
      <c r="Y1491" s="2" t="s">
        <v>5042</v>
      </c>
      <c r="Z1491" s="4">
        <v>142</v>
      </c>
      <c r="AA1491" s="4">
        <f>=ROUNDDOWN(23.6666666666667,0)</f>
      </c>
      <c r="AB1491" s="5">
        <v>6</v>
      </c>
      <c r="AC1491" s="2" t="s">
        <v>130</v>
      </c>
      <c r="AD1491" s="4">
        <v>30</v>
      </c>
      <c r="AE1491" s="4">
        <v>160</v>
      </c>
      <c r="AF1491" s="6">
        <v>67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108</v>
      </c>
      <c r="BK1491" s="8">
        <v>7817.58</v>
      </c>
      <c r="BL1491" s="2" t="s">
        <v>5043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147</v>
      </c>
      <c r="BV1491" s="2" t="s">
        <v>97</v>
      </c>
      <c r="BW1491" s="2" t="s">
        <v>100</v>
      </c>
      <c r="BX1491" s="2" t="s">
        <v>100</v>
      </c>
      <c r="BY1491" s="2" t="s">
        <v>112</v>
      </c>
      <c r="BZ1491" s="2" t="s">
        <v>100</v>
      </c>
    </row>
    <row r="1492">
      <c r="A1492" s="2" t="s">
        <v>5044</v>
      </c>
      <c r="B1492" s="2" t="s">
        <v>87</v>
      </c>
      <c r="C1492" s="2" t="s">
        <v>4677</v>
      </c>
      <c r="D1492" s="2" t="s">
        <v>3234</v>
      </c>
      <c r="E1492" s="2" t="s">
        <v>3360</v>
      </c>
      <c r="F1492" s="2" t="s">
        <v>4872</v>
      </c>
      <c r="G1492" s="2" t="s">
        <v>4872</v>
      </c>
      <c r="H1492" s="2" t="s">
        <v>4872</v>
      </c>
      <c r="I1492" s="2" t="s">
        <v>5041</v>
      </c>
      <c r="J1492" s="2" t="s">
        <v>850</v>
      </c>
      <c r="K1492" s="2" t="s">
        <v>123</v>
      </c>
      <c r="L1492" s="3">
        <v>79.38</v>
      </c>
      <c r="M1492" s="3">
        <v>83.35</v>
      </c>
      <c r="N1492" s="3">
        <v>161.99</v>
      </c>
      <c r="O1492" s="2" t="s">
        <v>97</v>
      </c>
      <c r="P1492" s="2" t="s">
        <v>98</v>
      </c>
      <c r="Q1492" s="2" t="s">
        <v>99</v>
      </c>
      <c r="R1492" s="2" t="s">
        <v>100</v>
      </c>
      <c r="S1492" s="2" t="s">
        <v>4874</v>
      </c>
      <c r="T1492" s="2" t="s">
        <v>732</v>
      </c>
      <c r="U1492" s="2" t="s">
        <v>1610</v>
      </c>
      <c r="V1492" s="2" t="s">
        <v>4714</v>
      </c>
      <c r="W1492" s="2" t="s">
        <v>1530</v>
      </c>
      <c r="X1492" s="2" t="s">
        <v>4769</v>
      </c>
      <c r="Y1492" s="2" t="s">
        <v>5042</v>
      </c>
      <c r="Z1492" s="4">
        <v>172</v>
      </c>
      <c r="AA1492" s="4">
        <f>=ROUNDDOWN(24.5714285714286,0)</f>
      </c>
      <c r="AB1492" s="5">
        <v>7</v>
      </c>
      <c r="AC1492" s="2" t="s">
        <v>130</v>
      </c>
      <c r="AD1492" s="4">
        <v>50</v>
      </c>
      <c r="AE1492" s="4">
        <v>140</v>
      </c>
      <c r="AF1492" s="6">
        <v>67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119</v>
      </c>
      <c r="BK1492" s="8">
        <v>10674.71</v>
      </c>
      <c r="BL1492" s="2" t="s">
        <v>5045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147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5046</v>
      </c>
      <c r="B1493" s="2" t="s">
        <v>87</v>
      </c>
      <c r="C1493" s="2" t="s">
        <v>4677</v>
      </c>
      <c r="D1493" s="2" t="s">
        <v>3234</v>
      </c>
      <c r="E1493" s="2" t="s">
        <v>3360</v>
      </c>
      <c r="F1493" s="2" t="s">
        <v>4783</v>
      </c>
      <c r="G1493" s="2" t="s">
        <v>4783</v>
      </c>
      <c r="H1493" s="2" t="s">
        <v>4783</v>
      </c>
      <c r="I1493" s="2" t="s">
        <v>5047</v>
      </c>
      <c r="J1493" s="2" t="s">
        <v>844</v>
      </c>
      <c r="K1493" s="2" t="s">
        <v>4791</v>
      </c>
      <c r="L1493" s="3">
        <v>51.3</v>
      </c>
      <c r="M1493" s="3">
        <v>53.86</v>
      </c>
      <c r="N1493" s="3">
        <v>109.99</v>
      </c>
      <c r="O1493" s="2" t="s">
        <v>97</v>
      </c>
      <c r="P1493" s="2" t="s">
        <v>182</v>
      </c>
      <c r="Q1493" s="2" t="s">
        <v>99</v>
      </c>
      <c r="R1493" s="2" t="s">
        <v>100</v>
      </c>
      <c r="S1493" s="2" t="s">
        <v>4792</v>
      </c>
      <c r="T1493" s="2" t="s">
        <v>732</v>
      </c>
      <c r="U1493" s="2" t="s">
        <v>1610</v>
      </c>
      <c r="V1493" s="2" t="s">
        <v>4714</v>
      </c>
      <c r="W1493" s="2" t="s">
        <v>1530</v>
      </c>
      <c r="X1493" s="2" t="s">
        <v>1288</v>
      </c>
      <c r="Y1493" s="2" t="s">
        <v>4793</v>
      </c>
      <c r="Z1493" s="4">
        <v>109</v>
      </c>
      <c r="AA1493" s="4">
        <f>=ROUNDDOWN(54.5,0)</f>
      </c>
      <c r="AB1493" s="5">
        <v>2</v>
      </c>
      <c r="AC1493" s="2" t="s">
        <v>100</v>
      </c>
      <c r="AD1493" s="4"/>
      <c r="AE1493" s="4"/>
      <c r="AF1493" s="6">
        <v>66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11</v>
      </c>
      <c r="BK1493" s="8">
        <v>618.88</v>
      </c>
      <c r="BL1493" s="2" t="s">
        <v>5048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147</v>
      </c>
      <c r="BV1493" s="2" t="s">
        <v>97</v>
      </c>
      <c r="BW1493" s="2" t="s">
        <v>100</v>
      </c>
      <c r="BX1493" s="2" t="s">
        <v>100</v>
      </c>
      <c r="BY1493" s="2" t="s">
        <v>112</v>
      </c>
      <c r="BZ1493" s="2" t="s">
        <v>100</v>
      </c>
    </row>
    <row r="1494">
      <c r="A1494" s="2" t="s">
        <v>5049</v>
      </c>
      <c r="B1494" s="2" t="s">
        <v>87</v>
      </c>
      <c r="C1494" s="2" t="s">
        <v>4677</v>
      </c>
      <c r="D1494" s="2" t="s">
        <v>3234</v>
      </c>
      <c r="E1494" s="2" t="s">
        <v>3360</v>
      </c>
      <c r="F1494" s="2" t="s">
        <v>4783</v>
      </c>
      <c r="G1494" s="2" t="s">
        <v>4783</v>
      </c>
      <c r="H1494" s="2" t="s">
        <v>4783</v>
      </c>
      <c r="I1494" s="2" t="s">
        <v>5047</v>
      </c>
      <c r="J1494" s="2" t="s">
        <v>850</v>
      </c>
      <c r="K1494" s="2" t="s">
        <v>4791</v>
      </c>
      <c r="L1494" s="3">
        <v>65.55</v>
      </c>
      <c r="M1494" s="3">
        <v>68.83</v>
      </c>
      <c r="N1494" s="3">
        <v>139.99</v>
      </c>
      <c r="O1494" s="2" t="s">
        <v>97</v>
      </c>
      <c r="P1494" s="2" t="s">
        <v>182</v>
      </c>
      <c r="Q1494" s="2" t="s">
        <v>99</v>
      </c>
      <c r="R1494" s="2" t="s">
        <v>100</v>
      </c>
      <c r="S1494" s="2" t="s">
        <v>4792</v>
      </c>
      <c r="T1494" s="2" t="s">
        <v>732</v>
      </c>
      <c r="U1494" s="2" t="s">
        <v>1610</v>
      </c>
      <c r="V1494" s="2" t="s">
        <v>4714</v>
      </c>
      <c r="W1494" s="2" t="s">
        <v>1530</v>
      </c>
      <c r="X1494" s="2" t="s">
        <v>1288</v>
      </c>
      <c r="Y1494" s="2" t="s">
        <v>4793</v>
      </c>
      <c r="Z1494" s="4">
        <v>163</v>
      </c>
      <c r="AA1494" s="4">
        <f>=ROUNDDOWN(40.75,0)</f>
      </c>
      <c r="AB1494" s="5">
        <v>4</v>
      </c>
      <c r="AC1494" s="2" t="s">
        <v>100</v>
      </c>
      <c r="AD1494" s="4"/>
      <c r="AE1494" s="4"/>
      <c r="AF1494" s="6">
        <v>66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4</v>
      </c>
      <c r="BK1494" s="8">
        <v>296.78</v>
      </c>
      <c r="BL1494" s="2" t="s">
        <v>5050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147</v>
      </c>
      <c r="BV1494" s="2" t="s">
        <v>97</v>
      </c>
      <c r="BW1494" s="2" t="s">
        <v>100</v>
      </c>
      <c r="BX1494" s="2" t="s">
        <v>100</v>
      </c>
      <c r="BY1494" s="2" t="s">
        <v>112</v>
      </c>
      <c r="BZ1494" s="2" t="s">
        <v>100</v>
      </c>
    </row>
    <row r="1495">
      <c r="A1495" s="2" t="s">
        <v>5051</v>
      </c>
      <c r="B1495" s="2" t="s">
        <v>87</v>
      </c>
      <c r="C1495" s="2" t="s">
        <v>4677</v>
      </c>
      <c r="D1495" s="2" t="s">
        <v>3234</v>
      </c>
      <c r="E1495" s="2" t="s">
        <v>3360</v>
      </c>
      <c r="F1495" s="2" t="s">
        <v>4783</v>
      </c>
      <c r="G1495" s="2" t="s">
        <v>4783</v>
      </c>
      <c r="H1495" s="2" t="s">
        <v>4783</v>
      </c>
      <c r="I1495" s="2" t="s">
        <v>5047</v>
      </c>
      <c r="J1495" s="2" t="s">
        <v>844</v>
      </c>
      <c r="K1495" s="2" t="s">
        <v>1204</v>
      </c>
      <c r="L1495" s="3">
        <v>51.3</v>
      </c>
      <c r="M1495" s="3">
        <v>53.86</v>
      </c>
      <c r="N1495" s="3">
        <v>109.99</v>
      </c>
      <c r="O1495" s="2" t="s">
        <v>97</v>
      </c>
      <c r="P1495" s="2" t="s">
        <v>182</v>
      </c>
      <c r="Q1495" s="2" t="s">
        <v>99</v>
      </c>
      <c r="R1495" s="2" t="s">
        <v>100</v>
      </c>
      <c r="S1495" s="2" t="s">
        <v>4797</v>
      </c>
      <c r="T1495" s="2" t="s">
        <v>732</v>
      </c>
      <c r="U1495" s="2" t="s">
        <v>1610</v>
      </c>
      <c r="V1495" s="2" t="s">
        <v>4714</v>
      </c>
      <c r="W1495" s="2" t="s">
        <v>1530</v>
      </c>
      <c r="X1495" s="2" t="s">
        <v>1288</v>
      </c>
      <c r="Y1495" s="2" t="s">
        <v>4798</v>
      </c>
      <c r="Z1495" s="4">
        <v>108</v>
      </c>
      <c r="AA1495" s="4">
        <f>=ROUNDDOWN(36,0)</f>
      </c>
      <c r="AB1495" s="5">
        <v>3</v>
      </c>
      <c r="AC1495" s="2" t="s">
        <v>126</v>
      </c>
      <c r="AD1495" s="4">
        <v>20</v>
      </c>
      <c r="AE1495" s="4">
        <v>20</v>
      </c>
      <c r="AF1495" s="6">
        <v>66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>
        <v>34</v>
      </c>
      <c r="BK1495" s="8">
        <v>1918.21</v>
      </c>
      <c r="BL1495" s="2" t="s">
        <v>5028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147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5052</v>
      </c>
      <c r="B1496" s="2" t="s">
        <v>87</v>
      </c>
      <c r="C1496" s="2" t="s">
        <v>4677</v>
      </c>
      <c r="D1496" s="2" t="s">
        <v>3234</v>
      </c>
      <c r="E1496" s="2" t="s">
        <v>3360</v>
      </c>
      <c r="F1496" s="2" t="s">
        <v>4783</v>
      </c>
      <c r="G1496" s="2" t="s">
        <v>4783</v>
      </c>
      <c r="H1496" s="2" t="s">
        <v>4783</v>
      </c>
      <c r="I1496" s="2" t="s">
        <v>5047</v>
      </c>
      <c r="J1496" s="2" t="s">
        <v>850</v>
      </c>
      <c r="K1496" s="2" t="s">
        <v>1204</v>
      </c>
      <c r="L1496" s="3">
        <v>65.55</v>
      </c>
      <c r="M1496" s="3">
        <v>68.83</v>
      </c>
      <c r="N1496" s="3">
        <v>139.99</v>
      </c>
      <c r="O1496" s="2" t="s">
        <v>97</v>
      </c>
      <c r="P1496" s="2" t="s">
        <v>182</v>
      </c>
      <c r="Q1496" s="2" t="s">
        <v>99</v>
      </c>
      <c r="R1496" s="2" t="s">
        <v>100</v>
      </c>
      <c r="S1496" s="2" t="s">
        <v>4797</v>
      </c>
      <c r="T1496" s="2" t="s">
        <v>732</v>
      </c>
      <c r="U1496" s="2" t="s">
        <v>1610</v>
      </c>
      <c r="V1496" s="2" t="s">
        <v>4714</v>
      </c>
      <c r="W1496" s="2" t="s">
        <v>1530</v>
      </c>
      <c r="X1496" s="2" t="s">
        <v>1288</v>
      </c>
      <c r="Y1496" s="2" t="s">
        <v>4798</v>
      </c>
      <c r="Z1496" s="4">
        <v>139</v>
      </c>
      <c r="AA1496" s="4">
        <f>=ROUNDDOWN(34.75,0)</f>
      </c>
      <c r="AB1496" s="5">
        <v>4</v>
      </c>
      <c r="AC1496" s="2" t="s">
        <v>126</v>
      </c>
      <c r="AD1496" s="4">
        <v>60</v>
      </c>
      <c r="AE1496" s="4">
        <v>60</v>
      </c>
      <c r="AF1496" s="6">
        <v>66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40</v>
      </c>
      <c r="BK1496" s="8">
        <v>2939.39</v>
      </c>
      <c r="BL1496" s="2" t="s">
        <v>3340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147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5053</v>
      </c>
      <c r="B1497" s="2" t="s">
        <v>87</v>
      </c>
      <c r="C1497" s="2" t="s">
        <v>4677</v>
      </c>
      <c r="D1497" s="2" t="s">
        <v>3234</v>
      </c>
      <c r="E1497" s="2" t="s">
        <v>3360</v>
      </c>
      <c r="F1497" s="2" t="s">
        <v>4783</v>
      </c>
      <c r="G1497" s="2" t="s">
        <v>4783</v>
      </c>
      <c r="H1497" s="2" t="s">
        <v>4783</v>
      </c>
      <c r="I1497" s="2" t="s">
        <v>5047</v>
      </c>
      <c r="J1497" s="2" t="s">
        <v>844</v>
      </c>
      <c r="K1497" s="2" t="s">
        <v>197</v>
      </c>
      <c r="L1497" s="3">
        <v>51.3</v>
      </c>
      <c r="M1497" s="3">
        <v>53.86</v>
      </c>
      <c r="N1497" s="3">
        <v>109.99</v>
      </c>
      <c r="O1497" s="2" t="s">
        <v>97</v>
      </c>
      <c r="P1497" s="2" t="s">
        <v>98</v>
      </c>
      <c r="Q1497" s="2" t="s">
        <v>99</v>
      </c>
      <c r="R1497" s="2" t="s">
        <v>100</v>
      </c>
      <c r="S1497" s="2" t="s">
        <v>4785</v>
      </c>
      <c r="T1497" s="2" t="s">
        <v>732</v>
      </c>
      <c r="U1497" s="2" t="s">
        <v>1610</v>
      </c>
      <c r="V1497" s="2" t="s">
        <v>4714</v>
      </c>
      <c r="W1497" s="2" t="s">
        <v>1530</v>
      </c>
      <c r="X1497" s="2" t="s">
        <v>1288</v>
      </c>
      <c r="Y1497" s="2" t="s">
        <v>4377</v>
      </c>
      <c r="Z1497" s="4">
        <v>162</v>
      </c>
      <c r="AA1497" s="4">
        <f>=ROUNDDOWN(18,0)</f>
      </c>
      <c r="AB1497" s="5">
        <v>9</v>
      </c>
      <c r="AC1497" s="2" t="s">
        <v>269</v>
      </c>
      <c r="AD1497" s="4">
        <v>40</v>
      </c>
      <c r="AE1497" s="4">
        <v>210</v>
      </c>
      <c r="AF1497" s="6">
        <v>66</v>
      </c>
      <c r="AG1497" s="6">
        <v>74</v>
      </c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141</v>
      </c>
      <c r="BK1497" s="8">
        <v>8065.66</v>
      </c>
      <c r="BL1497" s="2" t="s">
        <v>5054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97</v>
      </c>
      <c r="BW1497" s="2" t="s">
        <v>110</v>
      </c>
      <c r="BX1497" s="2" t="s">
        <v>100</v>
      </c>
      <c r="BY1497" s="2" t="s">
        <v>112</v>
      </c>
      <c r="BZ1497" s="2" t="s">
        <v>100</v>
      </c>
    </row>
    <row r="1498">
      <c r="A1498" s="2" t="s">
        <v>5055</v>
      </c>
      <c r="B1498" s="2" t="s">
        <v>87</v>
      </c>
      <c r="C1498" s="2" t="s">
        <v>4677</v>
      </c>
      <c r="D1498" s="2" t="s">
        <v>3234</v>
      </c>
      <c r="E1498" s="2" t="s">
        <v>3360</v>
      </c>
      <c r="F1498" s="2" t="s">
        <v>4783</v>
      </c>
      <c r="G1498" s="2" t="s">
        <v>4783</v>
      </c>
      <c r="H1498" s="2" t="s">
        <v>4783</v>
      </c>
      <c r="I1498" s="2" t="s">
        <v>5047</v>
      </c>
      <c r="J1498" s="2" t="s">
        <v>850</v>
      </c>
      <c r="K1498" s="2" t="s">
        <v>197</v>
      </c>
      <c r="L1498" s="3">
        <v>65.55</v>
      </c>
      <c r="M1498" s="3">
        <v>68.83</v>
      </c>
      <c r="N1498" s="3">
        <v>139.99</v>
      </c>
      <c r="O1498" s="2" t="s">
        <v>97</v>
      </c>
      <c r="P1498" s="2" t="s">
        <v>98</v>
      </c>
      <c r="Q1498" s="2" t="s">
        <v>99</v>
      </c>
      <c r="R1498" s="2" t="s">
        <v>100</v>
      </c>
      <c r="S1498" s="2" t="s">
        <v>4785</v>
      </c>
      <c r="T1498" s="2" t="s">
        <v>732</v>
      </c>
      <c r="U1498" s="2" t="s">
        <v>1610</v>
      </c>
      <c r="V1498" s="2" t="s">
        <v>4714</v>
      </c>
      <c r="W1498" s="2" t="s">
        <v>1530</v>
      </c>
      <c r="X1498" s="2" t="s">
        <v>1288</v>
      </c>
      <c r="Y1498" s="2" t="s">
        <v>4377</v>
      </c>
      <c r="Z1498" s="4">
        <v>290</v>
      </c>
      <c r="AA1498" s="4">
        <f>=ROUNDDOWN(29,0)</f>
      </c>
      <c r="AB1498" s="5">
        <v>10</v>
      </c>
      <c r="AC1498" s="2" t="s">
        <v>269</v>
      </c>
      <c r="AD1498" s="4">
        <v>50</v>
      </c>
      <c r="AE1498" s="4">
        <v>280</v>
      </c>
      <c r="AF1498" s="6">
        <v>66</v>
      </c>
      <c r="AG1498" s="6">
        <v>74</v>
      </c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>
        <v>193</v>
      </c>
      <c r="BK1498" s="8">
        <v>14170.66</v>
      </c>
      <c r="BL1498" s="2" t="s">
        <v>5056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97</v>
      </c>
      <c r="BW1498" s="2" t="s">
        <v>110</v>
      </c>
      <c r="BX1498" s="2" t="s">
        <v>100</v>
      </c>
      <c r="BY1498" s="2" t="s">
        <v>112</v>
      </c>
      <c r="BZ1498" s="2" t="s">
        <v>100</v>
      </c>
    </row>
    <row r="1499">
      <c r="A1499" s="2" t="s">
        <v>5057</v>
      </c>
      <c r="B1499" s="2" t="s">
        <v>87</v>
      </c>
      <c r="C1499" s="2" t="s">
        <v>4677</v>
      </c>
      <c r="D1499" s="2" t="s">
        <v>3234</v>
      </c>
      <c r="E1499" s="2" t="s">
        <v>3360</v>
      </c>
      <c r="F1499" s="2" t="s">
        <v>4783</v>
      </c>
      <c r="G1499" s="2" t="s">
        <v>4783</v>
      </c>
      <c r="H1499" s="2" t="s">
        <v>4783</v>
      </c>
      <c r="I1499" s="2" t="s">
        <v>5047</v>
      </c>
      <c r="J1499" s="2" t="s">
        <v>844</v>
      </c>
      <c r="K1499" s="2" t="s">
        <v>622</v>
      </c>
      <c r="L1499" s="3">
        <v>51.3</v>
      </c>
      <c r="M1499" s="3">
        <v>53.86</v>
      </c>
      <c r="N1499" s="3">
        <v>109.99</v>
      </c>
      <c r="O1499" s="2" t="s">
        <v>97</v>
      </c>
      <c r="P1499" s="2" t="s">
        <v>143</v>
      </c>
      <c r="Q1499" s="2" t="s">
        <v>99</v>
      </c>
      <c r="R1499" s="2" t="s">
        <v>100</v>
      </c>
      <c r="S1499" s="2" t="s">
        <v>4803</v>
      </c>
      <c r="T1499" s="2" t="s">
        <v>732</v>
      </c>
      <c r="U1499" s="2" t="s">
        <v>1610</v>
      </c>
      <c r="V1499" s="2" t="s">
        <v>4714</v>
      </c>
      <c r="W1499" s="2" t="s">
        <v>1530</v>
      </c>
      <c r="X1499" s="2" t="s">
        <v>1288</v>
      </c>
      <c r="Y1499" s="2" t="s">
        <v>4565</v>
      </c>
      <c r="Z1499" s="4">
        <v>283</v>
      </c>
      <c r="AA1499" s="4">
        <f>=ROUNDDOWN(47.1666666666667,0)</f>
      </c>
      <c r="AB1499" s="5">
        <v>6</v>
      </c>
      <c r="AC1499" s="2" t="s">
        <v>269</v>
      </c>
      <c r="AD1499" s="4">
        <v>60</v>
      </c>
      <c r="AE1499" s="4">
        <v>320</v>
      </c>
      <c r="AF1499" s="6">
        <v>66</v>
      </c>
      <c r="AG1499" s="6">
        <v>74</v>
      </c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176</v>
      </c>
      <c r="BK1499" s="8">
        <v>10079.81</v>
      </c>
      <c r="BL1499" s="2" t="s">
        <v>5058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147</v>
      </c>
      <c r="BV1499" s="2" t="s">
        <v>97</v>
      </c>
      <c r="BW1499" s="2" t="s">
        <v>100</v>
      </c>
      <c r="BX1499" s="2" t="s">
        <v>100</v>
      </c>
      <c r="BY1499" s="2" t="s">
        <v>112</v>
      </c>
      <c r="BZ1499" s="2" t="s">
        <v>100</v>
      </c>
    </row>
    <row r="1500">
      <c r="A1500" s="2" t="s">
        <v>5059</v>
      </c>
      <c r="B1500" s="2" t="s">
        <v>87</v>
      </c>
      <c r="C1500" s="2" t="s">
        <v>4677</v>
      </c>
      <c r="D1500" s="2" t="s">
        <v>3234</v>
      </c>
      <c r="E1500" s="2" t="s">
        <v>3360</v>
      </c>
      <c r="F1500" s="2" t="s">
        <v>4783</v>
      </c>
      <c r="G1500" s="2" t="s">
        <v>4783</v>
      </c>
      <c r="H1500" s="2" t="s">
        <v>4783</v>
      </c>
      <c r="I1500" s="2" t="s">
        <v>5047</v>
      </c>
      <c r="J1500" s="2" t="s">
        <v>850</v>
      </c>
      <c r="K1500" s="2" t="s">
        <v>622</v>
      </c>
      <c r="L1500" s="3">
        <v>65.55</v>
      </c>
      <c r="M1500" s="3">
        <v>68.83</v>
      </c>
      <c r="N1500" s="3">
        <v>139.99</v>
      </c>
      <c r="O1500" s="2" t="s">
        <v>97</v>
      </c>
      <c r="P1500" s="2" t="s">
        <v>143</v>
      </c>
      <c r="Q1500" s="2" t="s">
        <v>99</v>
      </c>
      <c r="R1500" s="2" t="s">
        <v>100</v>
      </c>
      <c r="S1500" s="2" t="s">
        <v>4803</v>
      </c>
      <c r="T1500" s="2" t="s">
        <v>732</v>
      </c>
      <c r="U1500" s="2" t="s">
        <v>1610</v>
      </c>
      <c r="V1500" s="2" t="s">
        <v>4714</v>
      </c>
      <c r="W1500" s="2" t="s">
        <v>1530</v>
      </c>
      <c r="X1500" s="2" t="s">
        <v>1288</v>
      </c>
      <c r="Y1500" s="2" t="s">
        <v>4565</v>
      </c>
      <c r="Z1500" s="4">
        <v>483</v>
      </c>
      <c r="AA1500" s="4">
        <f>=ROUNDDOWN(69,0)</f>
      </c>
      <c r="AB1500" s="5">
        <v>7</v>
      </c>
      <c r="AC1500" s="2" t="s">
        <v>2403</v>
      </c>
      <c r="AD1500" s="4">
        <v>120</v>
      </c>
      <c r="AE1500" s="4">
        <v>260</v>
      </c>
      <c r="AF1500" s="6">
        <v>66</v>
      </c>
      <c r="AG1500" s="6">
        <v>74</v>
      </c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/>
      <c r="BJ1500" s="4">
        <v>201</v>
      </c>
      <c r="BK1500" s="8">
        <v>14846.03</v>
      </c>
      <c r="BL1500" s="2" t="s">
        <v>5060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147</v>
      </c>
      <c r="BV1500" s="2" t="s">
        <v>97</v>
      </c>
      <c r="BW1500" s="2" t="s">
        <v>100</v>
      </c>
      <c r="BX1500" s="2" t="s">
        <v>100</v>
      </c>
      <c r="BY1500" s="2" t="s">
        <v>112</v>
      </c>
      <c r="BZ1500" s="2" t="s">
        <v>100</v>
      </c>
    </row>
    <row r="1501">
      <c r="A1501" s="2" t="s">
        <v>5061</v>
      </c>
      <c r="B1501" s="2" t="s">
        <v>87</v>
      </c>
      <c r="C1501" s="2" t="s">
        <v>4677</v>
      </c>
      <c r="D1501" s="2" t="s">
        <v>3234</v>
      </c>
      <c r="E1501" s="2" t="s">
        <v>3360</v>
      </c>
      <c r="F1501" s="2" t="s">
        <v>4880</v>
      </c>
      <c r="G1501" s="2" t="s">
        <v>4880</v>
      </c>
      <c r="H1501" s="2" t="s">
        <v>4880</v>
      </c>
      <c r="I1501" s="2" t="s">
        <v>5062</v>
      </c>
      <c r="J1501" s="2" t="s">
        <v>844</v>
      </c>
      <c r="K1501" s="2" t="s">
        <v>1204</v>
      </c>
      <c r="L1501" s="3">
        <v>49.35</v>
      </c>
      <c r="M1501" s="3">
        <v>51.81</v>
      </c>
      <c r="N1501" s="3">
        <v>104.99</v>
      </c>
      <c r="O1501" s="2" t="s">
        <v>550</v>
      </c>
      <c r="P1501" s="2" t="s">
        <v>198</v>
      </c>
      <c r="Q1501" s="2" t="s">
        <v>99</v>
      </c>
      <c r="R1501" s="2" t="s">
        <v>100</v>
      </c>
      <c r="S1501" s="2" t="s">
        <v>4882</v>
      </c>
      <c r="T1501" s="2" t="s">
        <v>732</v>
      </c>
      <c r="U1501" s="2" t="s">
        <v>1610</v>
      </c>
      <c r="V1501" s="2" t="s">
        <v>637</v>
      </c>
      <c r="W1501" s="2" t="s">
        <v>733</v>
      </c>
      <c r="X1501" s="2" t="s">
        <v>1288</v>
      </c>
      <c r="Y1501" s="2" t="s">
        <v>5063</v>
      </c>
      <c r="Z1501" s="4">
        <v>124</v>
      </c>
      <c r="AA1501" s="4">
        <f>=ROUNDDOWN(124,0)</f>
      </c>
      <c r="AB1501" s="5">
        <v>1</v>
      </c>
      <c r="AC1501" s="2" t="s">
        <v>100</v>
      </c>
      <c r="AD1501" s="4"/>
      <c r="AE1501" s="4"/>
      <c r="AF1501" s="6">
        <v>67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>
        <v>26</v>
      </c>
      <c r="BK1501" s="8">
        <v>779.57</v>
      </c>
      <c r="BL1501" s="2" t="s">
        <v>5064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147</v>
      </c>
      <c r="BV1501" s="2" t="s">
        <v>97</v>
      </c>
      <c r="BW1501" s="2" t="s">
        <v>100</v>
      </c>
      <c r="BX1501" s="2" t="s">
        <v>100</v>
      </c>
      <c r="BY1501" s="2" t="s">
        <v>112</v>
      </c>
      <c r="BZ1501" s="2" t="s">
        <v>100</v>
      </c>
    </row>
    <row r="1502">
      <c r="A1502" s="2" t="s">
        <v>5065</v>
      </c>
      <c r="B1502" s="2" t="s">
        <v>87</v>
      </c>
      <c r="C1502" s="2" t="s">
        <v>4677</v>
      </c>
      <c r="D1502" s="2" t="s">
        <v>3234</v>
      </c>
      <c r="E1502" s="2" t="s">
        <v>3360</v>
      </c>
      <c r="F1502" s="2" t="s">
        <v>4880</v>
      </c>
      <c r="G1502" s="2" t="s">
        <v>4880</v>
      </c>
      <c r="H1502" s="2" t="s">
        <v>4880</v>
      </c>
      <c r="I1502" s="2" t="s">
        <v>5062</v>
      </c>
      <c r="J1502" s="2" t="s">
        <v>850</v>
      </c>
      <c r="K1502" s="2" t="s">
        <v>1204</v>
      </c>
      <c r="L1502" s="3">
        <v>66.15</v>
      </c>
      <c r="M1502" s="3">
        <v>69.45</v>
      </c>
      <c r="N1502" s="3">
        <v>134.99</v>
      </c>
      <c r="O1502" s="2" t="s">
        <v>550</v>
      </c>
      <c r="P1502" s="2" t="s">
        <v>198</v>
      </c>
      <c r="Q1502" s="2" t="s">
        <v>99</v>
      </c>
      <c r="R1502" s="2" t="s">
        <v>100</v>
      </c>
      <c r="S1502" s="2" t="s">
        <v>4882</v>
      </c>
      <c r="T1502" s="2" t="s">
        <v>732</v>
      </c>
      <c r="U1502" s="2" t="s">
        <v>1610</v>
      </c>
      <c r="V1502" s="2" t="s">
        <v>637</v>
      </c>
      <c r="W1502" s="2" t="s">
        <v>733</v>
      </c>
      <c r="X1502" s="2" t="s">
        <v>1288</v>
      </c>
      <c r="Y1502" s="2" t="s">
        <v>5063</v>
      </c>
      <c r="Z1502" s="4">
        <v>111</v>
      </c>
      <c r="AA1502" s="4">
        <f>=ROUNDDOWN(555,0)</f>
      </c>
      <c r="AB1502" s="5">
        <v>0.2</v>
      </c>
      <c r="AC1502" s="2" t="s">
        <v>100</v>
      </c>
      <c r="AD1502" s="4"/>
      <c r="AE1502" s="4"/>
      <c r="AF1502" s="6">
        <v>67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>
        <v>15</v>
      </c>
      <c r="BK1502" s="8">
        <v>697.9</v>
      </c>
      <c r="BL1502" s="2" t="s">
        <v>5066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147</v>
      </c>
      <c r="BV1502" s="2" t="s">
        <v>97</v>
      </c>
      <c r="BW1502" s="2" t="s">
        <v>100</v>
      </c>
      <c r="BX1502" s="2" t="s">
        <v>100</v>
      </c>
      <c r="BY1502" s="2" t="s">
        <v>112</v>
      </c>
      <c r="BZ1502" s="2" t="s">
        <v>100</v>
      </c>
    </row>
    <row r="1503">
      <c r="A1503" s="2" t="s">
        <v>5067</v>
      </c>
      <c r="B1503" s="2" t="s">
        <v>87</v>
      </c>
      <c r="C1503" s="2" t="s">
        <v>4677</v>
      </c>
      <c r="D1503" s="2" t="s">
        <v>3234</v>
      </c>
      <c r="E1503" s="2" t="s">
        <v>3360</v>
      </c>
      <c r="F1503" s="2" t="s">
        <v>4765</v>
      </c>
      <c r="G1503" s="2" t="s">
        <v>4765</v>
      </c>
      <c r="H1503" s="2" t="s">
        <v>4765</v>
      </c>
      <c r="I1503" s="2" t="s">
        <v>5068</v>
      </c>
      <c r="J1503" s="2" t="s">
        <v>844</v>
      </c>
      <c r="K1503" s="2" t="s">
        <v>4776</v>
      </c>
      <c r="L1503" s="3">
        <v>43.2</v>
      </c>
      <c r="M1503" s="3">
        <v>45.36</v>
      </c>
      <c r="N1503" s="3">
        <v>84.99</v>
      </c>
      <c r="O1503" s="2" t="s">
        <v>97</v>
      </c>
      <c r="P1503" s="2" t="s">
        <v>182</v>
      </c>
      <c r="Q1503" s="2" t="s">
        <v>99</v>
      </c>
      <c r="R1503" s="2" t="s">
        <v>100</v>
      </c>
      <c r="S1503" s="2" t="s">
        <v>4777</v>
      </c>
      <c r="T1503" s="2" t="s">
        <v>732</v>
      </c>
      <c r="U1503" s="2" t="s">
        <v>1610</v>
      </c>
      <c r="V1503" s="2" t="s">
        <v>4769</v>
      </c>
      <c r="W1503" s="2" t="s">
        <v>602</v>
      </c>
      <c r="X1503" s="2" t="s">
        <v>4769</v>
      </c>
      <c r="Y1503" s="2" t="s">
        <v>4778</v>
      </c>
      <c r="Z1503" s="4">
        <v>219</v>
      </c>
      <c r="AA1503" s="4">
        <f>=ROUNDDOWN(31.2857142857143,0)</f>
      </c>
      <c r="AB1503" s="5">
        <v>7</v>
      </c>
      <c r="AC1503" s="2" t="s">
        <v>2049</v>
      </c>
      <c r="AD1503" s="4">
        <v>50</v>
      </c>
      <c r="AE1503" s="4">
        <v>50</v>
      </c>
      <c r="AF1503" s="6">
        <v>66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>
        <v>1</v>
      </c>
      <c r="BF1503" s="8">
        <v>45.36</v>
      </c>
      <c r="BG1503" s="7" t="s">
        <v>100</v>
      </c>
      <c r="BH1503" s="7" t="s">
        <v>100</v>
      </c>
      <c r="BI1503" s="7"/>
      <c r="BJ1503" s="4">
        <v>118</v>
      </c>
      <c r="BK1503" s="8">
        <v>5822.96</v>
      </c>
      <c r="BL1503" s="2" t="s">
        <v>5069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147</v>
      </c>
      <c r="BV1503" s="2" t="s">
        <v>97</v>
      </c>
      <c r="BW1503" s="2" t="s">
        <v>100</v>
      </c>
      <c r="BX1503" s="2" t="s">
        <v>100</v>
      </c>
      <c r="BY1503" s="2" t="s">
        <v>112</v>
      </c>
      <c r="BZ1503" s="2" t="s">
        <v>100</v>
      </c>
    </row>
    <row r="1504">
      <c r="A1504" s="2" t="s">
        <v>5070</v>
      </c>
      <c r="B1504" s="2" t="s">
        <v>87</v>
      </c>
      <c r="C1504" s="2" t="s">
        <v>4677</v>
      </c>
      <c r="D1504" s="2" t="s">
        <v>3234</v>
      </c>
      <c r="E1504" s="2" t="s">
        <v>3360</v>
      </c>
      <c r="F1504" s="2" t="s">
        <v>4765</v>
      </c>
      <c r="G1504" s="2" t="s">
        <v>4765</v>
      </c>
      <c r="H1504" s="2" t="s">
        <v>4765</v>
      </c>
      <c r="I1504" s="2" t="s">
        <v>5068</v>
      </c>
      <c r="J1504" s="2" t="s">
        <v>850</v>
      </c>
      <c r="K1504" s="2" t="s">
        <v>4776</v>
      </c>
      <c r="L1504" s="3">
        <v>57.33</v>
      </c>
      <c r="M1504" s="3">
        <v>60.2</v>
      </c>
      <c r="N1504" s="3">
        <v>114.99</v>
      </c>
      <c r="O1504" s="2" t="s">
        <v>97</v>
      </c>
      <c r="P1504" s="2" t="s">
        <v>182</v>
      </c>
      <c r="Q1504" s="2" t="s">
        <v>99</v>
      </c>
      <c r="R1504" s="2" t="s">
        <v>100</v>
      </c>
      <c r="S1504" s="2" t="s">
        <v>4777</v>
      </c>
      <c r="T1504" s="2" t="s">
        <v>732</v>
      </c>
      <c r="U1504" s="2" t="s">
        <v>1610</v>
      </c>
      <c r="V1504" s="2" t="s">
        <v>4769</v>
      </c>
      <c r="W1504" s="2" t="s">
        <v>602</v>
      </c>
      <c r="X1504" s="2" t="s">
        <v>4769</v>
      </c>
      <c r="Y1504" s="2" t="s">
        <v>4778</v>
      </c>
      <c r="Z1504" s="4">
        <v>98</v>
      </c>
      <c r="AA1504" s="4">
        <f>=ROUNDDOWN(32.6666666666667,0)</f>
      </c>
      <c r="AB1504" s="5">
        <v>3</v>
      </c>
      <c r="AC1504" s="2" t="s">
        <v>518</v>
      </c>
      <c r="AD1504" s="4">
        <v>100</v>
      </c>
      <c r="AE1504" s="4">
        <v>160</v>
      </c>
      <c r="AF1504" s="6">
        <v>66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114</v>
      </c>
      <c r="BK1504" s="8">
        <v>7650.85</v>
      </c>
      <c r="BL1504" s="2" t="s">
        <v>5071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147</v>
      </c>
      <c r="BV1504" s="2" t="s">
        <v>97</v>
      </c>
      <c r="BW1504" s="2" t="s">
        <v>100</v>
      </c>
      <c r="BX1504" s="2" t="s">
        <v>100</v>
      </c>
      <c r="BY1504" s="2" t="s">
        <v>112</v>
      </c>
      <c r="BZ1504" s="2" t="s">
        <v>100</v>
      </c>
    </row>
    <row r="1505">
      <c r="A1505" s="2" t="s">
        <v>5072</v>
      </c>
      <c r="B1505" s="2" t="s">
        <v>87</v>
      </c>
      <c r="C1505" s="2" t="s">
        <v>4677</v>
      </c>
      <c r="D1505" s="2" t="s">
        <v>3234</v>
      </c>
      <c r="E1505" s="2" t="s">
        <v>3360</v>
      </c>
      <c r="F1505" s="2" t="s">
        <v>4765</v>
      </c>
      <c r="G1505" s="2" t="s">
        <v>4765</v>
      </c>
      <c r="H1505" s="2" t="s">
        <v>4765</v>
      </c>
      <c r="I1505" s="2" t="s">
        <v>5068</v>
      </c>
      <c r="J1505" s="2" t="s">
        <v>844</v>
      </c>
      <c r="K1505" s="2" t="s">
        <v>4767</v>
      </c>
      <c r="L1505" s="3">
        <v>43.2</v>
      </c>
      <c r="M1505" s="3">
        <v>45.36</v>
      </c>
      <c r="N1505" s="3">
        <v>84.99</v>
      </c>
      <c r="O1505" s="2" t="s">
        <v>97</v>
      </c>
      <c r="P1505" s="2" t="s">
        <v>98</v>
      </c>
      <c r="Q1505" s="2" t="s">
        <v>99</v>
      </c>
      <c r="R1505" s="2" t="s">
        <v>100</v>
      </c>
      <c r="S1505" s="2" t="s">
        <v>4768</v>
      </c>
      <c r="T1505" s="2" t="s">
        <v>732</v>
      </c>
      <c r="U1505" s="2" t="s">
        <v>1610</v>
      </c>
      <c r="V1505" s="2" t="s">
        <v>4769</v>
      </c>
      <c r="W1505" s="2" t="s">
        <v>602</v>
      </c>
      <c r="X1505" s="2" t="s">
        <v>4770</v>
      </c>
      <c r="Y1505" s="2" t="s">
        <v>4771</v>
      </c>
      <c r="Z1505" s="4">
        <v>298</v>
      </c>
      <c r="AA1505" s="4">
        <f>=ROUNDDOWN(37.25,0)</f>
      </c>
      <c r="AB1505" s="5">
        <v>8</v>
      </c>
      <c r="AC1505" s="2" t="s">
        <v>3601</v>
      </c>
      <c r="AD1505" s="4">
        <v>80</v>
      </c>
      <c r="AE1505" s="4">
        <v>230</v>
      </c>
      <c r="AF1505" s="6">
        <v>66</v>
      </c>
      <c r="AG1505" s="6">
        <v>49</v>
      </c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>
        <v>0</v>
      </c>
      <c r="AP1505" s="4"/>
      <c r="AQ1505" s="8"/>
      <c r="AR1505" s="4">
        <v>1</v>
      </c>
      <c r="AS1505" s="8">
        <v>45.36</v>
      </c>
      <c r="AT1505" s="7">
        <v>-1</v>
      </c>
      <c r="AU1505" s="7">
        <v>-1</v>
      </c>
      <c r="AV1505" s="4" t="s">
        <v>100</v>
      </c>
      <c r="AW1505" s="8" t="s">
        <v>100</v>
      </c>
      <c r="AX1505" s="4">
        <v>1</v>
      </c>
      <c r="AY1505" s="8">
        <v>45.36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176</v>
      </c>
      <c r="BK1505" s="8">
        <v>8683.83</v>
      </c>
      <c r="BL1505" s="2" t="s">
        <v>5073</v>
      </c>
      <c r="BM1505" s="7"/>
      <c r="BN1505" s="7"/>
      <c r="BO1505" s="4"/>
      <c r="BP1505" s="8"/>
      <c r="BQ1505" s="4">
        <v>1</v>
      </c>
      <c r="BR1505" s="8">
        <v>45.36</v>
      </c>
      <c r="BS1505" s="7">
        <v>-1</v>
      </c>
      <c r="BT1505" s="7">
        <v>-1</v>
      </c>
      <c r="BU1505" s="2" t="s">
        <v>109</v>
      </c>
      <c r="BV1505" s="2" t="s">
        <v>97</v>
      </c>
      <c r="BW1505" s="2" t="s">
        <v>110</v>
      </c>
      <c r="BX1505" s="2" t="s">
        <v>3920</v>
      </c>
      <c r="BY1505" s="2" t="s">
        <v>112</v>
      </c>
      <c r="BZ1505" s="2" t="s">
        <v>100</v>
      </c>
    </row>
    <row r="1506">
      <c r="A1506" s="2" t="s">
        <v>5074</v>
      </c>
      <c r="B1506" s="2" t="s">
        <v>87</v>
      </c>
      <c r="C1506" s="2" t="s">
        <v>4677</v>
      </c>
      <c r="D1506" s="2" t="s">
        <v>3234</v>
      </c>
      <c r="E1506" s="2" t="s">
        <v>3360</v>
      </c>
      <c r="F1506" s="2" t="s">
        <v>4765</v>
      </c>
      <c r="G1506" s="2" t="s">
        <v>4765</v>
      </c>
      <c r="H1506" s="2" t="s">
        <v>4765</v>
      </c>
      <c r="I1506" s="2" t="s">
        <v>5068</v>
      </c>
      <c r="J1506" s="2" t="s">
        <v>850</v>
      </c>
      <c r="K1506" s="2" t="s">
        <v>4767</v>
      </c>
      <c r="L1506" s="3">
        <v>57.33</v>
      </c>
      <c r="M1506" s="3">
        <v>60.2</v>
      </c>
      <c r="N1506" s="3">
        <v>114.99</v>
      </c>
      <c r="O1506" s="2" t="s">
        <v>97</v>
      </c>
      <c r="P1506" s="2" t="s">
        <v>98</v>
      </c>
      <c r="Q1506" s="2" t="s">
        <v>99</v>
      </c>
      <c r="R1506" s="2" t="s">
        <v>100</v>
      </c>
      <c r="S1506" s="2" t="s">
        <v>4768</v>
      </c>
      <c r="T1506" s="2" t="s">
        <v>732</v>
      </c>
      <c r="U1506" s="2" t="s">
        <v>1610</v>
      </c>
      <c r="V1506" s="2" t="s">
        <v>4769</v>
      </c>
      <c r="W1506" s="2" t="s">
        <v>602</v>
      </c>
      <c r="X1506" s="2" t="s">
        <v>4770</v>
      </c>
      <c r="Y1506" s="2" t="s">
        <v>4771</v>
      </c>
      <c r="Z1506" s="4">
        <v>211</v>
      </c>
      <c r="AA1506" s="4">
        <f>=ROUNDDOWN(30.1428571428571,0)</f>
      </c>
      <c r="AB1506" s="5">
        <v>7</v>
      </c>
      <c r="AC1506" s="2" t="s">
        <v>3601</v>
      </c>
      <c r="AD1506" s="4">
        <v>40</v>
      </c>
      <c r="AE1506" s="4">
        <v>240</v>
      </c>
      <c r="AF1506" s="6">
        <v>66</v>
      </c>
      <c r="AG1506" s="6">
        <v>49</v>
      </c>
      <c r="AH1506" s="7">
        <v>1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171</v>
      </c>
      <c r="BK1506" s="8">
        <v>11175.81</v>
      </c>
      <c r="BL1506" s="2" t="s">
        <v>5075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109</v>
      </c>
      <c r="BV1506" s="2" t="s">
        <v>97</v>
      </c>
      <c r="BW1506" s="2" t="s">
        <v>5076</v>
      </c>
      <c r="BX1506" s="2" t="s">
        <v>100</v>
      </c>
      <c r="BY1506" s="2" t="s">
        <v>112</v>
      </c>
      <c r="BZ1506" s="2" t="s">
        <v>100</v>
      </c>
    </row>
    <row r="1507">
      <c r="A1507" s="2" t="s">
        <v>5077</v>
      </c>
      <c r="B1507" s="2" t="s">
        <v>87</v>
      </c>
      <c r="C1507" s="2" t="s">
        <v>4677</v>
      </c>
      <c r="D1507" s="2" t="s">
        <v>3234</v>
      </c>
      <c r="E1507" s="2" t="s">
        <v>3360</v>
      </c>
      <c r="F1507" s="2" t="s">
        <v>1030</v>
      </c>
      <c r="G1507" s="2" t="s">
        <v>1030</v>
      </c>
      <c r="H1507" s="2" t="s">
        <v>1030</v>
      </c>
      <c r="I1507" s="2" t="s">
        <v>5078</v>
      </c>
      <c r="J1507" s="2" t="s">
        <v>844</v>
      </c>
      <c r="K1507" s="2" t="s">
        <v>197</v>
      </c>
      <c r="L1507" s="3">
        <v>52.8</v>
      </c>
      <c r="M1507" s="3">
        <v>55.44</v>
      </c>
      <c r="N1507" s="3">
        <v>109.99</v>
      </c>
      <c r="O1507" s="2" t="s">
        <v>550</v>
      </c>
      <c r="P1507" s="2" t="s">
        <v>198</v>
      </c>
      <c r="Q1507" s="2" t="s">
        <v>99</v>
      </c>
      <c r="R1507" s="2" t="s">
        <v>100</v>
      </c>
      <c r="S1507" s="2" t="s">
        <v>4887</v>
      </c>
      <c r="T1507" s="2" t="s">
        <v>100</v>
      </c>
      <c r="U1507" s="2" t="s">
        <v>1610</v>
      </c>
      <c r="V1507" s="2" t="s">
        <v>4769</v>
      </c>
      <c r="W1507" s="2" t="s">
        <v>2195</v>
      </c>
      <c r="X1507" s="2" t="s">
        <v>759</v>
      </c>
      <c r="Y1507" s="2" t="s">
        <v>4888</v>
      </c>
      <c r="Z1507" s="4">
        <v>149</v>
      </c>
      <c r="AA1507" s="4">
        <f>=ROUNDDOWN(64.7826086956522,0)</f>
      </c>
      <c r="AB1507" s="5">
        <v>2.3</v>
      </c>
      <c r="AC1507" s="2" t="s">
        <v>100</v>
      </c>
      <c r="AD1507" s="4"/>
      <c r="AE1507" s="4"/>
      <c r="AF1507" s="6">
        <v>67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31</v>
      </c>
      <c r="BK1507" s="8">
        <v>1577.48</v>
      </c>
      <c r="BL1507" s="2" t="s">
        <v>5079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147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100</v>
      </c>
    </row>
    <row r="1508">
      <c r="A1508" s="2" t="s">
        <v>5080</v>
      </c>
      <c r="B1508" s="2" t="s">
        <v>87</v>
      </c>
      <c r="C1508" s="2" t="s">
        <v>4677</v>
      </c>
      <c r="D1508" s="2" t="s">
        <v>3234</v>
      </c>
      <c r="E1508" s="2" t="s">
        <v>3360</v>
      </c>
      <c r="F1508" s="2" t="s">
        <v>1030</v>
      </c>
      <c r="G1508" s="2" t="s">
        <v>1030</v>
      </c>
      <c r="H1508" s="2" t="s">
        <v>1030</v>
      </c>
      <c r="I1508" s="2" t="s">
        <v>5078</v>
      </c>
      <c r="J1508" s="2" t="s">
        <v>850</v>
      </c>
      <c r="K1508" s="2" t="s">
        <v>197</v>
      </c>
      <c r="L1508" s="3">
        <v>67.2</v>
      </c>
      <c r="M1508" s="3">
        <v>70.56</v>
      </c>
      <c r="N1508" s="3">
        <v>139.99</v>
      </c>
      <c r="O1508" s="2" t="s">
        <v>550</v>
      </c>
      <c r="P1508" s="2" t="s">
        <v>198</v>
      </c>
      <c r="Q1508" s="2" t="s">
        <v>99</v>
      </c>
      <c r="R1508" s="2" t="s">
        <v>100</v>
      </c>
      <c r="S1508" s="2" t="s">
        <v>4887</v>
      </c>
      <c r="T1508" s="2" t="s">
        <v>100</v>
      </c>
      <c r="U1508" s="2" t="s">
        <v>1610</v>
      </c>
      <c r="V1508" s="2" t="s">
        <v>4769</v>
      </c>
      <c r="W1508" s="2" t="s">
        <v>2195</v>
      </c>
      <c r="X1508" s="2" t="s">
        <v>759</v>
      </c>
      <c r="Y1508" s="2" t="s">
        <v>4888</v>
      </c>
      <c r="Z1508" s="4">
        <v>370</v>
      </c>
      <c r="AA1508" s="4">
        <f>=ROUNDDOWN(370,0)</f>
      </c>
      <c r="AB1508" s="5">
        <v>1</v>
      </c>
      <c r="AC1508" s="2" t="s">
        <v>100</v>
      </c>
      <c r="AD1508" s="4"/>
      <c r="AE1508" s="4"/>
      <c r="AF1508" s="6">
        <v>67</v>
      </c>
      <c r="AG1508" s="6"/>
      <c r="AH1508" s="7">
        <v>1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13</v>
      </c>
      <c r="BK1508" s="8">
        <v>766.02</v>
      </c>
      <c r="BL1508" s="2" t="s">
        <v>4891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147</v>
      </c>
      <c r="BV1508" s="2" t="s">
        <v>97</v>
      </c>
      <c r="BW1508" s="2" t="s">
        <v>100</v>
      </c>
      <c r="BX1508" s="2" t="s">
        <v>100</v>
      </c>
      <c r="BY1508" s="2" t="s">
        <v>112</v>
      </c>
      <c r="BZ1508" s="2" t="s">
        <v>100</v>
      </c>
    </row>
    <row r="1509">
      <c r="A1509" s="2" t="s">
        <v>5081</v>
      </c>
      <c r="B1509" s="2" t="s">
        <v>87</v>
      </c>
      <c r="C1509" s="2" t="s">
        <v>4677</v>
      </c>
      <c r="D1509" s="2" t="s">
        <v>3234</v>
      </c>
      <c r="E1509" s="2" t="s">
        <v>3360</v>
      </c>
      <c r="F1509" s="2" t="s">
        <v>4893</v>
      </c>
      <c r="G1509" s="2" t="s">
        <v>4893</v>
      </c>
      <c r="H1509" s="2" t="s">
        <v>4893</v>
      </c>
      <c r="I1509" s="2" t="s">
        <v>5082</v>
      </c>
      <c r="J1509" s="2" t="s">
        <v>844</v>
      </c>
      <c r="K1509" s="2" t="s">
        <v>4895</v>
      </c>
      <c r="L1509" s="3">
        <v>45.71</v>
      </c>
      <c r="M1509" s="3">
        <v>48</v>
      </c>
      <c r="N1509" s="3">
        <v>99.99</v>
      </c>
      <c r="O1509" s="2" t="s">
        <v>97</v>
      </c>
      <c r="P1509" s="2" t="s">
        <v>1166</v>
      </c>
      <c r="Q1509" s="2" t="s">
        <v>99</v>
      </c>
      <c r="R1509" s="2" t="s">
        <v>100</v>
      </c>
      <c r="S1509" s="2" t="s">
        <v>4896</v>
      </c>
      <c r="T1509" s="2" t="s">
        <v>732</v>
      </c>
      <c r="U1509" s="2" t="s">
        <v>1610</v>
      </c>
      <c r="V1509" s="2" t="s">
        <v>561</v>
      </c>
      <c r="W1509" s="2" t="s">
        <v>4770</v>
      </c>
      <c r="X1509" s="2" t="s">
        <v>759</v>
      </c>
      <c r="Y1509" s="2" t="s">
        <v>4144</v>
      </c>
      <c r="Z1509" s="4">
        <v>100</v>
      </c>
      <c r="AA1509" s="4">
        <f>=ROUNDDOWN({0},0)</f>
      </c>
      <c r="AB1509" s="5"/>
      <c r="AC1509" s="2" t="s">
        <v>2305</v>
      </c>
      <c r="AD1509" s="4">
        <v>89</v>
      </c>
      <c r="AE1509" s="4">
        <v>89</v>
      </c>
      <c r="AF1509" s="6">
        <v>65</v>
      </c>
      <c r="AG1509" s="6"/>
      <c r="AH1509" s="7">
        <v>1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/>
      <c r="BK1509" s="8"/>
      <c r="BL1509" s="2" t="s">
        <v>100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1171</v>
      </c>
      <c r="BV1509" s="2" t="s">
        <v>97</v>
      </c>
      <c r="BW1509" s="2" t="s">
        <v>100</v>
      </c>
      <c r="BX1509" s="2" t="s">
        <v>100</v>
      </c>
      <c r="BY1509" s="2" t="s">
        <v>112</v>
      </c>
      <c r="BZ1509" s="2" t="s">
        <v>100</v>
      </c>
    </row>
    <row r="1510">
      <c r="A1510" s="2" t="s">
        <v>5083</v>
      </c>
      <c r="B1510" s="2" t="s">
        <v>87</v>
      </c>
      <c r="C1510" s="2" t="s">
        <v>4677</v>
      </c>
      <c r="D1510" s="2" t="s">
        <v>3234</v>
      </c>
      <c r="E1510" s="2" t="s">
        <v>3360</v>
      </c>
      <c r="F1510" s="2" t="s">
        <v>4893</v>
      </c>
      <c r="G1510" s="2" t="s">
        <v>4893</v>
      </c>
      <c r="H1510" s="2" t="s">
        <v>4893</v>
      </c>
      <c r="I1510" s="2" t="s">
        <v>5082</v>
      </c>
      <c r="J1510" s="2" t="s">
        <v>850</v>
      </c>
      <c r="K1510" s="2" t="s">
        <v>4895</v>
      </c>
      <c r="L1510" s="3">
        <v>54.85</v>
      </c>
      <c r="M1510" s="3">
        <v>57.59</v>
      </c>
      <c r="N1510" s="3">
        <v>119.99</v>
      </c>
      <c r="O1510" s="2" t="s">
        <v>97</v>
      </c>
      <c r="P1510" s="2" t="s">
        <v>1166</v>
      </c>
      <c r="Q1510" s="2" t="s">
        <v>99</v>
      </c>
      <c r="R1510" s="2" t="s">
        <v>100</v>
      </c>
      <c r="S1510" s="2" t="s">
        <v>4896</v>
      </c>
      <c r="T1510" s="2" t="s">
        <v>732</v>
      </c>
      <c r="U1510" s="2" t="s">
        <v>1610</v>
      </c>
      <c r="V1510" s="2" t="s">
        <v>561</v>
      </c>
      <c r="W1510" s="2" t="s">
        <v>4770</v>
      </c>
      <c r="X1510" s="2" t="s">
        <v>759</v>
      </c>
      <c r="Y1510" s="2" t="s">
        <v>4144</v>
      </c>
      <c r="Z1510" s="4">
        <v>90</v>
      </c>
      <c r="AA1510" s="4">
        <f>=ROUNDDOWN({0},0)</f>
      </c>
      <c r="AB1510" s="5"/>
      <c r="AC1510" s="2" t="s">
        <v>2305</v>
      </c>
      <c r="AD1510" s="4">
        <v>89</v>
      </c>
      <c r="AE1510" s="4">
        <v>89</v>
      </c>
      <c r="AF1510" s="6">
        <v>65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/>
      <c r="BK1510" s="8"/>
      <c r="BL1510" s="2" t="s">
        <v>100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1171</v>
      </c>
      <c r="BV1510" s="2" t="s">
        <v>97</v>
      </c>
      <c r="BW1510" s="2" t="s">
        <v>100</v>
      </c>
      <c r="BX1510" s="2" t="s">
        <v>100</v>
      </c>
      <c r="BY1510" s="2" t="s">
        <v>112</v>
      </c>
      <c r="BZ1510" s="2" t="s">
        <v>100</v>
      </c>
    </row>
    <row r="1511">
      <c r="A1511" s="2" t="s">
        <v>5084</v>
      </c>
      <c r="B1511" s="2" t="s">
        <v>87</v>
      </c>
      <c r="C1511" s="2" t="s">
        <v>4677</v>
      </c>
      <c r="D1511" s="2" t="s">
        <v>3234</v>
      </c>
      <c r="E1511" s="2" t="s">
        <v>3360</v>
      </c>
      <c r="F1511" s="2" t="s">
        <v>4893</v>
      </c>
      <c r="G1511" s="2" t="s">
        <v>4893</v>
      </c>
      <c r="H1511" s="2" t="s">
        <v>4893</v>
      </c>
      <c r="I1511" s="2" t="s">
        <v>5082</v>
      </c>
      <c r="J1511" s="2" t="s">
        <v>844</v>
      </c>
      <c r="K1511" s="2" t="s">
        <v>622</v>
      </c>
      <c r="L1511" s="3">
        <v>45.71</v>
      </c>
      <c r="M1511" s="3">
        <v>48</v>
      </c>
      <c r="N1511" s="3">
        <v>99.99</v>
      </c>
      <c r="O1511" s="2" t="s">
        <v>97</v>
      </c>
      <c r="P1511" s="2" t="s">
        <v>1166</v>
      </c>
      <c r="Q1511" s="2" t="s">
        <v>99</v>
      </c>
      <c r="R1511" s="2" t="s">
        <v>100</v>
      </c>
      <c r="S1511" s="2" t="s">
        <v>4899</v>
      </c>
      <c r="T1511" s="2" t="s">
        <v>732</v>
      </c>
      <c r="U1511" s="2" t="s">
        <v>1610</v>
      </c>
      <c r="V1511" s="2" t="s">
        <v>561</v>
      </c>
      <c r="W1511" s="2" t="s">
        <v>4770</v>
      </c>
      <c r="X1511" s="2" t="s">
        <v>759</v>
      </c>
      <c r="Y1511" s="2" t="s">
        <v>4144</v>
      </c>
      <c r="Z1511" s="4">
        <v>100</v>
      </c>
      <c r="AA1511" s="4">
        <f>=ROUNDDOWN({0},0)</f>
      </c>
      <c r="AB1511" s="5"/>
      <c r="AC1511" s="2" t="s">
        <v>2305</v>
      </c>
      <c r="AD1511" s="4">
        <v>100</v>
      </c>
      <c r="AE1511" s="4">
        <v>100</v>
      </c>
      <c r="AF1511" s="6">
        <v>65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/>
      <c r="BK1511" s="8"/>
      <c r="BL1511" s="2" t="s">
        <v>100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1171</v>
      </c>
      <c r="BV1511" s="2" t="s">
        <v>97</v>
      </c>
      <c r="BW1511" s="2" t="s">
        <v>100</v>
      </c>
      <c r="BX1511" s="2" t="s">
        <v>100</v>
      </c>
      <c r="BY1511" s="2" t="s">
        <v>112</v>
      </c>
      <c r="BZ1511" s="2" t="s">
        <v>100</v>
      </c>
    </row>
    <row r="1512">
      <c r="A1512" s="2" t="s">
        <v>5085</v>
      </c>
      <c r="B1512" s="2" t="s">
        <v>87</v>
      </c>
      <c r="C1512" s="2" t="s">
        <v>4677</v>
      </c>
      <c r="D1512" s="2" t="s">
        <v>3234</v>
      </c>
      <c r="E1512" s="2" t="s">
        <v>3360</v>
      </c>
      <c r="F1512" s="2" t="s">
        <v>4893</v>
      </c>
      <c r="G1512" s="2" t="s">
        <v>4893</v>
      </c>
      <c r="H1512" s="2" t="s">
        <v>4893</v>
      </c>
      <c r="I1512" s="2" t="s">
        <v>5082</v>
      </c>
      <c r="J1512" s="2" t="s">
        <v>850</v>
      </c>
      <c r="K1512" s="2" t="s">
        <v>622</v>
      </c>
      <c r="L1512" s="3">
        <v>54.85</v>
      </c>
      <c r="M1512" s="3">
        <v>57.59</v>
      </c>
      <c r="N1512" s="3">
        <v>119.99</v>
      </c>
      <c r="O1512" s="2" t="s">
        <v>97</v>
      </c>
      <c r="P1512" s="2" t="s">
        <v>1166</v>
      </c>
      <c r="Q1512" s="2" t="s">
        <v>99</v>
      </c>
      <c r="R1512" s="2" t="s">
        <v>100</v>
      </c>
      <c r="S1512" s="2" t="s">
        <v>4899</v>
      </c>
      <c r="T1512" s="2" t="s">
        <v>732</v>
      </c>
      <c r="U1512" s="2" t="s">
        <v>1610</v>
      </c>
      <c r="V1512" s="2" t="s">
        <v>561</v>
      </c>
      <c r="W1512" s="2" t="s">
        <v>4770</v>
      </c>
      <c r="X1512" s="2" t="s">
        <v>759</v>
      </c>
      <c r="Y1512" s="2" t="s">
        <v>4144</v>
      </c>
      <c r="Z1512" s="4">
        <v>90</v>
      </c>
      <c r="AA1512" s="4">
        <f>=ROUNDDOWN({0},0)</f>
      </c>
      <c r="AB1512" s="5"/>
      <c r="AC1512" s="2" t="s">
        <v>2305</v>
      </c>
      <c r="AD1512" s="4">
        <v>90</v>
      </c>
      <c r="AE1512" s="4">
        <v>90</v>
      </c>
      <c r="AF1512" s="6">
        <v>65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/>
      <c r="BK1512" s="8"/>
      <c r="BL1512" s="2" t="s">
        <v>100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1171</v>
      </c>
      <c r="BV1512" s="2" t="s">
        <v>97</v>
      </c>
      <c r="BW1512" s="2" t="s">
        <v>100</v>
      </c>
      <c r="BX1512" s="2" t="s">
        <v>100</v>
      </c>
      <c r="BY1512" s="2" t="s">
        <v>112</v>
      </c>
      <c r="BZ1512" s="2" t="s">
        <v>100</v>
      </c>
    </row>
    <row r="1513">
      <c r="A1513" s="2" t="s">
        <v>5086</v>
      </c>
      <c r="B1513" s="2" t="s">
        <v>87</v>
      </c>
      <c r="C1513" s="2" t="s">
        <v>4677</v>
      </c>
      <c r="D1513" s="2" t="s">
        <v>3234</v>
      </c>
      <c r="E1513" s="2" t="s">
        <v>3360</v>
      </c>
      <c r="F1513" s="2" t="s">
        <v>4902</v>
      </c>
      <c r="G1513" s="2" t="s">
        <v>4902</v>
      </c>
      <c r="H1513" s="2" t="s">
        <v>4902</v>
      </c>
      <c r="I1513" s="2" t="s">
        <v>5087</v>
      </c>
      <c r="J1513" s="2" t="s">
        <v>844</v>
      </c>
      <c r="K1513" s="2" t="s">
        <v>4904</v>
      </c>
      <c r="L1513" s="3">
        <v>53.9</v>
      </c>
      <c r="M1513" s="3">
        <v>56.6</v>
      </c>
      <c r="N1513" s="3">
        <v>109.99</v>
      </c>
      <c r="O1513" s="2" t="s">
        <v>97</v>
      </c>
      <c r="P1513" s="2" t="s">
        <v>182</v>
      </c>
      <c r="Q1513" s="2" t="s">
        <v>99</v>
      </c>
      <c r="R1513" s="2" t="s">
        <v>100</v>
      </c>
      <c r="S1513" s="2" t="s">
        <v>4905</v>
      </c>
      <c r="T1513" s="2" t="s">
        <v>732</v>
      </c>
      <c r="U1513" s="2" t="s">
        <v>1610</v>
      </c>
      <c r="V1513" s="2" t="s">
        <v>1122</v>
      </c>
      <c r="W1513" s="2" t="s">
        <v>733</v>
      </c>
      <c r="X1513" s="2" t="s">
        <v>759</v>
      </c>
      <c r="Y1513" s="2" t="s">
        <v>1276</v>
      </c>
      <c r="Z1513" s="4">
        <v>88</v>
      </c>
      <c r="AA1513" s="4">
        <f>=ROUNDDOWN(22,0)</f>
      </c>
      <c r="AB1513" s="5">
        <v>4</v>
      </c>
      <c r="AC1513" s="2" t="s">
        <v>130</v>
      </c>
      <c r="AD1513" s="4">
        <v>65</v>
      </c>
      <c r="AE1513" s="4">
        <v>155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56</v>
      </c>
      <c r="BK1513" s="8">
        <v>3274.82</v>
      </c>
      <c r="BL1513" s="2" t="s">
        <v>5088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147</v>
      </c>
      <c r="BV1513" s="2" t="s">
        <v>97</v>
      </c>
      <c r="BW1513" s="2" t="s">
        <v>100</v>
      </c>
      <c r="BX1513" s="2" t="s">
        <v>100</v>
      </c>
      <c r="BY1513" s="2" t="s">
        <v>112</v>
      </c>
      <c r="BZ1513" s="2" t="s">
        <v>100</v>
      </c>
    </row>
    <row r="1514">
      <c r="A1514" s="2" t="s">
        <v>5089</v>
      </c>
      <c r="B1514" s="2" t="s">
        <v>87</v>
      </c>
      <c r="C1514" s="2" t="s">
        <v>4677</v>
      </c>
      <c r="D1514" s="2" t="s">
        <v>3234</v>
      </c>
      <c r="E1514" s="2" t="s">
        <v>3360</v>
      </c>
      <c r="F1514" s="2" t="s">
        <v>4902</v>
      </c>
      <c r="G1514" s="2" t="s">
        <v>4902</v>
      </c>
      <c r="H1514" s="2" t="s">
        <v>4902</v>
      </c>
      <c r="I1514" s="2" t="s">
        <v>5087</v>
      </c>
      <c r="J1514" s="2" t="s">
        <v>850</v>
      </c>
      <c r="K1514" s="2" t="s">
        <v>4904</v>
      </c>
      <c r="L1514" s="3">
        <v>67.2</v>
      </c>
      <c r="M1514" s="3">
        <v>70.56</v>
      </c>
      <c r="N1514" s="3">
        <v>139.99</v>
      </c>
      <c r="O1514" s="2" t="s">
        <v>97</v>
      </c>
      <c r="P1514" s="2" t="s">
        <v>182</v>
      </c>
      <c r="Q1514" s="2" t="s">
        <v>99</v>
      </c>
      <c r="R1514" s="2" t="s">
        <v>100</v>
      </c>
      <c r="S1514" s="2" t="s">
        <v>4905</v>
      </c>
      <c r="T1514" s="2" t="s">
        <v>732</v>
      </c>
      <c r="U1514" s="2" t="s">
        <v>1610</v>
      </c>
      <c r="V1514" s="2" t="s">
        <v>1122</v>
      </c>
      <c r="W1514" s="2" t="s">
        <v>733</v>
      </c>
      <c r="X1514" s="2" t="s">
        <v>759</v>
      </c>
      <c r="Y1514" s="2" t="s">
        <v>1276</v>
      </c>
      <c r="Z1514" s="4">
        <v>90</v>
      </c>
      <c r="AA1514" s="4">
        <f>=ROUNDDOWN(22.5,0)</f>
      </c>
      <c r="AB1514" s="5">
        <v>4</v>
      </c>
      <c r="AC1514" s="2" t="s">
        <v>130</v>
      </c>
      <c r="AD1514" s="4">
        <v>45</v>
      </c>
      <c r="AE1514" s="4">
        <v>140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>
        <v>55</v>
      </c>
      <c r="BK1514" s="8">
        <v>3952.87</v>
      </c>
      <c r="BL1514" s="2" t="s">
        <v>5088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147</v>
      </c>
      <c r="BV1514" s="2" t="s">
        <v>97</v>
      </c>
      <c r="BW1514" s="2" t="s">
        <v>100</v>
      </c>
      <c r="BX1514" s="2" t="s">
        <v>100</v>
      </c>
      <c r="BY1514" s="2" t="s">
        <v>112</v>
      </c>
      <c r="BZ1514" s="2" t="s">
        <v>100</v>
      </c>
    </row>
    <row r="1515">
      <c r="A1515" s="2" t="s">
        <v>5090</v>
      </c>
      <c r="B1515" s="2" t="s">
        <v>87</v>
      </c>
      <c r="C1515" s="2" t="s">
        <v>4677</v>
      </c>
      <c r="D1515" s="2" t="s">
        <v>3234</v>
      </c>
      <c r="E1515" s="2" t="s">
        <v>3235</v>
      </c>
      <c r="F1515" s="2" t="s">
        <v>4916</v>
      </c>
      <c r="G1515" s="2" t="s">
        <v>4916</v>
      </c>
      <c r="H1515" s="2" t="s">
        <v>4916</v>
      </c>
      <c r="I1515" s="2" t="s">
        <v>5091</v>
      </c>
      <c r="J1515" s="2" t="s">
        <v>844</v>
      </c>
      <c r="K1515" s="2" t="s">
        <v>1204</v>
      </c>
      <c r="L1515" s="3">
        <v>49</v>
      </c>
      <c r="M1515" s="3">
        <v>51.44</v>
      </c>
      <c r="N1515" s="3">
        <v>99.99</v>
      </c>
      <c r="O1515" s="2" t="s">
        <v>229</v>
      </c>
      <c r="P1515" s="2" t="s">
        <v>198</v>
      </c>
      <c r="Q1515" s="2" t="s">
        <v>99</v>
      </c>
      <c r="R1515" s="2" t="s">
        <v>100</v>
      </c>
      <c r="S1515" s="2" t="s">
        <v>4921</v>
      </c>
      <c r="T1515" s="2" t="s">
        <v>732</v>
      </c>
      <c r="U1515" s="2" t="s">
        <v>1610</v>
      </c>
      <c r="V1515" s="2" t="s">
        <v>601</v>
      </c>
      <c r="W1515" s="2" t="s">
        <v>104</v>
      </c>
      <c r="X1515" s="2" t="s">
        <v>284</v>
      </c>
      <c r="Y1515" s="2" t="s">
        <v>4922</v>
      </c>
      <c r="Z1515" s="4"/>
      <c r="AA1515" s="4">
        <f>=ROUNDDOWN({0},0)</f>
      </c>
      <c r="AB1515" s="5">
        <v>4</v>
      </c>
      <c r="AC1515" s="2" t="s">
        <v>100</v>
      </c>
      <c r="AD1515" s="4"/>
      <c r="AE1515" s="4"/>
      <c r="AF1515" s="6">
        <v>67</v>
      </c>
      <c r="AG1515" s="6"/>
      <c r="AH1515" s="7">
        <v>0.7758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>
        <v>0</v>
      </c>
      <c r="AP1515" s="4">
        <v>3</v>
      </c>
      <c r="AQ1515" s="8">
        <v>154.32</v>
      </c>
      <c r="AR1515" s="4">
        <v>3</v>
      </c>
      <c r="AS1515" s="8">
        <v>154.32</v>
      </c>
      <c r="AT1515" s="7"/>
      <c r="AU1515" s="7"/>
      <c r="AV1515" s="4">
        <v>3</v>
      </c>
      <c r="AW1515" s="8">
        <v>154.32</v>
      </c>
      <c r="AX1515" s="4">
        <v>8</v>
      </c>
      <c r="AY1515" s="8">
        <v>495.52</v>
      </c>
      <c r="AZ1515" s="7">
        <v>-0.625</v>
      </c>
      <c r="BA1515" s="7">
        <v>-0.6886</v>
      </c>
      <c r="BB1515" s="7">
        <v>1</v>
      </c>
      <c r="BC1515" s="4">
        <v>3</v>
      </c>
      <c r="BD1515" s="8">
        <v>154.32</v>
      </c>
      <c r="BE1515" s="4">
        <v>8</v>
      </c>
      <c r="BF1515" s="8">
        <v>495.52</v>
      </c>
      <c r="BG1515" s="7">
        <v>-0.625</v>
      </c>
      <c r="BH1515" s="7">
        <v>-0.6886</v>
      </c>
      <c r="BI1515" s="7">
        <v>1</v>
      </c>
      <c r="BJ1515" s="4">
        <v>112</v>
      </c>
      <c r="BK1515" s="8">
        <v>5289.4</v>
      </c>
      <c r="BL1515" s="2" t="s">
        <v>5092</v>
      </c>
      <c r="BM1515" s="7">
        <v>0.0268</v>
      </c>
      <c r="BN1515" s="7">
        <v>0.0292</v>
      </c>
      <c r="BO1515" s="4">
        <v>3</v>
      </c>
      <c r="BP1515" s="8">
        <v>154.32</v>
      </c>
      <c r="BQ1515" s="4">
        <v>3</v>
      </c>
      <c r="BR1515" s="8">
        <v>154.32</v>
      </c>
      <c r="BS1515" s="7"/>
      <c r="BT1515" s="7"/>
      <c r="BU1515" s="2" t="s">
        <v>109</v>
      </c>
      <c r="BV1515" s="2" t="s">
        <v>552</v>
      </c>
      <c r="BW1515" s="2" t="s">
        <v>132</v>
      </c>
      <c r="BX1515" s="2" t="s">
        <v>5093</v>
      </c>
      <c r="BY1515" s="2" t="s">
        <v>112</v>
      </c>
      <c r="BZ1515" s="2" t="s">
        <v>100</v>
      </c>
    </row>
    <row r="1516">
      <c r="A1516" s="2" t="s">
        <v>5094</v>
      </c>
      <c r="B1516" s="2" t="s">
        <v>87</v>
      </c>
      <c r="C1516" s="2" t="s">
        <v>4677</v>
      </c>
      <c r="D1516" s="2" t="s">
        <v>3234</v>
      </c>
      <c r="E1516" s="2" t="s">
        <v>3235</v>
      </c>
      <c r="F1516" s="2" t="s">
        <v>4916</v>
      </c>
      <c r="G1516" s="2" t="s">
        <v>4916</v>
      </c>
      <c r="H1516" s="2" t="s">
        <v>4916</v>
      </c>
      <c r="I1516" s="2" t="s">
        <v>5091</v>
      </c>
      <c r="J1516" s="2" t="s">
        <v>850</v>
      </c>
      <c r="K1516" s="2" t="s">
        <v>1204</v>
      </c>
      <c r="L1516" s="3">
        <v>65</v>
      </c>
      <c r="M1516" s="3">
        <v>68.24</v>
      </c>
      <c r="N1516" s="3">
        <v>129.99</v>
      </c>
      <c r="O1516" s="2" t="s">
        <v>229</v>
      </c>
      <c r="P1516" s="2" t="s">
        <v>198</v>
      </c>
      <c r="Q1516" s="2" t="s">
        <v>99</v>
      </c>
      <c r="R1516" s="2" t="s">
        <v>100</v>
      </c>
      <c r="S1516" s="2" t="s">
        <v>4921</v>
      </c>
      <c r="T1516" s="2" t="s">
        <v>732</v>
      </c>
      <c r="U1516" s="2" t="s">
        <v>1610</v>
      </c>
      <c r="V1516" s="2" t="s">
        <v>601</v>
      </c>
      <c r="W1516" s="2" t="s">
        <v>104</v>
      </c>
      <c r="X1516" s="2" t="s">
        <v>284</v>
      </c>
      <c r="Y1516" s="2" t="s">
        <v>4922</v>
      </c>
      <c r="Z1516" s="4"/>
      <c r="AA1516" s="4">
        <f>=ROUNDDOWN({0},0)</f>
      </c>
      <c r="AB1516" s="5">
        <v>0.8</v>
      </c>
      <c r="AC1516" s="2" t="s">
        <v>100</v>
      </c>
      <c r="AD1516" s="4"/>
      <c r="AE1516" s="4"/>
      <c r="AF1516" s="6">
        <v>67</v>
      </c>
      <c r="AG1516" s="6"/>
      <c r="AH1516" s="7">
        <v>0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>
        <v>0</v>
      </c>
      <c r="AP1516" s="4"/>
      <c r="AQ1516" s="8"/>
      <c r="AR1516" s="4">
        <v>5</v>
      </c>
      <c r="AS1516" s="8">
        <v>341.2</v>
      </c>
      <c r="AT1516" s="7">
        <v>-1</v>
      </c>
      <c r="AU1516" s="7">
        <v>-1</v>
      </c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 t="s">
        <v>100</v>
      </c>
      <c r="BJ1516" s="4"/>
      <c r="BK1516" s="8"/>
      <c r="BL1516" s="2" t="s">
        <v>5092</v>
      </c>
      <c r="BM1516" s="7"/>
      <c r="BN1516" s="7"/>
      <c r="BO1516" s="4"/>
      <c r="BP1516" s="8"/>
      <c r="BQ1516" s="4">
        <v>5</v>
      </c>
      <c r="BR1516" s="8">
        <v>341.2</v>
      </c>
      <c r="BS1516" s="7">
        <v>-1</v>
      </c>
      <c r="BT1516" s="7">
        <v>-1</v>
      </c>
      <c r="BU1516" s="2" t="s">
        <v>109</v>
      </c>
      <c r="BV1516" s="2" t="s">
        <v>552</v>
      </c>
      <c r="BW1516" s="2" t="s">
        <v>132</v>
      </c>
      <c r="BX1516" s="2" t="s">
        <v>5095</v>
      </c>
      <c r="BY1516" s="2" t="s">
        <v>112</v>
      </c>
      <c r="BZ1516" s="2" t="s">
        <v>100</v>
      </c>
    </row>
    <row r="1517">
      <c r="A1517" s="2" t="s">
        <v>5096</v>
      </c>
      <c r="B1517" s="2" t="s">
        <v>87</v>
      </c>
      <c r="C1517" s="2" t="s">
        <v>4677</v>
      </c>
      <c r="D1517" s="2" t="s">
        <v>3234</v>
      </c>
      <c r="E1517" s="2" t="s">
        <v>3235</v>
      </c>
      <c r="F1517" s="2" t="s">
        <v>4916</v>
      </c>
      <c r="G1517" s="2" t="s">
        <v>4916</v>
      </c>
      <c r="H1517" s="2" t="s">
        <v>4916</v>
      </c>
      <c r="I1517" s="2" t="s">
        <v>5091</v>
      </c>
      <c r="J1517" s="2" t="s">
        <v>844</v>
      </c>
      <c r="K1517" s="2" t="s">
        <v>650</v>
      </c>
      <c r="L1517" s="3">
        <v>49</v>
      </c>
      <c r="M1517" s="3">
        <v>51.44</v>
      </c>
      <c r="N1517" s="3">
        <v>99.99</v>
      </c>
      <c r="O1517" s="2" t="s">
        <v>229</v>
      </c>
      <c r="P1517" s="2" t="s">
        <v>198</v>
      </c>
      <c r="Q1517" s="2" t="s">
        <v>99</v>
      </c>
      <c r="R1517" s="2" t="s">
        <v>100</v>
      </c>
      <c r="S1517" s="2" t="s">
        <v>4918</v>
      </c>
      <c r="T1517" s="2" t="s">
        <v>100</v>
      </c>
      <c r="U1517" s="2" t="s">
        <v>100</v>
      </c>
      <c r="V1517" s="2" t="s">
        <v>601</v>
      </c>
      <c r="W1517" s="2" t="s">
        <v>104</v>
      </c>
      <c r="X1517" s="2" t="s">
        <v>284</v>
      </c>
      <c r="Y1517" s="2" t="s">
        <v>4715</v>
      </c>
      <c r="Z1517" s="4"/>
      <c r="AA1517" s="4">
        <f>=ROUNDDOWN({0},0)</f>
      </c>
      <c r="AB1517" s="5">
        <v>3.6</v>
      </c>
      <c r="AC1517" s="2" t="s">
        <v>100</v>
      </c>
      <c r="AD1517" s="4"/>
      <c r="AE1517" s="4"/>
      <c r="AF1517" s="6">
        <v>67</v>
      </c>
      <c r="AG1517" s="6"/>
      <c r="AH1517" s="7">
        <v>0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 t="s">
        <v>100</v>
      </c>
      <c r="BJ1517" s="4"/>
      <c r="BK1517" s="8"/>
      <c r="BL1517" s="2" t="s">
        <v>5097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147</v>
      </c>
      <c r="BV1517" s="2" t="s">
        <v>97</v>
      </c>
      <c r="BW1517" s="2" t="s">
        <v>100</v>
      </c>
      <c r="BX1517" s="2" t="s">
        <v>100</v>
      </c>
      <c r="BY1517" s="2" t="s">
        <v>112</v>
      </c>
      <c r="BZ1517" s="2" t="s">
        <v>100</v>
      </c>
    </row>
    <row r="1518">
      <c r="A1518" s="2" t="s">
        <v>5098</v>
      </c>
      <c r="B1518" s="2" t="s">
        <v>87</v>
      </c>
      <c r="C1518" s="2" t="s">
        <v>4677</v>
      </c>
      <c r="D1518" s="2" t="s">
        <v>3234</v>
      </c>
      <c r="E1518" s="2" t="s">
        <v>3235</v>
      </c>
      <c r="F1518" s="2" t="s">
        <v>4916</v>
      </c>
      <c r="G1518" s="2" t="s">
        <v>4916</v>
      </c>
      <c r="H1518" s="2" t="s">
        <v>4916</v>
      </c>
      <c r="I1518" s="2" t="s">
        <v>5091</v>
      </c>
      <c r="J1518" s="2" t="s">
        <v>850</v>
      </c>
      <c r="K1518" s="2" t="s">
        <v>650</v>
      </c>
      <c r="L1518" s="3">
        <v>65</v>
      </c>
      <c r="M1518" s="3">
        <v>68.24</v>
      </c>
      <c r="N1518" s="3">
        <v>129.99</v>
      </c>
      <c r="O1518" s="2" t="s">
        <v>550</v>
      </c>
      <c r="P1518" s="2" t="s">
        <v>198</v>
      </c>
      <c r="Q1518" s="2" t="s">
        <v>99</v>
      </c>
      <c r="R1518" s="2" t="s">
        <v>100</v>
      </c>
      <c r="S1518" s="2" t="s">
        <v>4918</v>
      </c>
      <c r="T1518" s="2" t="s">
        <v>100</v>
      </c>
      <c r="U1518" s="2" t="s">
        <v>100</v>
      </c>
      <c r="V1518" s="2" t="s">
        <v>601</v>
      </c>
      <c r="W1518" s="2" t="s">
        <v>104</v>
      </c>
      <c r="X1518" s="2" t="s">
        <v>284</v>
      </c>
      <c r="Y1518" s="2" t="s">
        <v>4715</v>
      </c>
      <c r="Z1518" s="4">
        <v>96</v>
      </c>
      <c r="AA1518" s="4">
        <f>=ROUNDDOWN(56.4705882352941,0)</f>
      </c>
      <c r="AB1518" s="5">
        <v>1.7</v>
      </c>
      <c r="AC1518" s="2" t="s">
        <v>100</v>
      </c>
      <c r="AD1518" s="4"/>
      <c r="AE1518" s="4"/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 t="s">
        <v>100</v>
      </c>
      <c r="BJ1518" s="4">
        <v>32</v>
      </c>
      <c r="BK1518" s="8">
        <v>2177.2</v>
      </c>
      <c r="BL1518" s="2" t="s">
        <v>5099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147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5100</v>
      </c>
      <c r="B1519" s="2" t="s">
        <v>87</v>
      </c>
      <c r="C1519" s="2" t="s">
        <v>4677</v>
      </c>
      <c r="D1519" s="2" t="s">
        <v>3234</v>
      </c>
      <c r="E1519" s="2" t="s">
        <v>3235</v>
      </c>
      <c r="F1519" s="2" t="s">
        <v>4916</v>
      </c>
      <c r="G1519" s="2" t="s">
        <v>4916</v>
      </c>
      <c r="H1519" s="2" t="s">
        <v>100</v>
      </c>
      <c r="I1519" s="2" t="s">
        <v>5091</v>
      </c>
      <c r="J1519" s="2" t="s">
        <v>844</v>
      </c>
      <c r="K1519" s="2" t="s">
        <v>197</v>
      </c>
      <c r="L1519" s="3">
        <v>49</v>
      </c>
      <c r="M1519" s="3">
        <v>51.44</v>
      </c>
      <c r="N1519" s="3">
        <v>99.99</v>
      </c>
      <c r="O1519" s="2" t="s">
        <v>550</v>
      </c>
      <c r="P1519" s="2" t="s">
        <v>198</v>
      </c>
      <c r="Q1519" s="2" t="s">
        <v>99</v>
      </c>
      <c r="R1519" s="2" t="s">
        <v>100</v>
      </c>
      <c r="S1519" s="2" t="s">
        <v>4925</v>
      </c>
      <c r="T1519" s="2" t="s">
        <v>100</v>
      </c>
      <c r="U1519" s="2" t="s">
        <v>100</v>
      </c>
      <c r="V1519" s="2" t="s">
        <v>601</v>
      </c>
      <c r="W1519" s="2" t="s">
        <v>104</v>
      </c>
      <c r="X1519" s="2" t="s">
        <v>284</v>
      </c>
      <c r="Y1519" s="2" t="s">
        <v>106</v>
      </c>
      <c r="Z1519" s="4">
        <v>116</v>
      </c>
      <c r="AA1519" s="4">
        <f>=ROUNDDOWN(96.6666666666667,0)</f>
      </c>
      <c r="AB1519" s="5">
        <v>1.2</v>
      </c>
      <c r="AC1519" s="2" t="s">
        <v>100</v>
      </c>
      <c r="AD1519" s="4"/>
      <c r="AE1519" s="4"/>
      <c r="AF1519" s="6">
        <v>67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/>
      <c r="AW1519" s="8"/>
      <c r="AX1519" s="4"/>
      <c r="AY1519" s="8"/>
      <c r="AZ1519" s="7"/>
      <c r="BA1519" s="7"/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62</v>
      </c>
      <c r="BK1519" s="8">
        <v>2971.99</v>
      </c>
      <c r="BL1519" s="2" t="s">
        <v>5099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147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5101</v>
      </c>
      <c r="B1520" s="2" t="s">
        <v>87</v>
      </c>
      <c r="C1520" s="2" t="s">
        <v>4677</v>
      </c>
      <c r="D1520" s="2" t="s">
        <v>3234</v>
      </c>
      <c r="E1520" s="2" t="s">
        <v>3235</v>
      </c>
      <c r="F1520" s="2" t="s">
        <v>4916</v>
      </c>
      <c r="G1520" s="2" t="s">
        <v>4916</v>
      </c>
      <c r="H1520" s="2" t="s">
        <v>100</v>
      </c>
      <c r="I1520" s="2" t="s">
        <v>5091</v>
      </c>
      <c r="J1520" s="2" t="s">
        <v>844</v>
      </c>
      <c r="K1520" s="2" t="s">
        <v>666</v>
      </c>
      <c r="L1520" s="3">
        <v>49</v>
      </c>
      <c r="M1520" s="3">
        <v>51.44</v>
      </c>
      <c r="N1520" s="3">
        <v>99.99</v>
      </c>
      <c r="O1520" s="2" t="s">
        <v>97</v>
      </c>
      <c r="P1520" s="2" t="s">
        <v>182</v>
      </c>
      <c r="Q1520" s="2" t="s">
        <v>99</v>
      </c>
      <c r="R1520" s="2" t="s">
        <v>100</v>
      </c>
      <c r="S1520" s="2" t="s">
        <v>4928</v>
      </c>
      <c r="T1520" s="2" t="s">
        <v>732</v>
      </c>
      <c r="U1520" s="2" t="s">
        <v>1610</v>
      </c>
      <c r="V1520" s="2" t="s">
        <v>601</v>
      </c>
      <c r="W1520" s="2" t="s">
        <v>104</v>
      </c>
      <c r="X1520" s="2" t="s">
        <v>759</v>
      </c>
      <c r="Y1520" s="2" t="s">
        <v>106</v>
      </c>
      <c r="Z1520" s="4">
        <v>166</v>
      </c>
      <c r="AA1520" s="4">
        <f>=ROUNDDOWN(27.6666666666667,0)</f>
      </c>
      <c r="AB1520" s="5">
        <v>6</v>
      </c>
      <c r="AC1520" s="2" t="s">
        <v>3601</v>
      </c>
      <c r="AD1520" s="4">
        <v>35</v>
      </c>
      <c r="AE1520" s="4">
        <v>35</v>
      </c>
      <c r="AF1520" s="6">
        <v>67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 t="s">
        <v>100</v>
      </c>
      <c r="BJ1520" s="4">
        <v>115</v>
      </c>
      <c r="BK1520" s="8">
        <v>6159.86</v>
      </c>
      <c r="BL1520" s="2" t="s">
        <v>5102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147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5103</v>
      </c>
      <c r="B1521" s="2" t="s">
        <v>87</v>
      </c>
      <c r="C1521" s="2" t="s">
        <v>4677</v>
      </c>
      <c r="D1521" s="2" t="s">
        <v>3234</v>
      </c>
      <c r="E1521" s="2" t="s">
        <v>3235</v>
      </c>
      <c r="F1521" s="2" t="s">
        <v>4916</v>
      </c>
      <c r="G1521" s="2" t="s">
        <v>4916</v>
      </c>
      <c r="H1521" s="2" t="s">
        <v>100</v>
      </c>
      <c r="I1521" s="2" t="s">
        <v>5091</v>
      </c>
      <c r="J1521" s="2" t="s">
        <v>850</v>
      </c>
      <c r="K1521" s="2" t="s">
        <v>666</v>
      </c>
      <c r="L1521" s="3">
        <v>65</v>
      </c>
      <c r="M1521" s="3">
        <v>68.24</v>
      </c>
      <c r="N1521" s="3">
        <v>129.99</v>
      </c>
      <c r="O1521" s="2" t="s">
        <v>97</v>
      </c>
      <c r="P1521" s="2" t="s">
        <v>182</v>
      </c>
      <c r="Q1521" s="2" t="s">
        <v>99</v>
      </c>
      <c r="R1521" s="2" t="s">
        <v>100</v>
      </c>
      <c r="S1521" s="2" t="s">
        <v>4928</v>
      </c>
      <c r="T1521" s="2" t="s">
        <v>732</v>
      </c>
      <c r="U1521" s="2" t="s">
        <v>1610</v>
      </c>
      <c r="V1521" s="2" t="s">
        <v>601</v>
      </c>
      <c r="W1521" s="2" t="s">
        <v>104</v>
      </c>
      <c r="X1521" s="2" t="s">
        <v>759</v>
      </c>
      <c r="Y1521" s="2" t="s">
        <v>106</v>
      </c>
      <c r="Z1521" s="4">
        <v>82</v>
      </c>
      <c r="AA1521" s="4">
        <f>=ROUNDDOWN(13.6666666666667,0)</f>
      </c>
      <c r="AB1521" s="5">
        <v>6</v>
      </c>
      <c r="AC1521" s="2" t="s">
        <v>3601</v>
      </c>
      <c r="AD1521" s="4">
        <v>125</v>
      </c>
      <c r="AE1521" s="4">
        <v>125</v>
      </c>
      <c r="AF1521" s="6">
        <v>67</v>
      </c>
      <c r="AG1521" s="6"/>
      <c r="AH1521" s="7">
        <v>0.3212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 t="s">
        <v>100</v>
      </c>
      <c r="BJ1521" s="4">
        <v>44</v>
      </c>
      <c r="BK1521" s="8">
        <v>3169.06</v>
      </c>
      <c r="BL1521" s="2" t="s">
        <v>5104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147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5105</v>
      </c>
      <c r="B1522" s="2" t="s">
        <v>87</v>
      </c>
      <c r="C1522" s="2" t="s">
        <v>4677</v>
      </c>
      <c r="D1522" s="2" t="s">
        <v>3234</v>
      </c>
      <c r="E1522" s="2" t="s">
        <v>3235</v>
      </c>
      <c r="F1522" s="2" t="s">
        <v>4690</v>
      </c>
      <c r="G1522" s="2" t="s">
        <v>4690</v>
      </c>
      <c r="H1522" s="2" t="s">
        <v>4690</v>
      </c>
      <c r="I1522" s="2" t="s">
        <v>5106</v>
      </c>
      <c r="J1522" s="2" t="s">
        <v>844</v>
      </c>
      <c r="K1522" s="2" t="s">
        <v>650</v>
      </c>
      <c r="L1522" s="3">
        <v>44.1</v>
      </c>
      <c r="M1522" s="3">
        <v>46.3</v>
      </c>
      <c r="N1522" s="3">
        <v>89.99</v>
      </c>
      <c r="O1522" s="2" t="s">
        <v>97</v>
      </c>
      <c r="P1522" s="2" t="s">
        <v>3737</v>
      </c>
      <c r="Q1522" s="2" t="s">
        <v>99</v>
      </c>
      <c r="R1522" s="2" t="s">
        <v>100</v>
      </c>
      <c r="S1522" s="2" t="s">
        <v>4911</v>
      </c>
      <c r="T1522" s="2" t="s">
        <v>100</v>
      </c>
      <c r="U1522" s="2" t="s">
        <v>100</v>
      </c>
      <c r="V1522" s="2" t="s">
        <v>4693</v>
      </c>
      <c r="W1522" s="2" t="s">
        <v>2195</v>
      </c>
      <c r="X1522" s="2" t="s">
        <v>284</v>
      </c>
      <c r="Y1522" s="2" t="s">
        <v>1322</v>
      </c>
      <c r="Z1522" s="4">
        <v>79</v>
      </c>
      <c r="AA1522" s="4">
        <f>=ROUNDDOWN(19.75,0)</f>
      </c>
      <c r="AB1522" s="5">
        <v>4</v>
      </c>
      <c r="AC1522" s="2" t="s">
        <v>100</v>
      </c>
      <c r="AD1522" s="4"/>
      <c r="AE1522" s="4"/>
      <c r="AF1522" s="6">
        <v>65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50</v>
      </c>
      <c r="BK1522" s="8">
        <v>2213.58</v>
      </c>
      <c r="BL1522" s="2" t="s">
        <v>5107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147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5108</v>
      </c>
      <c r="B1523" s="2" t="s">
        <v>87</v>
      </c>
      <c r="C1523" s="2" t="s">
        <v>4677</v>
      </c>
      <c r="D1523" s="2" t="s">
        <v>3234</v>
      </c>
      <c r="E1523" s="2" t="s">
        <v>3235</v>
      </c>
      <c r="F1523" s="2" t="s">
        <v>4690</v>
      </c>
      <c r="G1523" s="2" t="s">
        <v>4690</v>
      </c>
      <c r="H1523" s="2" t="s">
        <v>4690</v>
      </c>
      <c r="I1523" s="2" t="s">
        <v>5106</v>
      </c>
      <c r="J1523" s="2" t="s">
        <v>850</v>
      </c>
      <c r="K1523" s="2" t="s">
        <v>650</v>
      </c>
      <c r="L1523" s="3">
        <v>58.5</v>
      </c>
      <c r="M1523" s="3">
        <v>61.42</v>
      </c>
      <c r="N1523" s="3">
        <v>119.99</v>
      </c>
      <c r="O1523" s="2" t="s">
        <v>97</v>
      </c>
      <c r="P1523" s="2" t="s">
        <v>3737</v>
      </c>
      <c r="Q1523" s="2" t="s">
        <v>99</v>
      </c>
      <c r="R1523" s="2" t="s">
        <v>100</v>
      </c>
      <c r="S1523" s="2" t="s">
        <v>4911</v>
      </c>
      <c r="T1523" s="2" t="s">
        <v>100</v>
      </c>
      <c r="U1523" s="2" t="s">
        <v>100</v>
      </c>
      <c r="V1523" s="2" t="s">
        <v>4693</v>
      </c>
      <c r="W1523" s="2" t="s">
        <v>2195</v>
      </c>
      <c r="X1523" s="2" t="s">
        <v>284</v>
      </c>
      <c r="Y1523" s="2" t="s">
        <v>1322</v>
      </c>
      <c r="Z1523" s="4">
        <v>25</v>
      </c>
      <c r="AA1523" s="4">
        <f>=ROUNDDOWN(8.33333333333333,0)</f>
      </c>
      <c r="AB1523" s="5">
        <v>3</v>
      </c>
      <c r="AC1523" s="2" t="s">
        <v>100</v>
      </c>
      <c r="AD1523" s="4"/>
      <c r="AE1523" s="4"/>
      <c r="AF1523" s="6">
        <v>65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50</v>
      </c>
      <c r="BK1523" s="8">
        <v>3257.69</v>
      </c>
      <c r="BL1523" s="2" t="s">
        <v>3460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147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5109</v>
      </c>
      <c r="B1524" s="2" t="s">
        <v>87</v>
      </c>
      <c r="C1524" s="2" t="s">
        <v>4677</v>
      </c>
      <c r="D1524" s="2" t="s">
        <v>3234</v>
      </c>
      <c r="E1524" s="2" t="s">
        <v>3235</v>
      </c>
      <c r="F1524" s="2" t="s">
        <v>4933</v>
      </c>
      <c r="G1524" s="2" t="s">
        <v>100</v>
      </c>
      <c r="H1524" s="2" t="s">
        <v>100</v>
      </c>
      <c r="I1524" s="2" t="s">
        <v>5110</v>
      </c>
      <c r="J1524" s="2" t="s">
        <v>3012</v>
      </c>
      <c r="K1524" s="2" t="s">
        <v>333</v>
      </c>
      <c r="L1524" s="3">
        <v>43.2</v>
      </c>
      <c r="M1524" s="3">
        <v>45.35</v>
      </c>
      <c r="N1524" s="3">
        <v>89.99</v>
      </c>
      <c r="O1524" s="2" t="s">
        <v>550</v>
      </c>
      <c r="P1524" s="2" t="s">
        <v>198</v>
      </c>
      <c r="Q1524" s="2" t="s">
        <v>99</v>
      </c>
      <c r="R1524" s="2" t="s">
        <v>100</v>
      </c>
      <c r="S1524" s="2" t="s">
        <v>4934</v>
      </c>
      <c r="T1524" s="2" t="s">
        <v>100</v>
      </c>
      <c r="U1524" s="2" t="s">
        <v>100</v>
      </c>
      <c r="V1524" s="2" t="s">
        <v>1287</v>
      </c>
      <c r="W1524" s="2" t="s">
        <v>759</v>
      </c>
      <c r="X1524" s="2" t="s">
        <v>4935</v>
      </c>
      <c r="Y1524" s="2" t="s">
        <v>106</v>
      </c>
      <c r="Z1524" s="4">
        <v>36</v>
      </c>
      <c r="AA1524" s="4">
        <f>=ROUNDDOWN(72,0)</f>
      </c>
      <c r="AB1524" s="5">
        <v>0.5</v>
      </c>
      <c r="AC1524" s="2" t="s">
        <v>100</v>
      </c>
      <c r="AD1524" s="4"/>
      <c r="AE1524" s="4"/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19</v>
      </c>
      <c r="BK1524" s="8">
        <v>700.33</v>
      </c>
      <c r="BL1524" s="2" t="s">
        <v>5111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147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5112</v>
      </c>
      <c r="B1525" s="2" t="s">
        <v>87</v>
      </c>
      <c r="C1525" s="2" t="s">
        <v>4677</v>
      </c>
      <c r="D1525" s="2" t="s">
        <v>3234</v>
      </c>
      <c r="E1525" s="2" t="s">
        <v>3235</v>
      </c>
      <c r="F1525" s="2" t="s">
        <v>4933</v>
      </c>
      <c r="G1525" s="2" t="s">
        <v>100</v>
      </c>
      <c r="H1525" s="2" t="s">
        <v>100</v>
      </c>
      <c r="I1525" s="2" t="s">
        <v>5110</v>
      </c>
      <c r="J1525" s="2" t="s">
        <v>114</v>
      </c>
      <c r="K1525" s="2" t="s">
        <v>333</v>
      </c>
      <c r="L1525" s="3">
        <v>69.5</v>
      </c>
      <c r="M1525" s="3">
        <v>72.98</v>
      </c>
      <c r="N1525" s="3">
        <v>139</v>
      </c>
      <c r="O1525" s="2" t="s">
        <v>550</v>
      </c>
      <c r="P1525" s="2" t="s">
        <v>198</v>
      </c>
      <c r="Q1525" s="2" t="s">
        <v>99</v>
      </c>
      <c r="R1525" s="2" t="s">
        <v>100</v>
      </c>
      <c r="S1525" s="2" t="s">
        <v>4934</v>
      </c>
      <c r="T1525" s="2" t="s">
        <v>100</v>
      </c>
      <c r="U1525" s="2" t="s">
        <v>100</v>
      </c>
      <c r="V1525" s="2" t="s">
        <v>1287</v>
      </c>
      <c r="W1525" s="2" t="s">
        <v>759</v>
      </c>
      <c r="X1525" s="2" t="s">
        <v>4935</v>
      </c>
      <c r="Y1525" s="2" t="s">
        <v>106</v>
      </c>
      <c r="Z1525" s="4">
        <v>36</v>
      </c>
      <c r="AA1525" s="4">
        <f>=ROUNDDOWN(60,0)</f>
      </c>
      <c r="AB1525" s="5">
        <v>0.6</v>
      </c>
      <c r="AC1525" s="2" t="s">
        <v>100</v>
      </c>
      <c r="AD1525" s="4"/>
      <c r="AE1525" s="4"/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25</v>
      </c>
      <c r="BK1525" s="8">
        <v>1400</v>
      </c>
      <c r="BL1525" s="2" t="s">
        <v>5113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147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5114</v>
      </c>
      <c r="B1526" s="2" t="s">
        <v>87</v>
      </c>
      <c r="C1526" s="2" t="s">
        <v>4677</v>
      </c>
      <c r="D1526" s="2" t="s">
        <v>3234</v>
      </c>
      <c r="E1526" s="2" t="s">
        <v>3235</v>
      </c>
      <c r="F1526" s="2" t="s">
        <v>4195</v>
      </c>
      <c r="G1526" s="2" t="s">
        <v>4195</v>
      </c>
      <c r="H1526" s="2" t="s">
        <v>4195</v>
      </c>
      <c r="I1526" s="2" t="s">
        <v>4975</v>
      </c>
      <c r="J1526" s="2" t="s">
        <v>850</v>
      </c>
      <c r="K1526" s="2" t="s">
        <v>168</v>
      </c>
      <c r="L1526" s="3">
        <v>57.6</v>
      </c>
      <c r="M1526" s="3">
        <v>60.48</v>
      </c>
      <c r="N1526" s="3">
        <v>119.99</v>
      </c>
      <c r="O1526" s="2" t="s">
        <v>1148</v>
      </c>
      <c r="P1526" s="2" t="s">
        <v>198</v>
      </c>
      <c r="Q1526" s="2" t="s">
        <v>99</v>
      </c>
      <c r="R1526" s="2" t="s">
        <v>100</v>
      </c>
      <c r="S1526" s="2" t="s">
        <v>4938</v>
      </c>
      <c r="T1526" s="2" t="s">
        <v>100</v>
      </c>
      <c r="U1526" s="2" t="s">
        <v>100</v>
      </c>
      <c r="V1526" s="2" t="s">
        <v>1122</v>
      </c>
      <c r="W1526" s="2" t="s">
        <v>2195</v>
      </c>
      <c r="X1526" s="2" t="s">
        <v>4939</v>
      </c>
      <c r="Y1526" s="2" t="s">
        <v>106</v>
      </c>
      <c r="Z1526" s="4"/>
      <c r="AA1526" s="4">
        <f>=ROUNDDOWN({0},0)</f>
      </c>
      <c r="AB1526" s="5"/>
      <c r="AC1526" s="2" t="s">
        <v>100</v>
      </c>
      <c r="AD1526" s="4"/>
      <c r="AE1526" s="4"/>
      <c r="AF1526" s="6"/>
      <c r="AG1526" s="6"/>
      <c r="AH1526" s="7">
        <v>0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/>
      <c r="AW1526" s="8"/>
      <c r="AX1526" s="4"/>
      <c r="AY1526" s="8"/>
      <c r="AZ1526" s="7"/>
      <c r="BA1526" s="7"/>
      <c r="BB1526" s="7"/>
      <c r="BC1526" s="4"/>
      <c r="BD1526" s="8"/>
      <c r="BE1526" s="4"/>
      <c r="BF1526" s="8"/>
      <c r="BG1526" s="7"/>
      <c r="BH1526" s="7"/>
      <c r="BI1526" s="7"/>
      <c r="BJ1526" s="4"/>
      <c r="BK1526" s="8"/>
      <c r="BL1526" s="2" t="s">
        <v>100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147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5115</v>
      </c>
      <c r="B1527" s="2" t="s">
        <v>87</v>
      </c>
      <c r="C1527" s="2" t="s">
        <v>4677</v>
      </c>
      <c r="D1527" s="2" t="s">
        <v>3234</v>
      </c>
      <c r="E1527" s="2" t="s">
        <v>3235</v>
      </c>
      <c r="F1527" s="2" t="s">
        <v>4941</v>
      </c>
      <c r="G1527" s="2" t="s">
        <v>4941</v>
      </c>
      <c r="H1527" s="2" t="s">
        <v>4941</v>
      </c>
      <c r="I1527" s="2" t="s">
        <v>5116</v>
      </c>
      <c r="J1527" s="2" t="s">
        <v>3012</v>
      </c>
      <c r="K1527" s="2" t="s">
        <v>158</v>
      </c>
      <c r="L1527" s="3">
        <v>43.2</v>
      </c>
      <c r="M1527" s="3">
        <v>45.35</v>
      </c>
      <c r="N1527" s="3">
        <v>89.99</v>
      </c>
      <c r="O1527" s="2" t="s">
        <v>97</v>
      </c>
      <c r="P1527" s="2" t="s">
        <v>198</v>
      </c>
      <c r="Q1527" s="2" t="s">
        <v>99</v>
      </c>
      <c r="R1527" s="2" t="s">
        <v>100</v>
      </c>
      <c r="S1527" s="2" t="s">
        <v>4943</v>
      </c>
      <c r="T1527" s="2" t="s">
        <v>100</v>
      </c>
      <c r="U1527" s="2" t="s">
        <v>100</v>
      </c>
      <c r="V1527" s="2" t="s">
        <v>561</v>
      </c>
      <c r="W1527" s="2" t="s">
        <v>3896</v>
      </c>
      <c r="X1527" s="2" t="s">
        <v>759</v>
      </c>
      <c r="Y1527" s="2" t="s">
        <v>106</v>
      </c>
      <c r="Z1527" s="4">
        <v>58</v>
      </c>
      <c r="AA1527" s="4">
        <f>=ROUNDDOWN(21.4814814814815,0)</f>
      </c>
      <c r="AB1527" s="5">
        <v>2.7</v>
      </c>
      <c r="AC1527" s="2" t="s">
        <v>100</v>
      </c>
      <c r="AD1527" s="4"/>
      <c r="AE1527" s="4"/>
      <c r="AF1527" s="6">
        <v>66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>
        <v>56</v>
      </c>
      <c r="BK1527" s="8">
        <v>2171.31</v>
      </c>
      <c r="BL1527" s="2" t="s">
        <v>5117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147</v>
      </c>
      <c r="BV1527" s="2" t="s">
        <v>97</v>
      </c>
      <c r="BW1527" s="2" t="s">
        <v>100</v>
      </c>
      <c r="BX1527" s="2" t="s">
        <v>100</v>
      </c>
      <c r="BY1527" s="2" t="s">
        <v>112</v>
      </c>
      <c r="BZ1527" s="2" t="s">
        <v>100</v>
      </c>
    </row>
    <row r="1528">
      <c r="A1528" s="2" t="s">
        <v>5118</v>
      </c>
      <c r="B1528" s="2" t="s">
        <v>87</v>
      </c>
      <c r="C1528" s="2" t="s">
        <v>4677</v>
      </c>
      <c r="D1528" s="2" t="s">
        <v>3234</v>
      </c>
      <c r="E1528" s="2" t="s">
        <v>3235</v>
      </c>
      <c r="F1528" s="2" t="s">
        <v>4941</v>
      </c>
      <c r="G1528" s="2" t="s">
        <v>4941</v>
      </c>
      <c r="H1528" s="2" t="s">
        <v>4941</v>
      </c>
      <c r="I1528" s="2" t="s">
        <v>5116</v>
      </c>
      <c r="J1528" s="2" t="s">
        <v>844</v>
      </c>
      <c r="K1528" s="2" t="s">
        <v>158</v>
      </c>
      <c r="L1528" s="3">
        <v>52.8</v>
      </c>
      <c r="M1528" s="3">
        <v>55.43</v>
      </c>
      <c r="N1528" s="3">
        <v>109.99</v>
      </c>
      <c r="O1528" s="2" t="s">
        <v>97</v>
      </c>
      <c r="P1528" s="2" t="s">
        <v>198</v>
      </c>
      <c r="Q1528" s="2" t="s">
        <v>99</v>
      </c>
      <c r="R1528" s="2" t="s">
        <v>100</v>
      </c>
      <c r="S1528" s="2" t="s">
        <v>4943</v>
      </c>
      <c r="T1528" s="2" t="s">
        <v>100</v>
      </c>
      <c r="U1528" s="2" t="s">
        <v>100</v>
      </c>
      <c r="V1528" s="2" t="s">
        <v>561</v>
      </c>
      <c r="W1528" s="2" t="s">
        <v>3896</v>
      </c>
      <c r="X1528" s="2" t="s">
        <v>759</v>
      </c>
      <c r="Y1528" s="2" t="s">
        <v>106</v>
      </c>
      <c r="Z1528" s="4">
        <v>83</v>
      </c>
      <c r="AA1528" s="4">
        <f>=ROUNDDOWN(23.7142857142857,0)</f>
      </c>
      <c r="AB1528" s="5">
        <v>3.5</v>
      </c>
      <c r="AC1528" s="2" t="s">
        <v>100</v>
      </c>
      <c r="AD1528" s="4"/>
      <c r="AE1528" s="4"/>
      <c r="AF1528" s="6">
        <v>66</v>
      </c>
      <c r="AG1528" s="6"/>
      <c r="AH1528" s="7">
        <v>0.7273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52</v>
      </c>
      <c r="BK1528" s="8">
        <v>2539.55</v>
      </c>
      <c r="BL1528" s="2" t="s">
        <v>5119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147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100</v>
      </c>
    </row>
    <row r="1529">
      <c r="A1529" s="2" t="s">
        <v>5120</v>
      </c>
      <c r="B1529" s="2" t="s">
        <v>87</v>
      </c>
      <c r="C1529" s="2" t="s">
        <v>4677</v>
      </c>
      <c r="D1529" s="2" t="s">
        <v>3234</v>
      </c>
      <c r="E1529" s="2" t="s">
        <v>3235</v>
      </c>
      <c r="F1529" s="2" t="s">
        <v>4941</v>
      </c>
      <c r="G1529" s="2" t="s">
        <v>4941</v>
      </c>
      <c r="H1529" s="2" t="s">
        <v>4941</v>
      </c>
      <c r="I1529" s="2" t="s">
        <v>5116</v>
      </c>
      <c r="J1529" s="2" t="s">
        <v>114</v>
      </c>
      <c r="K1529" s="2" t="s">
        <v>158</v>
      </c>
      <c r="L1529" s="3">
        <v>68.11</v>
      </c>
      <c r="M1529" s="3">
        <v>71.52</v>
      </c>
      <c r="N1529" s="3">
        <v>139</v>
      </c>
      <c r="O1529" s="2" t="s">
        <v>97</v>
      </c>
      <c r="P1529" s="2" t="s">
        <v>198</v>
      </c>
      <c r="Q1529" s="2" t="s">
        <v>99</v>
      </c>
      <c r="R1529" s="2" t="s">
        <v>100</v>
      </c>
      <c r="S1529" s="2" t="s">
        <v>4943</v>
      </c>
      <c r="T1529" s="2" t="s">
        <v>100</v>
      </c>
      <c r="U1529" s="2" t="s">
        <v>100</v>
      </c>
      <c r="V1529" s="2" t="s">
        <v>561</v>
      </c>
      <c r="W1529" s="2" t="s">
        <v>3896</v>
      </c>
      <c r="X1529" s="2" t="s">
        <v>759</v>
      </c>
      <c r="Y1529" s="2" t="s">
        <v>106</v>
      </c>
      <c r="Z1529" s="4">
        <v>46</v>
      </c>
      <c r="AA1529" s="4">
        <f>=ROUNDDOWN(51.1111111111111,0)</f>
      </c>
      <c r="AB1529" s="5">
        <v>0.9</v>
      </c>
      <c r="AC1529" s="2" t="s">
        <v>100</v>
      </c>
      <c r="AD1529" s="4"/>
      <c r="AE1529" s="4"/>
      <c r="AF1529" s="6">
        <v>66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57</v>
      </c>
      <c r="BK1529" s="8">
        <v>3869.75</v>
      </c>
      <c r="BL1529" s="2" t="s">
        <v>5121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147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5122</v>
      </c>
      <c r="B1530" s="2" t="s">
        <v>87</v>
      </c>
      <c r="C1530" s="2" t="s">
        <v>4677</v>
      </c>
      <c r="D1530" s="2" t="s">
        <v>2308</v>
      </c>
      <c r="E1530" s="2" t="s">
        <v>3080</v>
      </c>
      <c r="F1530" s="2" t="s">
        <v>5123</v>
      </c>
      <c r="G1530" s="2" t="s">
        <v>5123</v>
      </c>
      <c r="H1530" s="2" t="s">
        <v>5123</v>
      </c>
      <c r="I1530" s="2" t="s">
        <v>5124</v>
      </c>
      <c r="J1530" s="2" t="s">
        <v>844</v>
      </c>
      <c r="K1530" s="2" t="s">
        <v>197</v>
      </c>
      <c r="L1530" s="3">
        <v>63.7</v>
      </c>
      <c r="M1530" s="3">
        <v>66.88</v>
      </c>
      <c r="N1530" s="3">
        <v>129.99</v>
      </c>
      <c r="O1530" s="2" t="s">
        <v>97</v>
      </c>
      <c r="P1530" s="2" t="s">
        <v>1265</v>
      </c>
      <c r="Q1530" s="2" t="s">
        <v>99</v>
      </c>
      <c r="R1530" s="2" t="s">
        <v>100</v>
      </c>
      <c r="S1530" s="2" t="s">
        <v>5125</v>
      </c>
      <c r="T1530" s="2" t="s">
        <v>732</v>
      </c>
      <c r="U1530" s="2" t="s">
        <v>1610</v>
      </c>
      <c r="V1530" s="2" t="s">
        <v>5126</v>
      </c>
      <c r="W1530" s="2" t="s">
        <v>759</v>
      </c>
      <c r="X1530" s="2" t="s">
        <v>284</v>
      </c>
      <c r="Y1530" s="2" t="s">
        <v>106</v>
      </c>
      <c r="Z1530" s="4">
        <v>264</v>
      </c>
      <c r="AA1530" s="4">
        <f>=ROUNDDOWN(66,0)</f>
      </c>
      <c r="AB1530" s="5">
        <v>4</v>
      </c>
      <c r="AC1530" s="2" t="s">
        <v>100</v>
      </c>
      <c r="AD1530" s="4"/>
      <c r="AE1530" s="4"/>
      <c r="AF1530" s="6">
        <v>64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>
        <v>0</v>
      </c>
      <c r="AP1530" s="4">
        <v>2</v>
      </c>
      <c r="AQ1530" s="8">
        <v>133.76</v>
      </c>
      <c r="AR1530" s="4">
        <v>1</v>
      </c>
      <c r="AS1530" s="8">
        <v>66.88</v>
      </c>
      <c r="AT1530" s="7">
        <v>1</v>
      </c>
      <c r="AU1530" s="7">
        <v>1</v>
      </c>
      <c r="AV1530" s="4">
        <v>2</v>
      </c>
      <c r="AW1530" s="8">
        <v>133.76</v>
      </c>
      <c r="AX1530" s="4">
        <v>1</v>
      </c>
      <c r="AY1530" s="8">
        <v>66.88</v>
      </c>
      <c r="AZ1530" s="7">
        <v>1</v>
      </c>
      <c r="BA1530" s="7">
        <v>1</v>
      </c>
      <c r="BB1530" s="7">
        <v>1</v>
      </c>
      <c r="BC1530" s="4">
        <v>2</v>
      </c>
      <c r="BD1530" s="8">
        <v>133.76</v>
      </c>
      <c r="BE1530" s="4">
        <v>1</v>
      </c>
      <c r="BF1530" s="8">
        <v>66.88</v>
      </c>
      <c r="BG1530" s="7">
        <v>1</v>
      </c>
      <c r="BH1530" s="7">
        <v>1</v>
      </c>
      <c r="BI1530" s="7">
        <v>1</v>
      </c>
      <c r="BJ1530" s="4">
        <v>114</v>
      </c>
      <c r="BK1530" s="8">
        <v>7822.18</v>
      </c>
      <c r="BL1530" s="2" t="s">
        <v>3241</v>
      </c>
      <c r="BM1530" s="7">
        <v>0.0175</v>
      </c>
      <c r="BN1530" s="7">
        <v>0.0171</v>
      </c>
      <c r="BO1530" s="4">
        <v>2</v>
      </c>
      <c r="BP1530" s="8">
        <v>133.76</v>
      </c>
      <c r="BQ1530" s="4">
        <v>1</v>
      </c>
      <c r="BR1530" s="8">
        <v>66.88</v>
      </c>
      <c r="BS1530" s="7">
        <v>1</v>
      </c>
      <c r="BT1530" s="7">
        <v>1</v>
      </c>
      <c r="BU1530" s="2" t="s">
        <v>109</v>
      </c>
      <c r="BV1530" s="2" t="s">
        <v>97</v>
      </c>
      <c r="BW1530" s="2" t="s">
        <v>110</v>
      </c>
      <c r="BX1530" s="2" t="s">
        <v>5127</v>
      </c>
      <c r="BY1530" s="2" t="s">
        <v>112</v>
      </c>
      <c r="BZ1530" s="2" t="s">
        <v>100</v>
      </c>
    </row>
    <row r="1531">
      <c r="A1531" s="2" t="s">
        <v>5128</v>
      </c>
      <c r="B1531" s="2" t="s">
        <v>87</v>
      </c>
      <c r="C1531" s="2" t="s">
        <v>4677</v>
      </c>
      <c r="D1531" s="2" t="s">
        <v>2308</v>
      </c>
      <c r="E1531" s="2" t="s">
        <v>3080</v>
      </c>
      <c r="F1531" s="2" t="s">
        <v>5123</v>
      </c>
      <c r="G1531" s="2" t="s">
        <v>5123</v>
      </c>
      <c r="H1531" s="2" t="s">
        <v>5123</v>
      </c>
      <c r="I1531" s="2" t="s">
        <v>5124</v>
      </c>
      <c r="J1531" s="2" t="s">
        <v>850</v>
      </c>
      <c r="K1531" s="2" t="s">
        <v>197</v>
      </c>
      <c r="L1531" s="3">
        <v>73.5</v>
      </c>
      <c r="M1531" s="3">
        <v>77.17</v>
      </c>
      <c r="N1531" s="3">
        <v>149.99</v>
      </c>
      <c r="O1531" s="2" t="s">
        <v>97</v>
      </c>
      <c r="P1531" s="2" t="s">
        <v>1265</v>
      </c>
      <c r="Q1531" s="2" t="s">
        <v>99</v>
      </c>
      <c r="R1531" s="2" t="s">
        <v>100</v>
      </c>
      <c r="S1531" s="2" t="s">
        <v>5125</v>
      </c>
      <c r="T1531" s="2" t="s">
        <v>732</v>
      </c>
      <c r="U1531" s="2" t="s">
        <v>1610</v>
      </c>
      <c r="V1531" s="2" t="s">
        <v>5126</v>
      </c>
      <c r="W1531" s="2" t="s">
        <v>759</v>
      </c>
      <c r="X1531" s="2" t="s">
        <v>284</v>
      </c>
      <c r="Y1531" s="2" t="s">
        <v>106</v>
      </c>
      <c r="Z1531" s="4">
        <v>593</v>
      </c>
      <c r="AA1531" s="4">
        <f>=ROUNDDOWN(59.3,0)</f>
      </c>
      <c r="AB1531" s="5">
        <v>10</v>
      </c>
      <c r="AC1531" s="2" t="s">
        <v>100</v>
      </c>
      <c r="AD1531" s="4"/>
      <c r="AE1531" s="4"/>
      <c r="AF1531" s="6">
        <v>64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 t="s">
        <v>100</v>
      </c>
      <c r="BJ1531" s="4">
        <v>176</v>
      </c>
      <c r="BK1531" s="8">
        <v>13936.74</v>
      </c>
      <c r="BL1531" s="2" t="s">
        <v>5129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147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5130</v>
      </c>
      <c r="B1532" s="2" t="s">
        <v>87</v>
      </c>
      <c r="C1532" s="2" t="s">
        <v>4677</v>
      </c>
      <c r="D1532" s="2" t="s">
        <v>2308</v>
      </c>
      <c r="E1532" s="2" t="s">
        <v>3080</v>
      </c>
      <c r="F1532" s="2" t="s">
        <v>5123</v>
      </c>
      <c r="G1532" s="2" t="s">
        <v>5123</v>
      </c>
      <c r="H1532" s="2" t="s">
        <v>5123</v>
      </c>
      <c r="I1532" s="2" t="s">
        <v>5124</v>
      </c>
      <c r="J1532" s="2" t="s">
        <v>844</v>
      </c>
      <c r="K1532" s="2" t="s">
        <v>142</v>
      </c>
      <c r="L1532" s="3">
        <v>63.7</v>
      </c>
      <c r="M1532" s="3">
        <v>66.89</v>
      </c>
      <c r="N1532" s="3">
        <v>129.99</v>
      </c>
      <c r="O1532" s="2" t="s">
        <v>97</v>
      </c>
      <c r="P1532" s="2" t="s">
        <v>1265</v>
      </c>
      <c r="Q1532" s="2" t="s">
        <v>99</v>
      </c>
      <c r="R1532" s="2" t="s">
        <v>100</v>
      </c>
      <c r="S1532" s="2" t="s">
        <v>5131</v>
      </c>
      <c r="T1532" s="2" t="s">
        <v>732</v>
      </c>
      <c r="U1532" s="2" t="s">
        <v>1610</v>
      </c>
      <c r="V1532" s="2" t="s">
        <v>5126</v>
      </c>
      <c r="W1532" s="2" t="s">
        <v>759</v>
      </c>
      <c r="X1532" s="2" t="s">
        <v>100</v>
      </c>
      <c r="Y1532" s="2" t="s">
        <v>5132</v>
      </c>
      <c r="Z1532" s="4">
        <v>27</v>
      </c>
      <c r="AA1532" s="4">
        <f>=ROUNDDOWN(3.85714285714286,0)</f>
      </c>
      <c r="AB1532" s="5">
        <v>7</v>
      </c>
      <c r="AC1532" s="2" t="s">
        <v>1243</v>
      </c>
      <c r="AD1532" s="4">
        <v>100</v>
      </c>
      <c r="AE1532" s="4">
        <v>230</v>
      </c>
      <c r="AF1532" s="6">
        <v>64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 t="s">
        <v>100</v>
      </c>
      <c r="BJ1532" s="4">
        <v>95</v>
      </c>
      <c r="BK1532" s="8">
        <v>6449.59</v>
      </c>
      <c r="BL1532" s="2" t="s">
        <v>5133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147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5134</v>
      </c>
      <c r="B1533" s="2" t="s">
        <v>87</v>
      </c>
      <c r="C1533" s="2" t="s">
        <v>4677</v>
      </c>
      <c r="D1533" s="2" t="s">
        <v>2308</v>
      </c>
      <c r="E1533" s="2" t="s">
        <v>3080</v>
      </c>
      <c r="F1533" s="2" t="s">
        <v>5123</v>
      </c>
      <c r="G1533" s="2" t="s">
        <v>5123</v>
      </c>
      <c r="H1533" s="2" t="s">
        <v>5123</v>
      </c>
      <c r="I1533" s="2" t="s">
        <v>5124</v>
      </c>
      <c r="J1533" s="2" t="s">
        <v>850</v>
      </c>
      <c r="K1533" s="2" t="s">
        <v>142</v>
      </c>
      <c r="L1533" s="3">
        <v>73.5</v>
      </c>
      <c r="M1533" s="3">
        <v>77.18</v>
      </c>
      <c r="N1533" s="3">
        <v>149.99</v>
      </c>
      <c r="O1533" s="2" t="s">
        <v>97</v>
      </c>
      <c r="P1533" s="2" t="s">
        <v>1265</v>
      </c>
      <c r="Q1533" s="2" t="s">
        <v>99</v>
      </c>
      <c r="R1533" s="2" t="s">
        <v>100</v>
      </c>
      <c r="S1533" s="2" t="s">
        <v>5131</v>
      </c>
      <c r="T1533" s="2" t="s">
        <v>732</v>
      </c>
      <c r="U1533" s="2" t="s">
        <v>1610</v>
      </c>
      <c r="V1533" s="2" t="s">
        <v>5126</v>
      </c>
      <c r="W1533" s="2" t="s">
        <v>759</v>
      </c>
      <c r="X1533" s="2" t="s">
        <v>100</v>
      </c>
      <c r="Y1533" s="2" t="s">
        <v>5132</v>
      </c>
      <c r="Z1533" s="4">
        <v>87</v>
      </c>
      <c r="AA1533" s="4">
        <f>=ROUNDDOWN(14.5,0)</f>
      </c>
      <c r="AB1533" s="5">
        <v>6</v>
      </c>
      <c r="AC1533" s="2" t="s">
        <v>325</v>
      </c>
      <c r="AD1533" s="4">
        <v>260</v>
      </c>
      <c r="AE1533" s="4">
        <v>260</v>
      </c>
      <c r="AF1533" s="6">
        <v>64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 t="s">
        <v>100</v>
      </c>
      <c r="BJ1533" s="4">
        <v>127</v>
      </c>
      <c r="BK1533" s="8">
        <v>9981.32</v>
      </c>
      <c r="BL1533" s="2" t="s">
        <v>5135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147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5136</v>
      </c>
      <c r="B1534" s="2" t="s">
        <v>87</v>
      </c>
      <c r="C1534" s="2" t="s">
        <v>4677</v>
      </c>
      <c r="D1534" s="2" t="s">
        <v>2308</v>
      </c>
      <c r="E1534" s="2" t="s">
        <v>3080</v>
      </c>
      <c r="F1534" s="2" t="s">
        <v>5123</v>
      </c>
      <c r="G1534" s="2" t="s">
        <v>5123</v>
      </c>
      <c r="H1534" s="2" t="s">
        <v>5123</v>
      </c>
      <c r="I1534" s="2" t="s">
        <v>5124</v>
      </c>
      <c r="J1534" s="2" t="s">
        <v>850</v>
      </c>
      <c r="K1534" s="2" t="s">
        <v>1204</v>
      </c>
      <c r="L1534" s="3">
        <v>73.5</v>
      </c>
      <c r="M1534" s="3">
        <v>77.18</v>
      </c>
      <c r="N1534" s="3">
        <v>149.99</v>
      </c>
      <c r="O1534" s="2" t="s">
        <v>97</v>
      </c>
      <c r="P1534" s="2" t="s">
        <v>198</v>
      </c>
      <c r="Q1534" s="2" t="s">
        <v>99</v>
      </c>
      <c r="R1534" s="2" t="s">
        <v>100</v>
      </c>
      <c r="S1534" s="2" t="s">
        <v>5137</v>
      </c>
      <c r="T1534" s="2" t="s">
        <v>732</v>
      </c>
      <c r="U1534" s="2" t="s">
        <v>1610</v>
      </c>
      <c r="V1534" s="2" t="s">
        <v>5126</v>
      </c>
      <c r="W1534" s="2" t="s">
        <v>759</v>
      </c>
      <c r="X1534" s="2" t="s">
        <v>100</v>
      </c>
      <c r="Y1534" s="2" t="s">
        <v>5132</v>
      </c>
      <c r="Z1534" s="4">
        <v>94</v>
      </c>
      <c r="AA1534" s="4">
        <f>=ROUNDDOWN(18.8,0)</f>
      </c>
      <c r="AB1534" s="5">
        <v>5</v>
      </c>
      <c r="AC1534" s="2" t="s">
        <v>100</v>
      </c>
      <c r="AD1534" s="4"/>
      <c r="AE1534" s="4"/>
      <c r="AF1534" s="6">
        <v>64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69</v>
      </c>
      <c r="BK1534" s="8">
        <v>5090.05</v>
      </c>
      <c r="BL1534" s="2" t="s">
        <v>5138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147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5139</v>
      </c>
      <c r="B1535" s="2" t="s">
        <v>87</v>
      </c>
      <c r="C1535" s="2" t="s">
        <v>4677</v>
      </c>
      <c r="D1535" s="2" t="s">
        <v>2308</v>
      </c>
      <c r="E1535" s="2" t="s">
        <v>3080</v>
      </c>
      <c r="F1535" s="2" t="s">
        <v>4690</v>
      </c>
      <c r="G1535" s="2" t="s">
        <v>4690</v>
      </c>
      <c r="H1535" s="2" t="s">
        <v>4690</v>
      </c>
      <c r="I1535" s="2" t="s">
        <v>5140</v>
      </c>
      <c r="J1535" s="2" t="s">
        <v>844</v>
      </c>
      <c r="K1535" s="2" t="s">
        <v>197</v>
      </c>
      <c r="L1535" s="3">
        <v>52.8</v>
      </c>
      <c r="M1535" s="3">
        <v>55.43</v>
      </c>
      <c r="N1535" s="3">
        <v>109.99</v>
      </c>
      <c r="O1535" s="2" t="s">
        <v>97</v>
      </c>
      <c r="P1535" s="2" t="s">
        <v>182</v>
      </c>
      <c r="Q1535" s="2" t="s">
        <v>99</v>
      </c>
      <c r="R1535" s="2" t="s">
        <v>100</v>
      </c>
      <c r="S1535" s="2" t="s">
        <v>4692</v>
      </c>
      <c r="T1535" s="2" t="s">
        <v>732</v>
      </c>
      <c r="U1535" s="2" t="s">
        <v>1610</v>
      </c>
      <c r="V1535" s="2" t="s">
        <v>4693</v>
      </c>
      <c r="W1535" s="2" t="s">
        <v>2195</v>
      </c>
      <c r="X1535" s="2" t="s">
        <v>2369</v>
      </c>
      <c r="Y1535" s="2" t="s">
        <v>5141</v>
      </c>
      <c r="Z1535" s="4">
        <v>377</v>
      </c>
      <c r="AA1535" s="4">
        <f>=ROUNDDOWN(47.125,0)</f>
      </c>
      <c r="AB1535" s="5">
        <v>8</v>
      </c>
      <c r="AC1535" s="2" t="s">
        <v>2846</v>
      </c>
      <c r="AD1535" s="4">
        <v>40</v>
      </c>
      <c r="AE1535" s="4">
        <v>40</v>
      </c>
      <c r="AF1535" s="6">
        <v>65</v>
      </c>
      <c r="AG1535" s="6">
        <v>73</v>
      </c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153</v>
      </c>
      <c r="BK1535" s="8">
        <v>8691.07</v>
      </c>
      <c r="BL1535" s="2" t="s">
        <v>5142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</v>
      </c>
      <c r="BV1535" s="2" t="s">
        <v>97</v>
      </c>
      <c r="BW1535" s="2" t="s">
        <v>580</v>
      </c>
      <c r="BX1535" s="2" t="s">
        <v>100</v>
      </c>
      <c r="BY1535" s="2" t="s">
        <v>112</v>
      </c>
      <c r="BZ1535" s="2" t="s">
        <v>100</v>
      </c>
    </row>
    <row r="1536">
      <c r="A1536" s="2" t="s">
        <v>5143</v>
      </c>
      <c r="B1536" s="2" t="s">
        <v>87</v>
      </c>
      <c r="C1536" s="2" t="s">
        <v>4677</v>
      </c>
      <c r="D1536" s="2" t="s">
        <v>2308</v>
      </c>
      <c r="E1536" s="2" t="s">
        <v>3080</v>
      </c>
      <c r="F1536" s="2" t="s">
        <v>4690</v>
      </c>
      <c r="G1536" s="2" t="s">
        <v>4690</v>
      </c>
      <c r="H1536" s="2" t="s">
        <v>4690</v>
      </c>
      <c r="I1536" s="2" t="s">
        <v>5140</v>
      </c>
      <c r="J1536" s="2" t="s">
        <v>850</v>
      </c>
      <c r="K1536" s="2" t="s">
        <v>197</v>
      </c>
      <c r="L1536" s="3">
        <v>72.79</v>
      </c>
      <c r="M1536" s="3">
        <v>76.43</v>
      </c>
      <c r="N1536" s="3">
        <v>139.99</v>
      </c>
      <c r="O1536" s="2" t="s">
        <v>97</v>
      </c>
      <c r="P1536" s="2" t="s">
        <v>182</v>
      </c>
      <c r="Q1536" s="2" t="s">
        <v>99</v>
      </c>
      <c r="R1536" s="2" t="s">
        <v>100</v>
      </c>
      <c r="S1536" s="2" t="s">
        <v>4692</v>
      </c>
      <c r="T1536" s="2" t="s">
        <v>732</v>
      </c>
      <c r="U1536" s="2" t="s">
        <v>1610</v>
      </c>
      <c r="V1536" s="2" t="s">
        <v>4693</v>
      </c>
      <c r="W1536" s="2" t="s">
        <v>2195</v>
      </c>
      <c r="X1536" s="2" t="s">
        <v>2369</v>
      </c>
      <c r="Y1536" s="2" t="s">
        <v>5141</v>
      </c>
      <c r="Z1536" s="4">
        <v>468</v>
      </c>
      <c r="AA1536" s="4">
        <f>=ROUNDDOWN(42.5454545454545,0)</f>
      </c>
      <c r="AB1536" s="5">
        <v>11</v>
      </c>
      <c r="AC1536" s="2" t="s">
        <v>480</v>
      </c>
      <c r="AD1536" s="4">
        <v>50</v>
      </c>
      <c r="AE1536" s="4">
        <v>110</v>
      </c>
      <c r="AF1536" s="6">
        <v>65</v>
      </c>
      <c r="AG1536" s="6">
        <v>73</v>
      </c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203</v>
      </c>
      <c r="BK1536" s="8">
        <v>15902.93</v>
      </c>
      <c r="BL1536" s="2" t="s">
        <v>5021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</v>
      </c>
      <c r="BV1536" s="2" t="s">
        <v>97</v>
      </c>
      <c r="BW1536" s="2" t="s">
        <v>580</v>
      </c>
      <c r="BX1536" s="2" t="s">
        <v>100</v>
      </c>
      <c r="BY1536" s="2" t="s">
        <v>112</v>
      </c>
      <c r="BZ1536" s="2" t="s">
        <v>100</v>
      </c>
    </row>
    <row r="1537">
      <c r="A1537" s="2" t="s">
        <v>5144</v>
      </c>
      <c r="B1537" s="2" t="s">
        <v>87</v>
      </c>
      <c r="C1537" s="2" t="s">
        <v>4677</v>
      </c>
      <c r="D1537" s="2" t="s">
        <v>2308</v>
      </c>
      <c r="E1537" s="2" t="s">
        <v>3080</v>
      </c>
      <c r="F1537" s="2" t="s">
        <v>4711</v>
      </c>
      <c r="G1537" s="2" t="s">
        <v>4711</v>
      </c>
      <c r="H1537" s="2" t="s">
        <v>4711</v>
      </c>
      <c r="I1537" s="2" t="s">
        <v>5145</v>
      </c>
      <c r="J1537" s="2" t="s">
        <v>844</v>
      </c>
      <c r="K1537" s="2" t="s">
        <v>635</v>
      </c>
      <c r="L1537" s="3">
        <v>64.4</v>
      </c>
      <c r="M1537" s="3">
        <v>67.62</v>
      </c>
      <c r="N1537" s="3">
        <v>139.99</v>
      </c>
      <c r="O1537" s="2" t="s">
        <v>229</v>
      </c>
      <c r="P1537" s="2" t="s">
        <v>198</v>
      </c>
      <c r="Q1537" s="2" t="s">
        <v>99</v>
      </c>
      <c r="R1537" s="2" t="s">
        <v>100</v>
      </c>
      <c r="S1537" s="2" t="s">
        <v>5146</v>
      </c>
      <c r="T1537" s="2" t="s">
        <v>100</v>
      </c>
      <c r="U1537" s="2" t="s">
        <v>1610</v>
      </c>
      <c r="V1537" s="2" t="s">
        <v>991</v>
      </c>
      <c r="W1537" s="2" t="s">
        <v>100</v>
      </c>
      <c r="X1537" s="2" t="s">
        <v>100</v>
      </c>
      <c r="Y1537" s="2" t="s">
        <v>5147</v>
      </c>
      <c r="Z1537" s="4">
        <v>624</v>
      </c>
      <c r="AA1537" s="4">
        <f>=ROUNDDOWN(60,0)</f>
      </c>
      <c r="AB1537" s="5">
        <v>10.4</v>
      </c>
      <c r="AC1537" s="2" t="s">
        <v>100</v>
      </c>
      <c r="AD1537" s="4"/>
      <c r="AE1537" s="4"/>
      <c r="AF1537" s="6">
        <v>69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>
        <v>223</v>
      </c>
      <c r="BK1537" s="8">
        <v>8643.01</v>
      </c>
      <c r="BL1537" s="2" t="s">
        <v>5148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147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5149</v>
      </c>
      <c r="B1538" s="2" t="s">
        <v>87</v>
      </c>
      <c r="C1538" s="2" t="s">
        <v>4677</v>
      </c>
      <c r="D1538" s="2" t="s">
        <v>2308</v>
      </c>
      <c r="E1538" s="2" t="s">
        <v>3080</v>
      </c>
      <c r="F1538" s="2" t="s">
        <v>4711</v>
      </c>
      <c r="G1538" s="2" t="s">
        <v>4711</v>
      </c>
      <c r="H1538" s="2" t="s">
        <v>4711</v>
      </c>
      <c r="I1538" s="2" t="s">
        <v>5145</v>
      </c>
      <c r="J1538" s="2" t="s">
        <v>850</v>
      </c>
      <c r="K1538" s="2" t="s">
        <v>635</v>
      </c>
      <c r="L1538" s="3">
        <v>78.2</v>
      </c>
      <c r="M1538" s="3">
        <v>82.11</v>
      </c>
      <c r="N1538" s="3">
        <v>169.99</v>
      </c>
      <c r="O1538" s="2" t="s">
        <v>229</v>
      </c>
      <c r="P1538" s="2" t="s">
        <v>198</v>
      </c>
      <c r="Q1538" s="2" t="s">
        <v>99</v>
      </c>
      <c r="R1538" s="2" t="s">
        <v>100</v>
      </c>
      <c r="S1538" s="2" t="s">
        <v>5146</v>
      </c>
      <c r="T1538" s="2" t="s">
        <v>100</v>
      </c>
      <c r="U1538" s="2" t="s">
        <v>1610</v>
      </c>
      <c r="V1538" s="2" t="s">
        <v>991</v>
      </c>
      <c r="W1538" s="2" t="s">
        <v>100</v>
      </c>
      <c r="X1538" s="2" t="s">
        <v>100</v>
      </c>
      <c r="Y1538" s="2" t="s">
        <v>5147</v>
      </c>
      <c r="Z1538" s="4">
        <v>492</v>
      </c>
      <c r="AA1538" s="4">
        <f>=ROUNDDOWN(37.2727272727273,0)</f>
      </c>
      <c r="AB1538" s="5">
        <v>13.2</v>
      </c>
      <c r="AC1538" s="2" t="s">
        <v>100</v>
      </c>
      <c r="AD1538" s="4"/>
      <c r="AE1538" s="4"/>
      <c r="AF1538" s="6">
        <v>69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>
        <v>339</v>
      </c>
      <c r="BK1538" s="8">
        <v>15909.38</v>
      </c>
      <c r="BL1538" s="2" t="s">
        <v>5150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147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5151</v>
      </c>
      <c r="B1539" s="2" t="s">
        <v>87</v>
      </c>
      <c r="C1539" s="2" t="s">
        <v>4677</v>
      </c>
      <c r="D1539" s="2" t="s">
        <v>2308</v>
      </c>
      <c r="E1539" s="2" t="s">
        <v>3080</v>
      </c>
      <c r="F1539" s="2" t="s">
        <v>5152</v>
      </c>
      <c r="G1539" s="2" t="s">
        <v>5152</v>
      </c>
      <c r="H1539" s="2" t="s">
        <v>100</v>
      </c>
      <c r="I1539" s="2" t="s">
        <v>5153</v>
      </c>
      <c r="J1539" s="2" t="s">
        <v>844</v>
      </c>
      <c r="K1539" s="2" t="s">
        <v>247</v>
      </c>
      <c r="L1539" s="3">
        <v>63.7</v>
      </c>
      <c r="M1539" s="3">
        <v>66.88</v>
      </c>
      <c r="N1539" s="3">
        <v>129.99</v>
      </c>
      <c r="O1539" s="2" t="s">
        <v>97</v>
      </c>
      <c r="P1539" s="2" t="s">
        <v>198</v>
      </c>
      <c r="Q1539" s="2" t="s">
        <v>99</v>
      </c>
      <c r="R1539" s="2" t="s">
        <v>100</v>
      </c>
      <c r="S1539" s="2" t="s">
        <v>5154</v>
      </c>
      <c r="T1539" s="2" t="s">
        <v>100</v>
      </c>
      <c r="U1539" s="2" t="s">
        <v>100</v>
      </c>
      <c r="V1539" s="2" t="s">
        <v>4714</v>
      </c>
      <c r="W1539" s="2" t="s">
        <v>1530</v>
      </c>
      <c r="X1539" s="2" t="s">
        <v>4769</v>
      </c>
      <c r="Y1539" s="2" t="s">
        <v>106</v>
      </c>
      <c r="Z1539" s="4">
        <v>126</v>
      </c>
      <c r="AA1539" s="4">
        <f>=ROUNDDOWN(15,0)</f>
      </c>
      <c r="AB1539" s="5">
        <v>8.4</v>
      </c>
      <c r="AC1539" s="2" t="s">
        <v>100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128</v>
      </c>
      <c r="BK1539" s="8">
        <v>6813.5</v>
      </c>
      <c r="BL1539" s="2" t="s">
        <v>5155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147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5156</v>
      </c>
      <c r="B1540" s="2" t="s">
        <v>87</v>
      </c>
      <c r="C1540" s="2" t="s">
        <v>4677</v>
      </c>
      <c r="D1540" s="2" t="s">
        <v>2308</v>
      </c>
      <c r="E1540" s="2" t="s">
        <v>3080</v>
      </c>
      <c r="F1540" s="2" t="s">
        <v>5152</v>
      </c>
      <c r="G1540" s="2" t="s">
        <v>5152</v>
      </c>
      <c r="H1540" s="2" t="s">
        <v>100</v>
      </c>
      <c r="I1540" s="2" t="s">
        <v>5153</v>
      </c>
      <c r="J1540" s="2" t="s">
        <v>850</v>
      </c>
      <c r="K1540" s="2" t="s">
        <v>247</v>
      </c>
      <c r="L1540" s="3">
        <v>73.5</v>
      </c>
      <c r="M1540" s="3">
        <v>77.17</v>
      </c>
      <c r="N1540" s="3">
        <v>149.99</v>
      </c>
      <c r="O1540" s="2" t="s">
        <v>97</v>
      </c>
      <c r="P1540" s="2" t="s">
        <v>198</v>
      </c>
      <c r="Q1540" s="2" t="s">
        <v>99</v>
      </c>
      <c r="R1540" s="2" t="s">
        <v>100</v>
      </c>
      <c r="S1540" s="2" t="s">
        <v>5154</v>
      </c>
      <c r="T1540" s="2" t="s">
        <v>100</v>
      </c>
      <c r="U1540" s="2" t="s">
        <v>100</v>
      </c>
      <c r="V1540" s="2" t="s">
        <v>4714</v>
      </c>
      <c r="W1540" s="2" t="s">
        <v>1530</v>
      </c>
      <c r="X1540" s="2" t="s">
        <v>4769</v>
      </c>
      <c r="Y1540" s="2" t="s">
        <v>106</v>
      </c>
      <c r="Z1540" s="4">
        <v>381</v>
      </c>
      <c r="AA1540" s="4">
        <f>=ROUNDDOWN(34.3243243243243,0)</f>
      </c>
      <c r="AB1540" s="5">
        <v>11.1</v>
      </c>
      <c r="AC1540" s="2" t="s">
        <v>100</v>
      </c>
      <c r="AD1540" s="4"/>
      <c r="AE1540" s="4"/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141</v>
      </c>
      <c r="BK1540" s="8">
        <v>9584.96</v>
      </c>
      <c r="BL1540" s="2" t="s">
        <v>5157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147</v>
      </c>
      <c r="BV1540" s="2" t="s">
        <v>97</v>
      </c>
      <c r="BW1540" s="2" t="s">
        <v>100</v>
      </c>
      <c r="BX1540" s="2" t="s">
        <v>100</v>
      </c>
      <c r="BY1540" s="2" t="s">
        <v>112</v>
      </c>
      <c r="BZ1540" s="2" t="s">
        <v>100</v>
      </c>
    </row>
    <row r="1541">
      <c r="A1541" s="2" t="s">
        <v>5158</v>
      </c>
      <c r="B1541" s="2" t="s">
        <v>87</v>
      </c>
      <c r="C1541" s="2" t="s">
        <v>4677</v>
      </c>
      <c r="D1541" s="2" t="s">
        <v>2308</v>
      </c>
      <c r="E1541" s="2" t="s">
        <v>3080</v>
      </c>
      <c r="F1541" s="2" t="s">
        <v>5152</v>
      </c>
      <c r="G1541" s="2" t="s">
        <v>5152</v>
      </c>
      <c r="H1541" s="2" t="s">
        <v>100</v>
      </c>
      <c r="I1541" s="2" t="s">
        <v>5153</v>
      </c>
      <c r="J1541" s="2" t="s">
        <v>844</v>
      </c>
      <c r="K1541" s="2" t="s">
        <v>298</v>
      </c>
      <c r="L1541" s="3">
        <v>63.7</v>
      </c>
      <c r="M1541" s="3">
        <v>66.88</v>
      </c>
      <c r="N1541" s="3">
        <v>129.99</v>
      </c>
      <c r="O1541" s="2" t="s">
        <v>97</v>
      </c>
      <c r="P1541" s="2" t="s">
        <v>198</v>
      </c>
      <c r="Q1541" s="2" t="s">
        <v>99</v>
      </c>
      <c r="R1541" s="2" t="s">
        <v>100</v>
      </c>
      <c r="S1541" s="2" t="s">
        <v>5159</v>
      </c>
      <c r="T1541" s="2" t="s">
        <v>100</v>
      </c>
      <c r="U1541" s="2" t="s">
        <v>100</v>
      </c>
      <c r="V1541" s="2" t="s">
        <v>4714</v>
      </c>
      <c r="W1541" s="2" t="s">
        <v>1530</v>
      </c>
      <c r="X1541" s="2" t="s">
        <v>4769</v>
      </c>
      <c r="Y1541" s="2" t="s">
        <v>106</v>
      </c>
      <c r="Z1541" s="4">
        <v>136</v>
      </c>
      <c r="AA1541" s="4">
        <f>=ROUNDDOWN(10.1492537313433,0)</f>
      </c>
      <c r="AB1541" s="5">
        <v>13.4</v>
      </c>
      <c r="AC1541" s="2" t="s">
        <v>100</v>
      </c>
      <c r="AD1541" s="4"/>
      <c r="AE1541" s="4"/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190</v>
      </c>
      <c r="BK1541" s="8">
        <v>10815.01</v>
      </c>
      <c r="BL1541" s="2" t="s">
        <v>5160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147</v>
      </c>
      <c r="BV1541" s="2" t="s">
        <v>97</v>
      </c>
      <c r="BW1541" s="2" t="s">
        <v>100</v>
      </c>
      <c r="BX1541" s="2" t="s">
        <v>100</v>
      </c>
      <c r="BY1541" s="2" t="s">
        <v>112</v>
      </c>
      <c r="BZ1541" s="2" t="s">
        <v>100</v>
      </c>
    </row>
    <row r="1542">
      <c r="A1542" s="2" t="s">
        <v>5161</v>
      </c>
      <c r="B1542" s="2" t="s">
        <v>87</v>
      </c>
      <c r="C1542" s="2" t="s">
        <v>4677</v>
      </c>
      <c r="D1542" s="2" t="s">
        <v>2308</v>
      </c>
      <c r="E1542" s="2" t="s">
        <v>3080</v>
      </c>
      <c r="F1542" s="2" t="s">
        <v>5152</v>
      </c>
      <c r="G1542" s="2" t="s">
        <v>5152</v>
      </c>
      <c r="H1542" s="2" t="s">
        <v>100</v>
      </c>
      <c r="I1542" s="2" t="s">
        <v>5153</v>
      </c>
      <c r="J1542" s="2" t="s">
        <v>850</v>
      </c>
      <c r="K1542" s="2" t="s">
        <v>298</v>
      </c>
      <c r="L1542" s="3">
        <v>73.5</v>
      </c>
      <c r="M1542" s="3">
        <v>77.17</v>
      </c>
      <c r="N1542" s="3">
        <v>149.99</v>
      </c>
      <c r="O1542" s="2" t="s">
        <v>97</v>
      </c>
      <c r="P1542" s="2" t="s">
        <v>198</v>
      </c>
      <c r="Q1542" s="2" t="s">
        <v>99</v>
      </c>
      <c r="R1542" s="2" t="s">
        <v>100</v>
      </c>
      <c r="S1542" s="2" t="s">
        <v>5159</v>
      </c>
      <c r="T1542" s="2" t="s">
        <v>100</v>
      </c>
      <c r="U1542" s="2" t="s">
        <v>100</v>
      </c>
      <c r="V1542" s="2" t="s">
        <v>4714</v>
      </c>
      <c r="W1542" s="2" t="s">
        <v>1530</v>
      </c>
      <c r="X1542" s="2" t="s">
        <v>4769</v>
      </c>
      <c r="Y1542" s="2" t="s">
        <v>106</v>
      </c>
      <c r="Z1542" s="4">
        <v>359</v>
      </c>
      <c r="AA1542" s="4">
        <f>=ROUNDDOWN(29.9166666666667,0)</f>
      </c>
      <c r="AB1542" s="5">
        <v>12</v>
      </c>
      <c r="AC1542" s="2" t="s">
        <v>100</v>
      </c>
      <c r="AD1542" s="4"/>
      <c r="AE1542" s="4"/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216</v>
      </c>
      <c r="BK1542" s="8">
        <v>14392.27</v>
      </c>
      <c r="BL1542" s="2" t="s">
        <v>5162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147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5163</v>
      </c>
      <c r="B1543" s="2" t="s">
        <v>87</v>
      </c>
      <c r="C1543" s="2" t="s">
        <v>4677</v>
      </c>
      <c r="D1543" s="2" t="s">
        <v>2308</v>
      </c>
      <c r="E1543" s="2" t="s">
        <v>2309</v>
      </c>
      <c r="F1543" s="2" t="s">
        <v>5164</v>
      </c>
      <c r="G1543" s="2" t="s">
        <v>5164</v>
      </c>
      <c r="H1543" s="2" t="s">
        <v>5164</v>
      </c>
      <c r="I1543" s="2" t="s">
        <v>5165</v>
      </c>
      <c r="J1543" s="2" t="s">
        <v>844</v>
      </c>
      <c r="K1543" s="2" t="s">
        <v>123</v>
      </c>
      <c r="L1543" s="3">
        <v>58.8</v>
      </c>
      <c r="M1543" s="3">
        <v>61.74</v>
      </c>
      <c r="N1543" s="3">
        <v>119.99</v>
      </c>
      <c r="O1543" s="2" t="s">
        <v>97</v>
      </c>
      <c r="P1543" s="2" t="s">
        <v>198</v>
      </c>
      <c r="Q1543" s="2" t="s">
        <v>99</v>
      </c>
      <c r="R1543" s="2" t="s">
        <v>100</v>
      </c>
      <c r="S1543" s="2" t="s">
        <v>5166</v>
      </c>
      <c r="T1543" s="2" t="s">
        <v>732</v>
      </c>
      <c r="U1543" s="2" t="s">
        <v>1610</v>
      </c>
      <c r="V1543" s="2" t="s">
        <v>4714</v>
      </c>
      <c r="W1543" s="2" t="s">
        <v>1530</v>
      </c>
      <c r="X1543" s="2" t="s">
        <v>759</v>
      </c>
      <c r="Y1543" s="2" t="s">
        <v>918</v>
      </c>
      <c r="Z1543" s="4">
        <v>140</v>
      </c>
      <c r="AA1543" s="4">
        <f>=ROUNDDOWN(25,0)</f>
      </c>
      <c r="AB1543" s="5">
        <v>5.6</v>
      </c>
      <c r="AC1543" s="2" t="s">
        <v>100</v>
      </c>
      <c r="AD1543" s="4"/>
      <c r="AE1543" s="4"/>
      <c r="AF1543" s="6">
        <v>67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115</v>
      </c>
      <c r="BK1543" s="8">
        <v>7626.36</v>
      </c>
      <c r="BL1543" s="2" t="s">
        <v>290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147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5167</v>
      </c>
      <c r="B1544" s="2" t="s">
        <v>87</v>
      </c>
      <c r="C1544" s="2" t="s">
        <v>4677</v>
      </c>
      <c r="D1544" s="2" t="s">
        <v>2308</v>
      </c>
      <c r="E1544" s="2" t="s">
        <v>2309</v>
      </c>
      <c r="F1544" s="2" t="s">
        <v>5164</v>
      </c>
      <c r="G1544" s="2" t="s">
        <v>5164</v>
      </c>
      <c r="H1544" s="2" t="s">
        <v>5164</v>
      </c>
      <c r="I1544" s="2" t="s">
        <v>5165</v>
      </c>
      <c r="J1544" s="2" t="s">
        <v>850</v>
      </c>
      <c r="K1544" s="2" t="s">
        <v>123</v>
      </c>
      <c r="L1544" s="3">
        <v>75</v>
      </c>
      <c r="M1544" s="3">
        <v>78.75</v>
      </c>
      <c r="N1544" s="3">
        <v>149.99</v>
      </c>
      <c r="O1544" s="2" t="s">
        <v>97</v>
      </c>
      <c r="P1544" s="2" t="s">
        <v>198</v>
      </c>
      <c r="Q1544" s="2" t="s">
        <v>99</v>
      </c>
      <c r="R1544" s="2" t="s">
        <v>100</v>
      </c>
      <c r="S1544" s="2" t="s">
        <v>5166</v>
      </c>
      <c r="T1544" s="2" t="s">
        <v>732</v>
      </c>
      <c r="U1544" s="2" t="s">
        <v>1610</v>
      </c>
      <c r="V1544" s="2" t="s">
        <v>4714</v>
      </c>
      <c r="W1544" s="2" t="s">
        <v>1530</v>
      </c>
      <c r="X1544" s="2" t="s">
        <v>759</v>
      </c>
      <c r="Y1544" s="2" t="s">
        <v>918</v>
      </c>
      <c r="Z1544" s="4">
        <v>288</v>
      </c>
      <c r="AA1544" s="4">
        <f>=ROUNDDOWN(57.6,0)</f>
      </c>
      <c r="AB1544" s="5">
        <v>5</v>
      </c>
      <c r="AC1544" s="2" t="s">
        <v>100</v>
      </c>
      <c r="AD1544" s="4"/>
      <c r="AE1544" s="4"/>
      <c r="AF1544" s="6">
        <v>67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102</v>
      </c>
      <c r="BK1544" s="8">
        <v>8463.23</v>
      </c>
      <c r="BL1544" s="2" t="s">
        <v>290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147</v>
      </c>
      <c r="BV1544" s="2" t="s">
        <v>97</v>
      </c>
      <c r="BW1544" s="2" t="s">
        <v>100</v>
      </c>
      <c r="BX1544" s="2" t="s">
        <v>100</v>
      </c>
      <c r="BY1544" s="2" t="s">
        <v>112</v>
      </c>
      <c r="BZ1544" s="2" t="s">
        <v>100</v>
      </c>
    </row>
    <row r="1545">
      <c r="A1545" s="2" t="s">
        <v>5168</v>
      </c>
      <c r="B1545" s="2" t="s">
        <v>87</v>
      </c>
      <c r="C1545" s="2" t="s">
        <v>4677</v>
      </c>
      <c r="D1545" s="2" t="s">
        <v>3569</v>
      </c>
      <c r="E1545" s="2" t="s">
        <v>5169</v>
      </c>
      <c r="F1545" s="2" t="s">
        <v>1108</v>
      </c>
      <c r="G1545" s="2" t="s">
        <v>1108</v>
      </c>
      <c r="H1545" s="2" t="s">
        <v>1108</v>
      </c>
      <c r="I1545" s="2" t="s">
        <v>5170</v>
      </c>
      <c r="J1545" s="2" t="s">
        <v>5171</v>
      </c>
      <c r="K1545" s="2" t="s">
        <v>142</v>
      </c>
      <c r="L1545" s="3">
        <v>14.85</v>
      </c>
      <c r="M1545" s="3">
        <v>15.59</v>
      </c>
      <c r="N1545" s="3">
        <v>32.99</v>
      </c>
      <c r="O1545" s="2" t="s">
        <v>97</v>
      </c>
      <c r="P1545" s="2" t="s">
        <v>143</v>
      </c>
      <c r="Q1545" s="2" t="s">
        <v>99</v>
      </c>
      <c r="R1545" s="2" t="s">
        <v>100</v>
      </c>
      <c r="S1545" s="2" t="s">
        <v>5172</v>
      </c>
      <c r="T1545" s="2" t="s">
        <v>100</v>
      </c>
      <c r="U1545" s="2" t="s">
        <v>100</v>
      </c>
      <c r="V1545" s="2" t="s">
        <v>601</v>
      </c>
      <c r="W1545" s="2" t="s">
        <v>759</v>
      </c>
      <c r="X1545" s="2" t="s">
        <v>2195</v>
      </c>
      <c r="Y1545" s="2" t="s">
        <v>106</v>
      </c>
      <c r="Z1545" s="4">
        <v>1101</v>
      </c>
      <c r="AA1545" s="4">
        <f>=ROUNDDOWN(23.9347826086956,0)</f>
      </c>
      <c r="AB1545" s="5">
        <v>46</v>
      </c>
      <c r="AC1545" s="2" t="s">
        <v>2305</v>
      </c>
      <c r="AD1545" s="4">
        <v>500</v>
      </c>
      <c r="AE1545" s="4">
        <v>500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844</v>
      </c>
      <c r="BK1545" s="8">
        <v>13208.21</v>
      </c>
      <c r="BL1545" s="2" t="s">
        <v>5173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147</v>
      </c>
      <c r="BV1545" s="2" t="s">
        <v>97</v>
      </c>
      <c r="BW1545" s="2" t="s">
        <v>100</v>
      </c>
      <c r="BX1545" s="2" t="s">
        <v>100</v>
      </c>
      <c r="BY1545" s="2" t="s">
        <v>112</v>
      </c>
      <c r="BZ1545" s="2" t="s">
        <v>100</v>
      </c>
    </row>
    <row r="1546">
      <c r="A1546" s="2" t="s">
        <v>5174</v>
      </c>
      <c r="B1546" s="2" t="s">
        <v>87</v>
      </c>
      <c r="C1546" s="2" t="s">
        <v>4677</v>
      </c>
      <c r="D1546" s="2" t="s">
        <v>3569</v>
      </c>
      <c r="E1546" s="2" t="s">
        <v>5169</v>
      </c>
      <c r="F1546" s="2" t="s">
        <v>1108</v>
      </c>
      <c r="G1546" s="2" t="s">
        <v>1108</v>
      </c>
      <c r="H1546" s="2" t="s">
        <v>1108</v>
      </c>
      <c r="I1546" s="2" t="s">
        <v>5170</v>
      </c>
      <c r="J1546" s="2" t="s">
        <v>5171</v>
      </c>
      <c r="K1546" s="2" t="s">
        <v>333</v>
      </c>
      <c r="L1546" s="3">
        <v>14.85</v>
      </c>
      <c r="M1546" s="3">
        <v>15.59</v>
      </c>
      <c r="N1546" s="3">
        <v>32.99</v>
      </c>
      <c r="O1546" s="2" t="s">
        <v>97</v>
      </c>
      <c r="P1546" s="2" t="s">
        <v>182</v>
      </c>
      <c r="Q1546" s="2" t="s">
        <v>99</v>
      </c>
      <c r="R1546" s="2" t="s">
        <v>100</v>
      </c>
      <c r="S1546" s="2" t="s">
        <v>5175</v>
      </c>
      <c r="T1546" s="2" t="s">
        <v>100</v>
      </c>
      <c r="U1546" s="2" t="s">
        <v>100</v>
      </c>
      <c r="V1546" s="2" t="s">
        <v>601</v>
      </c>
      <c r="W1546" s="2" t="s">
        <v>759</v>
      </c>
      <c r="X1546" s="2" t="s">
        <v>2195</v>
      </c>
      <c r="Y1546" s="2" t="s">
        <v>5176</v>
      </c>
      <c r="Z1546" s="4">
        <v>582</v>
      </c>
      <c r="AA1546" s="4">
        <f>=ROUNDDOWN(26.4545454545455,0)</f>
      </c>
      <c r="AB1546" s="5">
        <v>22</v>
      </c>
      <c r="AC1546" s="2" t="s">
        <v>659</v>
      </c>
      <c r="AD1546" s="4">
        <v>240</v>
      </c>
      <c r="AE1546" s="4">
        <v>240</v>
      </c>
      <c r="AF1546" s="6">
        <v>64</v>
      </c>
      <c r="AG1546" s="6"/>
      <c r="AH1546" s="7">
        <v>0.8182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/>
      <c r="AW1546" s="8"/>
      <c r="AX1546" s="4"/>
      <c r="AY1546" s="8"/>
      <c r="AZ1546" s="7"/>
      <c r="BA1546" s="7"/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305</v>
      </c>
      <c r="BK1546" s="8">
        <v>4697.55</v>
      </c>
      <c r="BL1546" s="2" t="s">
        <v>5177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147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5178</v>
      </c>
      <c r="B1547" s="2" t="s">
        <v>87</v>
      </c>
      <c r="C1547" s="2" t="s">
        <v>4677</v>
      </c>
      <c r="D1547" s="2" t="s">
        <v>3569</v>
      </c>
      <c r="E1547" s="2" t="s">
        <v>5169</v>
      </c>
      <c r="F1547" s="2" t="s">
        <v>1108</v>
      </c>
      <c r="G1547" s="2" t="s">
        <v>1108</v>
      </c>
      <c r="H1547" s="2" t="s">
        <v>1108</v>
      </c>
      <c r="I1547" s="2" t="s">
        <v>5170</v>
      </c>
      <c r="J1547" s="2" t="s">
        <v>5171</v>
      </c>
      <c r="K1547" s="2" t="s">
        <v>197</v>
      </c>
      <c r="L1547" s="3">
        <v>14.85</v>
      </c>
      <c r="M1547" s="3">
        <v>15.59</v>
      </c>
      <c r="N1547" s="3">
        <v>32.99</v>
      </c>
      <c r="O1547" s="2" t="s">
        <v>97</v>
      </c>
      <c r="P1547" s="2" t="s">
        <v>143</v>
      </c>
      <c r="Q1547" s="2" t="s">
        <v>99</v>
      </c>
      <c r="R1547" s="2" t="s">
        <v>100</v>
      </c>
      <c r="S1547" s="2" t="s">
        <v>5179</v>
      </c>
      <c r="T1547" s="2" t="s">
        <v>732</v>
      </c>
      <c r="U1547" s="2" t="s">
        <v>3531</v>
      </c>
      <c r="V1547" s="2" t="s">
        <v>601</v>
      </c>
      <c r="W1547" s="2" t="s">
        <v>759</v>
      </c>
      <c r="X1547" s="2" t="s">
        <v>2195</v>
      </c>
      <c r="Y1547" s="2" t="s">
        <v>4377</v>
      </c>
      <c r="Z1547" s="4">
        <v>899</v>
      </c>
      <c r="AA1547" s="4">
        <f>=ROUNDDOWN(16.6481481481481,0)</f>
      </c>
      <c r="AB1547" s="5">
        <v>54</v>
      </c>
      <c r="AC1547" s="2" t="s">
        <v>126</v>
      </c>
      <c r="AD1547" s="4">
        <v>300</v>
      </c>
      <c r="AE1547" s="4">
        <v>850</v>
      </c>
      <c r="AF1547" s="6">
        <v>66</v>
      </c>
      <c r="AG1547" s="6"/>
      <c r="AH1547" s="7">
        <v>0.9818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/>
      <c r="BJ1547" s="4">
        <v>980</v>
      </c>
      <c r="BK1547" s="8">
        <v>15653.33</v>
      </c>
      <c r="BL1547" s="2" t="s">
        <v>5180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147</v>
      </c>
      <c r="BV1547" s="2" t="s">
        <v>97</v>
      </c>
      <c r="BW1547" s="2" t="s">
        <v>100</v>
      </c>
      <c r="BX1547" s="2" t="s">
        <v>100</v>
      </c>
      <c r="BY1547" s="2" t="s">
        <v>112</v>
      </c>
      <c r="BZ1547" s="2" t="s">
        <v>100</v>
      </c>
    </row>
    <row r="1548">
      <c r="A1548" s="2" t="s">
        <v>5181</v>
      </c>
      <c r="B1548" s="2" t="s">
        <v>87</v>
      </c>
      <c r="C1548" s="2" t="s">
        <v>4677</v>
      </c>
      <c r="D1548" s="2" t="s">
        <v>3569</v>
      </c>
      <c r="E1548" s="2" t="s">
        <v>5169</v>
      </c>
      <c r="F1548" s="2" t="s">
        <v>1108</v>
      </c>
      <c r="G1548" s="2" t="s">
        <v>1108</v>
      </c>
      <c r="H1548" s="2" t="s">
        <v>1108</v>
      </c>
      <c r="I1548" s="2" t="s">
        <v>5170</v>
      </c>
      <c r="J1548" s="2" t="s">
        <v>5171</v>
      </c>
      <c r="K1548" s="2" t="s">
        <v>622</v>
      </c>
      <c r="L1548" s="3">
        <v>14.85</v>
      </c>
      <c r="M1548" s="3">
        <v>15.59</v>
      </c>
      <c r="N1548" s="3">
        <v>32.99</v>
      </c>
      <c r="O1548" s="2" t="s">
        <v>97</v>
      </c>
      <c r="P1548" s="2" t="s">
        <v>143</v>
      </c>
      <c r="Q1548" s="2" t="s">
        <v>99</v>
      </c>
      <c r="R1548" s="2" t="s">
        <v>100</v>
      </c>
      <c r="S1548" s="2" t="s">
        <v>5182</v>
      </c>
      <c r="T1548" s="2" t="s">
        <v>100</v>
      </c>
      <c r="U1548" s="2" t="s">
        <v>100</v>
      </c>
      <c r="V1548" s="2" t="s">
        <v>601</v>
      </c>
      <c r="W1548" s="2" t="s">
        <v>759</v>
      </c>
      <c r="X1548" s="2" t="s">
        <v>2195</v>
      </c>
      <c r="Y1548" s="2" t="s">
        <v>106</v>
      </c>
      <c r="Z1548" s="4">
        <v>1043</v>
      </c>
      <c r="AA1548" s="4">
        <f>=ROUNDDOWN(28.9722222222222,0)</f>
      </c>
      <c r="AB1548" s="5">
        <v>36</v>
      </c>
      <c r="AC1548" s="2" t="s">
        <v>100</v>
      </c>
      <c r="AD1548" s="4"/>
      <c r="AE1548" s="4"/>
      <c r="AF1548" s="6">
        <v>65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>
        <v>696</v>
      </c>
      <c r="BK1548" s="8">
        <v>10854.77</v>
      </c>
      <c r="BL1548" s="2" t="s">
        <v>5183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147</v>
      </c>
      <c r="BV1548" s="2" t="s">
        <v>97</v>
      </c>
      <c r="BW1548" s="2" t="s">
        <v>100</v>
      </c>
      <c r="BX1548" s="2" t="s">
        <v>100</v>
      </c>
      <c r="BY1548" s="2" t="s">
        <v>112</v>
      </c>
      <c r="BZ1548" s="2" t="s">
        <v>100</v>
      </c>
    </row>
    <row r="1549">
      <c r="A1549" s="2" t="s">
        <v>5184</v>
      </c>
      <c r="B1549" s="2" t="s">
        <v>87</v>
      </c>
      <c r="C1549" s="2" t="s">
        <v>4677</v>
      </c>
      <c r="D1549" s="2" t="s">
        <v>3569</v>
      </c>
      <c r="E1549" s="2" t="s">
        <v>5169</v>
      </c>
      <c r="F1549" s="2" t="s">
        <v>1108</v>
      </c>
      <c r="G1549" s="2" t="s">
        <v>1108</v>
      </c>
      <c r="H1549" s="2" t="s">
        <v>1108</v>
      </c>
      <c r="I1549" s="2" t="s">
        <v>5170</v>
      </c>
      <c r="J1549" s="2" t="s">
        <v>5171</v>
      </c>
      <c r="K1549" s="2" t="s">
        <v>666</v>
      </c>
      <c r="L1549" s="3">
        <v>14.85</v>
      </c>
      <c r="M1549" s="3">
        <v>15.59</v>
      </c>
      <c r="N1549" s="3">
        <v>32.99</v>
      </c>
      <c r="O1549" s="2" t="s">
        <v>97</v>
      </c>
      <c r="P1549" s="2" t="s">
        <v>143</v>
      </c>
      <c r="Q1549" s="2" t="s">
        <v>99</v>
      </c>
      <c r="R1549" s="2" t="s">
        <v>100</v>
      </c>
      <c r="S1549" s="2" t="s">
        <v>5185</v>
      </c>
      <c r="T1549" s="2" t="s">
        <v>100</v>
      </c>
      <c r="U1549" s="2" t="s">
        <v>100</v>
      </c>
      <c r="V1549" s="2" t="s">
        <v>601</v>
      </c>
      <c r="W1549" s="2" t="s">
        <v>759</v>
      </c>
      <c r="X1549" s="2" t="s">
        <v>2195</v>
      </c>
      <c r="Y1549" s="2" t="s">
        <v>106</v>
      </c>
      <c r="Z1549" s="4">
        <v>560</v>
      </c>
      <c r="AA1549" s="4">
        <f>=ROUNDDOWN(14.3589743589744,0)</f>
      </c>
      <c r="AB1549" s="5">
        <v>39</v>
      </c>
      <c r="AC1549" s="2" t="s">
        <v>766</v>
      </c>
      <c r="AD1549" s="4">
        <v>1000</v>
      </c>
      <c r="AE1549" s="4">
        <v>1000</v>
      </c>
      <c r="AF1549" s="6">
        <v>65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762</v>
      </c>
      <c r="BK1549" s="8">
        <v>11961.8</v>
      </c>
      <c r="BL1549" s="2" t="s">
        <v>5186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147</v>
      </c>
      <c r="BV1549" s="2" t="s">
        <v>97</v>
      </c>
      <c r="BW1549" s="2" t="s">
        <v>100</v>
      </c>
      <c r="BX1549" s="2" t="s">
        <v>100</v>
      </c>
      <c r="BY1549" s="2" t="s">
        <v>112</v>
      </c>
      <c r="BZ1549" s="2" t="s">
        <v>100</v>
      </c>
    </row>
    <row r="1550">
      <c r="A1550" s="2" t="s">
        <v>5187</v>
      </c>
      <c r="B1550" s="2" t="s">
        <v>87</v>
      </c>
      <c r="C1550" s="2" t="s">
        <v>4677</v>
      </c>
      <c r="D1550" s="2" t="s">
        <v>3569</v>
      </c>
      <c r="E1550" s="2" t="s">
        <v>5169</v>
      </c>
      <c r="F1550" s="2" t="s">
        <v>1537</v>
      </c>
      <c r="G1550" s="2" t="s">
        <v>1537</v>
      </c>
      <c r="H1550" s="2" t="s">
        <v>1537</v>
      </c>
      <c r="I1550" s="2" t="s">
        <v>5188</v>
      </c>
      <c r="J1550" s="2" t="s">
        <v>5171</v>
      </c>
      <c r="K1550" s="2" t="s">
        <v>1204</v>
      </c>
      <c r="L1550" s="3">
        <v>14.85</v>
      </c>
      <c r="M1550" s="3">
        <v>15.59</v>
      </c>
      <c r="N1550" s="3">
        <v>32.99</v>
      </c>
      <c r="O1550" s="2" t="s">
        <v>550</v>
      </c>
      <c r="P1550" s="2" t="s">
        <v>198</v>
      </c>
      <c r="Q1550" s="2" t="s">
        <v>99</v>
      </c>
      <c r="R1550" s="2" t="s">
        <v>100</v>
      </c>
      <c r="S1550" s="2" t="s">
        <v>5189</v>
      </c>
      <c r="T1550" s="2" t="s">
        <v>732</v>
      </c>
      <c r="U1550" s="2" t="s">
        <v>3531</v>
      </c>
      <c r="V1550" s="2" t="s">
        <v>637</v>
      </c>
      <c r="W1550" s="2" t="s">
        <v>759</v>
      </c>
      <c r="X1550" s="2" t="s">
        <v>2195</v>
      </c>
      <c r="Y1550" s="2" t="s">
        <v>5190</v>
      </c>
      <c r="Z1550" s="4">
        <v>85</v>
      </c>
      <c r="AA1550" s="4">
        <f>=ROUNDDOWN(30.3571428571429,0)</f>
      </c>
      <c r="AB1550" s="5">
        <v>2.8</v>
      </c>
      <c r="AC1550" s="2" t="s">
        <v>100</v>
      </c>
      <c r="AD1550" s="4"/>
      <c r="AE1550" s="4"/>
      <c r="AF1550" s="6">
        <v>65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/>
      <c r="AW1550" s="8"/>
      <c r="AX1550" s="4"/>
      <c r="AY1550" s="8"/>
      <c r="AZ1550" s="7"/>
      <c r="BA1550" s="7"/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100</v>
      </c>
      <c r="BK1550" s="8">
        <v>1253.12</v>
      </c>
      <c r="BL1550" s="2" t="s">
        <v>5191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147</v>
      </c>
      <c r="BV1550" s="2" t="s">
        <v>97</v>
      </c>
      <c r="BW1550" s="2" t="s">
        <v>100</v>
      </c>
      <c r="BX1550" s="2" t="s">
        <v>100</v>
      </c>
      <c r="BY1550" s="2" t="s">
        <v>112</v>
      </c>
      <c r="BZ1550" s="2" t="s">
        <v>100</v>
      </c>
    </row>
    <row r="1551">
      <c r="A1551" s="2" t="s">
        <v>5192</v>
      </c>
      <c r="B1551" s="2" t="s">
        <v>87</v>
      </c>
      <c r="C1551" s="2" t="s">
        <v>4677</v>
      </c>
      <c r="D1551" s="2" t="s">
        <v>3569</v>
      </c>
      <c r="E1551" s="2" t="s">
        <v>5169</v>
      </c>
      <c r="F1551" s="2" t="s">
        <v>1537</v>
      </c>
      <c r="G1551" s="2" t="s">
        <v>1537</v>
      </c>
      <c r="H1551" s="2" t="s">
        <v>1537</v>
      </c>
      <c r="I1551" s="2" t="s">
        <v>5188</v>
      </c>
      <c r="J1551" s="2" t="s">
        <v>5171</v>
      </c>
      <c r="K1551" s="2" t="s">
        <v>197</v>
      </c>
      <c r="L1551" s="3">
        <v>14.85</v>
      </c>
      <c r="M1551" s="3">
        <v>15.59</v>
      </c>
      <c r="N1551" s="3">
        <v>32.99</v>
      </c>
      <c r="O1551" s="2" t="s">
        <v>97</v>
      </c>
      <c r="P1551" s="2" t="s">
        <v>3737</v>
      </c>
      <c r="Q1551" s="2" t="s">
        <v>99</v>
      </c>
      <c r="R1551" s="2" t="s">
        <v>100</v>
      </c>
      <c r="S1551" s="2" t="s">
        <v>5193</v>
      </c>
      <c r="T1551" s="2" t="s">
        <v>100</v>
      </c>
      <c r="U1551" s="2" t="s">
        <v>100</v>
      </c>
      <c r="V1551" s="2" t="s">
        <v>637</v>
      </c>
      <c r="W1551" s="2" t="s">
        <v>759</v>
      </c>
      <c r="X1551" s="2" t="s">
        <v>2195</v>
      </c>
      <c r="Y1551" s="2" t="s">
        <v>106</v>
      </c>
      <c r="Z1551" s="4"/>
      <c r="AA1551" s="4">
        <f>=ROUNDDOWN({0},0)</f>
      </c>
      <c r="AB1551" s="5">
        <v>1.8</v>
      </c>
      <c r="AC1551" s="2" t="s">
        <v>100</v>
      </c>
      <c r="AD1551" s="4"/>
      <c r="AE1551" s="4"/>
      <c r="AF1551" s="6">
        <v>65</v>
      </c>
      <c r="AG1551" s="6">
        <v>48</v>
      </c>
      <c r="AH1551" s="7">
        <v>0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/>
      <c r="AW1551" s="8"/>
      <c r="AX1551" s="4"/>
      <c r="AY1551" s="8"/>
      <c r="AZ1551" s="7"/>
      <c r="BA1551" s="7"/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/>
      <c r="BK1551" s="8"/>
      <c r="BL1551" s="2" t="s">
        <v>5194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147</v>
      </c>
      <c r="BV1551" s="2" t="s">
        <v>97</v>
      </c>
      <c r="BW1551" s="2" t="s">
        <v>100</v>
      </c>
      <c r="BX1551" s="2" t="s">
        <v>100</v>
      </c>
      <c r="BY1551" s="2" t="s">
        <v>112</v>
      </c>
      <c r="BZ1551" s="2" t="s">
        <v>100</v>
      </c>
    </row>
    <row r="1552">
      <c r="A1552" s="2" t="s">
        <v>5195</v>
      </c>
      <c r="B1552" s="2" t="s">
        <v>87</v>
      </c>
      <c r="C1552" s="2" t="s">
        <v>4677</v>
      </c>
      <c r="D1552" s="2" t="s">
        <v>3569</v>
      </c>
      <c r="E1552" s="2" t="s">
        <v>5169</v>
      </c>
      <c r="F1552" s="2" t="s">
        <v>1537</v>
      </c>
      <c r="G1552" s="2" t="s">
        <v>1537</v>
      </c>
      <c r="H1552" s="2" t="s">
        <v>1537</v>
      </c>
      <c r="I1552" s="2" t="s">
        <v>5188</v>
      </c>
      <c r="J1552" s="2" t="s">
        <v>5171</v>
      </c>
      <c r="K1552" s="2" t="s">
        <v>666</v>
      </c>
      <c r="L1552" s="3">
        <v>14.85</v>
      </c>
      <c r="M1552" s="3">
        <v>15.59</v>
      </c>
      <c r="N1552" s="3">
        <v>32.99</v>
      </c>
      <c r="O1552" s="2" t="s">
        <v>97</v>
      </c>
      <c r="P1552" s="2" t="s">
        <v>143</v>
      </c>
      <c r="Q1552" s="2" t="s">
        <v>99</v>
      </c>
      <c r="R1552" s="2" t="s">
        <v>100</v>
      </c>
      <c r="S1552" s="2" t="s">
        <v>5196</v>
      </c>
      <c r="T1552" s="2" t="s">
        <v>100</v>
      </c>
      <c r="U1552" s="2" t="s">
        <v>100</v>
      </c>
      <c r="V1552" s="2" t="s">
        <v>637</v>
      </c>
      <c r="W1552" s="2" t="s">
        <v>759</v>
      </c>
      <c r="X1552" s="2" t="s">
        <v>2195</v>
      </c>
      <c r="Y1552" s="2" t="s">
        <v>106</v>
      </c>
      <c r="Z1552" s="4">
        <v>1221</v>
      </c>
      <c r="AA1552" s="4">
        <f>=ROUNDDOWN(24.9183673469388,0)</f>
      </c>
      <c r="AB1552" s="5">
        <v>49</v>
      </c>
      <c r="AC1552" s="2" t="s">
        <v>936</v>
      </c>
      <c r="AD1552" s="4">
        <v>140</v>
      </c>
      <c r="AE1552" s="4">
        <v>920</v>
      </c>
      <c r="AF1552" s="6">
        <v>65</v>
      </c>
      <c r="AG1552" s="6">
        <v>48</v>
      </c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/>
      <c r="AW1552" s="8"/>
      <c r="AX1552" s="4"/>
      <c r="AY1552" s="8"/>
      <c r="AZ1552" s="7"/>
      <c r="BA1552" s="7"/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825</v>
      </c>
      <c r="BK1552" s="8">
        <v>13083.36</v>
      </c>
      <c r="BL1552" s="2" t="s">
        <v>5197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97</v>
      </c>
      <c r="BW1552" s="2" t="s">
        <v>110</v>
      </c>
      <c r="BX1552" s="2" t="s">
        <v>111</v>
      </c>
      <c r="BY1552" s="2" t="s">
        <v>112</v>
      </c>
      <c r="BZ1552" s="2" t="s">
        <v>100</v>
      </c>
    </row>
    <row r="1553">
      <c r="A1553" s="2" t="s">
        <v>5198</v>
      </c>
      <c r="B1553" s="2" t="s">
        <v>87</v>
      </c>
      <c r="C1553" s="2" t="s">
        <v>4677</v>
      </c>
      <c r="D1553" s="2" t="s">
        <v>3569</v>
      </c>
      <c r="E1553" s="2" t="s">
        <v>5169</v>
      </c>
      <c r="F1553" s="2" t="s">
        <v>5199</v>
      </c>
      <c r="G1553" s="2" t="s">
        <v>5199</v>
      </c>
      <c r="H1553" s="2" t="s">
        <v>100</v>
      </c>
      <c r="I1553" s="2" t="s">
        <v>5200</v>
      </c>
      <c r="J1553" s="2" t="s">
        <v>5171</v>
      </c>
      <c r="K1553" s="2" t="s">
        <v>666</v>
      </c>
      <c r="L1553" s="3">
        <v>14.85</v>
      </c>
      <c r="M1553" s="3">
        <v>15.59</v>
      </c>
      <c r="N1553" s="3">
        <v>32.99</v>
      </c>
      <c r="O1553" s="2" t="s">
        <v>97</v>
      </c>
      <c r="P1553" s="2" t="s">
        <v>182</v>
      </c>
      <c r="Q1553" s="2" t="s">
        <v>99</v>
      </c>
      <c r="R1553" s="2" t="s">
        <v>100</v>
      </c>
      <c r="S1553" s="2" t="s">
        <v>4928</v>
      </c>
      <c r="T1553" s="2" t="s">
        <v>732</v>
      </c>
      <c r="U1553" s="2" t="s">
        <v>3531</v>
      </c>
      <c r="V1553" s="2" t="s">
        <v>601</v>
      </c>
      <c r="W1553" s="2" t="s">
        <v>759</v>
      </c>
      <c r="X1553" s="2" t="s">
        <v>2195</v>
      </c>
      <c r="Y1553" s="2" t="s">
        <v>106</v>
      </c>
      <c r="Z1553" s="4">
        <v>632</v>
      </c>
      <c r="AA1553" s="4">
        <f>=ROUNDDOWN(45.1428571428571,0)</f>
      </c>
      <c r="AB1553" s="5">
        <v>14</v>
      </c>
      <c r="AC1553" s="2" t="s">
        <v>100</v>
      </c>
      <c r="AD1553" s="4"/>
      <c r="AE1553" s="4"/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/>
      <c r="BD1553" s="8"/>
      <c r="BE1553" s="4"/>
      <c r="BF1553" s="8"/>
      <c r="BG1553" s="7"/>
      <c r="BH1553" s="7"/>
      <c r="BI1553" s="7"/>
      <c r="BJ1553" s="4">
        <v>254</v>
      </c>
      <c r="BK1553" s="8">
        <v>3835.36</v>
      </c>
      <c r="BL1553" s="2" t="s">
        <v>5201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147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5202</v>
      </c>
      <c r="B1554" s="2" t="s">
        <v>87</v>
      </c>
      <c r="C1554" s="2" t="s">
        <v>4677</v>
      </c>
      <c r="D1554" s="2" t="s">
        <v>5203</v>
      </c>
      <c r="E1554" s="2" t="s">
        <v>5204</v>
      </c>
      <c r="F1554" s="2" t="s">
        <v>5205</v>
      </c>
      <c r="G1554" s="2" t="s">
        <v>5205</v>
      </c>
      <c r="H1554" s="2" t="s">
        <v>5205</v>
      </c>
      <c r="I1554" s="2" t="s">
        <v>5206</v>
      </c>
      <c r="J1554" s="2" t="s">
        <v>5207</v>
      </c>
      <c r="K1554" s="2" t="s">
        <v>333</v>
      </c>
      <c r="L1554" s="3">
        <v>14.4</v>
      </c>
      <c r="M1554" s="3">
        <v>15.12</v>
      </c>
      <c r="N1554" s="3">
        <v>31.99</v>
      </c>
      <c r="O1554" s="2" t="s">
        <v>550</v>
      </c>
      <c r="P1554" s="2" t="s">
        <v>198</v>
      </c>
      <c r="Q1554" s="2" t="s">
        <v>99</v>
      </c>
      <c r="R1554" s="2" t="s">
        <v>100</v>
      </c>
      <c r="S1554" s="2" t="s">
        <v>5208</v>
      </c>
      <c r="T1554" s="2" t="s">
        <v>732</v>
      </c>
      <c r="U1554" s="2" t="s">
        <v>3531</v>
      </c>
      <c r="V1554" s="2" t="s">
        <v>991</v>
      </c>
      <c r="W1554" s="2" t="s">
        <v>1530</v>
      </c>
      <c r="X1554" s="2" t="s">
        <v>1310</v>
      </c>
      <c r="Y1554" s="2" t="s">
        <v>5209</v>
      </c>
      <c r="Z1554" s="4">
        <v>28</v>
      </c>
      <c r="AA1554" s="4">
        <f>=ROUNDDOWN(3.68421052631579,0)</f>
      </c>
      <c r="AB1554" s="5">
        <v>7.6</v>
      </c>
      <c r="AC1554" s="2" t="s">
        <v>100</v>
      </c>
      <c r="AD1554" s="4"/>
      <c r="AE1554" s="4"/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100</v>
      </c>
      <c r="BD1554" s="8" t="s">
        <v>100</v>
      </c>
      <c r="BE1554" s="4">
        <v>1</v>
      </c>
      <c r="BF1554" s="8">
        <v>15.12</v>
      </c>
      <c r="BG1554" s="7" t="s">
        <v>100</v>
      </c>
      <c r="BH1554" s="7" t="s">
        <v>100</v>
      </c>
      <c r="BI1554" s="7"/>
      <c r="BJ1554" s="4">
        <v>233</v>
      </c>
      <c r="BK1554" s="8">
        <v>2860.66</v>
      </c>
      <c r="BL1554" s="2" t="s">
        <v>5210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147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5211</v>
      </c>
      <c r="B1555" s="2" t="s">
        <v>87</v>
      </c>
      <c r="C1555" s="2" t="s">
        <v>4677</v>
      </c>
      <c r="D1555" s="2" t="s">
        <v>5203</v>
      </c>
      <c r="E1555" s="2" t="s">
        <v>5204</v>
      </c>
      <c r="F1555" s="2" t="s">
        <v>5205</v>
      </c>
      <c r="G1555" s="2" t="s">
        <v>5205</v>
      </c>
      <c r="H1555" s="2" t="s">
        <v>5205</v>
      </c>
      <c r="I1555" s="2" t="s">
        <v>5206</v>
      </c>
      <c r="J1555" s="2" t="s">
        <v>5207</v>
      </c>
      <c r="K1555" s="2" t="s">
        <v>635</v>
      </c>
      <c r="L1555" s="3">
        <v>14.4</v>
      </c>
      <c r="M1555" s="3">
        <v>15.12</v>
      </c>
      <c r="N1555" s="3">
        <v>31.99</v>
      </c>
      <c r="O1555" s="2" t="s">
        <v>97</v>
      </c>
      <c r="P1555" s="2" t="s">
        <v>182</v>
      </c>
      <c r="Q1555" s="2" t="s">
        <v>99</v>
      </c>
      <c r="R1555" s="2" t="s">
        <v>100</v>
      </c>
      <c r="S1555" s="2" t="s">
        <v>100</v>
      </c>
      <c r="T1555" s="2" t="s">
        <v>732</v>
      </c>
      <c r="U1555" s="2" t="s">
        <v>3531</v>
      </c>
      <c r="V1555" s="2" t="s">
        <v>991</v>
      </c>
      <c r="W1555" s="2" t="s">
        <v>1530</v>
      </c>
      <c r="X1555" s="2" t="s">
        <v>1310</v>
      </c>
      <c r="Y1555" s="2" t="s">
        <v>5212</v>
      </c>
      <c r="Z1555" s="4">
        <v>1424</v>
      </c>
      <c r="AA1555" s="4">
        <f>=ROUNDDOWN(96.8707482993197,0)</f>
      </c>
      <c r="AB1555" s="5">
        <v>14.7</v>
      </c>
      <c r="AC1555" s="2" t="s">
        <v>100</v>
      </c>
      <c r="AD1555" s="4"/>
      <c r="AE1555" s="4"/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>
        <v>0</v>
      </c>
      <c r="AP1555" s="4"/>
      <c r="AQ1555" s="8"/>
      <c r="AR1555" s="4">
        <v>1</v>
      </c>
      <c r="AS1555" s="8">
        <v>15.12</v>
      </c>
      <c r="AT1555" s="7">
        <v>-1</v>
      </c>
      <c r="AU1555" s="7">
        <v>-1</v>
      </c>
      <c r="AV1555" s="4"/>
      <c r="AW1555" s="8"/>
      <c r="AX1555" s="4">
        <v>1</v>
      </c>
      <c r="AY1555" s="8">
        <v>15.12</v>
      </c>
      <c r="AZ1555" s="7">
        <v>-1</v>
      </c>
      <c r="BA1555" s="7">
        <v>-1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289</v>
      </c>
      <c r="BK1555" s="8">
        <v>4393.27</v>
      </c>
      <c r="BL1555" s="2" t="s">
        <v>5213</v>
      </c>
      <c r="BM1555" s="7"/>
      <c r="BN1555" s="7"/>
      <c r="BO1555" s="4"/>
      <c r="BP1555" s="8"/>
      <c r="BQ1555" s="4">
        <v>1</v>
      </c>
      <c r="BR1555" s="8">
        <v>15.12</v>
      </c>
      <c r="BS1555" s="7">
        <v>-1</v>
      </c>
      <c r="BT1555" s="7">
        <v>-1</v>
      </c>
      <c r="BU1555" s="2" t="s">
        <v>109</v>
      </c>
      <c r="BV1555" s="2" t="s">
        <v>97</v>
      </c>
      <c r="BW1555" s="2" t="s">
        <v>110</v>
      </c>
      <c r="BX1555" s="2" t="s">
        <v>128</v>
      </c>
      <c r="BY1555" s="2" t="s">
        <v>112</v>
      </c>
      <c r="BZ1555" s="2" t="s">
        <v>100</v>
      </c>
    </row>
    <row r="1556">
      <c r="A1556" s="2" t="s">
        <v>5214</v>
      </c>
      <c r="B1556" s="2" t="s">
        <v>87</v>
      </c>
      <c r="C1556" s="2" t="s">
        <v>4677</v>
      </c>
      <c r="D1556" s="2" t="s">
        <v>5203</v>
      </c>
      <c r="E1556" s="2" t="s">
        <v>5204</v>
      </c>
      <c r="F1556" s="2" t="s">
        <v>5215</v>
      </c>
      <c r="G1556" s="2" t="s">
        <v>100</v>
      </c>
      <c r="H1556" s="2" t="s">
        <v>100</v>
      </c>
      <c r="I1556" s="2" t="s">
        <v>5216</v>
      </c>
      <c r="J1556" s="2" t="s">
        <v>5217</v>
      </c>
      <c r="K1556" s="2" t="s">
        <v>622</v>
      </c>
      <c r="L1556" s="3">
        <v>14.4</v>
      </c>
      <c r="M1556" s="3">
        <v>15.12</v>
      </c>
      <c r="N1556" s="3">
        <v>34.99</v>
      </c>
      <c r="O1556" s="2" t="s">
        <v>97</v>
      </c>
      <c r="P1556" s="2" t="s">
        <v>198</v>
      </c>
      <c r="Q1556" s="2" t="s">
        <v>99</v>
      </c>
      <c r="R1556" s="2" t="s">
        <v>100</v>
      </c>
      <c r="S1556" s="2" t="s">
        <v>5218</v>
      </c>
      <c r="T1556" s="2" t="s">
        <v>100</v>
      </c>
      <c r="U1556" s="2" t="s">
        <v>100</v>
      </c>
      <c r="V1556" s="2" t="s">
        <v>991</v>
      </c>
      <c r="W1556" s="2" t="s">
        <v>759</v>
      </c>
      <c r="X1556" s="2" t="s">
        <v>2195</v>
      </c>
      <c r="Y1556" s="2" t="s">
        <v>106</v>
      </c>
      <c r="Z1556" s="4">
        <v>206</v>
      </c>
      <c r="AA1556" s="4">
        <f>=ROUNDDOWN(52.8205128205128,0)</f>
      </c>
      <c r="AB1556" s="5">
        <v>3.9</v>
      </c>
      <c r="AC1556" s="2" t="s">
        <v>100</v>
      </c>
      <c r="AD1556" s="4"/>
      <c r="AE1556" s="4"/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124</v>
      </c>
      <c r="BK1556" s="8">
        <v>1552.36</v>
      </c>
      <c r="BL1556" s="2" t="s">
        <v>5219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147</v>
      </c>
      <c r="BV1556" s="2" t="s">
        <v>97</v>
      </c>
      <c r="BW1556" s="2" t="s">
        <v>100</v>
      </c>
      <c r="BX1556" s="2" t="s">
        <v>100</v>
      </c>
      <c r="BY1556" s="2" t="s">
        <v>112</v>
      </c>
      <c r="BZ1556" s="2" t="s">
        <v>100</v>
      </c>
    </row>
    <row r="1557">
      <c r="A1557" s="2" t="s">
        <v>5220</v>
      </c>
      <c r="B1557" s="2" t="s">
        <v>87</v>
      </c>
      <c r="C1557" s="2" t="s">
        <v>4677</v>
      </c>
      <c r="D1557" s="2" t="s">
        <v>5203</v>
      </c>
      <c r="E1557" s="2" t="s">
        <v>5204</v>
      </c>
      <c r="F1557" s="2" t="s">
        <v>5221</v>
      </c>
      <c r="G1557" s="2" t="s">
        <v>5221</v>
      </c>
      <c r="H1557" s="2" t="s">
        <v>5221</v>
      </c>
      <c r="I1557" s="2" t="s">
        <v>5222</v>
      </c>
      <c r="J1557" s="2" t="s">
        <v>5207</v>
      </c>
      <c r="K1557" s="2" t="s">
        <v>333</v>
      </c>
      <c r="L1557" s="3">
        <v>11.88</v>
      </c>
      <c r="M1557" s="3">
        <v>12.47</v>
      </c>
      <c r="N1557" s="3">
        <v>26.99</v>
      </c>
      <c r="O1557" s="2" t="s">
        <v>550</v>
      </c>
      <c r="P1557" s="2" t="s">
        <v>198</v>
      </c>
      <c r="Q1557" s="2" t="s">
        <v>99</v>
      </c>
      <c r="R1557" s="2" t="s">
        <v>100</v>
      </c>
      <c r="S1557" s="2" t="s">
        <v>5223</v>
      </c>
      <c r="T1557" s="2" t="s">
        <v>100</v>
      </c>
      <c r="U1557" s="2" t="s">
        <v>100</v>
      </c>
      <c r="V1557" s="2" t="s">
        <v>1122</v>
      </c>
      <c r="W1557" s="2" t="s">
        <v>2195</v>
      </c>
      <c r="X1557" s="2" t="s">
        <v>759</v>
      </c>
      <c r="Y1557" s="2" t="s">
        <v>5212</v>
      </c>
      <c r="Z1557" s="4">
        <v>42</v>
      </c>
      <c r="AA1557" s="4">
        <f>=ROUNDDOWN(4.61538461538462,0)</f>
      </c>
      <c r="AB1557" s="5">
        <v>9.1</v>
      </c>
      <c r="AC1557" s="2" t="s">
        <v>100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333</v>
      </c>
      <c r="BK1557" s="8">
        <v>2726.27</v>
      </c>
      <c r="BL1557" s="2" t="s">
        <v>5224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147</v>
      </c>
      <c r="BV1557" s="2" t="s">
        <v>97</v>
      </c>
      <c r="BW1557" s="2" t="s">
        <v>100</v>
      </c>
      <c r="BX1557" s="2" t="s">
        <v>100</v>
      </c>
      <c r="BY1557" s="2" t="s">
        <v>112</v>
      </c>
      <c r="BZ1557" s="2" t="s">
        <v>100</v>
      </c>
    </row>
    <row r="1558">
      <c r="A1558" s="2" t="s">
        <v>5225</v>
      </c>
      <c r="B1558" s="2" t="s">
        <v>87</v>
      </c>
      <c r="C1558" s="2" t="s">
        <v>4677</v>
      </c>
      <c r="D1558" s="2" t="s">
        <v>5203</v>
      </c>
      <c r="E1558" s="2" t="s">
        <v>5204</v>
      </c>
      <c r="F1558" s="2" t="s">
        <v>1381</v>
      </c>
      <c r="G1558" s="2" t="s">
        <v>1381</v>
      </c>
      <c r="H1558" s="2" t="s">
        <v>1381</v>
      </c>
      <c r="I1558" s="2" t="s">
        <v>5226</v>
      </c>
      <c r="J1558" s="2" t="s">
        <v>5207</v>
      </c>
      <c r="K1558" s="2" t="s">
        <v>635</v>
      </c>
      <c r="L1558" s="3">
        <v>11.88</v>
      </c>
      <c r="M1558" s="3">
        <v>12.47</v>
      </c>
      <c r="N1558" s="3">
        <v>26.99</v>
      </c>
      <c r="O1558" s="2" t="s">
        <v>97</v>
      </c>
      <c r="P1558" s="2" t="s">
        <v>182</v>
      </c>
      <c r="Q1558" s="2" t="s">
        <v>99</v>
      </c>
      <c r="R1558" s="2" t="s">
        <v>100</v>
      </c>
      <c r="S1558" s="2" t="s">
        <v>5227</v>
      </c>
      <c r="T1558" s="2" t="s">
        <v>732</v>
      </c>
      <c r="U1558" s="2" t="s">
        <v>3531</v>
      </c>
      <c r="V1558" s="2" t="s">
        <v>601</v>
      </c>
      <c r="W1558" s="2" t="s">
        <v>1288</v>
      </c>
      <c r="X1558" s="2" t="s">
        <v>759</v>
      </c>
      <c r="Y1558" s="2" t="s">
        <v>5228</v>
      </c>
      <c r="Z1558" s="4">
        <v>665</v>
      </c>
      <c r="AA1558" s="4">
        <f>=ROUNDDOWN(56.8376068376068,0)</f>
      </c>
      <c r="AB1558" s="5">
        <v>11.7</v>
      </c>
      <c r="AC1558" s="2" t="s">
        <v>100</v>
      </c>
      <c r="AD1558" s="4"/>
      <c r="AE1558" s="4"/>
      <c r="AF1558" s="6">
        <v>65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/>
      <c r="AW1558" s="8"/>
      <c r="AX1558" s="4"/>
      <c r="AY1558" s="8"/>
      <c r="AZ1558" s="7"/>
      <c r="BA1558" s="7"/>
      <c r="BB1558" s="7"/>
      <c r="BC1558" s="4"/>
      <c r="BD1558" s="8"/>
      <c r="BE1558" s="4"/>
      <c r="BF1558" s="8"/>
      <c r="BG1558" s="7"/>
      <c r="BH1558" s="7"/>
      <c r="BI1558" s="7"/>
      <c r="BJ1558" s="4">
        <v>287</v>
      </c>
      <c r="BK1558" s="8">
        <v>3764.8</v>
      </c>
      <c r="BL1558" s="2" t="s">
        <v>5229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147</v>
      </c>
      <c r="BV1558" s="2" t="s">
        <v>97</v>
      </c>
      <c r="BW1558" s="2" t="s">
        <v>100</v>
      </c>
      <c r="BX1558" s="2" t="s">
        <v>100</v>
      </c>
      <c r="BY1558" s="2" t="s">
        <v>112</v>
      </c>
      <c r="BZ1558" s="2" t="s">
        <v>100</v>
      </c>
    </row>
    <row r="1559">
      <c r="A1559" s="2" t="s">
        <v>5230</v>
      </c>
      <c r="B1559" s="2" t="s">
        <v>87</v>
      </c>
      <c r="C1559" s="2" t="s">
        <v>4677</v>
      </c>
      <c r="D1559" s="2" t="s">
        <v>5203</v>
      </c>
      <c r="E1559" s="2" t="s">
        <v>5204</v>
      </c>
      <c r="F1559" s="2" t="s">
        <v>5231</v>
      </c>
      <c r="G1559" s="2" t="s">
        <v>100</v>
      </c>
      <c r="H1559" s="2" t="s">
        <v>100</v>
      </c>
      <c r="I1559" s="2" t="s">
        <v>5216</v>
      </c>
      <c r="J1559" s="2" t="s">
        <v>5217</v>
      </c>
      <c r="K1559" s="2" t="s">
        <v>197</v>
      </c>
      <c r="L1559" s="3">
        <v>14.4</v>
      </c>
      <c r="M1559" s="3">
        <v>15.12</v>
      </c>
      <c r="N1559" s="3">
        <v>31.99</v>
      </c>
      <c r="O1559" s="2" t="s">
        <v>97</v>
      </c>
      <c r="P1559" s="2" t="s">
        <v>182</v>
      </c>
      <c r="Q1559" s="2" t="s">
        <v>99</v>
      </c>
      <c r="R1559" s="2" t="s">
        <v>100</v>
      </c>
      <c r="S1559" s="2" t="s">
        <v>5232</v>
      </c>
      <c r="T1559" s="2" t="s">
        <v>100</v>
      </c>
      <c r="U1559" s="2" t="s">
        <v>100</v>
      </c>
      <c r="V1559" s="2" t="s">
        <v>455</v>
      </c>
      <c r="W1559" s="2" t="s">
        <v>759</v>
      </c>
      <c r="X1559" s="2" t="s">
        <v>5233</v>
      </c>
      <c r="Y1559" s="2" t="s">
        <v>106</v>
      </c>
      <c r="Z1559" s="4">
        <v>319</v>
      </c>
      <c r="AA1559" s="4">
        <f>=ROUNDDOWN(63.8,0)</f>
      </c>
      <c r="AB1559" s="5">
        <v>5</v>
      </c>
      <c r="AC1559" s="2" t="s">
        <v>100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/>
      <c r="AW1559" s="8"/>
      <c r="AX1559" s="4"/>
      <c r="AY1559" s="8"/>
      <c r="AZ1559" s="7"/>
      <c r="BA1559" s="7"/>
      <c r="BB1559" s="7"/>
      <c r="BC1559" s="4"/>
      <c r="BD1559" s="8"/>
      <c r="BE1559" s="4"/>
      <c r="BF1559" s="8"/>
      <c r="BG1559" s="7"/>
      <c r="BH1559" s="7"/>
      <c r="BI1559" s="7"/>
      <c r="BJ1559" s="4">
        <v>74</v>
      </c>
      <c r="BK1559" s="8">
        <v>1063.5</v>
      </c>
      <c r="BL1559" s="2" t="s">
        <v>5234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147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5235</v>
      </c>
      <c r="B1560" s="2" t="s">
        <v>87</v>
      </c>
      <c r="C1560" s="2" t="s">
        <v>4677</v>
      </c>
      <c r="D1560" s="2" t="s">
        <v>5203</v>
      </c>
      <c r="E1560" s="2" t="s">
        <v>5204</v>
      </c>
      <c r="F1560" s="2" t="s">
        <v>5236</v>
      </c>
      <c r="G1560" s="2" t="s">
        <v>5236</v>
      </c>
      <c r="H1560" s="2" t="s">
        <v>5236</v>
      </c>
      <c r="I1560" s="2" t="s">
        <v>5237</v>
      </c>
      <c r="J1560" s="2" t="s">
        <v>5238</v>
      </c>
      <c r="K1560" s="2" t="s">
        <v>622</v>
      </c>
      <c r="L1560" s="3">
        <v>17.28</v>
      </c>
      <c r="M1560" s="3">
        <v>18.14</v>
      </c>
      <c r="N1560" s="3">
        <v>35.99</v>
      </c>
      <c r="O1560" s="2" t="s">
        <v>97</v>
      </c>
      <c r="P1560" s="2" t="s">
        <v>198</v>
      </c>
      <c r="Q1560" s="2" t="s">
        <v>99</v>
      </c>
      <c r="R1560" s="2" t="s">
        <v>100</v>
      </c>
      <c r="S1560" s="2" t="s">
        <v>5239</v>
      </c>
      <c r="T1560" s="2" t="s">
        <v>732</v>
      </c>
      <c r="U1560" s="2" t="s">
        <v>3531</v>
      </c>
      <c r="V1560" s="2" t="s">
        <v>601</v>
      </c>
      <c r="W1560" s="2" t="s">
        <v>759</v>
      </c>
      <c r="X1560" s="2" t="s">
        <v>1288</v>
      </c>
      <c r="Y1560" s="2" t="s">
        <v>5228</v>
      </c>
      <c r="Z1560" s="4">
        <v>308</v>
      </c>
      <c r="AA1560" s="4">
        <f>=ROUNDDOWN(77,0)</f>
      </c>
      <c r="AB1560" s="5">
        <v>4</v>
      </c>
      <c r="AC1560" s="2" t="s">
        <v>100</v>
      </c>
      <c r="AD1560" s="4"/>
      <c r="AE1560" s="4"/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/>
      <c r="AW1560" s="8"/>
      <c r="AX1560" s="4"/>
      <c r="AY1560" s="8"/>
      <c r="AZ1560" s="7"/>
      <c r="BA1560" s="7"/>
      <c r="BB1560" s="7"/>
      <c r="BC1560" s="4"/>
      <c r="BD1560" s="8"/>
      <c r="BE1560" s="4"/>
      <c r="BF1560" s="8"/>
      <c r="BG1560" s="7"/>
      <c r="BH1560" s="7"/>
      <c r="BI1560" s="7"/>
      <c r="BJ1560" s="4">
        <v>91</v>
      </c>
      <c r="BK1560" s="8">
        <v>1797.54</v>
      </c>
      <c r="BL1560" s="2" t="s">
        <v>5240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147</v>
      </c>
      <c r="BV1560" s="2" t="s">
        <v>97</v>
      </c>
      <c r="BW1560" s="2" t="s">
        <v>100</v>
      </c>
      <c r="BX1560" s="2" t="s">
        <v>100</v>
      </c>
      <c r="BY1560" s="2" t="s">
        <v>112</v>
      </c>
      <c r="BZ1560" s="2" t="s">
        <v>100</v>
      </c>
    </row>
    <row r="1561">
      <c r="A1561" s="2" t="s">
        <v>5241</v>
      </c>
      <c r="B1561" s="2" t="s">
        <v>87</v>
      </c>
      <c r="C1561" s="2" t="s">
        <v>4677</v>
      </c>
      <c r="D1561" s="2" t="s">
        <v>5203</v>
      </c>
      <c r="E1561" s="2" t="s">
        <v>5204</v>
      </c>
      <c r="F1561" s="2" t="s">
        <v>5242</v>
      </c>
      <c r="G1561" s="2" t="s">
        <v>100</v>
      </c>
      <c r="H1561" s="2" t="s">
        <v>100</v>
      </c>
      <c r="I1561" s="2" t="s">
        <v>5243</v>
      </c>
      <c r="J1561" s="2" t="s">
        <v>5244</v>
      </c>
      <c r="K1561" s="2" t="s">
        <v>267</v>
      </c>
      <c r="L1561" s="3">
        <v>14.4</v>
      </c>
      <c r="M1561" s="3">
        <v>15.12</v>
      </c>
      <c r="N1561" s="3">
        <v>31.99</v>
      </c>
      <c r="O1561" s="2" t="s">
        <v>97</v>
      </c>
      <c r="P1561" s="2" t="s">
        <v>198</v>
      </c>
      <c r="Q1561" s="2" t="s">
        <v>99</v>
      </c>
      <c r="R1561" s="2" t="s">
        <v>100</v>
      </c>
      <c r="S1561" s="2" t="s">
        <v>5245</v>
      </c>
      <c r="T1561" s="2" t="s">
        <v>100</v>
      </c>
      <c r="U1561" s="2" t="s">
        <v>100</v>
      </c>
      <c r="V1561" s="2" t="s">
        <v>4714</v>
      </c>
      <c r="W1561" s="2" t="s">
        <v>1530</v>
      </c>
      <c r="X1561" s="2" t="s">
        <v>100</v>
      </c>
      <c r="Y1561" s="2" t="s">
        <v>106</v>
      </c>
      <c r="Z1561" s="4">
        <v>124</v>
      </c>
      <c r="AA1561" s="4">
        <f>=ROUNDDOWN(10.3333333333333,0)</f>
      </c>
      <c r="AB1561" s="5">
        <v>12</v>
      </c>
      <c r="AC1561" s="2" t="s">
        <v>100</v>
      </c>
      <c r="AD1561" s="4"/>
      <c r="AE1561" s="4"/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148</v>
      </c>
      <c r="BK1561" s="8">
        <v>1982.92</v>
      </c>
      <c r="BL1561" s="2" t="s">
        <v>5246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147</v>
      </c>
      <c r="BV1561" s="2" t="s">
        <v>97</v>
      </c>
      <c r="BW1561" s="2" t="s">
        <v>100</v>
      </c>
      <c r="BX1561" s="2" t="s">
        <v>100</v>
      </c>
      <c r="BY1561" s="2" t="s">
        <v>112</v>
      </c>
      <c r="BZ1561" s="2" t="s">
        <v>100</v>
      </c>
    </row>
    <row r="1562">
      <c r="A1562" s="2" t="s">
        <v>5247</v>
      </c>
      <c r="B1562" s="2" t="s">
        <v>87</v>
      </c>
      <c r="C1562" s="2" t="s">
        <v>4677</v>
      </c>
      <c r="D1562" s="2" t="s">
        <v>5203</v>
      </c>
      <c r="E1562" s="2" t="s">
        <v>5204</v>
      </c>
      <c r="F1562" s="2" t="s">
        <v>5248</v>
      </c>
      <c r="G1562" s="2" t="s">
        <v>100</v>
      </c>
      <c r="H1562" s="2" t="s">
        <v>100</v>
      </c>
      <c r="I1562" s="2" t="s">
        <v>5249</v>
      </c>
      <c r="J1562" s="2" t="s">
        <v>5244</v>
      </c>
      <c r="K1562" s="2" t="s">
        <v>197</v>
      </c>
      <c r="L1562" s="3">
        <v>11.88</v>
      </c>
      <c r="M1562" s="3">
        <v>12.47</v>
      </c>
      <c r="N1562" s="3">
        <v>26.99</v>
      </c>
      <c r="O1562" s="2" t="s">
        <v>97</v>
      </c>
      <c r="P1562" s="2" t="s">
        <v>198</v>
      </c>
      <c r="Q1562" s="2" t="s">
        <v>99</v>
      </c>
      <c r="R1562" s="2" t="s">
        <v>100</v>
      </c>
      <c r="S1562" s="2" t="s">
        <v>5250</v>
      </c>
      <c r="T1562" s="2" t="s">
        <v>100</v>
      </c>
      <c r="U1562" s="2" t="s">
        <v>100</v>
      </c>
      <c r="V1562" s="2" t="s">
        <v>4693</v>
      </c>
      <c r="W1562" s="2" t="s">
        <v>602</v>
      </c>
      <c r="X1562" s="2" t="s">
        <v>104</v>
      </c>
      <c r="Y1562" s="2" t="s">
        <v>106</v>
      </c>
      <c r="Z1562" s="4">
        <v>61</v>
      </c>
      <c r="AA1562" s="4">
        <f>=ROUNDDOWN(20.3333333333333,0)</f>
      </c>
      <c r="AB1562" s="5">
        <v>3</v>
      </c>
      <c r="AC1562" s="2" t="s">
        <v>100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/>
      <c r="AW1562" s="8"/>
      <c r="AX1562" s="4"/>
      <c r="AY1562" s="8"/>
      <c r="AZ1562" s="7"/>
      <c r="BA1562" s="7"/>
      <c r="BB1562" s="7"/>
      <c r="BC1562" s="4"/>
      <c r="BD1562" s="8"/>
      <c r="BE1562" s="4"/>
      <c r="BF1562" s="8"/>
      <c r="BG1562" s="7"/>
      <c r="BH1562" s="7"/>
      <c r="BI1562" s="7"/>
      <c r="BJ1562" s="4">
        <v>124</v>
      </c>
      <c r="BK1562" s="8">
        <v>1489.66</v>
      </c>
      <c r="BL1562" s="2" t="s">
        <v>5251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147</v>
      </c>
      <c r="BV1562" s="2" t="s">
        <v>97</v>
      </c>
      <c r="BW1562" s="2" t="s">
        <v>100</v>
      </c>
      <c r="BX1562" s="2" t="s">
        <v>100</v>
      </c>
      <c r="BY1562" s="2" t="s">
        <v>112</v>
      </c>
      <c r="BZ1562" s="2" t="s">
        <v>100</v>
      </c>
    </row>
    <row r="1563">
      <c r="A1563" s="2" t="s">
        <v>5252</v>
      </c>
      <c r="B1563" s="2" t="s">
        <v>87</v>
      </c>
      <c r="C1563" s="2" t="s">
        <v>4677</v>
      </c>
      <c r="D1563" s="2" t="s">
        <v>5203</v>
      </c>
      <c r="E1563" s="2" t="s">
        <v>5204</v>
      </c>
      <c r="F1563" s="2" t="s">
        <v>5253</v>
      </c>
      <c r="G1563" s="2" t="s">
        <v>5253</v>
      </c>
      <c r="H1563" s="2" t="s">
        <v>5253</v>
      </c>
      <c r="I1563" s="2" t="s">
        <v>5254</v>
      </c>
      <c r="J1563" s="2" t="s">
        <v>5207</v>
      </c>
      <c r="K1563" s="2" t="s">
        <v>4530</v>
      </c>
      <c r="L1563" s="3">
        <v>13.5</v>
      </c>
      <c r="M1563" s="3">
        <v>14.17</v>
      </c>
      <c r="N1563" s="3">
        <v>29.99</v>
      </c>
      <c r="O1563" s="2" t="s">
        <v>97</v>
      </c>
      <c r="P1563" s="2" t="s">
        <v>198</v>
      </c>
      <c r="Q1563" s="2" t="s">
        <v>99</v>
      </c>
      <c r="R1563" s="2" t="s">
        <v>100</v>
      </c>
      <c r="S1563" s="2" t="s">
        <v>5255</v>
      </c>
      <c r="T1563" s="2" t="s">
        <v>732</v>
      </c>
      <c r="U1563" s="2" t="s">
        <v>3531</v>
      </c>
      <c r="V1563" s="2" t="s">
        <v>4714</v>
      </c>
      <c r="W1563" s="2" t="s">
        <v>1530</v>
      </c>
      <c r="X1563" s="2" t="s">
        <v>759</v>
      </c>
      <c r="Y1563" s="2" t="s">
        <v>5256</v>
      </c>
      <c r="Z1563" s="4">
        <v>81</v>
      </c>
      <c r="AA1563" s="4">
        <f>=ROUNDDOWN(27,0)</f>
      </c>
      <c r="AB1563" s="5">
        <v>3</v>
      </c>
      <c r="AC1563" s="2" t="s">
        <v>100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/>
      <c r="AW1563" s="8"/>
      <c r="AX1563" s="4"/>
      <c r="AY1563" s="8"/>
      <c r="AZ1563" s="7"/>
      <c r="BA1563" s="7"/>
      <c r="BB1563" s="7"/>
      <c r="BC1563" s="4"/>
      <c r="BD1563" s="8"/>
      <c r="BE1563" s="4"/>
      <c r="BF1563" s="8"/>
      <c r="BG1563" s="7"/>
      <c r="BH1563" s="7"/>
      <c r="BI1563" s="7"/>
      <c r="BJ1563" s="4">
        <v>79</v>
      </c>
      <c r="BK1563" s="8">
        <v>1115.94</v>
      </c>
      <c r="BL1563" s="2" t="s">
        <v>5257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147</v>
      </c>
      <c r="BV1563" s="2" t="s">
        <v>97</v>
      </c>
      <c r="BW1563" s="2" t="s">
        <v>100</v>
      </c>
      <c r="BX1563" s="2" t="s">
        <v>100</v>
      </c>
      <c r="BY1563" s="2" t="s">
        <v>112</v>
      </c>
      <c r="BZ1563" s="2" t="s">
        <v>100</v>
      </c>
    </row>
    <row r="1564">
      <c r="A1564" s="2" t="s">
        <v>5258</v>
      </c>
      <c r="B1564" s="2" t="s">
        <v>87</v>
      </c>
      <c r="C1564" s="2" t="s">
        <v>4677</v>
      </c>
      <c r="D1564" s="2" t="s">
        <v>5203</v>
      </c>
      <c r="E1564" s="2" t="s">
        <v>5204</v>
      </c>
      <c r="F1564" s="2" t="s">
        <v>5259</v>
      </c>
      <c r="G1564" s="2" t="s">
        <v>5259</v>
      </c>
      <c r="H1564" s="2" t="s">
        <v>5259</v>
      </c>
      <c r="I1564" s="2" t="s">
        <v>5260</v>
      </c>
      <c r="J1564" s="2" t="s">
        <v>5238</v>
      </c>
      <c r="K1564" s="2" t="s">
        <v>197</v>
      </c>
      <c r="L1564" s="3">
        <v>15.2</v>
      </c>
      <c r="M1564" s="3">
        <v>15.96</v>
      </c>
      <c r="N1564" s="3">
        <v>39.99</v>
      </c>
      <c r="O1564" s="2" t="s">
        <v>97</v>
      </c>
      <c r="P1564" s="2" t="s">
        <v>182</v>
      </c>
      <c r="Q1564" s="2" t="s">
        <v>99</v>
      </c>
      <c r="R1564" s="2" t="s">
        <v>100</v>
      </c>
      <c r="S1564" s="2" t="s">
        <v>5261</v>
      </c>
      <c r="T1564" s="2" t="s">
        <v>732</v>
      </c>
      <c r="U1564" s="2" t="s">
        <v>3531</v>
      </c>
      <c r="V1564" s="2" t="s">
        <v>991</v>
      </c>
      <c r="W1564" s="2" t="s">
        <v>1288</v>
      </c>
      <c r="X1564" s="2" t="s">
        <v>1530</v>
      </c>
      <c r="Y1564" s="2" t="s">
        <v>1506</v>
      </c>
      <c r="Z1564" s="4">
        <v>211</v>
      </c>
      <c r="AA1564" s="4">
        <f>=ROUNDDOWN(42.2,0)</f>
      </c>
      <c r="AB1564" s="5">
        <v>5</v>
      </c>
      <c r="AC1564" s="2" t="s">
        <v>100</v>
      </c>
      <c r="AD1564" s="4"/>
      <c r="AE1564" s="4"/>
      <c r="AF1564" s="6">
        <v>65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/>
      <c r="AW1564" s="8"/>
      <c r="AX1564" s="4"/>
      <c r="AY1564" s="8"/>
      <c r="AZ1564" s="7"/>
      <c r="BA1564" s="7"/>
      <c r="BB1564" s="7"/>
      <c r="BC1564" s="4"/>
      <c r="BD1564" s="8"/>
      <c r="BE1564" s="4"/>
      <c r="BF1564" s="8"/>
      <c r="BG1564" s="7"/>
      <c r="BH1564" s="7"/>
      <c r="BI1564" s="7"/>
      <c r="BJ1564" s="4">
        <v>93</v>
      </c>
      <c r="BK1564" s="8">
        <v>1412.96</v>
      </c>
      <c r="BL1564" s="2" t="s">
        <v>5262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147</v>
      </c>
      <c r="BV1564" s="2" t="s">
        <v>97</v>
      </c>
      <c r="BW1564" s="2" t="s">
        <v>100</v>
      </c>
      <c r="BX1564" s="2" t="s">
        <v>100</v>
      </c>
      <c r="BY1564" s="2" t="s">
        <v>112</v>
      </c>
      <c r="BZ1564" s="2" t="s">
        <v>100</v>
      </c>
    </row>
    <row r="1565">
      <c r="A1565" s="2" t="s">
        <v>5263</v>
      </c>
      <c r="B1565" s="2" t="s">
        <v>87</v>
      </c>
      <c r="C1565" s="2" t="s">
        <v>4677</v>
      </c>
      <c r="D1565" s="2" t="s">
        <v>5203</v>
      </c>
      <c r="E1565" s="2" t="s">
        <v>5204</v>
      </c>
      <c r="F1565" s="2" t="s">
        <v>3833</v>
      </c>
      <c r="G1565" s="2" t="s">
        <v>3833</v>
      </c>
      <c r="H1565" s="2" t="s">
        <v>100</v>
      </c>
      <c r="I1565" s="2" t="s">
        <v>5264</v>
      </c>
      <c r="J1565" s="2" t="s">
        <v>5238</v>
      </c>
      <c r="K1565" s="2" t="s">
        <v>333</v>
      </c>
      <c r="L1565" s="3">
        <v>15.2</v>
      </c>
      <c r="M1565" s="3">
        <v>15.96</v>
      </c>
      <c r="N1565" s="3">
        <v>36.99</v>
      </c>
      <c r="O1565" s="2" t="s">
        <v>97</v>
      </c>
      <c r="P1565" s="2" t="s">
        <v>143</v>
      </c>
      <c r="Q1565" s="2" t="s">
        <v>99</v>
      </c>
      <c r="R1565" s="2" t="s">
        <v>100</v>
      </c>
      <c r="S1565" s="2" t="s">
        <v>5265</v>
      </c>
      <c r="T1565" s="2" t="s">
        <v>732</v>
      </c>
      <c r="U1565" s="2" t="s">
        <v>3531</v>
      </c>
      <c r="V1565" s="2" t="s">
        <v>455</v>
      </c>
      <c r="W1565" s="2" t="s">
        <v>2195</v>
      </c>
      <c r="X1565" s="2" t="s">
        <v>759</v>
      </c>
      <c r="Y1565" s="2" t="s">
        <v>106</v>
      </c>
      <c r="Z1565" s="4">
        <v>849</v>
      </c>
      <c r="AA1565" s="4">
        <f>=ROUNDDOWN(20.2142857142857,0)</f>
      </c>
      <c r="AB1565" s="5">
        <v>42</v>
      </c>
      <c r="AC1565" s="2" t="s">
        <v>766</v>
      </c>
      <c r="AD1565" s="4">
        <v>900</v>
      </c>
      <c r="AE1565" s="4">
        <v>1410</v>
      </c>
      <c r="AF1565" s="6">
        <v>65</v>
      </c>
      <c r="AG1565" s="6"/>
      <c r="AH1565" s="7">
        <v>1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>
        <v>826</v>
      </c>
      <c r="BK1565" s="8">
        <v>14061.66</v>
      </c>
      <c r="BL1565" s="2" t="s">
        <v>5266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147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5267</v>
      </c>
      <c r="B1566" s="2" t="s">
        <v>87</v>
      </c>
      <c r="C1566" s="2" t="s">
        <v>4677</v>
      </c>
      <c r="D1566" s="2" t="s">
        <v>5203</v>
      </c>
      <c r="E1566" s="2" t="s">
        <v>5204</v>
      </c>
      <c r="F1566" s="2" t="s">
        <v>5268</v>
      </c>
      <c r="G1566" s="2" t="s">
        <v>5268</v>
      </c>
      <c r="H1566" s="2" t="s">
        <v>5268</v>
      </c>
      <c r="I1566" s="2" t="s">
        <v>5226</v>
      </c>
      <c r="J1566" s="2" t="s">
        <v>5269</v>
      </c>
      <c r="K1566" s="2" t="s">
        <v>5270</v>
      </c>
      <c r="L1566" s="3">
        <v>11.88</v>
      </c>
      <c r="M1566" s="3">
        <v>12.47</v>
      </c>
      <c r="N1566" s="3">
        <v>26.99</v>
      </c>
      <c r="O1566" s="2" t="s">
        <v>229</v>
      </c>
      <c r="P1566" s="2" t="s">
        <v>198</v>
      </c>
      <c r="Q1566" s="2" t="s">
        <v>99</v>
      </c>
      <c r="R1566" s="2" t="s">
        <v>100</v>
      </c>
      <c r="S1566" s="2" t="s">
        <v>5271</v>
      </c>
      <c r="T1566" s="2" t="s">
        <v>100</v>
      </c>
      <c r="U1566" s="2" t="s">
        <v>100</v>
      </c>
      <c r="V1566" s="2" t="s">
        <v>4693</v>
      </c>
      <c r="W1566" s="2" t="s">
        <v>602</v>
      </c>
      <c r="X1566" s="2" t="s">
        <v>104</v>
      </c>
      <c r="Y1566" s="2" t="s">
        <v>5272</v>
      </c>
      <c r="Z1566" s="4">
        <v>74</v>
      </c>
      <c r="AA1566" s="4">
        <f>=ROUNDDOWN(37,0)</f>
      </c>
      <c r="AB1566" s="5">
        <v>2</v>
      </c>
      <c r="AC1566" s="2" t="s">
        <v>100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/>
      <c r="BD1566" s="8"/>
      <c r="BE1566" s="4"/>
      <c r="BF1566" s="8"/>
      <c r="BG1566" s="7"/>
      <c r="BH1566" s="7"/>
      <c r="BI1566" s="7"/>
      <c r="BJ1566" s="4">
        <v>79</v>
      </c>
      <c r="BK1566" s="8">
        <v>973.71</v>
      </c>
      <c r="BL1566" s="2" t="s">
        <v>5273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147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100</v>
      </c>
    </row>
    <row r="1567">
      <c r="A1567" s="2" t="s">
        <v>5274</v>
      </c>
      <c r="B1567" s="2" t="s">
        <v>87</v>
      </c>
      <c r="C1567" s="2" t="s">
        <v>5275</v>
      </c>
      <c r="D1567" s="2" t="s">
        <v>89</v>
      </c>
      <c r="E1567" s="2" t="s">
        <v>90</v>
      </c>
      <c r="F1567" s="2" t="s">
        <v>5276</v>
      </c>
      <c r="G1567" s="2" t="s">
        <v>5276</v>
      </c>
      <c r="H1567" s="2" t="s">
        <v>5276</v>
      </c>
      <c r="I1567" s="2" t="s">
        <v>5277</v>
      </c>
      <c r="J1567" s="2" t="s">
        <v>122</v>
      </c>
      <c r="K1567" s="2" t="s">
        <v>1767</v>
      </c>
      <c r="L1567" s="3">
        <v>93.31</v>
      </c>
      <c r="M1567" s="3">
        <v>97.98</v>
      </c>
      <c r="N1567" s="3">
        <v>204.99</v>
      </c>
      <c r="O1567" s="2" t="s">
        <v>97</v>
      </c>
      <c r="P1567" s="2" t="s">
        <v>98</v>
      </c>
      <c r="Q1567" s="2" t="s">
        <v>99</v>
      </c>
      <c r="R1567" s="2" t="s">
        <v>100</v>
      </c>
      <c r="S1567" s="2" t="s">
        <v>5278</v>
      </c>
      <c r="T1567" s="2" t="s">
        <v>100</v>
      </c>
      <c r="U1567" s="2" t="s">
        <v>490</v>
      </c>
      <c r="V1567" s="2" t="s">
        <v>1275</v>
      </c>
      <c r="W1567" s="2" t="s">
        <v>906</v>
      </c>
      <c r="X1567" s="2" t="s">
        <v>808</v>
      </c>
      <c r="Y1567" s="2" t="s">
        <v>106</v>
      </c>
      <c r="Z1567" s="4">
        <v>51</v>
      </c>
      <c r="AA1567" s="4">
        <f>=ROUNDDOWN(25.5,0)</f>
      </c>
      <c r="AB1567" s="5">
        <v>2</v>
      </c>
      <c r="AC1567" s="2" t="s">
        <v>1328</v>
      </c>
      <c r="AD1567" s="4">
        <v>25</v>
      </c>
      <c r="AE1567" s="4">
        <v>25</v>
      </c>
      <c r="AF1567" s="6">
        <v>66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>
        <v>0</v>
      </c>
      <c r="AP1567" s="4">
        <v>1</v>
      </c>
      <c r="AQ1567" s="8">
        <v>97.98</v>
      </c>
      <c r="AR1567" s="4">
        <v>1</v>
      </c>
      <c r="AS1567" s="8">
        <v>97.98</v>
      </c>
      <c r="AT1567" s="7"/>
      <c r="AU1567" s="7"/>
      <c r="AV1567" s="4">
        <v>5</v>
      </c>
      <c r="AW1567" s="8">
        <v>566.05</v>
      </c>
      <c r="AX1567" s="4">
        <v>9</v>
      </c>
      <c r="AY1567" s="8">
        <v>1034.12</v>
      </c>
      <c r="AZ1567" s="7">
        <v>-0.4444</v>
      </c>
      <c r="BA1567" s="7">
        <v>-0.4526</v>
      </c>
      <c r="BB1567" s="7">
        <v>0.1731</v>
      </c>
      <c r="BC1567" s="4">
        <v>5</v>
      </c>
      <c r="BD1567" s="8">
        <v>566.05</v>
      </c>
      <c r="BE1567" s="4">
        <v>9</v>
      </c>
      <c r="BF1567" s="8">
        <v>1034.12</v>
      </c>
      <c r="BG1567" s="7">
        <v>-0.4444</v>
      </c>
      <c r="BH1567" s="7">
        <v>-0.4526</v>
      </c>
      <c r="BI1567" s="7">
        <v>1</v>
      </c>
      <c r="BJ1567" s="4">
        <v>28</v>
      </c>
      <c r="BK1567" s="8">
        <v>2759.81</v>
      </c>
      <c r="BL1567" s="2" t="s">
        <v>5279</v>
      </c>
      <c r="BM1567" s="7">
        <v>0.0357</v>
      </c>
      <c r="BN1567" s="7">
        <v>0.0355</v>
      </c>
      <c r="BO1567" s="4">
        <v>1</v>
      </c>
      <c r="BP1567" s="8">
        <v>97.98</v>
      </c>
      <c r="BQ1567" s="4">
        <v>1</v>
      </c>
      <c r="BR1567" s="8">
        <v>97.98</v>
      </c>
      <c r="BS1567" s="7"/>
      <c r="BT1567" s="7"/>
      <c r="BU1567" s="2" t="s">
        <v>109</v>
      </c>
      <c r="BV1567" s="2" t="s">
        <v>97</v>
      </c>
      <c r="BW1567" s="2" t="s">
        <v>110</v>
      </c>
      <c r="BX1567" s="2" t="s">
        <v>116</v>
      </c>
      <c r="BY1567" s="2" t="s">
        <v>112</v>
      </c>
      <c r="BZ1567" s="2" t="s">
        <v>100</v>
      </c>
    </row>
    <row r="1568">
      <c r="A1568" s="2" t="s">
        <v>5280</v>
      </c>
      <c r="B1568" s="2" t="s">
        <v>87</v>
      </c>
      <c r="C1568" s="2" t="s">
        <v>5275</v>
      </c>
      <c r="D1568" s="2" t="s">
        <v>89</v>
      </c>
      <c r="E1568" s="2" t="s">
        <v>90</v>
      </c>
      <c r="F1568" s="2" t="s">
        <v>5276</v>
      </c>
      <c r="G1568" s="2" t="s">
        <v>5276</v>
      </c>
      <c r="H1568" s="2" t="s">
        <v>5276</v>
      </c>
      <c r="I1568" s="2" t="s">
        <v>5277</v>
      </c>
      <c r="J1568" s="2" t="s">
        <v>95</v>
      </c>
      <c r="K1568" s="2" t="s">
        <v>1767</v>
      </c>
      <c r="L1568" s="3">
        <v>103.67</v>
      </c>
      <c r="M1568" s="3">
        <v>108.85</v>
      </c>
      <c r="N1568" s="3">
        <v>224.99</v>
      </c>
      <c r="O1568" s="2" t="s">
        <v>97</v>
      </c>
      <c r="P1568" s="2" t="s">
        <v>98</v>
      </c>
      <c r="Q1568" s="2" t="s">
        <v>99</v>
      </c>
      <c r="R1568" s="2" t="s">
        <v>100</v>
      </c>
      <c r="S1568" s="2" t="s">
        <v>5278</v>
      </c>
      <c r="T1568" s="2" t="s">
        <v>100</v>
      </c>
      <c r="U1568" s="2" t="s">
        <v>490</v>
      </c>
      <c r="V1568" s="2" t="s">
        <v>1275</v>
      </c>
      <c r="W1568" s="2" t="s">
        <v>906</v>
      </c>
      <c r="X1568" s="2" t="s">
        <v>808</v>
      </c>
      <c r="Y1568" s="2" t="s">
        <v>106</v>
      </c>
      <c r="Z1568" s="4">
        <v>132</v>
      </c>
      <c r="AA1568" s="4">
        <f>=ROUNDDOWN(26.4,0)</f>
      </c>
      <c r="AB1568" s="5">
        <v>5</v>
      </c>
      <c r="AC1568" s="2" t="s">
        <v>1328</v>
      </c>
      <c r="AD1568" s="4">
        <v>80</v>
      </c>
      <c r="AE1568" s="4">
        <v>80</v>
      </c>
      <c r="AF1568" s="6">
        <v>66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>
        <v>0</v>
      </c>
      <c r="AP1568" s="4">
        <v>1</v>
      </c>
      <c r="AQ1568" s="8">
        <v>108.85</v>
      </c>
      <c r="AR1568" s="4">
        <v>2</v>
      </c>
      <c r="AS1568" s="8">
        <v>217.7</v>
      </c>
      <c r="AT1568" s="7">
        <v>-0.5</v>
      </c>
      <c r="AU1568" s="7">
        <v>-0.5</v>
      </c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>
        <v>0.1923</v>
      </c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 t="s">
        <v>100</v>
      </c>
      <c r="BJ1568" s="4">
        <v>135</v>
      </c>
      <c r="BK1568" s="8">
        <v>15192.8</v>
      </c>
      <c r="BL1568" s="2" t="s">
        <v>5281</v>
      </c>
      <c r="BM1568" s="7">
        <v>0.0074</v>
      </c>
      <c r="BN1568" s="7">
        <v>0.0072</v>
      </c>
      <c r="BO1568" s="4">
        <v>1</v>
      </c>
      <c r="BP1568" s="8">
        <v>108.85</v>
      </c>
      <c r="BQ1568" s="4">
        <v>2</v>
      </c>
      <c r="BR1568" s="8">
        <v>217.7</v>
      </c>
      <c r="BS1568" s="7">
        <v>-0.5</v>
      </c>
      <c r="BT1568" s="7">
        <v>-0.5</v>
      </c>
      <c r="BU1568" s="2" t="s">
        <v>109</v>
      </c>
      <c r="BV1568" s="2" t="s">
        <v>97</v>
      </c>
      <c r="BW1568" s="2" t="s">
        <v>110</v>
      </c>
      <c r="BX1568" s="2" t="s">
        <v>504</v>
      </c>
      <c r="BY1568" s="2" t="s">
        <v>112</v>
      </c>
      <c r="BZ1568" s="2" t="s">
        <v>100</v>
      </c>
    </row>
    <row r="1569">
      <c r="A1569" s="2" t="s">
        <v>5282</v>
      </c>
      <c r="B1569" s="2" t="s">
        <v>87</v>
      </c>
      <c r="C1569" s="2" t="s">
        <v>5275</v>
      </c>
      <c r="D1569" s="2" t="s">
        <v>89</v>
      </c>
      <c r="E1569" s="2" t="s">
        <v>90</v>
      </c>
      <c r="F1569" s="2" t="s">
        <v>5276</v>
      </c>
      <c r="G1569" s="2" t="s">
        <v>5276</v>
      </c>
      <c r="H1569" s="2" t="s">
        <v>5276</v>
      </c>
      <c r="I1569" s="2" t="s">
        <v>5277</v>
      </c>
      <c r="J1569" s="2" t="s">
        <v>114</v>
      </c>
      <c r="K1569" s="2" t="s">
        <v>1767</v>
      </c>
      <c r="L1569" s="3">
        <v>114.04</v>
      </c>
      <c r="M1569" s="3">
        <v>119.74</v>
      </c>
      <c r="N1569" s="3">
        <v>244.99</v>
      </c>
      <c r="O1569" s="2" t="s">
        <v>97</v>
      </c>
      <c r="P1569" s="2" t="s">
        <v>98</v>
      </c>
      <c r="Q1569" s="2" t="s">
        <v>99</v>
      </c>
      <c r="R1569" s="2" t="s">
        <v>100</v>
      </c>
      <c r="S1569" s="2" t="s">
        <v>5278</v>
      </c>
      <c r="T1569" s="2" t="s">
        <v>100</v>
      </c>
      <c r="U1569" s="2" t="s">
        <v>100</v>
      </c>
      <c r="V1569" s="2" t="s">
        <v>1275</v>
      </c>
      <c r="W1569" s="2" t="s">
        <v>906</v>
      </c>
      <c r="X1569" s="2" t="s">
        <v>808</v>
      </c>
      <c r="Y1569" s="2" t="s">
        <v>106</v>
      </c>
      <c r="Z1569" s="4">
        <v>164</v>
      </c>
      <c r="AA1569" s="4">
        <f>=ROUNDDOWN(27.3333333333333,0)</f>
      </c>
      <c r="AB1569" s="5">
        <v>6</v>
      </c>
      <c r="AC1569" s="2" t="s">
        <v>1328</v>
      </c>
      <c r="AD1569" s="4">
        <v>70</v>
      </c>
      <c r="AE1569" s="4">
        <v>70</v>
      </c>
      <c r="AF1569" s="6">
        <v>66</v>
      </c>
      <c r="AG1569" s="6"/>
      <c r="AH1569" s="7">
        <v>0.9273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>
        <v>0</v>
      </c>
      <c r="AP1569" s="4">
        <v>3</v>
      </c>
      <c r="AQ1569" s="8">
        <v>359.22</v>
      </c>
      <c r="AR1569" s="4">
        <v>5</v>
      </c>
      <c r="AS1569" s="8">
        <v>598.7</v>
      </c>
      <c r="AT1569" s="7">
        <v>-0.4</v>
      </c>
      <c r="AU1569" s="7">
        <v>-0.4</v>
      </c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>
        <v>0.6346</v>
      </c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 t="s">
        <v>100</v>
      </c>
      <c r="BJ1569" s="4">
        <v>105</v>
      </c>
      <c r="BK1569" s="8">
        <v>12729.62</v>
      </c>
      <c r="BL1569" s="2" t="s">
        <v>5283</v>
      </c>
      <c r="BM1569" s="7">
        <v>0.0286</v>
      </c>
      <c r="BN1569" s="7">
        <v>0.0282</v>
      </c>
      <c r="BO1569" s="4">
        <v>3</v>
      </c>
      <c r="BP1569" s="8">
        <v>359.22</v>
      </c>
      <c r="BQ1569" s="4">
        <v>5</v>
      </c>
      <c r="BR1569" s="8">
        <v>598.7</v>
      </c>
      <c r="BS1569" s="7">
        <v>-0.4</v>
      </c>
      <c r="BT1569" s="7">
        <v>-0.4</v>
      </c>
      <c r="BU1569" s="2" t="s">
        <v>109</v>
      </c>
      <c r="BV1569" s="2" t="s">
        <v>97</v>
      </c>
      <c r="BW1569" s="2" t="s">
        <v>110</v>
      </c>
      <c r="BX1569" s="2" t="s">
        <v>938</v>
      </c>
      <c r="BY1569" s="2" t="s">
        <v>112</v>
      </c>
      <c r="BZ1569" s="2" t="s">
        <v>100</v>
      </c>
    </row>
    <row r="1570">
      <c r="A1570" s="2" t="s">
        <v>5284</v>
      </c>
      <c r="B1570" s="2" t="s">
        <v>87</v>
      </c>
      <c r="C1570" s="2" t="s">
        <v>5275</v>
      </c>
      <c r="D1570" s="2" t="s">
        <v>89</v>
      </c>
      <c r="E1570" s="2" t="s">
        <v>90</v>
      </c>
      <c r="F1570" s="2" t="s">
        <v>5276</v>
      </c>
      <c r="G1570" s="2" t="s">
        <v>5276</v>
      </c>
      <c r="H1570" s="2" t="s">
        <v>5276</v>
      </c>
      <c r="I1570" s="2" t="s">
        <v>5277</v>
      </c>
      <c r="J1570" s="2" t="s">
        <v>118</v>
      </c>
      <c r="K1570" s="2" t="s">
        <v>1767</v>
      </c>
      <c r="L1570" s="3">
        <v>114.04</v>
      </c>
      <c r="M1570" s="3">
        <v>119.74</v>
      </c>
      <c r="N1570" s="3">
        <v>244.99</v>
      </c>
      <c r="O1570" s="2" t="s">
        <v>97</v>
      </c>
      <c r="P1570" s="2" t="s">
        <v>98</v>
      </c>
      <c r="Q1570" s="2" t="s">
        <v>99</v>
      </c>
      <c r="R1570" s="2" t="s">
        <v>100</v>
      </c>
      <c r="S1570" s="2" t="s">
        <v>5278</v>
      </c>
      <c r="T1570" s="2" t="s">
        <v>100</v>
      </c>
      <c r="U1570" s="2" t="s">
        <v>490</v>
      </c>
      <c r="V1570" s="2" t="s">
        <v>1275</v>
      </c>
      <c r="W1570" s="2" t="s">
        <v>906</v>
      </c>
      <c r="X1570" s="2" t="s">
        <v>808</v>
      </c>
      <c r="Y1570" s="2" t="s">
        <v>106</v>
      </c>
      <c r="Z1570" s="4">
        <v>91</v>
      </c>
      <c r="AA1570" s="4">
        <f>=ROUNDDOWN(30.3333333333333,0)</f>
      </c>
      <c r="AB1570" s="5">
        <v>3</v>
      </c>
      <c r="AC1570" s="2" t="s">
        <v>1328</v>
      </c>
      <c r="AD1570" s="4">
        <v>55</v>
      </c>
      <c r="AE1570" s="4">
        <v>55</v>
      </c>
      <c r="AF1570" s="6">
        <v>66</v>
      </c>
      <c r="AG1570" s="6"/>
      <c r="AH1570" s="7">
        <v>0.9152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>
        <v>0</v>
      </c>
      <c r="AP1570" s="4"/>
      <c r="AQ1570" s="8"/>
      <c r="AR1570" s="4">
        <v>1</v>
      </c>
      <c r="AS1570" s="8">
        <v>119.74</v>
      </c>
      <c r="AT1570" s="7">
        <v>-1</v>
      </c>
      <c r="AU1570" s="7">
        <v>-1</v>
      </c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 t="s">
        <v>100</v>
      </c>
      <c r="BJ1570" s="4">
        <v>66</v>
      </c>
      <c r="BK1570" s="8">
        <v>8288.08</v>
      </c>
      <c r="BL1570" s="2" t="s">
        <v>5285</v>
      </c>
      <c r="BM1570" s="7"/>
      <c r="BN1570" s="7"/>
      <c r="BO1570" s="4"/>
      <c r="BP1570" s="8"/>
      <c r="BQ1570" s="4">
        <v>1</v>
      </c>
      <c r="BR1570" s="8">
        <v>119.74</v>
      </c>
      <c r="BS1570" s="7">
        <v>-1</v>
      </c>
      <c r="BT1570" s="7">
        <v>-1</v>
      </c>
      <c r="BU1570" s="2" t="s">
        <v>109</v>
      </c>
      <c r="BV1570" s="2" t="s">
        <v>97</v>
      </c>
      <c r="BW1570" s="2" t="s">
        <v>110</v>
      </c>
      <c r="BX1570" s="2" t="s">
        <v>2575</v>
      </c>
      <c r="BY1570" s="2" t="s">
        <v>112</v>
      </c>
      <c r="BZ1570" s="2" t="s">
        <v>100</v>
      </c>
    </row>
    <row r="1571">
      <c r="A1571" s="2" t="s">
        <v>5286</v>
      </c>
      <c r="B1571" s="2" t="s">
        <v>87</v>
      </c>
      <c r="C1571" s="2" t="s">
        <v>5275</v>
      </c>
      <c r="D1571" s="2" t="s">
        <v>89</v>
      </c>
      <c r="E1571" s="2" t="s">
        <v>90</v>
      </c>
      <c r="F1571" s="2" t="s">
        <v>5287</v>
      </c>
      <c r="G1571" s="2" t="s">
        <v>5287</v>
      </c>
      <c r="H1571" s="2" t="s">
        <v>5287</v>
      </c>
      <c r="I1571" s="2" t="s">
        <v>549</v>
      </c>
      <c r="J1571" s="2" t="s">
        <v>122</v>
      </c>
      <c r="K1571" s="2" t="s">
        <v>666</v>
      </c>
      <c r="L1571" s="3">
        <v>110</v>
      </c>
      <c r="M1571" s="3">
        <v>115.49</v>
      </c>
      <c r="N1571" s="3">
        <v>229.99</v>
      </c>
      <c r="O1571" s="2" t="s">
        <v>97</v>
      </c>
      <c r="P1571" s="2" t="s">
        <v>98</v>
      </c>
      <c r="Q1571" s="2" t="s">
        <v>99</v>
      </c>
      <c r="R1571" s="2" t="s">
        <v>100</v>
      </c>
      <c r="S1571" s="2" t="s">
        <v>5288</v>
      </c>
      <c r="T1571" s="2" t="s">
        <v>100</v>
      </c>
      <c r="U1571" s="2" t="s">
        <v>1482</v>
      </c>
      <c r="V1571" s="2" t="s">
        <v>906</v>
      </c>
      <c r="W1571" s="2" t="s">
        <v>906</v>
      </c>
      <c r="X1571" s="2" t="s">
        <v>405</v>
      </c>
      <c r="Y1571" s="2" t="s">
        <v>106</v>
      </c>
      <c r="Z1571" s="4">
        <v>43</v>
      </c>
      <c r="AA1571" s="4">
        <f>=ROUNDDOWN(14.3333333333333,0)</f>
      </c>
      <c r="AB1571" s="5">
        <v>3</v>
      </c>
      <c r="AC1571" s="2" t="s">
        <v>1328</v>
      </c>
      <c r="AD1571" s="4">
        <v>24</v>
      </c>
      <c r="AE1571" s="4">
        <v>104</v>
      </c>
      <c r="AF1571" s="6">
        <v>66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>
        <v>3</v>
      </c>
      <c r="AW1571" s="8">
        <v>425.22</v>
      </c>
      <c r="AX1571" s="4">
        <v>16</v>
      </c>
      <c r="AY1571" s="8">
        <v>2162.84</v>
      </c>
      <c r="AZ1571" s="7">
        <v>-0.8125</v>
      </c>
      <c r="BA1571" s="7">
        <v>-0.8034</v>
      </c>
      <c r="BB1571" s="7"/>
      <c r="BC1571" s="4">
        <v>3</v>
      </c>
      <c r="BD1571" s="8">
        <v>425.22</v>
      </c>
      <c r="BE1571" s="4">
        <v>16</v>
      </c>
      <c r="BF1571" s="8">
        <v>2162.84</v>
      </c>
      <c r="BG1571" s="7">
        <v>-0.8125</v>
      </c>
      <c r="BH1571" s="7">
        <v>-0.8034</v>
      </c>
      <c r="BI1571" s="7">
        <v>1</v>
      </c>
      <c r="BJ1571" s="4">
        <v>30</v>
      </c>
      <c r="BK1571" s="8">
        <v>3518.36</v>
      </c>
      <c r="BL1571" s="2" t="s">
        <v>5289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147</v>
      </c>
      <c r="BV1571" s="2" t="s">
        <v>97</v>
      </c>
      <c r="BW1571" s="2" t="s">
        <v>100</v>
      </c>
      <c r="BX1571" s="2" t="s">
        <v>100</v>
      </c>
      <c r="BY1571" s="2" t="s">
        <v>112</v>
      </c>
      <c r="BZ1571" s="2" t="s">
        <v>100</v>
      </c>
    </row>
    <row r="1572">
      <c r="A1572" s="2" t="s">
        <v>5290</v>
      </c>
      <c r="B1572" s="2" t="s">
        <v>87</v>
      </c>
      <c r="C1572" s="2" t="s">
        <v>5275</v>
      </c>
      <c r="D1572" s="2" t="s">
        <v>89</v>
      </c>
      <c r="E1572" s="2" t="s">
        <v>90</v>
      </c>
      <c r="F1572" s="2" t="s">
        <v>5287</v>
      </c>
      <c r="G1572" s="2" t="s">
        <v>5287</v>
      </c>
      <c r="H1572" s="2" t="s">
        <v>5287</v>
      </c>
      <c r="I1572" s="2" t="s">
        <v>549</v>
      </c>
      <c r="J1572" s="2" t="s">
        <v>95</v>
      </c>
      <c r="K1572" s="2" t="s">
        <v>666</v>
      </c>
      <c r="L1572" s="3">
        <v>125</v>
      </c>
      <c r="M1572" s="3">
        <v>131.24</v>
      </c>
      <c r="N1572" s="3">
        <v>259.99</v>
      </c>
      <c r="O1572" s="2" t="s">
        <v>97</v>
      </c>
      <c r="P1572" s="2" t="s">
        <v>98</v>
      </c>
      <c r="Q1572" s="2" t="s">
        <v>99</v>
      </c>
      <c r="R1572" s="2" t="s">
        <v>100</v>
      </c>
      <c r="S1572" s="2" t="s">
        <v>5288</v>
      </c>
      <c r="T1572" s="2" t="s">
        <v>100</v>
      </c>
      <c r="U1572" s="2" t="s">
        <v>100</v>
      </c>
      <c r="V1572" s="2" t="s">
        <v>906</v>
      </c>
      <c r="W1572" s="2" t="s">
        <v>906</v>
      </c>
      <c r="X1572" s="2" t="s">
        <v>405</v>
      </c>
      <c r="Y1572" s="2" t="s">
        <v>106</v>
      </c>
      <c r="Z1572" s="4">
        <v>198</v>
      </c>
      <c r="AA1572" s="4">
        <f>=ROUNDDOWN(39.6,0)</f>
      </c>
      <c r="AB1572" s="5">
        <v>5</v>
      </c>
      <c r="AC1572" s="2" t="s">
        <v>1328</v>
      </c>
      <c r="AD1572" s="4">
        <v>100</v>
      </c>
      <c r="AE1572" s="4">
        <v>137</v>
      </c>
      <c r="AF1572" s="6">
        <v>66</v>
      </c>
      <c r="AG1572" s="6"/>
      <c r="AH1572" s="7">
        <v>0.7636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>
        <v>0</v>
      </c>
      <c r="AP1572" s="4"/>
      <c r="AQ1572" s="8"/>
      <c r="AR1572" s="4">
        <v>10</v>
      </c>
      <c r="AS1572" s="8">
        <v>1312.4</v>
      </c>
      <c r="AT1572" s="7">
        <v>-1</v>
      </c>
      <c r="AU1572" s="7">
        <v>-1</v>
      </c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 t="s">
        <v>100</v>
      </c>
      <c r="BJ1572" s="4">
        <v>99</v>
      </c>
      <c r="BK1572" s="8">
        <v>13356.02</v>
      </c>
      <c r="BL1572" s="2" t="s">
        <v>5291</v>
      </c>
      <c r="BM1572" s="7"/>
      <c r="BN1572" s="7"/>
      <c r="BO1572" s="4"/>
      <c r="BP1572" s="8"/>
      <c r="BQ1572" s="4">
        <v>10</v>
      </c>
      <c r="BR1572" s="8">
        <v>1312.4</v>
      </c>
      <c r="BS1572" s="7">
        <v>-1</v>
      </c>
      <c r="BT1572" s="7">
        <v>-1</v>
      </c>
      <c r="BU1572" s="2" t="s">
        <v>109</v>
      </c>
      <c r="BV1572" s="2" t="s">
        <v>97</v>
      </c>
      <c r="BW1572" s="2" t="s">
        <v>132</v>
      </c>
      <c r="BX1572" s="2" t="s">
        <v>5292</v>
      </c>
      <c r="BY1572" s="2" t="s">
        <v>112</v>
      </c>
      <c r="BZ1572" s="2" t="s">
        <v>100</v>
      </c>
    </row>
    <row r="1573">
      <c r="A1573" s="2" t="s">
        <v>5293</v>
      </c>
      <c r="B1573" s="2" t="s">
        <v>87</v>
      </c>
      <c r="C1573" s="2" t="s">
        <v>5275</v>
      </c>
      <c r="D1573" s="2" t="s">
        <v>89</v>
      </c>
      <c r="E1573" s="2" t="s">
        <v>90</v>
      </c>
      <c r="F1573" s="2" t="s">
        <v>5287</v>
      </c>
      <c r="G1573" s="2" t="s">
        <v>5287</v>
      </c>
      <c r="H1573" s="2" t="s">
        <v>5287</v>
      </c>
      <c r="I1573" s="2" t="s">
        <v>549</v>
      </c>
      <c r="J1573" s="2" t="s">
        <v>114</v>
      </c>
      <c r="K1573" s="2" t="s">
        <v>666</v>
      </c>
      <c r="L1573" s="3">
        <v>135</v>
      </c>
      <c r="M1573" s="3">
        <v>141.74</v>
      </c>
      <c r="N1573" s="3">
        <v>279.99</v>
      </c>
      <c r="O1573" s="2" t="s">
        <v>97</v>
      </c>
      <c r="P1573" s="2" t="s">
        <v>98</v>
      </c>
      <c r="Q1573" s="2" t="s">
        <v>99</v>
      </c>
      <c r="R1573" s="2" t="s">
        <v>100</v>
      </c>
      <c r="S1573" s="2" t="s">
        <v>5288</v>
      </c>
      <c r="T1573" s="2" t="s">
        <v>100</v>
      </c>
      <c r="U1573" s="2" t="s">
        <v>1482</v>
      </c>
      <c r="V1573" s="2" t="s">
        <v>906</v>
      </c>
      <c r="W1573" s="2" t="s">
        <v>906</v>
      </c>
      <c r="X1573" s="2" t="s">
        <v>405</v>
      </c>
      <c r="Y1573" s="2" t="s">
        <v>106</v>
      </c>
      <c r="Z1573" s="4">
        <v>272</v>
      </c>
      <c r="AA1573" s="4">
        <f>=ROUNDDOWN(38.8571428571429,0)</f>
      </c>
      <c r="AB1573" s="5">
        <v>7</v>
      </c>
      <c r="AC1573" s="2" t="s">
        <v>100</v>
      </c>
      <c r="AD1573" s="4"/>
      <c r="AE1573" s="4"/>
      <c r="AF1573" s="6">
        <v>66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>
        <v>0</v>
      </c>
      <c r="AP1573" s="4">
        <v>3</v>
      </c>
      <c r="AQ1573" s="8">
        <v>425.22</v>
      </c>
      <c r="AR1573" s="4">
        <v>5</v>
      </c>
      <c r="AS1573" s="8">
        <v>708.7</v>
      </c>
      <c r="AT1573" s="7">
        <v>-0.4</v>
      </c>
      <c r="AU1573" s="7">
        <v>-0.4</v>
      </c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>
        <v>1</v>
      </c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 t="s">
        <v>100</v>
      </c>
      <c r="BJ1573" s="4">
        <v>132</v>
      </c>
      <c r="BK1573" s="8">
        <v>19110.43</v>
      </c>
      <c r="BL1573" s="2" t="s">
        <v>5294</v>
      </c>
      <c r="BM1573" s="7">
        <v>0.0227</v>
      </c>
      <c r="BN1573" s="7">
        <v>0.0223</v>
      </c>
      <c r="BO1573" s="4">
        <v>3</v>
      </c>
      <c r="BP1573" s="8">
        <v>425.22</v>
      </c>
      <c r="BQ1573" s="4">
        <v>5</v>
      </c>
      <c r="BR1573" s="8">
        <v>708.7</v>
      </c>
      <c r="BS1573" s="7">
        <v>-0.4</v>
      </c>
      <c r="BT1573" s="7">
        <v>-0.4</v>
      </c>
      <c r="BU1573" s="2" t="s">
        <v>109</v>
      </c>
      <c r="BV1573" s="2" t="s">
        <v>97</v>
      </c>
      <c r="BW1573" s="2" t="s">
        <v>132</v>
      </c>
      <c r="BX1573" s="2" t="s">
        <v>5295</v>
      </c>
      <c r="BY1573" s="2" t="s">
        <v>112</v>
      </c>
      <c r="BZ1573" s="2" t="s">
        <v>100</v>
      </c>
    </row>
    <row r="1574">
      <c r="A1574" s="2" t="s">
        <v>5296</v>
      </c>
      <c r="B1574" s="2" t="s">
        <v>87</v>
      </c>
      <c r="C1574" s="2" t="s">
        <v>5275</v>
      </c>
      <c r="D1574" s="2" t="s">
        <v>89</v>
      </c>
      <c r="E1574" s="2" t="s">
        <v>90</v>
      </c>
      <c r="F1574" s="2" t="s">
        <v>5287</v>
      </c>
      <c r="G1574" s="2" t="s">
        <v>5287</v>
      </c>
      <c r="H1574" s="2" t="s">
        <v>5287</v>
      </c>
      <c r="I1574" s="2" t="s">
        <v>549</v>
      </c>
      <c r="J1574" s="2" t="s">
        <v>118</v>
      </c>
      <c r="K1574" s="2" t="s">
        <v>666</v>
      </c>
      <c r="L1574" s="3">
        <v>135</v>
      </c>
      <c r="M1574" s="3">
        <v>141.74</v>
      </c>
      <c r="N1574" s="3">
        <v>279.99</v>
      </c>
      <c r="O1574" s="2" t="s">
        <v>97</v>
      </c>
      <c r="P1574" s="2" t="s">
        <v>98</v>
      </c>
      <c r="Q1574" s="2" t="s">
        <v>99</v>
      </c>
      <c r="R1574" s="2" t="s">
        <v>100</v>
      </c>
      <c r="S1574" s="2" t="s">
        <v>5288</v>
      </c>
      <c r="T1574" s="2" t="s">
        <v>100</v>
      </c>
      <c r="U1574" s="2" t="s">
        <v>1482</v>
      </c>
      <c r="V1574" s="2" t="s">
        <v>906</v>
      </c>
      <c r="W1574" s="2" t="s">
        <v>906</v>
      </c>
      <c r="X1574" s="2" t="s">
        <v>405</v>
      </c>
      <c r="Y1574" s="2" t="s">
        <v>106</v>
      </c>
      <c r="Z1574" s="4">
        <v>67</v>
      </c>
      <c r="AA1574" s="4">
        <f>=ROUNDDOWN(22.3333333333333,0)</f>
      </c>
      <c r="AB1574" s="5">
        <v>3</v>
      </c>
      <c r="AC1574" s="2" t="s">
        <v>847</v>
      </c>
      <c r="AD1574" s="4">
        <v>24</v>
      </c>
      <c r="AE1574" s="4">
        <v>24</v>
      </c>
      <c r="AF1574" s="6">
        <v>66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>
        <v>0</v>
      </c>
      <c r="AP1574" s="4"/>
      <c r="AQ1574" s="8"/>
      <c r="AR1574" s="4">
        <v>1</v>
      </c>
      <c r="AS1574" s="8">
        <v>141.74</v>
      </c>
      <c r="AT1574" s="7">
        <v>-1</v>
      </c>
      <c r="AU1574" s="7">
        <v>-1</v>
      </c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 t="s">
        <v>100</v>
      </c>
      <c r="BJ1574" s="4">
        <v>26</v>
      </c>
      <c r="BK1574" s="8">
        <v>3794.7</v>
      </c>
      <c r="BL1574" s="2" t="s">
        <v>5297</v>
      </c>
      <c r="BM1574" s="7"/>
      <c r="BN1574" s="7"/>
      <c r="BO1574" s="4"/>
      <c r="BP1574" s="8"/>
      <c r="BQ1574" s="4">
        <v>1</v>
      </c>
      <c r="BR1574" s="8">
        <v>141.74</v>
      </c>
      <c r="BS1574" s="7">
        <v>-1</v>
      </c>
      <c r="BT1574" s="7">
        <v>-1</v>
      </c>
      <c r="BU1574" s="2" t="s">
        <v>109</v>
      </c>
      <c r="BV1574" s="2" t="s">
        <v>97</v>
      </c>
      <c r="BW1574" s="2" t="s">
        <v>132</v>
      </c>
      <c r="BX1574" s="2" t="s">
        <v>5298</v>
      </c>
      <c r="BY1574" s="2" t="s">
        <v>112</v>
      </c>
      <c r="BZ1574" s="2" t="s">
        <v>100</v>
      </c>
    </row>
    <row r="1575">
      <c r="A1575" s="2" t="s">
        <v>5299</v>
      </c>
      <c r="B1575" s="2" t="s">
        <v>87</v>
      </c>
      <c r="C1575" s="2" t="s">
        <v>5275</v>
      </c>
      <c r="D1575" s="2" t="s">
        <v>89</v>
      </c>
      <c r="E1575" s="2" t="s">
        <v>90</v>
      </c>
      <c r="F1575" s="2" t="s">
        <v>5300</v>
      </c>
      <c r="G1575" s="2" t="s">
        <v>100</v>
      </c>
      <c r="H1575" s="2" t="s">
        <v>100</v>
      </c>
      <c r="I1575" s="2" t="s">
        <v>549</v>
      </c>
      <c r="J1575" s="2" t="s">
        <v>3012</v>
      </c>
      <c r="K1575" s="2" t="s">
        <v>158</v>
      </c>
      <c r="L1575" s="3">
        <v>60.48</v>
      </c>
      <c r="M1575" s="3">
        <v>63.5</v>
      </c>
      <c r="N1575" s="3">
        <v>149.99</v>
      </c>
      <c r="O1575" s="2" t="s">
        <v>97</v>
      </c>
      <c r="P1575" s="2" t="s">
        <v>1265</v>
      </c>
      <c r="Q1575" s="2" t="s">
        <v>99</v>
      </c>
      <c r="R1575" s="2" t="s">
        <v>100</v>
      </c>
      <c r="S1575" s="2" t="s">
        <v>5301</v>
      </c>
      <c r="T1575" s="2" t="s">
        <v>100</v>
      </c>
      <c r="U1575" s="2" t="s">
        <v>100</v>
      </c>
      <c r="V1575" s="2" t="s">
        <v>906</v>
      </c>
      <c r="W1575" s="2" t="s">
        <v>906</v>
      </c>
      <c r="X1575" s="2" t="s">
        <v>808</v>
      </c>
      <c r="Y1575" s="2" t="s">
        <v>106</v>
      </c>
      <c r="Z1575" s="4">
        <v>73</v>
      </c>
      <c r="AA1575" s="4">
        <f>=ROUNDDOWN(18.25,0)</f>
      </c>
      <c r="AB1575" s="5">
        <v>4</v>
      </c>
      <c r="AC1575" s="2" t="s">
        <v>100</v>
      </c>
      <c r="AD1575" s="4"/>
      <c r="AE1575" s="4"/>
      <c r="AF1575" s="6">
        <v>66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>
        <v>0</v>
      </c>
      <c r="AP1575" s="4">
        <v>1</v>
      </c>
      <c r="AQ1575" s="8">
        <v>63.5</v>
      </c>
      <c r="AR1575" s="4">
        <v>6</v>
      </c>
      <c r="AS1575" s="8">
        <v>381</v>
      </c>
      <c r="AT1575" s="7">
        <v>-0.8333</v>
      </c>
      <c r="AU1575" s="7">
        <v>-0.8333</v>
      </c>
      <c r="AV1575" s="4">
        <v>2</v>
      </c>
      <c r="AW1575" s="8">
        <v>157.39</v>
      </c>
      <c r="AX1575" s="4">
        <v>8</v>
      </c>
      <c r="AY1575" s="8">
        <v>589.19</v>
      </c>
      <c r="AZ1575" s="7">
        <v>-0.75</v>
      </c>
      <c r="BA1575" s="7">
        <v>-0.7329</v>
      </c>
      <c r="BB1575" s="7">
        <v>0.4035</v>
      </c>
      <c r="BC1575" s="4">
        <v>2</v>
      </c>
      <c r="BD1575" s="8">
        <v>157.39</v>
      </c>
      <c r="BE1575" s="4">
        <v>8</v>
      </c>
      <c r="BF1575" s="8">
        <v>589.19</v>
      </c>
      <c r="BG1575" s="7">
        <v>-0.75</v>
      </c>
      <c r="BH1575" s="7">
        <v>-0.7329</v>
      </c>
      <c r="BI1575" s="7">
        <v>1</v>
      </c>
      <c r="BJ1575" s="4">
        <v>60</v>
      </c>
      <c r="BK1575" s="8">
        <v>4023.81</v>
      </c>
      <c r="BL1575" s="2" t="s">
        <v>5302</v>
      </c>
      <c r="BM1575" s="7">
        <v>0.0167</v>
      </c>
      <c r="BN1575" s="7">
        <v>0.0158</v>
      </c>
      <c r="BO1575" s="4">
        <v>1</v>
      </c>
      <c r="BP1575" s="8">
        <v>63.5</v>
      </c>
      <c r="BQ1575" s="4">
        <v>6</v>
      </c>
      <c r="BR1575" s="8">
        <v>381</v>
      </c>
      <c r="BS1575" s="7">
        <v>-0.8333</v>
      </c>
      <c r="BT1575" s="7">
        <v>-0.8333</v>
      </c>
      <c r="BU1575" s="2" t="s">
        <v>109</v>
      </c>
      <c r="BV1575" s="2" t="s">
        <v>97</v>
      </c>
      <c r="BW1575" s="2" t="s">
        <v>110</v>
      </c>
      <c r="BX1575" s="2" t="s">
        <v>164</v>
      </c>
      <c r="BY1575" s="2" t="s">
        <v>112</v>
      </c>
      <c r="BZ1575" s="2" t="s">
        <v>100</v>
      </c>
    </row>
    <row r="1576">
      <c r="A1576" s="2" t="s">
        <v>5303</v>
      </c>
      <c r="B1576" s="2" t="s">
        <v>87</v>
      </c>
      <c r="C1576" s="2" t="s">
        <v>5275</v>
      </c>
      <c r="D1576" s="2" t="s">
        <v>89</v>
      </c>
      <c r="E1576" s="2" t="s">
        <v>90</v>
      </c>
      <c r="F1576" s="2" t="s">
        <v>5300</v>
      </c>
      <c r="G1576" s="2" t="s">
        <v>100</v>
      </c>
      <c r="H1576" s="2" t="s">
        <v>100</v>
      </c>
      <c r="I1576" s="2" t="s">
        <v>549</v>
      </c>
      <c r="J1576" s="2" t="s">
        <v>122</v>
      </c>
      <c r="K1576" s="2" t="s">
        <v>158</v>
      </c>
      <c r="L1576" s="3">
        <v>77.76</v>
      </c>
      <c r="M1576" s="3">
        <v>81.65</v>
      </c>
      <c r="N1576" s="3">
        <v>169.99</v>
      </c>
      <c r="O1576" s="2" t="s">
        <v>97</v>
      </c>
      <c r="P1576" s="2" t="s">
        <v>1265</v>
      </c>
      <c r="Q1576" s="2" t="s">
        <v>99</v>
      </c>
      <c r="R1576" s="2" t="s">
        <v>100</v>
      </c>
      <c r="S1576" s="2" t="s">
        <v>5301</v>
      </c>
      <c r="T1576" s="2" t="s">
        <v>100</v>
      </c>
      <c r="U1576" s="2" t="s">
        <v>100</v>
      </c>
      <c r="V1576" s="2" t="s">
        <v>906</v>
      </c>
      <c r="W1576" s="2" t="s">
        <v>906</v>
      </c>
      <c r="X1576" s="2" t="s">
        <v>808</v>
      </c>
      <c r="Y1576" s="2" t="s">
        <v>106</v>
      </c>
      <c r="Z1576" s="4">
        <v>55</v>
      </c>
      <c r="AA1576" s="4">
        <f>=ROUNDDOWN(27.5,0)</f>
      </c>
      <c r="AB1576" s="5">
        <v>2</v>
      </c>
      <c r="AC1576" s="2" t="s">
        <v>325</v>
      </c>
      <c r="AD1576" s="4">
        <v>30</v>
      </c>
      <c r="AE1576" s="4">
        <v>30</v>
      </c>
      <c r="AF1576" s="6">
        <v>66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 t="s">
        <v>100</v>
      </c>
      <c r="BJ1576" s="4">
        <v>39</v>
      </c>
      <c r="BK1576" s="8">
        <v>3133.79</v>
      </c>
      <c r="BL1576" s="2" t="s">
        <v>5304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97</v>
      </c>
      <c r="BW1576" s="2" t="s">
        <v>110</v>
      </c>
      <c r="BX1576" s="2" t="s">
        <v>100</v>
      </c>
      <c r="BY1576" s="2" t="s">
        <v>112</v>
      </c>
      <c r="BZ1576" s="2" t="s">
        <v>100</v>
      </c>
    </row>
    <row r="1577">
      <c r="A1577" s="2" t="s">
        <v>5305</v>
      </c>
      <c r="B1577" s="2" t="s">
        <v>87</v>
      </c>
      <c r="C1577" s="2" t="s">
        <v>5275</v>
      </c>
      <c r="D1577" s="2" t="s">
        <v>89</v>
      </c>
      <c r="E1577" s="2" t="s">
        <v>90</v>
      </c>
      <c r="F1577" s="2" t="s">
        <v>5300</v>
      </c>
      <c r="G1577" s="2" t="s">
        <v>100</v>
      </c>
      <c r="H1577" s="2" t="s">
        <v>100</v>
      </c>
      <c r="I1577" s="2" t="s">
        <v>549</v>
      </c>
      <c r="J1577" s="2" t="s">
        <v>95</v>
      </c>
      <c r="K1577" s="2" t="s">
        <v>158</v>
      </c>
      <c r="L1577" s="3">
        <v>89.42</v>
      </c>
      <c r="M1577" s="3">
        <v>93.89</v>
      </c>
      <c r="N1577" s="3">
        <v>189.99</v>
      </c>
      <c r="O1577" s="2" t="s">
        <v>97</v>
      </c>
      <c r="P1577" s="2" t="s">
        <v>1265</v>
      </c>
      <c r="Q1577" s="2" t="s">
        <v>99</v>
      </c>
      <c r="R1577" s="2" t="s">
        <v>100</v>
      </c>
      <c r="S1577" s="2" t="s">
        <v>5301</v>
      </c>
      <c r="T1577" s="2" t="s">
        <v>100</v>
      </c>
      <c r="U1577" s="2" t="s">
        <v>100</v>
      </c>
      <c r="V1577" s="2" t="s">
        <v>906</v>
      </c>
      <c r="W1577" s="2" t="s">
        <v>906</v>
      </c>
      <c r="X1577" s="2" t="s">
        <v>808</v>
      </c>
      <c r="Y1577" s="2" t="s">
        <v>106</v>
      </c>
      <c r="Z1577" s="4">
        <v>73</v>
      </c>
      <c r="AA1577" s="4">
        <f>=ROUNDDOWN(18.25,0)</f>
      </c>
      <c r="AB1577" s="5">
        <v>4</v>
      </c>
      <c r="AC1577" s="2" t="s">
        <v>325</v>
      </c>
      <c r="AD1577" s="4">
        <v>84</v>
      </c>
      <c r="AE1577" s="4">
        <v>84</v>
      </c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>
        <v>0</v>
      </c>
      <c r="AP1577" s="4">
        <v>1</v>
      </c>
      <c r="AQ1577" s="8">
        <v>93.89</v>
      </c>
      <c r="AR1577" s="4">
        <v>1</v>
      </c>
      <c r="AS1577" s="8">
        <v>93.89</v>
      </c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>
        <v>0.5965</v>
      </c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 t="s">
        <v>100</v>
      </c>
      <c r="BJ1577" s="4">
        <v>98</v>
      </c>
      <c r="BK1577" s="8">
        <v>9293.51</v>
      </c>
      <c r="BL1577" s="2" t="s">
        <v>5306</v>
      </c>
      <c r="BM1577" s="7">
        <v>0.0102</v>
      </c>
      <c r="BN1577" s="7">
        <v>0.0101</v>
      </c>
      <c r="BO1577" s="4">
        <v>1</v>
      </c>
      <c r="BP1577" s="8">
        <v>93.89</v>
      </c>
      <c r="BQ1577" s="4">
        <v>1</v>
      </c>
      <c r="BR1577" s="8">
        <v>93.89</v>
      </c>
      <c r="BS1577" s="7"/>
      <c r="BT1577" s="7"/>
      <c r="BU1577" s="2" t="s">
        <v>109</v>
      </c>
      <c r="BV1577" s="2" t="s">
        <v>97</v>
      </c>
      <c r="BW1577" s="2" t="s">
        <v>110</v>
      </c>
      <c r="BX1577" s="2" t="s">
        <v>915</v>
      </c>
      <c r="BY1577" s="2" t="s">
        <v>112</v>
      </c>
      <c r="BZ1577" s="2" t="s">
        <v>100</v>
      </c>
    </row>
    <row r="1578">
      <c r="A1578" s="2" t="s">
        <v>5307</v>
      </c>
      <c r="B1578" s="2" t="s">
        <v>87</v>
      </c>
      <c r="C1578" s="2" t="s">
        <v>5275</v>
      </c>
      <c r="D1578" s="2" t="s">
        <v>89</v>
      </c>
      <c r="E1578" s="2" t="s">
        <v>90</v>
      </c>
      <c r="F1578" s="2" t="s">
        <v>5300</v>
      </c>
      <c r="G1578" s="2" t="s">
        <v>100</v>
      </c>
      <c r="H1578" s="2" t="s">
        <v>100</v>
      </c>
      <c r="I1578" s="2" t="s">
        <v>549</v>
      </c>
      <c r="J1578" s="2" t="s">
        <v>114</v>
      </c>
      <c r="K1578" s="2" t="s">
        <v>158</v>
      </c>
      <c r="L1578" s="3">
        <v>108.86</v>
      </c>
      <c r="M1578" s="3">
        <v>114.3</v>
      </c>
      <c r="N1578" s="3">
        <v>219.99</v>
      </c>
      <c r="O1578" s="2" t="s">
        <v>97</v>
      </c>
      <c r="P1578" s="2" t="s">
        <v>1265</v>
      </c>
      <c r="Q1578" s="2" t="s">
        <v>99</v>
      </c>
      <c r="R1578" s="2" t="s">
        <v>100</v>
      </c>
      <c r="S1578" s="2" t="s">
        <v>5301</v>
      </c>
      <c r="T1578" s="2" t="s">
        <v>100</v>
      </c>
      <c r="U1578" s="2" t="s">
        <v>100</v>
      </c>
      <c r="V1578" s="2" t="s">
        <v>906</v>
      </c>
      <c r="W1578" s="2" t="s">
        <v>906</v>
      </c>
      <c r="X1578" s="2" t="s">
        <v>808</v>
      </c>
      <c r="Y1578" s="2" t="s">
        <v>106</v>
      </c>
      <c r="Z1578" s="4">
        <v>82</v>
      </c>
      <c r="AA1578" s="4">
        <f>=ROUNDDOWN(27.3333333333333,0)</f>
      </c>
      <c r="AB1578" s="5">
        <v>3</v>
      </c>
      <c r="AC1578" s="2" t="s">
        <v>325</v>
      </c>
      <c r="AD1578" s="4">
        <v>53</v>
      </c>
      <c r="AE1578" s="4">
        <v>53</v>
      </c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>
        <v>0</v>
      </c>
      <c r="AP1578" s="4"/>
      <c r="AQ1578" s="8"/>
      <c r="AR1578" s="4">
        <v>1</v>
      </c>
      <c r="AS1578" s="8">
        <v>114.3</v>
      </c>
      <c r="AT1578" s="7">
        <v>-1</v>
      </c>
      <c r="AU1578" s="7">
        <v>-1</v>
      </c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 t="s">
        <v>100</v>
      </c>
      <c r="BJ1578" s="4">
        <v>56</v>
      </c>
      <c r="BK1578" s="8">
        <v>6288.8</v>
      </c>
      <c r="BL1578" s="2" t="s">
        <v>5281</v>
      </c>
      <c r="BM1578" s="7"/>
      <c r="BN1578" s="7"/>
      <c r="BO1578" s="4"/>
      <c r="BP1578" s="8"/>
      <c r="BQ1578" s="4">
        <v>1</v>
      </c>
      <c r="BR1578" s="8">
        <v>114.3</v>
      </c>
      <c r="BS1578" s="7">
        <v>-1</v>
      </c>
      <c r="BT1578" s="7">
        <v>-1</v>
      </c>
      <c r="BU1578" s="2" t="s">
        <v>109</v>
      </c>
      <c r="BV1578" s="2" t="s">
        <v>97</v>
      </c>
      <c r="BW1578" s="2" t="s">
        <v>110</v>
      </c>
      <c r="BX1578" s="2" t="s">
        <v>5308</v>
      </c>
      <c r="BY1578" s="2" t="s">
        <v>112</v>
      </c>
      <c r="BZ1578" s="2" t="s">
        <v>100</v>
      </c>
    </row>
    <row r="1579">
      <c r="A1579" s="2" t="s">
        <v>5309</v>
      </c>
      <c r="B1579" s="2" t="s">
        <v>87</v>
      </c>
      <c r="C1579" s="2" t="s">
        <v>5275</v>
      </c>
      <c r="D1579" s="2" t="s">
        <v>89</v>
      </c>
      <c r="E1579" s="2" t="s">
        <v>90</v>
      </c>
      <c r="F1579" s="2" t="s">
        <v>5300</v>
      </c>
      <c r="G1579" s="2" t="s">
        <v>100</v>
      </c>
      <c r="H1579" s="2" t="s">
        <v>100</v>
      </c>
      <c r="I1579" s="2" t="s">
        <v>549</v>
      </c>
      <c r="J1579" s="2" t="s">
        <v>118</v>
      </c>
      <c r="K1579" s="2" t="s">
        <v>158</v>
      </c>
      <c r="L1579" s="3">
        <v>108.86</v>
      </c>
      <c r="M1579" s="3">
        <v>114.3</v>
      </c>
      <c r="N1579" s="3">
        <v>219.99</v>
      </c>
      <c r="O1579" s="2" t="s">
        <v>97</v>
      </c>
      <c r="P1579" s="2" t="s">
        <v>1265</v>
      </c>
      <c r="Q1579" s="2" t="s">
        <v>99</v>
      </c>
      <c r="R1579" s="2" t="s">
        <v>100</v>
      </c>
      <c r="S1579" s="2" t="s">
        <v>5301</v>
      </c>
      <c r="T1579" s="2" t="s">
        <v>100</v>
      </c>
      <c r="U1579" s="2" t="s">
        <v>100</v>
      </c>
      <c r="V1579" s="2" t="s">
        <v>906</v>
      </c>
      <c r="W1579" s="2" t="s">
        <v>906</v>
      </c>
      <c r="X1579" s="2" t="s">
        <v>808</v>
      </c>
      <c r="Y1579" s="2" t="s">
        <v>106</v>
      </c>
      <c r="Z1579" s="4">
        <v>33</v>
      </c>
      <c r="AA1579" s="4">
        <f>=ROUNDDOWN(16.5,0)</f>
      </c>
      <c r="AB1579" s="5">
        <v>2</v>
      </c>
      <c r="AC1579" s="2" t="s">
        <v>325</v>
      </c>
      <c r="AD1579" s="4">
        <v>10</v>
      </c>
      <c r="AE1579" s="4">
        <v>10</v>
      </c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100</v>
      </c>
      <c r="AW1579" s="8" t="s">
        <v>100</v>
      </c>
      <c r="AX1579" s="4" t="s">
        <v>100</v>
      </c>
      <c r="AY1579" s="8" t="s">
        <v>100</v>
      </c>
      <c r="AZ1579" s="7" t="s">
        <v>100</v>
      </c>
      <c r="BA1579" s="7" t="s">
        <v>100</v>
      </c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 t="s">
        <v>100</v>
      </c>
      <c r="BJ1579" s="4">
        <v>18</v>
      </c>
      <c r="BK1579" s="8">
        <v>1912.95</v>
      </c>
      <c r="BL1579" s="2" t="s">
        <v>5310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97</v>
      </c>
      <c r="BW1579" s="2" t="s">
        <v>110</v>
      </c>
      <c r="BX1579" s="2" t="s">
        <v>100</v>
      </c>
      <c r="BY1579" s="2" t="s">
        <v>112</v>
      </c>
      <c r="BZ1579" s="2" t="s">
        <v>100</v>
      </c>
    </row>
    <row r="1580">
      <c r="A1580" s="2" t="s">
        <v>5311</v>
      </c>
      <c r="B1580" s="2" t="s">
        <v>87</v>
      </c>
      <c r="C1580" s="2" t="s">
        <v>5275</v>
      </c>
      <c r="D1580" s="2" t="s">
        <v>89</v>
      </c>
      <c r="E1580" s="2" t="s">
        <v>90</v>
      </c>
      <c r="F1580" s="2" t="s">
        <v>5312</v>
      </c>
      <c r="G1580" s="2" t="s">
        <v>5312</v>
      </c>
      <c r="H1580" s="2" t="s">
        <v>5312</v>
      </c>
      <c r="I1580" s="2" t="s">
        <v>5313</v>
      </c>
      <c r="J1580" s="2" t="s">
        <v>122</v>
      </c>
      <c r="K1580" s="2" t="s">
        <v>333</v>
      </c>
      <c r="L1580" s="3">
        <v>93.31</v>
      </c>
      <c r="M1580" s="3">
        <v>97.98</v>
      </c>
      <c r="N1580" s="3">
        <v>204.99</v>
      </c>
      <c r="O1580" s="2" t="s">
        <v>97</v>
      </c>
      <c r="P1580" s="2" t="s">
        <v>98</v>
      </c>
      <c r="Q1580" s="2" t="s">
        <v>99</v>
      </c>
      <c r="R1580" s="2" t="s">
        <v>100</v>
      </c>
      <c r="S1580" s="2" t="s">
        <v>5314</v>
      </c>
      <c r="T1580" s="2" t="s">
        <v>100</v>
      </c>
      <c r="U1580" s="2" t="s">
        <v>490</v>
      </c>
      <c r="V1580" s="2" t="s">
        <v>404</v>
      </c>
      <c r="W1580" s="2" t="s">
        <v>405</v>
      </c>
      <c r="X1580" s="2" t="s">
        <v>808</v>
      </c>
      <c r="Y1580" s="2" t="s">
        <v>5315</v>
      </c>
      <c r="Z1580" s="4">
        <v>23</v>
      </c>
      <c r="AA1580" s="4">
        <f>=ROUNDDOWN(11.5,0)</f>
      </c>
      <c r="AB1580" s="5">
        <v>2</v>
      </c>
      <c r="AC1580" s="2" t="s">
        <v>1328</v>
      </c>
      <c r="AD1580" s="4">
        <v>10</v>
      </c>
      <c r="AE1580" s="4">
        <v>10</v>
      </c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>
        <v>1</v>
      </c>
      <c r="AW1580" s="8">
        <v>119.74</v>
      </c>
      <c r="AX1580" s="4">
        <v>11</v>
      </c>
      <c r="AY1580" s="8">
        <v>1251.8</v>
      </c>
      <c r="AZ1580" s="7">
        <v>-0.9091</v>
      </c>
      <c r="BA1580" s="7">
        <v>-0.9043</v>
      </c>
      <c r="BB1580" s="7"/>
      <c r="BC1580" s="4">
        <v>1</v>
      </c>
      <c r="BD1580" s="8">
        <v>119.74</v>
      </c>
      <c r="BE1580" s="4">
        <v>11</v>
      </c>
      <c r="BF1580" s="8">
        <v>1251.8</v>
      </c>
      <c r="BG1580" s="7">
        <v>-0.9091</v>
      </c>
      <c r="BH1580" s="7">
        <v>-0.9043</v>
      </c>
      <c r="BI1580" s="7">
        <v>1</v>
      </c>
      <c r="BJ1580" s="4">
        <v>19</v>
      </c>
      <c r="BK1580" s="8">
        <v>1933.89</v>
      </c>
      <c r="BL1580" s="2" t="s">
        <v>5316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97</v>
      </c>
      <c r="BW1580" s="2" t="s">
        <v>110</v>
      </c>
      <c r="BX1580" s="2" t="s">
        <v>100</v>
      </c>
      <c r="BY1580" s="2" t="s">
        <v>112</v>
      </c>
      <c r="BZ1580" s="2" t="s">
        <v>100</v>
      </c>
    </row>
    <row r="1581">
      <c r="A1581" s="2" t="s">
        <v>5317</v>
      </c>
      <c r="B1581" s="2" t="s">
        <v>87</v>
      </c>
      <c r="C1581" s="2" t="s">
        <v>5275</v>
      </c>
      <c r="D1581" s="2" t="s">
        <v>89</v>
      </c>
      <c r="E1581" s="2" t="s">
        <v>90</v>
      </c>
      <c r="F1581" s="2" t="s">
        <v>5312</v>
      </c>
      <c r="G1581" s="2" t="s">
        <v>5312</v>
      </c>
      <c r="H1581" s="2" t="s">
        <v>5312</v>
      </c>
      <c r="I1581" s="2" t="s">
        <v>5313</v>
      </c>
      <c r="J1581" s="2" t="s">
        <v>95</v>
      </c>
      <c r="K1581" s="2" t="s">
        <v>333</v>
      </c>
      <c r="L1581" s="3">
        <v>103.67</v>
      </c>
      <c r="M1581" s="3">
        <v>108.85</v>
      </c>
      <c r="N1581" s="3">
        <v>224.99</v>
      </c>
      <c r="O1581" s="2" t="s">
        <v>97</v>
      </c>
      <c r="P1581" s="2" t="s">
        <v>98</v>
      </c>
      <c r="Q1581" s="2" t="s">
        <v>99</v>
      </c>
      <c r="R1581" s="2" t="s">
        <v>100</v>
      </c>
      <c r="S1581" s="2" t="s">
        <v>5314</v>
      </c>
      <c r="T1581" s="2" t="s">
        <v>100</v>
      </c>
      <c r="U1581" s="2" t="s">
        <v>490</v>
      </c>
      <c r="V1581" s="2" t="s">
        <v>404</v>
      </c>
      <c r="W1581" s="2" t="s">
        <v>405</v>
      </c>
      <c r="X1581" s="2" t="s">
        <v>808</v>
      </c>
      <c r="Y1581" s="2" t="s">
        <v>5315</v>
      </c>
      <c r="Z1581" s="4">
        <v>140</v>
      </c>
      <c r="AA1581" s="4">
        <f>=ROUNDDOWN(28,0)</f>
      </c>
      <c r="AB1581" s="5">
        <v>5</v>
      </c>
      <c r="AC1581" s="2" t="s">
        <v>1328</v>
      </c>
      <c r="AD1581" s="4">
        <v>28</v>
      </c>
      <c r="AE1581" s="4">
        <v>28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>
        <v>0</v>
      </c>
      <c r="AP1581" s="4"/>
      <c r="AQ1581" s="8"/>
      <c r="AR1581" s="4">
        <v>6</v>
      </c>
      <c r="AS1581" s="8">
        <v>653.1</v>
      </c>
      <c r="AT1581" s="7">
        <v>-1</v>
      </c>
      <c r="AU1581" s="7">
        <v>-1</v>
      </c>
      <c r="AV1581" s="4" t="s">
        <v>100</v>
      </c>
      <c r="AW1581" s="8" t="s">
        <v>100</v>
      </c>
      <c r="AX1581" s="4" t="s">
        <v>100</v>
      </c>
      <c r="AY1581" s="8" t="s">
        <v>100</v>
      </c>
      <c r="AZ1581" s="7" t="s">
        <v>100</v>
      </c>
      <c r="BA1581" s="7" t="s">
        <v>100</v>
      </c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 t="s">
        <v>100</v>
      </c>
      <c r="BJ1581" s="4">
        <v>89</v>
      </c>
      <c r="BK1581" s="8">
        <v>10086.78</v>
      </c>
      <c r="BL1581" s="2" t="s">
        <v>5318</v>
      </c>
      <c r="BM1581" s="7"/>
      <c r="BN1581" s="7"/>
      <c r="BO1581" s="4"/>
      <c r="BP1581" s="8"/>
      <c r="BQ1581" s="4">
        <v>6</v>
      </c>
      <c r="BR1581" s="8">
        <v>653.1</v>
      </c>
      <c r="BS1581" s="7">
        <v>-1</v>
      </c>
      <c r="BT1581" s="7">
        <v>-1</v>
      </c>
      <c r="BU1581" s="2" t="s">
        <v>109</v>
      </c>
      <c r="BV1581" s="2" t="s">
        <v>97</v>
      </c>
      <c r="BW1581" s="2" t="s">
        <v>110</v>
      </c>
      <c r="BX1581" s="2" t="s">
        <v>3617</v>
      </c>
      <c r="BY1581" s="2" t="s">
        <v>112</v>
      </c>
      <c r="BZ1581" s="2" t="s">
        <v>100</v>
      </c>
    </row>
    <row r="1582">
      <c r="A1582" s="2" t="s">
        <v>5319</v>
      </c>
      <c r="B1582" s="2" t="s">
        <v>87</v>
      </c>
      <c r="C1582" s="2" t="s">
        <v>5275</v>
      </c>
      <c r="D1582" s="2" t="s">
        <v>89</v>
      </c>
      <c r="E1582" s="2" t="s">
        <v>90</v>
      </c>
      <c r="F1582" s="2" t="s">
        <v>5312</v>
      </c>
      <c r="G1582" s="2" t="s">
        <v>5312</v>
      </c>
      <c r="H1582" s="2" t="s">
        <v>5312</v>
      </c>
      <c r="I1582" s="2" t="s">
        <v>5313</v>
      </c>
      <c r="J1582" s="2" t="s">
        <v>114</v>
      </c>
      <c r="K1582" s="2" t="s">
        <v>333</v>
      </c>
      <c r="L1582" s="3">
        <v>114.04</v>
      </c>
      <c r="M1582" s="3">
        <v>119.74</v>
      </c>
      <c r="N1582" s="3">
        <v>244.99</v>
      </c>
      <c r="O1582" s="2" t="s">
        <v>97</v>
      </c>
      <c r="P1582" s="2" t="s">
        <v>98</v>
      </c>
      <c r="Q1582" s="2" t="s">
        <v>99</v>
      </c>
      <c r="R1582" s="2" t="s">
        <v>100</v>
      </c>
      <c r="S1582" s="2" t="s">
        <v>5314</v>
      </c>
      <c r="T1582" s="2" t="s">
        <v>100</v>
      </c>
      <c r="U1582" s="2" t="s">
        <v>490</v>
      </c>
      <c r="V1582" s="2" t="s">
        <v>404</v>
      </c>
      <c r="W1582" s="2" t="s">
        <v>405</v>
      </c>
      <c r="X1582" s="2" t="s">
        <v>808</v>
      </c>
      <c r="Y1582" s="2" t="s">
        <v>5315</v>
      </c>
      <c r="Z1582" s="4">
        <v>147</v>
      </c>
      <c r="AA1582" s="4">
        <f>=ROUNDDOWN(24.5,0)</f>
      </c>
      <c r="AB1582" s="5">
        <v>6</v>
      </c>
      <c r="AC1582" s="2" t="s">
        <v>1328</v>
      </c>
      <c r="AD1582" s="4">
        <v>70</v>
      </c>
      <c r="AE1582" s="4">
        <v>70</v>
      </c>
      <c r="AF1582" s="6">
        <v>66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>
        <v>0</v>
      </c>
      <c r="AP1582" s="4">
        <v>1</v>
      </c>
      <c r="AQ1582" s="8">
        <v>119.74</v>
      </c>
      <c r="AR1582" s="4">
        <v>3</v>
      </c>
      <c r="AS1582" s="8">
        <v>359.22</v>
      </c>
      <c r="AT1582" s="7">
        <v>-0.6667</v>
      </c>
      <c r="AU1582" s="7">
        <v>-0.6667</v>
      </c>
      <c r="AV1582" s="4" t="s">
        <v>100</v>
      </c>
      <c r="AW1582" s="8" t="s">
        <v>100</v>
      </c>
      <c r="AX1582" s="4" t="s">
        <v>100</v>
      </c>
      <c r="AY1582" s="8" t="s">
        <v>100</v>
      </c>
      <c r="AZ1582" s="7" t="s">
        <v>100</v>
      </c>
      <c r="BA1582" s="7" t="s">
        <v>100</v>
      </c>
      <c r="BB1582" s="7">
        <v>1</v>
      </c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 t="s">
        <v>100</v>
      </c>
      <c r="BJ1582" s="4">
        <v>125</v>
      </c>
      <c r="BK1582" s="8">
        <v>15500.58</v>
      </c>
      <c r="BL1582" s="2" t="s">
        <v>5320</v>
      </c>
      <c r="BM1582" s="7">
        <v>0.008</v>
      </c>
      <c r="BN1582" s="7">
        <v>0.0077</v>
      </c>
      <c r="BO1582" s="4">
        <v>1</v>
      </c>
      <c r="BP1582" s="8">
        <v>119.74</v>
      </c>
      <c r="BQ1582" s="4">
        <v>3</v>
      </c>
      <c r="BR1582" s="8">
        <v>359.22</v>
      </c>
      <c r="BS1582" s="7">
        <v>-0.6667</v>
      </c>
      <c r="BT1582" s="7">
        <v>-0.6667</v>
      </c>
      <c r="BU1582" s="2" t="s">
        <v>109</v>
      </c>
      <c r="BV1582" s="2" t="s">
        <v>97</v>
      </c>
      <c r="BW1582" s="2" t="s">
        <v>110</v>
      </c>
      <c r="BX1582" s="2" t="s">
        <v>5321</v>
      </c>
      <c r="BY1582" s="2" t="s">
        <v>112</v>
      </c>
      <c r="BZ1582" s="2" t="s">
        <v>100</v>
      </c>
    </row>
    <row r="1583">
      <c r="A1583" s="2" t="s">
        <v>5322</v>
      </c>
      <c r="B1583" s="2" t="s">
        <v>87</v>
      </c>
      <c r="C1583" s="2" t="s">
        <v>5275</v>
      </c>
      <c r="D1583" s="2" t="s">
        <v>89</v>
      </c>
      <c r="E1583" s="2" t="s">
        <v>90</v>
      </c>
      <c r="F1583" s="2" t="s">
        <v>5312</v>
      </c>
      <c r="G1583" s="2" t="s">
        <v>5312</v>
      </c>
      <c r="H1583" s="2" t="s">
        <v>5312</v>
      </c>
      <c r="I1583" s="2" t="s">
        <v>5313</v>
      </c>
      <c r="J1583" s="2" t="s">
        <v>118</v>
      </c>
      <c r="K1583" s="2" t="s">
        <v>333</v>
      </c>
      <c r="L1583" s="3">
        <v>114.04</v>
      </c>
      <c r="M1583" s="3">
        <v>119.74</v>
      </c>
      <c r="N1583" s="3">
        <v>244.99</v>
      </c>
      <c r="O1583" s="2" t="s">
        <v>97</v>
      </c>
      <c r="P1583" s="2" t="s">
        <v>98</v>
      </c>
      <c r="Q1583" s="2" t="s">
        <v>99</v>
      </c>
      <c r="R1583" s="2" t="s">
        <v>100</v>
      </c>
      <c r="S1583" s="2" t="s">
        <v>5314</v>
      </c>
      <c r="T1583" s="2" t="s">
        <v>100</v>
      </c>
      <c r="U1583" s="2" t="s">
        <v>490</v>
      </c>
      <c r="V1583" s="2" t="s">
        <v>404</v>
      </c>
      <c r="W1583" s="2" t="s">
        <v>405</v>
      </c>
      <c r="X1583" s="2" t="s">
        <v>808</v>
      </c>
      <c r="Y1583" s="2" t="s">
        <v>5315</v>
      </c>
      <c r="Z1583" s="4">
        <v>111</v>
      </c>
      <c r="AA1583" s="4">
        <f>=ROUNDDOWN(37,0)</f>
      </c>
      <c r="AB1583" s="5">
        <v>3</v>
      </c>
      <c r="AC1583" s="2" t="s">
        <v>100</v>
      </c>
      <c r="AD1583" s="4"/>
      <c r="AE1583" s="4"/>
      <c r="AF1583" s="6">
        <v>66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>
        <v>0</v>
      </c>
      <c r="AP1583" s="4"/>
      <c r="AQ1583" s="8"/>
      <c r="AR1583" s="4">
        <v>2</v>
      </c>
      <c r="AS1583" s="8">
        <v>239.48</v>
      </c>
      <c r="AT1583" s="7">
        <v>-1</v>
      </c>
      <c r="AU1583" s="7">
        <v>-1</v>
      </c>
      <c r="AV1583" s="4" t="s">
        <v>100</v>
      </c>
      <c r="AW1583" s="8" t="s">
        <v>100</v>
      </c>
      <c r="AX1583" s="4" t="s">
        <v>100</v>
      </c>
      <c r="AY1583" s="8" t="s">
        <v>100</v>
      </c>
      <c r="AZ1583" s="7" t="s">
        <v>100</v>
      </c>
      <c r="BA1583" s="7" t="s">
        <v>100</v>
      </c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 t="s">
        <v>100</v>
      </c>
      <c r="BJ1583" s="4">
        <v>47</v>
      </c>
      <c r="BK1583" s="8">
        <v>5736.97</v>
      </c>
      <c r="BL1583" s="2" t="s">
        <v>5281</v>
      </c>
      <c r="BM1583" s="7"/>
      <c r="BN1583" s="7"/>
      <c r="BO1583" s="4"/>
      <c r="BP1583" s="8"/>
      <c r="BQ1583" s="4">
        <v>2</v>
      </c>
      <c r="BR1583" s="8">
        <v>239.48</v>
      </c>
      <c r="BS1583" s="7">
        <v>-1</v>
      </c>
      <c r="BT1583" s="7">
        <v>-1</v>
      </c>
      <c r="BU1583" s="2" t="s">
        <v>109</v>
      </c>
      <c r="BV1583" s="2" t="s">
        <v>97</v>
      </c>
      <c r="BW1583" s="2" t="s">
        <v>110</v>
      </c>
      <c r="BX1583" s="2" t="s">
        <v>5323</v>
      </c>
      <c r="BY1583" s="2" t="s">
        <v>112</v>
      </c>
      <c r="BZ1583" s="2" t="s">
        <v>100</v>
      </c>
    </row>
    <row r="1584">
      <c r="A1584" s="2" t="s">
        <v>5324</v>
      </c>
      <c r="B1584" s="2" t="s">
        <v>87</v>
      </c>
      <c r="C1584" s="2" t="s">
        <v>5275</v>
      </c>
      <c r="D1584" s="2" t="s">
        <v>89</v>
      </c>
      <c r="E1584" s="2" t="s">
        <v>90</v>
      </c>
      <c r="F1584" s="2" t="s">
        <v>5325</v>
      </c>
      <c r="G1584" s="2" t="s">
        <v>5325</v>
      </c>
      <c r="H1584" s="2" t="s">
        <v>5325</v>
      </c>
      <c r="I1584" s="2" t="s">
        <v>5326</v>
      </c>
      <c r="J1584" s="2" t="s">
        <v>844</v>
      </c>
      <c r="K1584" s="2" t="s">
        <v>622</v>
      </c>
      <c r="L1584" s="3">
        <v>103.4</v>
      </c>
      <c r="M1584" s="3">
        <v>108.57</v>
      </c>
      <c r="N1584" s="3">
        <v>229.99</v>
      </c>
      <c r="O1584" s="2" t="s">
        <v>97</v>
      </c>
      <c r="P1584" s="2" t="s">
        <v>124</v>
      </c>
      <c r="Q1584" s="2" t="s">
        <v>99</v>
      </c>
      <c r="R1584" s="2" t="s">
        <v>100</v>
      </c>
      <c r="S1584" s="2" t="s">
        <v>5327</v>
      </c>
      <c r="T1584" s="2" t="s">
        <v>100</v>
      </c>
      <c r="U1584" s="2" t="s">
        <v>100</v>
      </c>
      <c r="V1584" s="2" t="s">
        <v>561</v>
      </c>
      <c r="W1584" s="2" t="s">
        <v>808</v>
      </c>
      <c r="X1584" s="2" t="s">
        <v>906</v>
      </c>
      <c r="Y1584" s="2" t="s">
        <v>5315</v>
      </c>
      <c r="Z1584" s="4">
        <v>208</v>
      </c>
      <c r="AA1584" s="4">
        <f>=ROUNDDOWN(16,0)</f>
      </c>
      <c r="AB1584" s="5">
        <v>13</v>
      </c>
      <c r="AC1584" s="2" t="s">
        <v>126</v>
      </c>
      <c r="AD1584" s="4">
        <v>68</v>
      </c>
      <c r="AE1584" s="4">
        <v>152</v>
      </c>
      <c r="AF1584" s="6">
        <v>69</v>
      </c>
      <c r="AG1584" s="6"/>
      <c r="AH1584" s="7">
        <v>0.9576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284</v>
      </c>
      <c r="BK1584" s="8">
        <v>31454.74</v>
      </c>
      <c r="BL1584" s="2" t="s">
        <v>5328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</v>
      </c>
      <c r="BV1584" s="2" t="s">
        <v>97</v>
      </c>
      <c r="BW1584" s="2" t="s">
        <v>110</v>
      </c>
      <c r="BX1584" s="2" t="s">
        <v>2545</v>
      </c>
      <c r="BY1584" s="2" t="s">
        <v>112</v>
      </c>
      <c r="BZ1584" s="2" t="s">
        <v>100</v>
      </c>
    </row>
    <row r="1585">
      <c r="A1585" s="2" t="s">
        <v>5329</v>
      </c>
      <c r="B1585" s="2" t="s">
        <v>87</v>
      </c>
      <c r="C1585" s="2" t="s">
        <v>5275</v>
      </c>
      <c r="D1585" s="2" t="s">
        <v>89</v>
      </c>
      <c r="E1585" s="2" t="s">
        <v>90</v>
      </c>
      <c r="F1585" s="2" t="s">
        <v>5325</v>
      </c>
      <c r="G1585" s="2" t="s">
        <v>5325</v>
      </c>
      <c r="H1585" s="2" t="s">
        <v>5325</v>
      </c>
      <c r="I1585" s="2" t="s">
        <v>5326</v>
      </c>
      <c r="J1585" s="2" t="s">
        <v>114</v>
      </c>
      <c r="K1585" s="2" t="s">
        <v>622</v>
      </c>
      <c r="L1585" s="3">
        <v>117.5</v>
      </c>
      <c r="M1585" s="3">
        <v>123.37</v>
      </c>
      <c r="N1585" s="3">
        <v>259.99</v>
      </c>
      <c r="O1585" s="2" t="s">
        <v>97</v>
      </c>
      <c r="P1585" s="2" t="s">
        <v>124</v>
      </c>
      <c r="Q1585" s="2" t="s">
        <v>99</v>
      </c>
      <c r="R1585" s="2" t="s">
        <v>100</v>
      </c>
      <c r="S1585" s="2" t="s">
        <v>5327</v>
      </c>
      <c r="T1585" s="2" t="s">
        <v>100</v>
      </c>
      <c r="U1585" s="2" t="s">
        <v>100</v>
      </c>
      <c r="V1585" s="2" t="s">
        <v>561</v>
      </c>
      <c r="W1585" s="2" t="s">
        <v>808</v>
      </c>
      <c r="X1585" s="2" t="s">
        <v>906</v>
      </c>
      <c r="Y1585" s="2" t="s">
        <v>5315</v>
      </c>
      <c r="Z1585" s="4">
        <v>316</v>
      </c>
      <c r="AA1585" s="4">
        <f>=ROUNDDOWN(14.3636363636364,0)</f>
      </c>
      <c r="AB1585" s="5">
        <v>22</v>
      </c>
      <c r="AC1585" s="2" t="s">
        <v>4907</v>
      </c>
      <c r="AD1585" s="4">
        <v>60</v>
      </c>
      <c r="AE1585" s="4">
        <v>60</v>
      </c>
      <c r="AF1585" s="6">
        <v>69</v>
      </c>
      <c r="AG1585" s="6"/>
      <c r="AH1585" s="7">
        <v>0.8909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>
        <v>393</v>
      </c>
      <c r="BK1585" s="8">
        <v>49414.42</v>
      </c>
      <c r="BL1585" s="2" t="s">
        <v>5330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97</v>
      </c>
      <c r="BW1585" s="2" t="s">
        <v>110</v>
      </c>
      <c r="BX1585" s="2" t="s">
        <v>100</v>
      </c>
      <c r="BY1585" s="2" t="s">
        <v>112</v>
      </c>
      <c r="BZ1585" s="2" t="s">
        <v>100</v>
      </c>
    </row>
    <row r="1586">
      <c r="A1586" s="2" t="s">
        <v>5331</v>
      </c>
      <c r="B1586" s="2" t="s">
        <v>87</v>
      </c>
      <c r="C1586" s="2" t="s">
        <v>5275</v>
      </c>
      <c r="D1586" s="2" t="s">
        <v>89</v>
      </c>
      <c r="E1586" s="2" t="s">
        <v>90</v>
      </c>
      <c r="F1586" s="2" t="s">
        <v>5332</v>
      </c>
      <c r="G1586" s="2" t="s">
        <v>5332</v>
      </c>
      <c r="H1586" s="2" t="s">
        <v>5332</v>
      </c>
      <c r="I1586" s="2" t="s">
        <v>5333</v>
      </c>
      <c r="J1586" s="2" t="s">
        <v>844</v>
      </c>
      <c r="K1586" s="2" t="s">
        <v>5334</v>
      </c>
      <c r="L1586" s="3">
        <v>105.6</v>
      </c>
      <c r="M1586" s="3">
        <v>110.88</v>
      </c>
      <c r="N1586" s="3">
        <v>219.99</v>
      </c>
      <c r="O1586" s="2" t="s">
        <v>229</v>
      </c>
      <c r="P1586" s="2" t="s">
        <v>198</v>
      </c>
      <c r="Q1586" s="2" t="s">
        <v>99</v>
      </c>
      <c r="R1586" s="2" t="s">
        <v>100</v>
      </c>
      <c r="S1586" s="2" t="s">
        <v>5335</v>
      </c>
      <c r="T1586" s="2" t="s">
        <v>732</v>
      </c>
      <c r="U1586" s="2" t="s">
        <v>790</v>
      </c>
      <c r="V1586" s="2" t="s">
        <v>561</v>
      </c>
      <c r="W1586" s="2" t="s">
        <v>906</v>
      </c>
      <c r="X1586" s="2" t="s">
        <v>808</v>
      </c>
      <c r="Y1586" s="2" t="s">
        <v>5336</v>
      </c>
      <c r="Z1586" s="4">
        <v>52</v>
      </c>
      <c r="AA1586" s="4">
        <f>=ROUNDDOWN(23.6363636363636,0)</f>
      </c>
      <c r="AB1586" s="5">
        <v>2.2</v>
      </c>
      <c r="AC1586" s="2" t="s">
        <v>100</v>
      </c>
      <c r="AD1586" s="4"/>
      <c r="AE1586" s="4"/>
      <c r="AF1586" s="6">
        <v>65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100</v>
      </c>
      <c r="AW1586" s="8" t="s">
        <v>100</v>
      </c>
      <c r="AX1586" s="4" t="s">
        <v>100</v>
      </c>
      <c r="AY1586" s="8" t="s">
        <v>100</v>
      </c>
      <c r="AZ1586" s="7" t="s">
        <v>100</v>
      </c>
      <c r="BA1586" s="7" t="s">
        <v>100</v>
      </c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34</v>
      </c>
      <c r="BK1586" s="8">
        <v>3138.11</v>
      </c>
      <c r="BL1586" s="2" t="s">
        <v>5337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147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5338</v>
      </c>
      <c r="B1587" s="2" t="s">
        <v>87</v>
      </c>
      <c r="C1587" s="2" t="s">
        <v>5275</v>
      </c>
      <c r="D1587" s="2" t="s">
        <v>89</v>
      </c>
      <c r="E1587" s="2" t="s">
        <v>90</v>
      </c>
      <c r="F1587" s="2" t="s">
        <v>5332</v>
      </c>
      <c r="G1587" s="2" t="s">
        <v>5332</v>
      </c>
      <c r="H1587" s="2" t="s">
        <v>5332</v>
      </c>
      <c r="I1587" s="2" t="s">
        <v>5333</v>
      </c>
      <c r="J1587" s="2" t="s">
        <v>850</v>
      </c>
      <c r="K1587" s="2" t="s">
        <v>5334</v>
      </c>
      <c r="L1587" s="3">
        <v>115.2</v>
      </c>
      <c r="M1587" s="3">
        <v>120.96</v>
      </c>
      <c r="N1587" s="3">
        <v>239.99</v>
      </c>
      <c r="O1587" s="2" t="s">
        <v>229</v>
      </c>
      <c r="P1587" s="2" t="s">
        <v>198</v>
      </c>
      <c r="Q1587" s="2" t="s">
        <v>99</v>
      </c>
      <c r="R1587" s="2" t="s">
        <v>100</v>
      </c>
      <c r="S1587" s="2" t="s">
        <v>5335</v>
      </c>
      <c r="T1587" s="2" t="s">
        <v>732</v>
      </c>
      <c r="U1587" s="2" t="s">
        <v>790</v>
      </c>
      <c r="V1587" s="2" t="s">
        <v>561</v>
      </c>
      <c r="W1587" s="2" t="s">
        <v>906</v>
      </c>
      <c r="X1587" s="2" t="s">
        <v>808</v>
      </c>
      <c r="Y1587" s="2" t="s">
        <v>5336</v>
      </c>
      <c r="Z1587" s="4">
        <v>134</v>
      </c>
      <c r="AA1587" s="4">
        <f>=ROUNDDOWN(223.333333333333,0)</f>
      </c>
      <c r="AB1587" s="5">
        <v>0.6</v>
      </c>
      <c r="AC1587" s="2" t="s">
        <v>100</v>
      </c>
      <c r="AD1587" s="4"/>
      <c r="AE1587" s="4"/>
      <c r="AF1587" s="6">
        <v>65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100</v>
      </c>
      <c r="AW1587" s="8" t="s">
        <v>100</v>
      </c>
      <c r="AX1587" s="4" t="s">
        <v>100</v>
      </c>
      <c r="AY1587" s="8" t="s">
        <v>100</v>
      </c>
      <c r="AZ1587" s="7" t="s">
        <v>100</v>
      </c>
      <c r="BA1587" s="7" t="s">
        <v>100</v>
      </c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24</v>
      </c>
      <c r="BK1587" s="8">
        <v>2570.46</v>
      </c>
      <c r="BL1587" s="2" t="s">
        <v>5339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147</v>
      </c>
      <c r="BV1587" s="2" t="s">
        <v>97</v>
      </c>
      <c r="BW1587" s="2" t="s">
        <v>100</v>
      </c>
      <c r="BX1587" s="2" t="s">
        <v>100</v>
      </c>
      <c r="BY1587" s="2" t="s">
        <v>112</v>
      </c>
      <c r="BZ1587" s="2" t="s">
        <v>100</v>
      </c>
    </row>
    <row r="1588">
      <c r="A1588" s="2" t="s">
        <v>5340</v>
      </c>
      <c r="B1588" s="2" t="s">
        <v>87</v>
      </c>
      <c r="C1588" s="2" t="s">
        <v>5275</v>
      </c>
      <c r="D1588" s="2" t="s">
        <v>89</v>
      </c>
      <c r="E1588" s="2" t="s">
        <v>90</v>
      </c>
      <c r="F1588" s="2" t="s">
        <v>5341</v>
      </c>
      <c r="G1588" s="2" t="s">
        <v>5341</v>
      </c>
      <c r="H1588" s="2" t="s">
        <v>5341</v>
      </c>
      <c r="I1588" s="2" t="s">
        <v>2235</v>
      </c>
      <c r="J1588" s="2" t="s">
        <v>95</v>
      </c>
      <c r="K1588" s="2" t="s">
        <v>158</v>
      </c>
      <c r="L1588" s="3">
        <v>80.03</v>
      </c>
      <c r="M1588" s="3">
        <v>84.03</v>
      </c>
      <c r="N1588" s="3">
        <v>174.99</v>
      </c>
      <c r="O1588" s="2" t="s">
        <v>97</v>
      </c>
      <c r="P1588" s="2" t="s">
        <v>1265</v>
      </c>
      <c r="Q1588" s="2" t="s">
        <v>99</v>
      </c>
      <c r="R1588" s="2" t="s">
        <v>100</v>
      </c>
      <c r="S1588" s="2" t="s">
        <v>5342</v>
      </c>
      <c r="T1588" s="2" t="s">
        <v>100</v>
      </c>
      <c r="U1588" s="2" t="s">
        <v>1482</v>
      </c>
      <c r="V1588" s="2" t="s">
        <v>1364</v>
      </c>
      <c r="W1588" s="2" t="s">
        <v>405</v>
      </c>
      <c r="X1588" s="2" t="s">
        <v>808</v>
      </c>
      <c r="Y1588" s="2" t="s">
        <v>106</v>
      </c>
      <c r="Z1588" s="4">
        <v>124</v>
      </c>
      <c r="AA1588" s="4">
        <f>=ROUNDDOWN(24.8,0)</f>
      </c>
      <c r="AB1588" s="5">
        <v>5</v>
      </c>
      <c r="AC1588" s="2" t="s">
        <v>847</v>
      </c>
      <c r="AD1588" s="4">
        <v>75</v>
      </c>
      <c r="AE1588" s="4">
        <v>75</v>
      </c>
      <c r="AF1588" s="6">
        <v>66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100</v>
      </c>
      <c r="AW1588" s="8" t="s">
        <v>100</v>
      </c>
      <c r="AX1588" s="4" t="s">
        <v>100</v>
      </c>
      <c r="AY1588" s="8" t="s">
        <v>100</v>
      </c>
      <c r="AZ1588" s="7" t="s">
        <v>100</v>
      </c>
      <c r="BA1588" s="7" t="s">
        <v>100</v>
      </c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95</v>
      </c>
      <c r="BK1588" s="8">
        <v>7725.39</v>
      </c>
      <c r="BL1588" s="2" t="s">
        <v>5343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147</v>
      </c>
      <c r="BV1588" s="2" t="s">
        <v>97</v>
      </c>
      <c r="BW1588" s="2" t="s">
        <v>100</v>
      </c>
      <c r="BX1588" s="2" t="s">
        <v>100</v>
      </c>
      <c r="BY1588" s="2" t="s">
        <v>112</v>
      </c>
      <c r="BZ1588" s="2" t="s">
        <v>100</v>
      </c>
    </row>
    <row r="1589">
      <c r="A1589" s="2" t="s">
        <v>5344</v>
      </c>
      <c r="B1589" s="2" t="s">
        <v>87</v>
      </c>
      <c r="C1589" s="2" t="s">
        <v>5275</v>
      </c>
      <c r="D1589" s="2" t="s">
        <v>89</v>
      </c>
      <c r="E1589" s="2" t="s">
        <v>90</v>
      </c>
      <c r="F1589" s="2" t="s">
        <v>5341</v>
      </c>
      <c r="G1589" s="2" t="s">
        <v>5341</v>
      </c>
      <c r="H1589" s="2" t="s">
        <v>5341</v>
      </c>
      <c r="I1589" s="2" t="s">
        <v>2235</v>
      </c>
      <c r="J1589" s="2" t="s">
        <v>114</v>
      </c>
      <c r="K1589" s="2" t="s">
        <v>158</v>
      </c>
      <c r="L1589" s="3">
        <v>96.59</v>
      </c>
      <c r="M1589" s="3">
        <v>101.42</v>
      </c>
      <c r="N1589" s="3">
        <v>204.99</v>
      </c>
      <c r="O1589" s="2" t="s">
        <v>97</v>
      </c>
      <c r="P1589" s="2" t="s">
        <v>1265</v>
      </c>
      <c r="Q1589" s="2" t="s">
        <v>99</v>
      </c>
      <c r="R1589" s="2" t="s">
        <v>100</v>
      </c>
      <c r="S1589" s="2" t="s">
        <v>5342</v>
      </c>
      <c r="T1589" s="2" t="s">
        <v>100</v>
      </c>
      <c r="U1589" s="2" t="s">
        <v>1482</v>
      </c>
      <c r="V1589" s="2" t="s">
        <v>1364</v>
      </c>
      <c r="W1589" s="2" t="s">
        <v>405</v>
      </c>
      <c r="X1589" s="2" t="s">
        <v>808</v>
      </c>
      <c r="Y1589" s="2" t="s">
        <v>106</v>
      </c>
      <c r="Z1589" s="4">
        <v>176</v>
      </c>
      <c r="AA1589" s="4">
        <f>=ROUNDDOWN(22,0)</f>
      </c>
      <c r="AB1589" s="5">
        <v>8</v>
      </c>
      <c r="AC1589" s="2" t="s">
        <v>847</v>
      </c>
      <c r="AD1589" s="4">
        <v>110</v>
      </c>
      <c r="AE1589" s="4">
        <v>110</v>
      </c>
      <c r="AF1589" s="6">
        <v>66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100</v>
      </c>
      <c r="AW1589" s="8" t="s">
        <v>100</v>
      </c>
      <c r="AX1589" s="4" t="s">
        <v>100</v>
      </c>
      <c r="AY1589" s="8" t="s">
        <v>100</v>
      </c>
      <c r="AZ1589" s="7" t="s">
        <v>100</v>
      </c>
      <c r="BA1589" s="7" t="s">
        <v>100</v>
      </c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>
        <v>155</v>
      </c>
      <c r="BK1589" s="8">
        <v>15444.79</v>
      </c>
      <c r="BL1589" s="2" t="s">
        <v>5345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147</v>
      </c>
      <c r="BV1589" s="2" t="s">
        <v>97</v>
      </c>
      <c r="BW1589" s="2" t="s">
        <v>100</v>
      </c>
      <c r="BX1589" s="2" t="s">
        <v>100</v>
      </c>
      <c r="BY1589" s="2" t="s">
        <v>112</v>
      </c>
      <c r="BZ1589" s="2" t="s">
        <v>100</v>
      </c>
    </row>
    <row r="1590">
      <c r="A1590" s="2" t="s">
        <v>5346</v>
      </c>
      <c r="B1590" s="2" t="s">
        <v>87</v>
      </c>
      <c r="C1590" s="2" t="s">
        <v>5275</v>
      </c>
      <c r="D1590" s="2" t="s">
        <v>89</v>
      </c>
      <c r="E1590" s="2" t="s">
        <v>90</v>
      </c>
      <c r="F1590" s="2" t="s">
        <v>5347</v>
      </c>
      <c r="G1590" s="2" t="s">
        <v>5347</v>
      </c>
      <c r="H1590" s="2" t="s">
        <v>5347</v>
      </c>
      <c r="I1590" s="2" t="s">
        <v>5348</v>
      </c>
      <c r="J1590" s="2" t="s">
        <v>3012</v>
      </c>
      <c r="K1590" s="2" t="s">
        <v>267</v>
      </c>
      <c r="L1590" s="3">
        <v>80</v>
      </c>
      <c r="M1590" s="3">
        <v>83.99</v>
      </c>
      <c r="N1590" s="3">
        <v>174.99</v>
      </c>
      <c r="O1590" s="2" t="s">
        <v>97</v>
      </c>
      <c r="P1590" s="2" t="s">
        <v>98</v>
      </c>
      <c r="Q1590" s="2" t="s">
        <v>99</v>
      </c>
      <c r="R1590" s="2" t="s">
        <v>100</v>
      </c>
      <c r="S1590" s="2" t="s">
        <v>5349</v>
      </c>
      <c r="T1590" s="2" t="s">
        <v>100</v>
      </c>
      <c r="U1590" s="2" t="s">
        <v>100</v>
      </c>
      <c r="V1590" s="2" t="s">
        <v>906</v>
      </c>
      <c r="W1590" s="2" t="s">
        <v>906</v>
      </c>
      <c r="X1590" s="2" t="s">
        <v>808</v>
      </c>
      <c r="Y1590" s="2" t="s">
        <v>106</v>
      </c>
      <c r="Z1590" s="4">
        <v>81</v>
      </c>
      <c r="AA1590" s="4">
        <f>=ROUNDDOWN(40.5,0)</f>
      </c>
      <c r="AB1590" s="5">
        <v>2</v>
      </c>
      <c r="AC1590" s="2" t="s">
        <v>145</v>
      </c>
      <c r="AD1590" s="4">
        <v>7</v>
      </c>
      <c r="AE1590" s="4">
        <v>7</v>
      </c>
      <c r="AF1590" s="6">
        <v>68</v>
      </c>
      <c r="AG1590" s="6"/>
      <c r="AH1590" s="7">
        <v>1</v>
      </c>
      <c r="AI1590" s="4"/>
      <c r="AJ1590" s="4">
        <f>=ROUNDDOWN({0},0)</f>
      </c>
      <c r="AK1590" s="5"/>
      <c r="AL1590" s="2" t="s">
        <v>100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100</v>
      </c>
      <c r="AW1590" s="8" t="s">
        <v>100</v>
      </c>
      <c r="AX1590" s="4" t="s">
        <v>100</v>
      </c>
      <c r="AY1590" s="8" t="s">
        <v>100</v>
      </c>
      <c r="AZ1590" s="7" t="s">
        <v>100</v>
      </c>
      <c r="BA1590" s="7" t="s">
        <v>100</v>
      </c>
      <c r="BB1590" s="7"/>
      <c r="BC1590" s="4" t="s">
        <v>100</v>
      </c>
      <c r="BD1590" s="8" t="s">
        <v>100</v>
      </c>
      <c r="BE1590" s="4" t="s">
        <v>100</v>
      </c>
      <c r="BF1590" s="8" t="s">
        <v>100</v>
      </c>
      <c r="BG1590" s="7" t="s">
        <v>100</v>
      </c>
      <c r="BH1590" s="7" t="s">
        <v>100</v>
      </c>
      <c r="BI1590" s="7"/>
      <c r="BJ1590" s="4">
        <v>22</v>
      </c>
      <c r="BK1590" s="8">
        <v>1956.18</v>
      </c>
      <c r="BL1590" s="2" t="s">
        <v>5350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97</v>
      </c>
      <c r="BW1590" s="2" t="s">
        <v>580</v>
      </c>
      <c r="BX1590" s="2" t="s">
        <v>100</v>
      </c>
      <c r="BY1590" s="2" t="s">
        <v>112</v>
      </c>
      <c r="BZ1590" s="2" t="s">
        <v>100</v>
      </c>
    </row>
    <row r="1591">
      <c r="A1591" s="2" t="s">
        <v>5351</v>
      </c>
      <c r="B1591" s="2" t="s">
        <v>87</v>
      </c>
      <c r="C1591" s="2" t="s">
        <v>5275</v>
      </c>
      <c r="D1591" s="2" t="s">
        <v>89</v>
      </c>
      <c r="E1591" s="2" t="s">
        <v>90</v>
      </c>
      <c r="F1591" s="2" t="s">
        <v>5347</v>
      </c>
      <c r="G1591" s="2" t="s">
        <v>5347</v>
      </c>
      <c r="H1591" s="2" t="s">
        <v>5347</v>
      </c>
      <c r="I1591" s="2" t="s">
        <v>5348</v>
      </c>
      <c r="J1591" s="2" t="s">
        <v>122</v>
      </c>
      <c r="K1591" s="2" t="s">
        <v>267</v>
      </c>
      <c r="L1591" s="3">
        <v>95</v>
      </c>
      <c r="M1591" s="3">
        <v>99.74</v>
      </c>
      <c r="N1591" s="3">
        <v>204.99</v>
      </c>
      <c r="O1591" s="2" t="s">
        <v>97</v>
      </c>
      <c r="P1591" s="2" t="s">
        <v>98</v>
      </c>
      <c r="Q1591" s="2" t="s">
        <v>99</v>
      </c>
      <c r="R1591" s="2" t="s">
        <v>100</v>
      </c>
      <c r="S1591" s="2" t="s">
        <v>5349</v>
      </c>
      <c r="T1591" s="2" t="s">
        <v>100</v>
      </c>
      <c r="U1591" s="2" t="s">
        <v>100</v>
      </c>
      <c r="V1591" s="2" t="s">
        <v>906</v>
      </c>
      <c r="W1591" s="2" t="s">
        <v>906</v>
      </c>
      <c r="X1591" s="2" t="s">
        <v>808</v>
      </c>
      <c r="Y1591" s="2" t="s">
        <v>106</v>
      </c>
      <c r="Z1591" s="4">
        <v>29</v>
      </c>
      <c r="AA1591" s="4">
        <f>=ROUNDDOWN(9.66666666666667,0)</f>
      </c>
      <c r="AB1591" s="5">
        <v>3</v>
      </c>
      <c r="AC1591" s="2" t="s">
        <v>145</v>
      </c>
      <c r="AD1591" s="4">
        <v>11</v>
      </c>
      <c r="AE1591" s="4">
        <v>81</v>
      </c>
      <c r="AF1591" s="6">
        <v>68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33</v>
      </c>
      <c r="BK1591" s="8">
        <v>3282.61</v>
      </c>
      <c r="BL1591" s="2" t="s">
        <v>5352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97</v>
      </c>
      <c r="BW1591" s="2" t="s">
        <v>580</v>
      </c>
      <c r="BX1591" s="2" t="s">
        <v>100</v>
      </c>
      <c r="BY1591" s="2" t="s">
        <v>112</v>
      </c>
      <c r="BZ1591" s="2" t="s">
        <v>100</v>
      </c>
    </row>
    <row r="1592">
      <c r="A1592" s="2" t="s">
        <v>5353</v>
      </c>
      <c r="B1592" s="2" t="s">
        <v>87</v>
      </c>
      <c r="C1592" s="2" t="s">
        <v>5275</v>
      </c>
      <c r="D1592" s="2" t="s">
        <v>89</v>
      </c>
      <c r="E1592" s="2" t="s">
        <v>90</v>
      </c>
      <c r="F1592" s="2" t="s">
        <v>5347</v>
      </c>
      <c r="G1592" s="2" t="s">
        <v>5347</v>
      </c>
      <c r="H1592" s="2" t="s">
        <v>5347</v>
      </c>
      <c r="I1592" s="2" t="s">
        <v>5348</v>
      </c>
      <c r="J1592" s="2" t="s">
        <v>95</v>
      </c>
      <c r="K1592" s="2" t="s">
        <v>267</v>
      </c>
      <c r="L1592" s="3">
        <v>100</v>
      </c>
      <c r="M1592" s="3">
        <v>104.99</v>
      </c>
      <c r="N1592" s="3">
        <v>214.99</v>
      </c>
      <c r="O1592" s="2" t="s">
        <v>97</v>
      </c>
      <c r="P1592" s="2" t="s">
        <v>98</v>
      </c>
      <c r="Q1592" s="2" t="s">
        <v>99</v>
      </c>
      <c r="R1592" s="2" t="s">
        <v>100</v>
      </c>
      <c r="S1592" s="2" t="s">
        <v>5349</v>
      </c>
      <c r="T1592" s="2" t="s">
        <v>100</v>
      </c>
      <c r="U1592" s="2" t="s">
        <v>100</v>
      </c>
      <c r="V1592" s="2" t="s">
        <v>906</v>
      </c>
      <c r="W1592" s="2" t="s">
        <v>906</v>
      </c>
      <c r="X1592" s="2" t="s">
        <v>808</v>
      </c>
      <c r="Y1592" s="2" t="s">
        <v>106</v>
      </c>
      <c r="Z1592" s="4">
        <v>79</v>
      </c>
      <c r="AA1592" s="4">
        <f>=ROUNDDOWN(13.1666666666667,0)</f>
      </c>
      <c r="AB1592" s="5">
        <v>6</v>
      </c>
      <c r="AC1592" s="2" t="s">
        <v>145</v>
      </c>
      <c r="AD1592" s="4">
        <v>90</v>
      </c>
      <c r="AE1592" s="4">
        <v>200</v>
      </c>
      <c r="AF1592" s="6">
        <v>68</v>
      </c>
      <c r="AG1592" s="6"/>
      <c r="AH1592" s="7">
        <v>0.7273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106</v>
      </c>
      <c r="BK1592" s="8">
        <v>11567.17</v>
      </c>
      <c r="BL1592" s="2" t="s">
        <v>5354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97</v>
      </c>
      <c r="BW1592" s="2" t="s">
        <v>4095</v>
      </c>
      <c r="BX1592" s="2" t="s">
        <v>100</v>
      </c>
      <c r="BY1592" s="2" t="s">
        <v>112</v>
      </c>
      <c r="BZ1592" s="2" t="s">
        <v>100</v>
      </c>
    </row>
    <row r="1593">
      <c r="A1593" s="2" t="s">
        <v>5355</v>
      </c>
      <c r="B1593" s="2" t="s">
        <v>87</v>
      </c>
      <c r="C1593" s="2" t="s">
        <v>5275</v>
      </c>
      <c r="D1593" s="2" t="s">
        <v>89</v>
      </c>
      <c r="E1593" s="2" t="s">
        <v>90</v>
      </c>
      <c r="F1593" s="2" t="s">
        <v>5347</v>
      </c>
      <c r="G1593" s="2" t="s">
        <v>5347</v>
      </c>
      <c r="H1593" s="2" t="s">
        <v>5347</v>
      </c>
      <c r="I1593" s="2" t="s">
        <v>5348</v>
      </c>
      <c r="J1593" s="2" t="s">
        <v>114</v>
      </c>
      <c r="K1593" s="2" t="s">
        <v>267</v>
      </c>
      <c r="L1593" s="3">
        <v>110</v>
      </c>
      <c r="M1593" s="3">
        <v>115.49</v>
      </c>
      <c r="N1593" s="3">
        <v>234.99</v>
      </c>
      <c r="O1593" s="2" t="s">
        <v>97</v>
      </c>
      <c r="P1593" s="2" t="s">
        <v>98</v>
      </c>
      <c r="Q1593" s="2" t="s">
        <v>99</v>
      </c>
      <c r="R1593" s="2" t="s">
        <v>100</v>
      </c>
      <c r="S1593" s="2" t="s">
        <v>5349</v>
      </c>
      <c r="T1593" s="2" t="s">
        <v>100</v>
      </c>
      <c r="U1593" s="2" t="s">
        <v>100</v>
      </c>
      <c r="V1593" s="2" t="s">
        <v>906</v>
      </c>
      <c r="W1593" s="2" t="s">
        <v>906</v>
      </c>
      <c r="X1593" s="2" t="s">
        <v>808</v>
      </c>
      <c r="Y1593" s="2" t="s">
        <v>106</v>
      </c>
      <c r="Z1593" s="4">
        <v>129</v>
      </c>
      <c r="AA1593" s="4">
        <f>=ROUNDDOWN(14.3333333333333,0)</f>
      </c>
      <c r="AB1593" s="5">
        <v>9</v>
      </c>
      <c r="AC1593" s="2" t="s">
        <v>145</v>
      </c>
      <c r="AD1593" s="4">
        <v>135</v>
      </c>
      <c r="AE1593" s="4">
        <v>235</v>
      </c>
      <c r="AF1593" s="6">
        <v>68</v>
      </c>
      <c r="AG1593" s="6"/>
      <c r="AH1593" s="7">
        <v>0.4121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77</v>
      </c>
      <c r="BK1593" s="8">
        <v>9354.75</v>
      </c>
      <c r="BL1593" s="2" t="s">
        <v>5356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97</v>
      </c>
      <c r="BW1593" s="2" t="s">
        <v>4144</v>
      </c>
      <c r="BX1593" s="2" t="s">
        <v>100</v>
      </c>
      <c r="BY1593" s="2" t="s">
        <v>112</v>
      </c>
      <c r="BZ1593" s="2" t="s">
        <v>100</v>
      </c>
    </row>
    <row r="1594">
      <c r="A1594" s="2" t="s">
        <v>5357</v>
      </c>
      <c r="B1594" s="2" t="s">
        <v>87</v>
      </c>
      <c r="C1594" s="2" t="s">
        <v>5275</v>
      </c>
      <c r="D1594" s="2" t="s">
        <v>89</v>
      </c>
      <c r="E1594" s="2" t="s">
        <v>90</v>
      </c>
      <c r="F1594" s="2" t="s">
        <v>5347</v>
      </c>
      <c r="G1594" s="2" t="s">
        <v>5347</v>
      </c>
      <c r="H1594" s="2" t="s">
        <v>5347</v>
      </c>
      <c r="I1594" s="2" t="s">
        <v>5348</v>
      </c>
      <c r="J1594" s="2" t="s">
        <v>118</v>
      </c>
      <c r="K1594" s="2" t="s">
        <v>267</v>
      </c>
      <c r="L1594" s="3">
        <v>110</v>
      </c>
      <c r="M1594" s="3">
        <v>115.49</v>
      </c>
      <c r="N1594" s="3">
        <v>234.99</v>
      </c>
      <c r="O1594" s="2" t="s">
        <v>97</v>
      </c>
      <c r="P1594" s="2" t="s">
        <v>98</v>
      </c>
      <c r="Q1594" s="2" t="s">
        <v>99</v>
      </c>
      <c r="R1594" s="2" t="s">
        <v>100</v>
      </c>
      <c r="S1594" s="2" t="s">
        <v>5349</v>
      </c>
      <c r="T1594" s="2" t="s">
        <v>100</v>
      </c>
      <c r="U1594" s="2" t="s">
        <v>100</v>
      </c>
      <c r="V1594" s="2" t="s">
        <v>906</v>
      </c>
      <c r="W1594" s="2" t="s">
        <v>906</v>
      </c>
      <c r="X1594" s="2" t="s">
        <v>808</v>
      </c>
      <c r="Y1594" s="2" t="s">
        <v>106</v>
      </c>
      <c r="Z1594" s="4"/>
      <c r="AA1594" s="4">
        <f>=ROUNDDOWN({0},0)</f>
      </c>
      <c r="AB1594" s="5">
        <v>5</v>
      </c>
      <c r="AC1594" s="2" t="s">
        <v>145</v>
      </c>
      <c r="AD1594" s="4">
        <v>60</v>
      </c>
      <c r="AE1594" s="4">
        <v>140</v>
      </c>
      <c r="AF1594" s="6">
        <v>68</v>
      </c>
      <c r="AG1594" s="6"/>
      <c r="AH1594" s="7">
        <v>0.7636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55</v>
      </c>
      <c r="BK1594" s="8">
        <v>6623.04</v>
      </c>
      <c r="BL1594" s="2" t="s">
        <v>5358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109</v>
      </c>
      <c r="BV1594" s="2" t="s">
        <v>97</v>
      </c>
      <c r="BW1594" s="2" t="s">
        <v>100</v>
      </c>
      <c r="BX1594" s="2" t="s">
        <v>100</v>
      </c>
      <c r="BY1594" s="2" t="s">
        <v>112</v>
      </c>
      <c r="BZ1594" s="2" t="s">
        <v>100</v>
      </c>
    </row>
    <row r="1595">
      <c r="A1595" s="2" t="s">
        <v>5359</v>
      </c>
      <c r="B1595" s="2" t="s">
        <v>87</v>
      </c>
      <c r="C1595" s="2" t="s">
        <v>5275</v>
      </c>
      <c r="D1595" s="2" t="s">
        <v>89</v>
      </c>
      <c r="E1595" s="2" t="s">
        <v>90</v>
      </c>
      <c r="F1595" s="2" t="s">
        <v>5347</v>
      </c>
      <c r="G1595" s="2" t="s">
        <v>5347</v>
      </c>
      <c r="H1595" s="2" t="s">
        <v>5347</v>
      </c>
      <c r="I1595" s="2" t="s">
        <v>5360</v>
      </c>
      <c r="J1595" s="2" t="s">
        <v>122</v>
      </c>
      <c r="K1595" s="2" t="s">
        <v>1018</v>
      </c>
      <c r="L1595" s="3">
        <v>100</v>
      </c>
      <c r="M1595" s="3">
        <v>104.99</v>
      </c>
      <c r="N1595" s="3">
        <v>214.99</v>
      </c>
      <c r="O1595" s="2" t="s">
        <v>97</v>
      </c>
      <c r="P1595" s="2" t="s">
        <v>182</v>
      </c>
      <c r="Q1595" s="2" t="s">
        <v>99</v>
      </c>
      <c r="R1595" s="2" t="s">
        <v>100</v>
      </c>
      <c r="S1595" s="2" t="s">
        <v>5361</v>
      </c>
      <c r="T1595" s="2" t="s">
        <v>100</v>
      </c>
      <c r="U1595" s="2" t="s">
        <v>490</v>
      </c>
      <c r="V1595" s="2" t="s">
        <v>906</v>
      </c>
      <c r="W1595" s="2" t="s">
        <v>906</v>
      </c>
      <c r="X1595" s="2" t="s">
        <v>808</v>
      </c>
      <c r="Y1595" s="2" t="s">
        <v>106</v>
      </c>
      <c r="Z1595" s="4">
        <v>57</v>
      </c>
      <c r="AA1595" s="4">
        <f>=ROUNDDOWN(57,0)</f>
      </c>
      <c r="AB1595" s="5">
        <v>1</v>
      </c>
      <c r="AC1595" s="2" t="s">
        <v>100</v>
      </c>
      <c r="AD1595" s="4"/>
      <c r="AE1595" s="4"/>
      <c r="AF1595" s="6">
        <v>68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18</v>
      </c>
      <c r="BK1595" s="8">
        <v>1814.45</v>
      </c>
      <c r="BL1595" s="2" t="s">
        <v>5362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147</v>
      </c>
      <c r="BV1595" s="2" t="s">
        <v>97</v>
      </c>
      <c r="BW1595" s="2" t="s">
        <v>100</v>
      </c>
      <c r="BX1595" s="2" t="s">
        <v>100</v>
      </c>
      <c r="BY1595" s="2" t="s">
        <v>112</v>
      </c>
      <c r="BZ1595" s="2" t="s">
        <v>100</v>
      </c>
    </row>
    <row r="1596">
      <c r="A1596" s="2" t="s">
        <v>5363</v>
      </c>
      <c r="B1596" s="2" t="s">
        <v>87</v>
      </c>
      <c r="C1596" s="2" t="s">
        <v>5275</v>
      </c>
      <c r="D1596" s="2" t="s">
        <v>89</v>
      </c>
      <c r="E1596" s="2" t="s">
        <v>90</v>
      </c>
      <c r="F1596" s="2" t="s">
        <v>5347</v>
      </c>
      <c r="G1596" s="2" t="s">
        <v>5347</v>
      </c>
      <c r="H1596" s="2" t="s">
        <v>5347</v>
      </c>
      <c r="I1596" s="2" t="s">
        <v>5360</v>
      </c>
      <c r="J1596" s="2" t="s">
        <v>95</v>
      </c>
      <c r="K1596" s="2" t="s">
        <v>1018</v>
      </c>
      <c r="L1596" s="3">
        <v>110</v>
      </c>
      <c r="M1596" s="3">
        <v>115.49</v>
      </c>
      <c r="N1596" s="3">
        <v>234.99</v>
      </c>
      <c r="O1596" s="2" t="s">
        <v>97</v>
      </c>
      <c r="P1596" s="2" t="s">
        <v>182</v>
      </c>
      <c r="Q1596" s="2" t="s">
        <v>99</v>
      </c>
      <c r="R1596" s="2" t="s">
        <v>100</v>
      </c>
      <c r="S1596" s="2" t="s">
        <v>5361</v>
      </c>
      <c r="T1596" s="2" t="s">
        <v>100</v>
      </c>
      <c r="U1596" s="2" t="s">
        <v>490</v>
      </c>
      <c r="V1596" s="2" t="s">
        <v>906</v>
      </c>
      <c r="W1596" s="2" t="s">
        <v>906</v>
      </c>
      <c r="X1596" s="2" t="s">
        <v>808</v>
      </c>
      <c r="Y1596" s="2" t="s">
        <v>106</v>
      </c>
      <c r="Z1596" s="4">
        <v>86</v>
      </c>
      <c r="AA1596" s="4">
        <f>=ROUNDDOWN(21.5,0)</f>
      </c>
      <c r="AB1596" s="5">
        <v>4</v>
      </c>
      <c r="AC1596" s="2" t="s">
        <v>145</v>
      </c>
      <c r="AD1596" s="4">
        <v>23</v>
      </c>
      <c r="AE1596" s="4">
        <v>89</v>
      </c>
      <c r="AF1596" s="6">
        <v>68</v>
      </c>
      <c r="AG1596" s="6"/>
      <c r="AH1596" s="7">
        <v>0.9394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>
        <v>78</v>
      </c>
      <c r="BK1596" s="8">
        <v>8965.72</v>
      </c>
      <c r="BL1596" s="2" t="s">
        <v>5364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147</v>
      </c>
      <c r="BV1596" s="2" t="s">
        <v>97</v>
      </c>
      <c r="BW1596" s="2" t="s">
        <v>100</v>
      </c>
      <c r="BX1596" s="2" t="s">
        <v>100</v>
      </c>
      <c r="BY1596" s="2" t="s">
        <v>112</v>
      </c>
      <c r="BZ1596" s="2" t="s">
        <v>100</v>
      </c>
    </row>
    <row r="1597">
      <c r="A1597" s="2" t="s">
        <v>5365</v>
      </c>
      <c r="B1597" s="2" t="s">
        <v>87</v>
      </c>
      <c r="C1597" s="2" t="s">
        <v>5275</v>
      </c>
      <c r="D1597" s="2" t="s">
        <v>89</v>
      </c>
      <c r="E1597" s="2" t="s">
        <v>90</v>
      </c>
      <c r="F1597" s="2" t="s">
        <v>5347</v>
      </c>
      <c r="G1597" s="2" t="s">
        <v>5347</v>
      </c>
      <c r="H1597" s="2" t="s">
        <v>5347</v>
      </c>
      <c r="I1597" s="2" t="s">
        <v>5360</v>
      </c>
      <c r="J1597" s="2" t="s">
        <v>114</v>
      </c>
      <c r="K1597" s="2" t="s">
        <v>1018</v>
      </c>
      <c r="L1597" s="3">
        <v>125</v>
      </c>
      <c r="M1597" s="3">
        <v>131.24</v>
      </c>
      <c r="N1597" s="3">
        <v>264.99</v>
      </c>
      <c r="O1597" s="2" t="s">
        <v>97</v>
      </c>
      <c r="P1597" s="2" t="s">
        <v>182</v>
      </c>
      <c r="Q1597" s="2" t="s">
        <v>99</v>
      </c>
      <c r="R1597" s="2" t="s">
        <v>100</v>
      </c>
      <c r="S1597" s="2" t="s">
        <v>5361</v>
      </c>
      <c r="T1597" s="2" t="s">
        <v>100</v>
      </c>
      <c r="U1597" s="2" t="s">
        <v>490</v>
      </c>
      <c r="V1597" s="2" t="s">
        <v>906</v>
      </c>
      <c r="W1597" s="2" t="s">
        <v>906</v>
      </c>
      <c r="X1597" s="2" t="s">
        <v>808</v>
      </c>
      <c r="Y1597" s="2" t="s">
        <v>3327</v>
      </c>
      <c r="Z1597" s="4">
        <v>125</v>
      </c>
      <c r="AA1597" s="4">
        <f>=ROUNDDOWN(25,0)</f>
      </c>
      <c r="AB1597" s="5">
        <v>5</v>
      </c>
      <c r="AC1597" s="2" t="s">
        <v>145</v>
      </c>
      <c r="AD1597" s="4">
        <v>51</v>
      </c>
      <c r="AE1597" s="4">
        <v>101</v>
      </c>
      <c r="AF1597" s="6">
        <v>68</v>
      </c>
      <c r="AG1597" s="6"/>
      <c r="AH1597" s="7">
        <v>0.697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59</v>
      </c>
      <c r="BK1597" s="8">
        <v>8228.73</v>
      </c>
      <c r="BL1597" s="2" t="s">
        <v>5364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147</v>
      </c>
      <c r="BV1597" s="2" t="s">
        <v>97</v>
      </c>
      <c r="BW1597" s="2" t="s">
        <v>100</v>
      </c>
      <c r="BX1597" s="2" t="s">
        <v>100</v>
      </c>
      <c r="BY1597" s="2" t="s">
        <v>112</v>
      </c>
      <c r="BZ1597" s="2" t="s">
        <v>100</v>
      </c>
    </row>
    <row r="1598">
      <c r="A1598" s="2" t="s">
        <v>5366</v>
      </c>
      <c r="B1598" s="2" t="s">
        <v>87</v>
      </c>
      <c r="C1598" s="2" t="s">
        <v>5275</v>
      </c>
      <c r="D1598" s="2" t="s">
        <v>89</v>
      </c>
      <c r="E1598" s="2" t="s">
        <v>90</v>
      </c>
      <c r="F1598" s="2" t="s">
        <v>5347</v>
      </c>
      <c r="G1598" s="2" t="s">
        <v>5347</v>
      </c>
      <c r="H1598" s="2" t="s">
        <v>5347</v>
      </c>
      <c r="I1598" s="2" t="s">
        <v>5360</v>
      </c>
      <c r="J1598" s="2" t="s">
        <v>118</v>
      </c>
      <c r="K1598" s="2" t="s">
        <v>1018</v>
      </c>
      <c r="L1598" s="3">
        <v>125</v>
      </c>
      <c r="M1598" s="3">
        <v>131.24</v>
      </c>
      <c r="N1598" s="3">
        <v>264.99</v>
      </c>
      <c r="O1598" s="2" t="s">
        <v>97</v>
      </c>
      <c r="P1598" s="2" t="s">
        <v>182</v>
      </c>
      <c r="Q1598" s="2" t="s">
        <v>99</v>
      </c>
      <c r="R1598" s="2" t="s">
        <v>100</v>
      </c>
      <c r="S1598" s="2" t="s">
        <v>5361</v>
      </c>
      <c r="T1598" s="2" t="s">
        <v>100</v>
      </c>
      <c r="U1598" s="2" t="s">
        <v>490</v>
      </c>
      <c r="V1598" s="2" t="s">
        <v>906</v>
      </c>
      <c r="W1598" s="2" t="s">
        <v>906</v>
      </c>
      <c r="X1598" s="2" t="s">
        <v>808</v>
      </c>
      <c r="Y1598" s="2" t="s">
        <v>106</v>
      </c>
      <c r="Z1598" s="4">
        <v>24</v>
      </c>
      <c r="AA1598" s="4">
        <f>=ROUNDDOWN(8,0)</f>
      </c>
      <c r="AB1598" s="5">
        <v>3</v>
      </c>
      <c r="AC1598" s="2" t="s">
        <v>145</v>
      </c>
      <c r="AD1598" s="4">
        <v>34</v>
      </c>
      <c r="AE1598" s="4">
        <v>69</v>
      </c>
      <c r="AF1598" s="6">
        <v>68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40</v>
      </c>
      <c r="BK1598" s="8">
        <v>5232.2</v>
      </c>
      <c r="BL1598" s="2" t="s">
        <v>5367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147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5368</v>
      </c>
      <c r="B1599" s="2" t="s">
        <v>87</v>
      </c>
      <c r="C1599" s="2" t="s">
        <v>5275</v>
      </c>
      <c r="D1599" s="2" t="s">
        <v>89</v>
      </c>
      <c r="E1599" s="2" t="s">
        <v>90</v>
      </c>
      <c r="F1599" s="2" t="s">
        <v>5369</v>
      </c>
      <c r="G1599" s="2" t="s">
        <v>5369</v>
      </c>
      <c r="H1599" s="2" t="s">
        <v>5369</v>
      </c>
      <c r="I1599" s="2" t="s">
        <v>549</v>
      </c>
      <c r="J1599" s="2" t="s">
        <v>95</v>
      </c>
      <c r="K1599" s="2" t="s">
        <v>666</v>
      </c>
      <c r="L1599" s="3">
        <v>110</v>
      </c>
      <c r="M1599" s="3">
        <v>115.49</v>
      </c>
      <c r="N1599" s="3">
        <v>229.99</v>
      </c>
      <c r="O1599" s="2" t="s">
        <v>97</v>
      </c>
      <c r="P1599" s="2" t="s">
        <v>98</v>
      </c>
      <c r="Q1599" s="2" t="s">
        <v>99</v>
      </c>
      <c r="R1599" s="2" t="s">
        <v>100</v>
      </c>
      <c r="S1599" s="2" t="s">
        <v>5370</v>
      </c>
      <c r="T1599" s="2" t="s">
        <v>100</v>
      </c>
      <c r="U1599" s="2" t="s">
        <v>100</v>
      </c>
      <c r="V1599" s="2" t="s">
        <v>906</v>
      </c>
      <c r="W1599" s="2" t="s">
        <v>906</v>
      </c>
      <c r="X1599" s="2" t="s">
        <v>808</v>
      </c>
      <c r="Y1599" s="2" t="s">
        <v>106</v>
      </c>
      <c r="Z1599" s="4">
        <v>150</v>
      </c>
      <c r="AA1599" s="4">
        <f>=ROUNDDOWN(16.6666666666667,0)</f>
      </c>
      <c r="AB1599" s="5">
        <v>9</v>
      </c>
      <c r="AC1599" s="2" t="s">
        <v>1208</v>
      </c>
      <c r="AD1599" s="4">
        <v>171</v>
      </c>
      <c r="AE1599" s="4">
        <v>171</v>
      </c>
      <c r="AF1599" s="6">
        <v>64</v>
      </c>
      <c r="AG1599" s="6"/>
      <c r="AH1599" s="7">
        <v>0.9576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183</v>
      </c>
      <c r="BK1599" s="8">
        <v>20687.64</v>
      </c>
      <c r="BL1599" s="2" t="s">
        <v>5371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109</v>
      </c>
      <c r="BV1599" s="2" t="s">
        <v>97</v>
      </c>
      <c r="BW1599" s="2" t="s">
        <v>580</v>
      </c>
      <c r="BX1599" s="2" t="s">
        <v>100</v>
      </c>
      <c r="BY1599" s="2" t="s">
        <v>112</v>
      </c>
      <c r="BZ1599" s="2" t="s">
        <v>100</v>
      </c>
    </row>
    <row r="1600">
      <c r="A1600" s="2" t="s">
        <v>5372</v>
      </c>
      <c r="B1600" s="2" t="s">
        <v>87</v>
      </c>
      <c r="C1600" s="2" t="s">
        <v>5275</v>
      </c>
      <c r="D1600" s="2" t="s">
        <v>89</v>
      </c>
      <c r="E1600" s="2" t="s">
        <v>90</v>
      </c>
      <c r="F1600" s="2" t="s">
        <v>5369</v>
      </c>
      <c r="G1600" s="2" t="s">
        <v>5369</v>
      </c>
      <c r="H1600" s="2" t="s">
        <v>5369</v>
      </c>
      <c r="I1600" s="2" t="s">
        <v>549</v>
      </c>
      <c r="J1600" s="2" t="s">
        <v>114</v>
      </c>
      <c r="K1600" s="2" t="s">
        <v>666</v>
      </c>
      <c r="L1600" s="3">
        <v>125</v>
      </c>
      <c r="M1600" s="3">
        <v>131.24</v>
      </c>
      <c r="N1600" s="3">
        <v>259.99</v>
      </c>
      <c r="O1600" s="2" t="s">
        <v>97</v>
      </c>
      <c r="P1600" s="2" t="s">
        <v>98</v>
      </c>
      <c r="Q1600" s="2" t="s">
        <v>99</v>
      </c>
      <c r="R1600" s="2" t="s">
        <v>100</v>
      </c>
      <c r="S1600" s="2" t="s">
        <v>5370</v>
      </c>
      <c r="T1600" s="2" t="s">
        <v>100</v>
      </c>
      <c r="U1600" s="2" t="s">
        <v>100</v>
      </c>
      <c r="V1600" s="2" t="s">
        <v>906</v>
      </c>
      <c r="W1600" s="2" t="s">
        <v>906</v>
      </c>
      <c r="X1600" s="2" t="s">
        <v>808</v>
      </c>
      <c r="Y1600" s="2" t="s">
        <v>106</v>
      </c>
      <c r="Z1600" s="4">
        <v>127</v>
      </c>
      <c r="AA1600" s="4">
        <f>=ROUNDDOWN(15.875,0)</f>
      </c>
      <c r="AB1600" s="5">
        <v>8</v>
      </c>
      <c r="AC1600" s="2" t="s">
        <v>1208</v>
      </c>
      <c r="AD1600" s="4">
        <v>92</v>
      </c>
      <c r="AE1600" s="4">
        <v>92</v>
      </c>
      <c r="AF1600" s="6">
        <v>64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>
        <v>166</v>
      </c>
      <c r="BK1600" s="8">
        <v>21594.91</v>
      </c>
      <c r="BL1600" s="2" t="s">
        <v>5373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97</v>
      </c>
      <c r="BW1600" s="2" t="s">
        <v>580</v>
      </c>
      <c r="BX1600" s="2" t="s">
        <v>100</v>
      </c>
      <c r="BY1600" s="2" t="s">
        <v>112</v>
      </c>
      <c r="BZ1600" s="2" t="s">
        <v>100</v>
      </c>
    </row>
    <row r="1601">
      <c r="A1601" s="2" t="s">
        <v>5374</v>
      </c>
      <c r="B1601" s="2" t="s">
        <v>87</v>
      </c>
      <c r="C1601" s="2" t="s">
        <v>5275</v>
      </c>
      <c r="D1601" s="2" t="s">
        <v>89</v>
      </c>
      <c r="E1601" s="2" t="s">
        <v>90</v>
      </c>
      <c r="F1601" s="2" t="s">
        <v>5369</v>
      </c>
      <c r="G1601" s="2" t="s">
        <v>5369</v>
      </c>
      <c r="H1601" s="2" t="s">
        <v>5369</v>
      </c>
      <c r="I1601" s="2" t="s">
        <v>549</v>
      </c>
      <c r="J1601" s="2" t="s">
        <v>118</v>
      </c>
      <c r="K1601" s="2" t="s">
        <v>666</v>
      </c>
      <c r="L1601" s="3">
        <v>125</v>
      </c>
      <c r="M1601" s="3">
        <v>131.24</v>
      </c>
      <c r="N1601" s="3">
        <v>259.99</v>
      </c>
      <c r="O1601" s="2" t="s">
        <v>97</v>
      </c>
      <c r="P1601" s="2" t="s">
        <v>98</v>
      </c>
      <c r="Q1601" s="2" t="s">
        <v>99</v>
      </c>
      <c r="R1601" s="2" t="s">
        <v>100</v>
      </c>
      <c r="S1601" s="2" t="s">
        <v>5370</v>
      </c>
      <c r="T1601" s="2" t="s">
        <v>100</v>
      </c>
      <c r="U1601" s="2" t="s">
        <v>1482</v>
      </c>
      <c r="V1601" s="2" t="s">
        <v>906</v>
      </c>
      <c r="W1601" s="2" t="s">
        <v>906</v>
      </c>
      <c r="X1601" s="2" t="s">
        <v>808</v>
      </c>
      <c r="Y1601" s="2" t="s">
        <v>106</v>
      </c>
      <c r="Z1601" s="4">
        <v>55</v>
      </c>
      <c r="AA1601" s="4">
        <f>=ROUNDDOWN(27.5,0)</f>
      </c>
      <c r="AB1601" s="5">
        <v>2</v>
      </c>
      <c r="AC1601" s="2" t="s">
        <v>1208</v>
      </c>
      <c r="AD1601" s="4">
        <v>15</v>
      </c>
      <c r="AE1601" s="4">
        <v>15</v>
      </c>
      <c r="AF1601" s="6">
        <v>64</v>
      </c>
      <c r="AG1601" s="6"/>
      <c r="AH1601" s="7">
        <v>0.7515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29</v>
      </c>
      <c r="BK1601" s="8">
        <v>3696.21</v>
      </c>
      <c r="BL1601" s="2" t="s">
        <v>5375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97</v>
      </c>
      <c r="BW1601" s="2" t="s">
        <v>4095</v>
      </c>
      <c r="BX1601" s="2" t="s">
        <v>100</v>
      </c>
      <c r="BY1601" s="2" t="s">
        <v>112</v>
      </c>
      <c r="BZ1601" s="2" t="s">
        <v>100</v>
      </c>
    </row>
    <row r="1602">
      <c r="A1602" s="2" t="s">
        <v>5376</v>
      </c>
      <c r="B1602" s="2" t="s">
        <v>87</v>
      </c>
      <c r="C1602" s="2" t="s">
        <v>5275</v>
      </c>
      <c r="D1602" s="2" t="s">
        <v>89</v>
      </c>
      <c r="E1602" s="2" t="s">
        <v>90</v>
      </c>
      <c r="F1602" s="2" t="s">
        <v>5377</v>
      </c>
      <c r="G1602" s="2" t="s">
        <v>5377</v>
      </c>
      <c r="H1602" s="2" t="s">
        <v>5377</v>
      </c>
      <c r="I1602" s="2" t="s">
        <v>5378</v>
      </c>
      <c r="J1602" s="2" t="s">
        <v>122</v>
      </c>
      <c r="K1602" s="2" t="s">
        <v>158</v>
      </c>
      <c r="L1602" s="3">
        <v>86.4</v>
      </c>
      <c r="M1602" s="3">
        <v>90.72</v>
      </c>
      <c r="N1602" s="3">
        <v>179.99</v>
      </c>
      <c r="O1602" s="2" t="s">
        <v>97</v>
      </c>
      <c r="P1602" s="2" t="s">
        <v>182</v>
      </c>
      <c r="Q1602" s="2" t="s">
        <v>99</v>
      </c>
      <c r="R1602" s="2" t="s">
        <v>100</v>
      </c>
      <c r="S1602" s="2" t="s">
        <v>5379</v>
      </c>
      <c r="T1602" s="2" t="s">
        <v>732</v>
      </c>
      <c r="U1602" s="2" t="s">
        <v>490</v>
      </c>
      <c r="V1602" s="2" t="s">
        <v>906</v>
      </c>
      <c r="W1602" s="2" t="s">
        <v>906</v>
      </c>
      <c r="X1602" s="2" t="s">
        <v>759</v>
      </c>
      <c r="Y1602" s="2" t="s">
        <v>5380</v>
      </c>
      <c r="Z1602" s="4">
        <v>2</v>
      </c>
      <c r="AA1602" s="4">
        <f>=ROUNDDOWN(0.666666666666667,0)</f>
      </c>
      <c r="AB1602" s="5">
        <v>3</v>
      </c>
      <c r="AC1602" s="2" t="s">
        <v>792</v>
      </c>
      <c r="AD1602" s="4">
        <v>50</v>
      </c>
      <c r="AE1602" s="4">
        <v>105</v>
      </c>
      <c r="AF1602" s="6">
        <v>70</v>
      </c>
      <c r="AG1602" s="6"/>
      <c r="AH1602" s="7">
        <v>0.897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>
        <v>44</v>
      </c>
      <c r="BK1602" s="8">
        <v>4068.01</v>
      </c>
      <c r="BL1602" s="2" t="s">
        <v>5381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147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5382</v>
      </c>
      <c r="B1603" s="2" t="s">
        <v>87</v>
      </c>
      <c r="C1603" s="2" t="s">
        <v>5275</v>
      </c>
      <c r="D1603" s="2" t="s">
        <v>89</v>
      </c>
      <c r="E1603" s="2" t="s">
        <v>90</v>
      </c>
      <c r="F1603" s="2" t="s">
        <v>5377</v>
      </c>
      <c r="G1603" s="2" t="s">
        <v>5377</v>
      </c>
      <c r="H1603" s="2" t="s">
        <v>5377</v>
      </c>
      <c r="I1603" s="2" t="s">
        <v>5378</v>
      </c>
      <c r="J1603" s="2" t="s">
        <v>95</v>
      </c>
      <c r="K1603" s="2" t="s">
        <v>158</v>
      </c>
      <c r="L1603" s="3">
        <v>96</v>
      </c>
      <c r="M1603" s="3">
        <v>100.8</v>
      </c>
      <c r="N1603" s="3">
        <v>199.99</v>
      </c>
      <c r="O1603" s="2" t="s">
        <v>97</v>
      </c>
      <c r="P1603" s="2" t="s">
        <v>182</v>
      </c>
      <c r="Q1603" s="2" t="s">
        <v>99</v>
      </c>
      <c r="R1603" s="2" t="s">
        <v>100</v>
      </c>
      <c r="S1603" s="2" t="s">
        <v>5379</v>
      </c>
      <c r="T1603" s="2" t="s">
        <v>732</v>
      </c>
      <c r="U1603" s="2" t="s">
        <v>490</v>
      </c>
      <c r="V1603" s="2" t="s">
        <v>906</v>
      </c>
      <c r="W1603" s="2" t="s">
        <v>906</v>
      </c>
      <c r="X1603" s="2" t="s">
        <v>759</v>
      </c>
      <c r="Y1603" s="2" t="s">
        <v>2217</v>
      </c>
      <c r="Z1603" s="4">
        <v>74</v>
      </c>
      <c r="AA1603" s="4">
        <f>=ROUNDDOWN(14.8,0)</f>
      </c>
      <c r="AB1603" s="5">
        <v>5</v>
      </c>
      <c r="AC1603" s="2" t="s">
        <v>792</v>
      </c>
      <c r="AD1603" s="4">
        <v>120</v>
      </c>
      <c r="AE1603" s="4">
        <v>120</v>
      </c>
      <c r="AF1603" s="6">
        <v>70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87</v>
      </c>
      <c r="BK1603" s="8">
        <v>8948.04</v>
      </c>
      <c r="BL1603" s="2" t="s">
        <v>5383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147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5384</v>
      </c>
      <c r="B1604" s="2" t="s">
        <v>87</v>
      </c>
      <c r="C1604" s="2" t="s">
        <v>5275</v>
      </c>
      <c r="D1604" s="2" t="s">
        <v>89</v>
      </c>
      <c r="E1604" s="2" t="s">
        <v>90</v>
      </c>
      <c r="F1604" s="2" t="s">
        <v>5377</v>
      </c>
      <c r="G1604" s="2" t="s">
        <v>5377</v>
      </c>
      <c r="H1604" s="2" t="s">
        <v>5377</v>
      </c>
      <c r="I1604" s="2" t="s">
        <v>5378</v>
      </c>
      <c r="J1604" s="2" t="s">
        <v>114</v>
      </c>
      <c r="K1604" s="2" t="s">
        <v>158</v>
      </c>
      <c r="L1604" s="3">
        <v>105.6</v>
      </c>
      <c r="M1604" s="3">
        <v>110.88</v>
      </c>
      <c r="N1604" s="3">
        <v>219.99</v>
      </c>
      <c r="O1604" s="2" t="s">
        <v>97</v>
      </c>
      <c r="P1604" s="2" t="s">
        <v>182</v>
      </c>
      <c r="Q1604" s="2" t="s">
        <v>99</v>
      </c>
      <c r="R1604" s="2" t="s">
        <v>100</v>
      </c>
      <c r="S1604" s="2" t="s">
        <v>5379</v>
      </c>
      <c r="T1604" s="2" t="s">
        <v>732</v>
      </c>
      <c r="U1604" s="2" t="s">
        <v>490</v>
      </c>
      <c r="V1604" s="2" t="s">
        <v>906</v>
      </c>
      <c r="W1604" s="2" t="s">
        <v>906</v>
      </c>
      <c r="X1604" s="2" t="s">
        <v>759</v>
      </c>
      <c r="Y1604" s="2" t="s">
        <v>5380</v>
      </c>
      <c r="Z1604" s="4">
        <v>14</v>
      </c>
      <c r="AA1604" s="4">
        <f>=ROUNDDOWN(1.16666666666667,0)</f>
      </c>
      <c r="AB1604" s="5">
        <v>12</v>
      </c>
      <c r="AC1604" s="2" t="s">
        <v>792</v>
      </c>
      <c r="AD1604" s="4">
        <v>120</v>
      </c>
      <c r="AE1604" s="4">
        <v>310</v>
      </c>
      <c r="AF1604" s="6">
        <v>70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158</v>
      </c>
      <c r="BK1604" s="8">
        <v>18505.52</v>
      </c>
      <c r="BL1604" s="2" t="s">
        <v>5383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147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5385</v>
      </c>
      <c r="B1605" s="2" t="s">
        <v>87</v>
      </c>
      <c r="C1605" s="2" t="s">
        <v>5275</v>
      </c>
      <c r="D1605" s="2" t="s">
        <v>89</v>
      </c>
      <c r="E1605" s="2" t="s">
        <v>90</v>
      </c>
      <c r="F1605" s="2" t="s">
        <v>5377</v>
      </c>
      <c r="G1605" s="2" t="s">
        <v>5377</v>
      </c>
      <c r="H1605" s="2" t="s">
        <v>5377</v>
      </c>
      <c r="I1605" s="2" t="s">
        <v>5378</v>
      </c>
      <c r="J1605" s="2" t="s">
        <v>118</v>
      </c>
      <c r="K1605" s="2" t="s">
        <v>158</v>
      </c>
      <c r="L1605" s="3">
        <v>105.6</v>
      </c>
      <c r="M1605" s="3">
        <v>110.88</v>
      </c>
      <c r="N1605" s="3">
        <v>219.99</v>
      </c>
      <c r="O1605" s="2" t="s">
        <v>97</v>
      </c>
      <c r="P1605" s="2" t="s">
        <v>182</v>
      </c>
      <c r="Q1605" s="2" t="s">
        <v>99</v>
      </c>
      <c r="R1605" s="2" t="s">
        <v>100</v>
      </c>
      <c r="S1605" s="2" t="s">
        <v>5379</v>
      </c>
      <c r="T1605" s="2" t="s">
        <v>732</v>
      </c>
      <c r="U1605" s="2" t="s">
        <v>490</v>
      </c>
      <c r="V1605" s="2" t="s">
        <v>906</v>
      </c>
      <c r="W1605" s="2" t="s">
        <v>906</v>
      </c>
      <c r="X1605" s="2" t="s">
        <v>759</v>
      </c>
      <c r="Y1605" s="2" t="s">
        <v>5380</v>
      </c>
      <c r="Z1605" s="4">
        <v>10</v>
      </c>
      <c r="AA1605" s="4">
        <f>=ROUNDDOWN(2.5,0)</f>
      </c>
      <c r="AB1605" s="5">
        <v>4</v>
      </c>
      <c r="AC1605" s="2" t="s">
        <v>792</v>
      </c>
      <c r="AD1605" s="4">
        <v>40</v>
      </c>
      <c r="AE1605" s="4">
        <v>135</v>
      </c>
      <c r="AF1605" s="6">
        <v>70</v>
      </c>
      <c r="AG1605" s="6"/>
      <c r="AH1605" s="7">
        <v>1</v>
      </c>
      <c r="AI1605" s="4"/>
      <c r="AJ1605" s="4">
        <f>=ROUNDDOWN({0},0)</f>
      </c>
      <c r="AK1605" s="5"/>
      <c r="AL1605" s="2" t="s">
        <v>100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69</v>
      </c>
      <c r="BK1605" s="8">
        <v>8330.19</v>
      </c>
      <c r="BL1605" s="2" t="s">
        <v>5386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147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5387</v>
      </c>
      <c r="B1606" s="2" t="s">
        <v>87</v>
      </c>
      <c r="C1606" s="2" t="s">
        <v>5275</v>
      </c>
      <c r="D1606" s="2" t="s">
        <v>89</v>
      </c>
      <c r="E1606" s="2" t="s">
        <v>90</v>
      </c>
      <c r="F1606" s="2" t="s">
        <v>5388</v>
      </c>
      <c r="G1606" s="2" t="s">
        <v>5388</v>
      </c>
      <c r="H1606" s="2" t="s">
        <v>5388</v>
      </c>
      <c r="I1606" s="2" t="s">
        <v>5313</v>
      </c>
      <c r="J1606" s="2" t="s">
        <v>122</v>
      </c>
      <c r="K1606" s="2" t="s">
        <v>1767</v>
      </c>
      <c r="L1606" s="3">
        <v>86.4</v>
      </c>
      <c r="M1606" s="3">
        <v>90.71</v>
      </c>
      <c r="N1606" s="3">
        <v>179.99</v>
      </c>
      <c r="O1606" s="2" t="s">
        <v>97</v>
      </c>
      <c r="P1606" s="2" t="s">
        <v>98</v>
      </c>
      <c r="Q1606" s="2" t="s">
        <v>99</v>
      </c>
      <c r="R1606" s="2" t="s">
        <v>100</v>
      </c>
      <c r="S1606" s="2" t="s">
        <v>5389</v>
      </c>
      <c r="T1606" s="2" t="s">
        <v>732</v>
      </c>
      <c r="U1606" s="2" t="s">
        <v>490</v>
      </c>
      <c r="V1606" s="2" t="s">
        <v>1275</v>
      </c>
      <c r="W1606" s="2" t="s">
        <v>808</v>
      </c>
      <c r="X1606" s="2" t="s">
        <v>3896</v>
      </c>
      <c r="Y1606" s="2" t="s">
        <v>3655</v>
      </c>
      <c r="Z1606" s="4">
        <v>78</v>
      </c>
      <c r="AA1606" s="4">
        <f>=ROUNDDOWN(26,0)</f>
      </c>
      <c r="AB1606" s="5">
        <v>3</v>
      </c>
      <c r="AC1606" s="2" t="s">
        <v>518</v>
      </c>
      <c r="AD1606" s="4">
        <v>30</v>
      </c>
      <c r="AE1606" s="4">
        <v>40</v>
      </c>
      <c r="AF1606" s="6">
        <v>66</v>
      </c>
      <c r="AG1606" s="6"/>
      <c r="AH1606" s="7">
        <v>1</v>
      </c>
      <c r="AI1606" s="4"/>
      <c r="AJ1606" s="4">
        <f>=ROUNDDOWN({0},0)</f>
      </c>
      <c r="AK1606" s="5"/>
      <c r="AL1606" s="2" t="s">
        <v>100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33</v>
      </c>
      <c r="BK1606" s="8">
        <v>3309.65</v>
      </c>
      <c r="BL1606" s="2" t="s">
        <v>4657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109</v>
      </c>
      <c r="BV1606" s="2" t="s">
        <v>97</v>
      </c>
      <c r="BW1606" s="2" t="s">
        <v>580</v>
      </c>
      <c r="BX1606" s="2" t="s">
        <v>100</v>
      </c>
      <c r="BY1606" s="2" t="s">
        <v>112</v>
      </c>
      <c r="BZ1606" s="2" t="s">
        <v>100</v>
      </c>
    </row>
    <row r="1607">
      <c r="A1607" s="2" t="s">
        <v>5390</v>
      </c>
      <c r="B1607" s="2" t="s">
        <v>87</v>
      </c>
      <c r="C1607" s="2" t="s">
        <v>5275</v>
      </c>
      <c r="D1607" s="2" t="s">
        <v>89</v>
      </c>
      <c r="E1607" s="2" t="s">
        <v>90</v>
      </c>
      <c r="F1607" s="2" t="s">
        <v>5388</v>
      </c>
      <c r="G1607" s="2" t="s">
        <v>5388</v>
      </c>
      <c r="H1607" s="2" t="s">
        <v>5388</v>
      </c>
      <c r="I1607" s="2" t="s">
        <v>5313</v>
      </c>
      <c r="J1607" s="2" t="s">
        <v>95</v>
      </c>
      <c r="K1607" s="2" t="s">
        <v>1767</v>
      </c>
      <c r="L1607" s="3">
        <v>96</v>
      </c>
      <c r="M1607" s="3">
        <v>100.79</v>
      </c>
      <c r="N1607" s="3">
        <v>199.99</v>
      </c>
      <c r="O1607" s="2" t="s">
        <v>97</v>
      </c>
      <c r="P1607" s="2" t="s">
        <v>98</v>
      </c>
      <c r="Q1607" s="2" t="s">
        <v>99</v>
      </c>
      <c r="R1607" s="2" t="s">
        <v>100</v>
      </c>
      <c r="S1607" s="2" t="s">
        <v>5389</v>
      </c>
      <c r="T1607" s="2" t="s">
        <v>732</v>
      </c>
      <c r="U1607" s="2" t="s">
        <v>490</v>
      </c>
      <c r="V1607" s="2" t="s">
        <v>1275</v>
      </c>
      <c r="W1607" s="2" t="s">
        <v>808</v>
      </c>
      <c r="X1607" s="2" t="s">
        <v>3896</v>
      </c>
      <c r="Y1607" s="2" t="s">
        <v>3655</v>
      </c>
      <c r="Z1607" s="4">
        <v>198</v>
      </c>
      <c r="AA1607" s="4">
        <f>=ROUNDDOWN(22,0)</f>
      </c>
      <c r="AB1607" s="5">
        <v>9</v>
      </c>
      <c r="AC1607" s="2" t="s">
        <v>518</v>
      </c>
      <c r="AD1607" s="4">
        <v>20</v>
      </c>
      <c r="AE1607" s="4">
        <v>100</v>
      </c>
      <c r="AF1607" s="6">
        <v>66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135</v>
      </c>
      <c r="BK1607" s="8">
        <v>14669.16</v>
      </c>
      <c r="BL1607" s="2" t="s">
        <v>5391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109</v>
      </c>
      <c r="BV1607" s="2" t="s">
        <v>97</v>
      </c>
      <c r="BW1607" s="2" t="s">
        <v>580</v>
      </c>
      <c r="BX1607" s="2" t="s">
        <v>100</v>
      </c>
      <c r="BY1607" s="2" t="s">
        <v>112</v>
      </c>
      <c r="BZ1607" s="2" t="s">
        <v>100</v>
      </c>
    </row>
    <row r="1608">
      <c r="A1608" s="2" t="s">
        <v>5392</v>
      </c>
      <c r="B1608" s="2" t="s">
        <v>87</v>
      </c>
      <c r="C1608" s="2" t="s">
        <v>5275</v>
      </c>
      <c r="D1608" s="2" t="s">
        <v>89</v>
      </c>
      <c r="E1608" s="2" t="s">
        <v>90</v>
      </c>
      <c r="F1608" s="2" t="s">
        <v>5388</v>
      </c>
      <c r="G1608" s="2" t="s">
        <v>5388</v>
      </c>
      <c r="H1608" s="2" t="s">
        <v>5388</v>
      </c>
      <c r="I1608" s="2" t="s">
        <v>5313</v>
      </c>
      <c r="J1608" s="2" t="s">
        <v>114</v>
      </c>
      <c r="K1608" s="2" t="s">
        <v>1767</v>
      </c>
      <c r="L1608" s="3">
        <v>105.6</v>
      </c>
      <c r="M1608" s="3">
        <v>110.87</v>
      </c>
      <c r="N1608" s="3">
        <v>219.99</v>
      </c>
      <c r="O1608" s="2" t="s">
        <v>97</v>
      </c>
      <c r="P1608" s="2" t="s">
        <v>98</v>
      </c>
      <c r="Q1608" s="2" t="s">
        <v>99</v>
      </c>
      <c r="R1608" s="2" t="s">
        <v>100</v>
      </c>
      <c r="S1608" s="2" t="s">
        <v>5389</v>
      </c>
      <c r="T1608" s="2" t="s">
        <v>732</v>
      </c>
      <c r="U1608" s="2" t="s">
        <v>490</v>
      </c>
      <c r="V1608" s="2" t="s">
        <v>1275</v>
      </c>
      <c r="W1608" s="2" t="s">
        <v>808</v>
      </c>
      <c r="X1608" s="2" t="s">
        <v>3896</v>
      </c>
      <c r="Y1608" s="2" t="s">
        <v>3655</v>
      </c>
      <c r="Z1608" s="4">
        <v>120</v>
      </c>
      <c r="AA1608" s="4">
        <f>=ROUNDDOWN(15,0)</f>
      </c>
      <c r="AB1608" s="5">
        <v>8</v>
      </c>
      <c r="AC1608" s="2" t="s">
        <v>518</v>
      </c>
      <c r="AD1608" s="4">
        <v>95</v>
      </c>
      <c r="AE1608" s="4">
        <v>160</v>
      </c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119</v>
      </c>
      <c r="BK1608" s="8">
        <v>14551.52</v>
      </c>
      <c r="BL1608" s="2" t="s">
        <v>4617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109</v>
      </c>
      <c r="BV1608" s="2" t="s">
        <v>97</v>
      </c>
      <c r="BW1608" s="2" t="s">
        <v>580</v>
      </c>
      <c r="BX1608" s="2" t="s">
        <v>100</v>
      </c>
      <c r="BY1608" s="2" t="s">
        <v>112</v>
      </c>
      <c r="BZ1608" s="2" t="s">
        <v>100</v>
      </c>
    </row>
    <row r="1609">
      <c r="A1609" s="2" t="s">
        <v>5393</v>
      </c>
      <c r="B1609" s="2" t="s">
        <v>87</v>
      </c>
      <c r="C1609" s="2" t="s">
        <v>5275</v>
      </c>
      <c r="D1609" s="2" t="s">
        <v>89</v>
      </c>
      <c r="E1609" s="2" t="s">
        <v>90</v>
      </c>
      <c r="F1609" s="2" t="s">
        <v>5388</v>
      </c>
      <c r="G1609" s="2" t="s">
        <v>5388</v>
      </c>
      <c r="H1609" s="2" t="s">
        <v>5388</v>
      </c>
      <c r="I1609" s="2" t="s">
        <v>5313</v>
      </c>
      <c r="J1609" s="2" t="s">
        <v>118</v>
      </c>
      <c r="K1609" s="2" t="s">
        <v>1767</v>
      </c>
      <c r="L1609" s="3">
        <v>105.6</v>
      </c>
      <c r="M1609" s="3">
        <v>110.87</v>
      </c>
      <c r="N1609" s="3">
        <v>219.99</v>
      </c>
      <c r="O1609" s="2" t="s">
        <v>97</v>
      </c>
      <c r="P1609" s="2" t="s">
        <v>98</v>
      </c>
      <c r="Q1609" s="2" t="s">
        <v>99</v>
      </c>
      <c r="R1609" s="2" t="s">
        <v>100</v>
      </c>
      <c r="S1609" s="2" t="s">
        <v>5389</v>
      </c>
      <c r="T1609" s="2" t="s">
        <v>732</v>
      </c>
      <c r="U1609" s="2" t="s">
        <v>490</v>
      </c>
      <c r="V1609" s="2" t="s">
        <v>1275</v>
      </c>
      <c r="W1609" s="2" t="s">
        <v>808</v>
      </c>
      <c r="X1609" s="2" t="s">
        <v>3896</v>
      </c>
      <c r="Y1609" s="2" t="s">
        <v>3655</v>
      </c>
      <c r="Z1609" s="4">
        <v>71</v>
      </c>
      <c r="AA1609" s="4">
        <f>=ROUNDDOWN(22.9032258064516,0)</f>
      </c>
      <c r="AB1609" s="5">
        <v>3.1</v>
      </c>
      <c r="AC1609" s="2" t="s">
        <v>518</v>
      </c>
      <c r="AD1609" s="4">
        <v>20</v>
      </c>
      <c r="AE1609" s="4">
        <v>65</v>
      </c>
      <c r="AF1609" s="6">
        <v>66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62</v>
      </c>
      <c r="BK1609" s="8">
        <v>7385.88</v>
      </c>
      <c r="BL1609" s="2" t="s">
        <v>5394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97</v>
      </c>
      <c r="BW1609" s="2" t="s">
        <v>580</v>
      </c>
      <c r="BX1609" s="2" t="s">
        <v>100</v>
      </c>
      <c r="BY1609" s="2" t="s">
        <v>112</v>
      </c>
      <c r="BZ1609" s="2" t="s">
        <v>100</v>
      </c>
    </row>
    <row r="1610">
      <c r="A1610" s="2" t="s">
        <v>5395</v>
      </c>
      <c r="B1610" s="2" t="s">
        <v>87</v>
      </c>
      <c r="C1610" s="2" t="s">
        <v>5275</v>
      </c>
      <c r="D1610" s="2" t="s">
        <v>89</v>
      </c>
      <c r="E1610" s="2" t="s">
        <v>90</v>
      </c>
      <c r="F1610" s="2" t="s">
        <v>5396</v>
      </c>
      <c r="G1610" s="2" t="s">
        <v>5396</v>
      </c>
      <c r="H1610" s="2" t="s">
        <v>5396</v>
      </c>
      <c r="I1610" s="2" t="s">
        <v>5397</v>
      </c>
      <c r="J1610" s="2" t="s">
        <v>844</v>
      </c>
      <c r="K1610" s="2" t="s">
        <v>298</v>
      </c>
      <c r="L1610" s="3">
        <v>95.03</v>
      </c>
      <c r="M1610" s="3">
        <v>99.78</v>
      </c>
      <c r="N1610" s="3">
        <v>204.99</v>
      </c>
      <c r="O1610" s="2" t="s">
        <v>97</v>
      </c>
      <c r="P1610" s="2" t="s">
        <v>1265</v>
      </c>
      <c r="Q1610" s="2" t="s">
        <v>99</v>
      </c>
      <c r="R1610" s="2" t="s">
        <v>100</v>
      </c>
      <c r="S1610" s="2" t="s">
        <v>5398</v>
      </c>
      <c r="T1610" s="2" t="s">
        <v>732</v>
      </c>
      <c r="U1610" s="2" t="s">
        <v>790</v>
      </c>
      <c r="V1610" s="2" t="s">
        <v>1275</v>
      </c>
      <c r="W1610" s="2" t="s">
        <v>104</v>
      </c>
      <c r="X1610" s="2" t="s">
        <v>1288</v>
      </c>
      <c r="Y1610" s="2" t="s">
        <v>429</v>
      </c>
      <c r="Z1610" s="4">
        <v>342</v>
      </c>
      <c r="AA1610" s="4">
        <f>=ROUNDDOWN(79.5348837209302,0)</f>
      </c>
      <c r="AB1610" s="5">
        <v>4.3</v>
      </c>
      <c r="AC1610" s="2" t="s">
        <v>100</v>
      </c>
      <c r="AD1610" s="4"/>
      <c r="AE1610" s="4"/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137</v>
      </c>
      <c r="BK1610" s="8">
        <v>13769.18</v>
      </c>
      <c r="BL1610" s="2" t="s">
        <v>5399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97</v>
      </c>
      <c r="BW1610" s="2" t="s">
        <v>580</v>
      </c>
      <c r="BX1610" s="2" t="s">
        <v>100</v>
      </c>
      <c r="BY1610" s="2" t="s">
        <v>112</v>
      </c>
      <c r="BZ1610" s="2" t="s">
        <v>100</v>
      </c>
    </row>
    <row r="1611">
      <c r="A1611" s="2" t="s">
        <v>5400</v>
      </c>
      <c r="B1611" s="2" t="s">
        <v>87</v>
      </c>
      <c r="C1611" s="2" t="s">
        <v>5275</v>
      </c>
      <c r="D1611" s="2" t="s">
        <v>89</v>
      </c>
      <c r="E1611" s="2" t="s">
        <v>90</v>
      </c>
      <c r="F1611" s="2" t="s">
        <v>5396</v>
      </c>
      <c r="G1611" s="2" t="s">
        <v>5396</v>
      </c>
      <c r="H1611" s="2" t="s">
        <v>5396</v>
      </c>
      <c r="I1611" s="2" t="s">
        <v>5397</v>
      </c>
      <c r="J1611" s="2" t="s">
        <v>850</v>
      </c>
      <c r="K1611" s="2" t="s">
        <v>298</v>
      </c>
      <c r="L1611" s="3">
        <v>105.59</v>
      </c>
      <c r="M1611" s="3">
        <v>110.87</v>
      </c>
      <c r="N1611" s="3">
        <v>224.99</v>
      </c>
      <c r="O1611" s="2" t="s">
        <v>97</v>
      </c>
      <c r="P1611" s="2" t="s">
        <v>1265</v>
      </c>
      <c r="Q1611" s="2" t="s">
        <v>99</v>
      </c>
      <c r="R1611" s="2" t="s">
        <v>100</v>
      </c>
      <c r="S1611" s="2" t="s">
        <v>5398</v>
      </c>
      <c r="T1611" s="2" t="s">
        <v>732</v>
      </c>
      <c r="U1611" s="2" t="s">
        <v>790</v>
      </c>
      <c r="V1611" s="2" t="s">
        <v>1275</v>
      </c>
      <c r="W1611" s="2" t="s">
        <v>104</v>
      </c>
      <c r="X1611" s="2" t="s">
        <v>1288</v>
      </c>
      <c r="Y1611" s="2" t="s">
        <v>429</v>
      </c>
      <c r="Z1611" s="4">
        <v>315</v>
      </c>
      <c r="AA1611" s="4">
        <f>=ROUNDDOWN(57.2727272727273,0)</f>
      </c>
      <c r="AB1611" s="5">
        <v>5.5</v>
      </c>
      <c r="AC1611" s="2" t="s">
        <v>100</v>
      </c>
      <c r="AD1611" s="4"/>
      <c r="AE1611" s="4"/>
      <c r="AF1611" s="6">
        <v>66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128</v>
      </c>
      <c r="BK1611" s="8">
        <v>14314.75</v>
      </c>
      <c r="BL1611" s="2" t="s">
        <v>5401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97</v>
      </c>
      <c r="BW1611" s="2" t="s">
        <v>580</v>
      </c>
      <c r="BX1611" s="2" t="s">
        <v>100</v>
      </c>
      <c r="BY1611" s="2" t="s">
        <v>112</v>
      </c>
      <c r="BZ1611" s="2" t="s">
        <v>100</v>
      </c>
    </row>
    <row r="1612">
      <c r="A1612" s="2" t="s">
        <v>5402</v>
      </c>
      <c r="B1612" s="2" t="s">
        <v>87</v>
      </c>
      <c r="C1612" s="2" t="s">
        <v>5275</v>
      </c>
      <c r="D1612" s="2" t="s">
        <v>89</v>
      </c>
      <c r="E1612" s="2" t="s">
        <v>90</v>
      </c>
      <c r="F1612" s="2" t="s">
        <v>5403</v>
      </c>
      <c r="G1612" s="2" t="s">
        <v>5403</v>
      </c>
      <c r="H1612" s="2" t="s">
        <v>5403</v>
      </c>
      <c r="I1612" s="2" t="s">
        <v>5404</v>
      </c>
      <c r="J1612" s="2" t="s">
        <v>122</v>
      </c>
      <c r="K1612" s="2" t="s">
        <v>5334</v>
      </c>
      <c r="L1612" s="3">
        <v>91.2</v>
      </c>
      <c r="M1612" s="3">
        <v>95.76</v>
      </c>
      <c r="N1612" s="3">
        <v>189.99</v>
      </c>
      <c r="O1612" s="2" t="s">
        <v>97</v>
      </c>
      <c r="P1612" s="2" t="s">
        <v>1166</v>
      </c>
      <c r="Q1612" s="2" t="s">
        <v>99</v>
      </c>
      <c r="R1612" s="2" t="s">
        <v>100</v>
      </c>
      <c r="S1612" s="2" t="s">
        <v>5405</v>
      </c>
      <c r="T1612" s="2" t="s">
        <v>732</v>
      </c>
      <c r="U1612" s="2" t="s">
        <v>490</v>
      </c>
      <c r="V1612" s="2" t="s">
        <v>561</v>
      </c>
      <c r="W1612" s="2" t="s">
        <v>808</v>
      </c>
      <c r="X1612" s="2" t="s">
        <v>5406</v>
      </c>
      <c r="Y1612" s="2" t="s">
        <v>5407</v>
      </c>
      <c r="Z1612" s="4">
        <v>27</v>
      </c>
      <c r="AA1612" s="4">
        <f>=ROUNDDOWN(6.75,0)</f>
      </c>
      <c r="AB1612" s="5">
        <v>4</v>
      </c>
      <c r="AC1612" s="2" t="s">
        <v>100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9</v>
      </c>
      <c r="BK1612" s="8">
        <v>927.5</v>
      </c>
      <c r="BL1612" s="2" t="s">
        <v>5408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109</v>
      </c>
      <c r="BV1612" s="2" t="s">
        <v>97</v>
      </c>
      <c r="BW1612" s="2" t="s">
        <v>580</v>
      </c>
      <c r="BX1612" s="2" t="s">
        <v>100</v>
      </c>
      <c r="BY1612" s="2" t="s">
        <v>112</v>
      </c>
      <c r="BZ1612" s="2" t="s">
        <v>100</v>
      </c>
    </row>
    <row r="1613">
      <c r="A1613" s="2" t="s">
        <v>5409</v>
      </c>
      <c r="B1613" s="2" t="s">
        <v>87</v>
      </c>
      <c r="C1613" s="2" t="s">
        <v>5275</v>
      </c>
      <c r="D1613" s="2" t="s">
        <v>89</v>
      </c>
      <c r="E1613" s="2" t="s">
        <v>90</v>
      </c>
      <c r="F1613" s="2" t="s">
        <v>5403</v>
      </c>
      <c r="G1613" s="2" t="s">
        <v>5403</v>
      </c>
      <c r="H1613" s="2" t="s">
        <v>5403</v>
      </c>
      <c r="I1613" s="2" t="s">
        <v>5404</v>
      </c>
      <c r="J1613" s="2" t="s">
        <v>95</v>
      </c>
      <c r="K1613" s="2" t="s">
        <v>5334</v>
      </c>
      <c r="L1613" s="3">
        <v>100.8</v>
      </c>
      <c r="M1613" s="3">
        <v>105.84</v>
      </c>
      <c r="N1613" s="3">
        <v>209.99</v>
      </c>
      <c r="O1613" s="2" t="s">
        <v>97</v>
      </c>
      <c r="P1613" s="2" t="s">
        <v>1166</v>
      </c>
      <c r="Q1613" s="2" t="s">
        <v>99</v>
      </c>
      <c r="R1613" s="2" t="s">
        <v>100</v>
      </c>
      <c r="S1613" s="2" t="s">
        <v>5405</v>
      </c>
      <c r="T1613" s="2" t="s">
        <v>732</v>
      </c>
      <c r="U1613" s="2" t="s">
        <v>490</v>
      </c>
      <c r="V1613" s="2" t="s">
        <v>561</v>
      </c>
      <c r="W1613" s="2" t="s">
        <v>808</v>
      </c>
      <c r="X1613" s="2" t="s">
        <v>5406</v>
      </c>
      <c r="Y1613" s="2" t="s">
        <v>5407</v>
      </c>
      <c r="Z1613" s="4">
        <v>159</v>
      </c>
      <c r="AA1613" s="4">
        <f>=ROUNDDOWN(19.875,0)</f>
      </c>
      <c r="AB1613" s="5">
        <v>8</v>
      </c>
      <c r="AC1613" s="2" t="s">
        <v>100</v>
      </c>
      <c r="AD1613" s="4"/>
      <c r="AE1613" s="4"/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100</v>
      </c>
      <c r="AW1613" s="8" t="s">
        <v>100</v>
      </c>
      <c r="AX1613" s="4" t="s">
        <v>100</v>
      </c>
      <c r="AY1613" s="8" t="s">
        <v>100</v>
      </c>
      <c r="AZ1613" s="7" t="s">
        <v>100</v>
      </c>
      <c r="BA1613" s="7" t="s">
        <v>100</v>
      </c>
      <c r="BB1613" s="7"/>
      <c r="BC1613" s="4" t="s">
        <v>100</v>
      </c>
      <c r="BD1613" s="8" t="s">
        <v>100</v>
      </c>
      <c r="BE1613" s="4" t="s">
        <v>100</v>
      </c>
      <c r="BF1613" s="8" t="s">
        <v>100</v>
      </c>
      <c r="BG1613" s="7" t="s">
        <v>100</v>
      </c>
      <c r="BH1613" s="7" t="s">
        <v>100</v>
      </c>
      <c r="BI1613" s="7"/>
      <c r="BJ1613" s="4">
        <v>16</v>
      </c>
      <c r="BK1613" s="8">
        <v>1796.27</v>
      </c>
      <c r="BL1613" s="2" t="s">
        <v>5410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97</v>
      </c>
      <c r="BW1613" s="2" t="s">
        <v>580</v>
      </c>
      <c r="BX1613" s="2" t="s">
        <v>100</v>
      </c>
      <c r="BY1613" s="2" t="s">
        <v>112</v>
      </c>
      <c r="BZ1613" s="2" t="s">
        <v>100</v>
      </c>
    </row>
    <row r="1614">
      <c r="A1614" s="2" t="s">
        <v>5411</v>
      </c>
      <c r="B1614" s="2" t="s">
        <v>87</v>
      </c>
      <c r="C1614" s="2" t="s">
        <v>5275</v>
      </c>
      <c r="D1614" s="2" t="s">
        <v>89</v>
      </c>
      <c r="E1614" s="2" t="s">
        <v>90</v>
      </c>
      <c r="F1614" s="2" t="s">
        <v>5403</v>
      </c>
      <c r="G1614" s="2" t="s">
        <v>5403</v>
      </c>
      <c r="H1614" s="2" t="s">
        <v>5403</v>
      </c>
      <c r="I1614" s="2" t="s">
        <v>5404</v>
      </c>
      <c r="J1614" s="2" t="s">
        <v>114</v>
      </c>
      <c r="K1614" s="2" t="s">
        <v>5334</v>
      </c>
      <c r="L1614" s="3">
        <v>110.4</v>
      </c>
      <c r="M1614" s="3">
        <v>115.92</v>
      </c>
      <c r="N1614" s="3">
        <v>229.99</v>
      </c>
      <c r="O1614" s="2" t="s">
        <v>97</v>
      </c>
      <c r="P1614" s="2" t="s">
        <v>1166</v>
      </c>
      <c r="Q1614" s="2" t="s">
        <v>99</v>
      </c>
      <c r="R1614" s="2" t="s">
        <v>100</v>
      </c>
      <c r="S1614" s="2" t="s">
        <v>5405</v>
      </c>
      <c r="T1614" s="2" t="s">
        <v>732</v>
      </c>
      <c r="U1614" s="2" t="s">
        <v>490</v>
      </c>
      <c r="V1614" s="2" t="s">
        <v>561</v>
      </c>
      <c r="W1614" s="2" t="s">
        <v>808</v>
      </c>
      <c r="X1614" s="2" t="s">
        <v>5406</v>
      </c>
      <c r="Y1614" s="2" t="s">
        <v>5407</v>
      </c>
      <c r="Z1614" s="4">
        <v>167</v>
      </c>
      <c r="AA1614" s="4">
        <f>=ROUNDDOWN(20.875,0)</f>
      </c>
      <c r="AB1614" s="5">
        <v>8</v>
      </c>
      <c r="AC1614" s="2" t="s">
        <v>100</v>
      </c>
      <c r="AD1614" s="4"/>
      <c r="AE1614" s="4"/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 t="s">
        <v>100</v>
      </c>
      <c r="AW1614" s="8" t="s">
        <v>100</v>
      </c>
      <c r="AX1614" s="4" t="s">
        <v>100</v>
      </c>
      <c r="AY1614" s="8" t="s">
        <v>100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 t="s">
        <v>100</v>
      </c>
      <c r="BF1614" s="8" t="s">
        <v>100</v>
      </c>
      <c r="BG1614" s="7" t="s">
        <v>100</v>
      </c>
      <c r="BH1614" s="7" t="s">
        <v>100</v>
      </c>
      <c r="BI1614" s="7"/>
      <c r="BJ1614" s="4">
        <v>16</v>
      </c>
      <c r="BK1614" s="8">
        <v>1978.35</v>
      </c>
      <c r="BL1614" s="2" t="s">
        <v>5410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109</v>
      </c>
      <c r="BV1614" s="2" t="s">
        <v>97</v>
      </c>
      <c r="BW1614" s="2" t="s">
        <v>580</v>
      </c>
      <c r="BX1614" s="2" t="s">
        <v>100</v>
      </c>
      <c r="BY1614" s="2" t="s">
        <v>112</v>
      </c>
      <c r="BZ1614" s="2" t="s">
        <v>100</v>
      </c>
    </row>
    <row r="1615">
      <c r="A1615" s="2" t="s">
        <v>5412</v>
      </c>
      <c r="B1615" s="2" t="s">
        <v>87</v>
      </c>
      <c r="C1615" s="2" t="s">
        <v>5275</v>
      </c>
      <c r="D1615" s="2" t="s">
        <v>89</v>
      </c>
      <c r="E1615" s="2" t="s">
        <v>90</v>
      </c>
      <c r="F1615" s="2" t="s">
        <v>5403</v>
      </c>
      <c r="G1615" s="2" t="s">
        <v>5403</v>
      </c>
      <c r="H1615" s="2" t="s">
        <v>5403</v>
      </c>
      <c r="I1615" s="2" t="s">
        <v>5404</v>
      </c>
      <c r="J1615" s="2" t="s">
        <v>118</v>
      </c>
      <c r="K1615" s="2" t="s">
        <v>5334</v>
      </c>
      <c r="L1615" s="3">
        <v>110.4</v>
      </c>
      <c r="M1615" s="3">
        <v>115.92</v>
      </c>
      <c r="N1615" s="3">
        <v>229.99</v>
      </c>
      <c r="O1615" s="2" t="s">
        <v>97</v>
      </c>
      <c r="P1615" s="2" t="s">
        <v>1166</v>
      </c>
      <c r="Q1615" s="2" t="s">
        <v>99</v>
      </c>
      <c r="R1615" s="2" t="s">
        <v>100</v>
      </c>
      <c r="S1615" s="2" t="s">
        <v>5405</v>
      </c>
      <c r="T1615" s="2" t="s">
        <v>732</v>
      </c>
      <c r="U1615" s="2" t="s">
        <v>490</v>
      </c>
      <c r="V1615" s="2" t="s">
        <v>561</v>
      </c>
      <c r="W1615" s="2" t="s">
        <v>808</v>
      </c>
      <c r="X1615" s="2" t="s">
        <v>5406</v>
      </c>
      <c r="Y1615" s="2" t="s">
        <v>5407</v>
      </c>
      <c r="Z1615" s="4">
        <v>71</v>
      </c>
      <c r="AA1615" s="4">
        <f>=ROUNDDOWN(17.75,0)</f>
      </c>
      <c r="AB1615" s="5">
        <v>4</v>
      </c>
      <c r="AC1615" s="2" t="s">
        <v>100</v>
      </c>
      <c r="AD1615" s="4"/>
      <c r="AE1615" s="4"/>
      <c r="AF1615" s="6">
        <v>65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7</v>
      </c>
      <c r="BK1615" s="8">
        <v>879.87</v>
      </c>
      <c r="BL1615" s="2" t="s">
        <v>5413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580</v>
      </c>
      <c r="BX1615" s="2" t="s">
        <v>100</v>
      </c>
      <c r="BY1615" s="2" t="s">
        <v>112</v>
      </c>
      <c r="BZ1615" s="2" t="s">
        <v>100</v>
      </c>
    </row>
    <row r="1616">
      <c r="A1616" s="2" t="s">
        <v>5414</v>
      </c>
      <c r="B1616" s="2" t="s">
        <v>87</v>
      </c>
      <c r="C1616" s="2" t="s">
        <v>5275</v>
      </c>
      <c r="D1616" s="2" t="s">
        <v>89</v>
      </c>
      <c r="E1616" s="2" t="s">
        <v>90</v>
      </c>
      <c r="F1616" s="2" t="s">
        <v>5403</v>
      </c>
      <c r="G1616" s="2" t="s">
        <v>5403</v>
      </c>
      <c r="H1616" s="2" t="s">
        <v>5403</v>
      </c>
      <c r="I1616" s="2" t="s">
        <v>5404</v>
      </c>
      <c r="J1616" s="2" t="s">
        <v>122</v>
      </c>
      <c r="K1616" s="2" t="s">
        <v>5415</v>
      </c>
      <c r="L1616" s="3">
        <v>91.2</v>
      </c>
      <c r="M1616" s="3">
        <v>95.76</v>
      </c>
      <c r="N1616" s="3">
        <v>189.99</v>
      </c>
      <c r="O1616" s="2" t="s">
        <v>97</v>
      </c>
      <c r="P1616" s="2" t="s">
        <v>124</v>
      </c>
      <c r="Q1616" s="2" t="s">
        <v>99</v>
      </c>
      <c r="R1616" s="2" t="s">
        <v>100</v>
      </c>
      <c r="S1616" s="2" t="s">
        <v>5416</v>
      </c>
      <c r="T1616" s="2" t="s">
        <v>732</v>
      </c>
      <c r="U1616" s="2" t="s">
        <v>490</v>
      </c>
      <c r="V1616" s="2" t="s">
        <v>561</v>
      </c>
      <c r="W1616" s="2" t="s">
        <v>808</v>
      </c>
      <c r="X1616" s="2" t="s">
        <v>5406</v>
      </c>
      <c r="Y1616" s="2" t="s">
        <v>5336</v>
      </c>
      <c r="Z1616" s="4">
        <v>40</v>
      </c>
      <c r="AA1616" s="4">
        <f>=ROUNDDOWN(8,0)</f>
      </c>
      <c r="AB1616" s="5">
        <v>5</v>
      </c>
      <c r="AC1616" s="2" t="s">
        <v>3601</v>
      </c>
      <c r="AD1616" s="4">
        <v>40</v>
      </c>
      <c r="AE1616" s="4">
        <v>140</v>
      </c>
      <c r="AF1616" s="6">
        <v>65</v>
      </c>
      <c r="AG1616" s="6"/>
      <c r="AH1616" s="7">
        <v>0.6485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 t="s">
        <v>100</v>
      </c>
      <c r="AW1616" s="8" t="s">
        <v>100</v>
      </c>
      <c r="AX1616" s="4" t="s">
        <v>100</v>
      </c>
      <c r="AY1616" s="8" t="s">
        <v>100</v>
      </c>
      <c r="AZ1616" s="7" t="s">
        <v>100</v>
      </c>
      <c r="BA1616" s="7" t="s">
        <v>100</v>
      </c>
      <c r="BB1616" s="7"/>
      <c r="BC1616" s="4" t="s">
        <v>100</v>
      </c>
      <c r="BD1616" s="8" t="s">
        <v>100</v>
      </c>
      <c r="BE1616" s="4" t="s">
        <v>100</v>
      </c>
      <c r="BF1616" s="8" t="s">
        <v>100</v>
      </c>
      <c r="BG1616" s="7" t="s">
        <v>100</v>
      </c>
      <c r="BH1616" s="7" t="s">
        <v>100</v>
      </c>
      <c r="BI1616" s="7"/>
      <c r="BJ1616" s="4">
        <v>33</v>
      </c>
      <c r="BK1616" s="8">
        <v>3351.23</v>
      </c>
      <c r="BL1616" s="2" t="s">
        <v>5417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109</v>
      </c>
      <c r="BV1616" s="2" t="s">
        <v>97</v>
      </c>
      <c r="BW1616" s="2" t="s">
        <v>580</v>
      </c>
      <c r="BX1616" s="2" t="s">
        <v>100</v>
      </c>
      <c r="BY1616" s="2" t="s">
        <v>112</v>
      </c>
      <c r="BZ1616" s="2" t="s">
        <v>100</v>
      </c>
    </row>
    <row r="1617">
      <c r="A1617" s="2" t="s">
        <v>5418</v>
      </c>
      <c r="B1617" s="2" t="s">
        <v>87</v>
      </c>
      <c r="C1617" s="2" t="s">
        <v>5275</v>
      </c>
      <c r="D1617" s="2" t="s">
        <v>89</v>
      </c>
      <c r="E1617" s="2" t="s">
        <v>90</v>
      </c>
      <c r="F1617" s="2" t="s">
        <v>5403</v>
      </c>
      <c r="G1617" s="2" t="s">
        <v>5403</v>
      </c>
      <c r="H1617" s="2" t="s">
        <v>5403</v>
      </c>
      <c r="I1617" s="2" t="s">
        <v>5404</v>
      </c>
      <c r="J1617" s="2" t="s">
        <v>95</v>
      </c>
      <c r="K1617" s="2" t="s">
        <v>5415</v>
      </c>
      <c r="L1617" s="3">
        <v>100.8</v>
      </c>
      <c r="M1617" s="3">
        <v>105.84</v>
      </c>
      <c r="N1617" s="3">
        <v>209.99</v>
      </c>
      <c r="O1617" s="2" t="s">
        <v>97</v>
      </c>
      <c r="P1617" s="2" t="s">
        <v>124</v>
      </c>
      <c r="Q1617" s="2" t="s">
        <v>99</v>
      </c>
      <c r="R1617" s="2" t="s">
        <v>100</v>
      </c>
      <c r="S1617" s="2" t="s">
        <v>5416</v>
      </c>
      <c r="T1617" s="2" t="s">
        <v>732</v>
      </c>
      <c r="U1617" s="2" t="s">
        <v>490</v>
      </c>
      <c r="V1617" s="2" t="s">
        <v>561</v>
      </c>
      <c r="W1617" s="2" t="s">
        <v>808</v>
      </c>
      <c r="X1617" s="2" t="s">
        <v>5406</v>
      </c>
      <c r="Y1617" s="2" t="s">
        <v>5336</v>
      </c>
      <c r="Z1617" s="4">
        <v>138</v>
      </c>
      <c r="AA1617" s="4">
        <f>=ROUNDDOWN(15.3333333333333,0)</f>
      </c>
      <c r="AB1617" s="5">
        <v>9</v>
      </c>
      <c r="AC1617" s="2" t="s">
        <v>3601</v>
      </c>
      <c r="AD1617" s="4">
        <v>55</v>
      </c>
      <c r="AE1617" s="4">
        <v>250</v>
      </c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>
        <v>143</v>
      </c>
      <c r="BK1617" s="8">
        <v>16167.07</v>
      </c>
      <c r="BL1617" s="2" t="s">
        <v>5419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97</v>
      </c>
      <c r="BW1617" s="2" t="s">
        <v>580</v>
      </c>
      <c r="BX1617" s="2" t="s">
        <v>100</v>
      </c>
      <c r="BY1617" s="2" t="s">
        <v>112</v>
      </c>
      <c r="BZ1617" s="2" t="s">
        <v>100</v>
      </c>
    </row>
    <row r="1618">
      <c r="A1618" s="2" t="s">
        <v>5420</v>
      </c>
      <c r="B1618" s="2" t="s">
        <v>87</v>
      </c>
      <c r="C1618" s="2" t="s">
        <v>5275</v>
      </c>
      <c r="D1618" s="2" t="s">
        <v>89</v>
      </c>
      <c r="E1618" s="2" t="s">
        <v>90</v>
      </c>
      <c r="F1618" s="2" t="s">
        <v>5403</v>
      </c>
      <c r="G1618" s="2" t="s">
        <v>5403</v>
      </c>
      <c r="H1618" s="2" t="s">
        <v>5403</v>
      </c>
      <c r="I1618" s="2" t="s">
        <v>5404</v>
      </c>
      <c r="J1618" s="2" t="s">
        <v>114</v>
      </c>
      <c r="K1618" s="2" t="s">
        <v>5415</v>
      </c>
      <c r="L1618" s="3">
        <v>110.4</v>
      </c>
      <c r="M1618" s="3">
        <v>115.92</v>
      </c>
      <c r="N1618" s="3">
        <v>229.99</v>
      </c>
      <c r="O1618" s="2" t="s">
        <v>97</v>
      </c>
      <c r="P1618" s="2" t="s">
        <v>124</v>
      </c>
      <c r="Q1618" s="2" t="s">
        <v>99</v>
      </c>
      <c r="R1618" s="2" t="s">
        <v>100</v>
      </c>
      <c r="S1618" s="2" t="s">
        <v>5416</v>
      </c>
      <c r="T1618" s="2" t="s">
        <v>732</v>
      </c>
      <c r="U1618" s="2" t="s">
        <v>490</v>
      </c>
      <c r="V1618" s="2" t="s">
        <v>561</v>
      </c>
      <c r="W1618" s="2" t="s">
        <v>808</v>
      </c>
      <c r="X1618" s="2" t="s">
        <v>5406</v>
      </c>
      <c r="Y1618" s="2" t="s">
        <v>5336</v>
      </c>
      <c r="Z1618" s="4">
        <v>158</v>
      </c>
      <c r="AA1618" s="4">
        <f>=ROUNDDOWN(17.5555555555556,0)</f>
      </c>
      <c r="AB1618" s="5">
        <v>9</v>
      </c>
      <c r="AC1618" s="2" t="s">
        <v>3601</v>
      </c>
      <c r="AD1618" s="4">
        <v>85</v>
      </c>
      <c r="AE1618" s="4">
        <v>279</v>
      </c>
      <c r="AF1618" s="6">
        <v>65</v>
      </c>
      <c r="AG1618" s="6"/>
      <c r="AH1618" s="7">
        <v>0.6485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>
        <v>121</v>
      </c>
      <c r="BK1618" s="8">
        <v>14982.85</v>
      </c>
      <c r="BL1618" s="2" t="s">
        <v>5421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109</v>
      </c>
      <c r="BV1618" s="2" t="s">
        <v>97</v>
      </c>
      <c r="BW1618" s="2" t="s">
        <v>580</v>
      </c>
      <c r="BX1618" s="2" t="s">
        <v>100</v>
      </c>
      <c r="BY1618" s="2" t="s">
        <v>112</v>
      </c>
      <c r="BZ1618" s="2" t="s">
        <v>100</v>
      </c>
    </row>
    <row r="1619">
      <c r="A1619" s="2" t="s">
        <v>5422</v>
      </c>
      <c r="B1619" s="2" t="s">
        <v>87</v>
      </c>
      <c r="C1619" s="2" t="s">
        <v>5275</v>
      </c>
      <c r="D1619" s="2" t="s">
        <v>89</v>
      </c>
      <c r="E1619" s="2" t="s">
        <v>90</v>
      </c>
      <c r="F1619" s="2" t="s">
        <v>5403</v>
      </c>
      <c r="G1619" s="2" t="s">
        <v>5403</v>
      </c>
      <c r="H1619" s="2" t="s">
        <v>5403</v>
      </c>
      <c r="I1619" s="2" t="s">
        <v>5404</v>
      </c>
      <c r="J1619" s="2" t="s">
        <v>118</v>
      </c>
      <c r="K1619" s="2" t="s">
        <v>5415</v>
      </c>
      <c r="L1619" s="3">
        <v>110.4</v>
      </c>
      <c r="M1619" s="3">
        <v>115.92</v>
      </c>
      <c r="N1619" s="3">
        <v>229.99</v>
      </c>
      <c r="O1619" s="2" t="s">
        <v>97</v>
      </c>
      <c r="P1619" s="2" t="s">
        <v>124</v>
      </c>
      <c r="Q1619" s="2" t="s">
        <v>99</v>
      </c>
      <c r="R1619" s="2" t="s">
        <v>100</v>
      </c>
      <c r="S1619" s="2" t="s">
        <v>5416</v>
      </c>
      <c r="T1619" s="2" t="s">
        <v>732</v>
      </c>
      <c r="U1619" s="2" t="s">
        <v>490</v>
      </c>
      <c r="V1619" s="2" t="s">
        <v>561</v>
      </c>
      <c r="W1619" s="2" t="s">
        <v>808</v>
      </c>
      <c r="X1619" s="2" t="s">
        <v>5406</v>
      </c>
      <c r="Y1619" s="2" t="s">
        <v>5336</v>
      </c>
      <c r="Z1619" s="4">
        <v>57</v>
      </c>
      <c r="AA1619" s="4">
        <f>=ROUNDDOWN(11.4,0)</f>
      </c>
      <c r="AB1619" s="5">
        <v>5</v>
      </c>
      <c r="AC1619" s="2" t="s">
        <v>3601</v>
      </c>
      <c r="AD1619" s="4">
        <v>60</v>
      </c>
      <c r="AE1619" s="4">
        <v>195</v>
      </c>
      <c r="AF1619" s="6">
        <v>65</v>
      </c>
      <c r="AG1619" s="6"/>
      <c r="AH1619" s="7">
        <v>0.6485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67</v>
      </c>
      <c r="BK1619" s="8">
        <v>8365.23</v>
      </c>
      <c r="BL1619" s="2" t="s">
        <v>5423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97</v>
      </c>
      <c r="BW1619" s="2" t="s">
        <v>580</v>
      </c>
      <c r="BX1619" s="2" t="s">
        <v>100</v>
      </c>
      <c r="BY1619" s="2" t="s">
        <v>112</v>
      </c>
      <c r="BZ1619" s="2" t="s">
        <v>100</v>
      </c>
    </row>
    <row r="1620">
      <c r="A1620" s="2" t="s">
        <v>5424</v>
      </c>
      <c r="B1620" s="2" t="s">
        <v>87</v>
      </c>
      <c r="C1620" s="2" t="s">
        <v>5275</v>
      </c>
      <c r="D1620" s="2" t="s">
        <v>89</v>
      </c>
      <c r="E1620" s="2" t="s">
        <v>90</v>
      </c>
      <c r="F1620" s="2" t="s">
        <v>5425</v>
      </c>
      <c r="G1620" s="2" t="s">
        <v>5425</v>
      </c>
      <c r="H1620" s="2" t="s">
        <v>5425</v>
      </c>
      <c r="I1620" s="2" t="s">
        <v>5426</v>
      </c>
      <c r="J1620" s="2" t="s">
        <v>122</v>
      </c>
      <c r="K1620" s="2" t="s">
        <v>5427</v>
      </c>
      <c r="L1620" s="3">
        <v>86.4</v>
      </c>
      <c r="M1620" s="3">
        <v>90.72</v>
      </c>
      <c r="N1620" s="3">
        <v>179.99</v>
      </c>
      <c r="O1620" s="2" t="s">
        <v>97</v>
      </c>
      <c r="P1620" s="2" t="s">
        <v>98</v>
      </c>
      <c r="Q1620" s="2" t="s">
        <v>99</v>
      </c>
      <c r="R1620" s="2" t="s">
        <v>100</v>
      </c>
      <c r="S1620" s="2" t="s">
        <v>5428</v>
      </c>
      <c r="T1620" s="2" t="s">
        <v>732</v>
      </c>
      <c r="U1620" s="2" t="s">
        <v>490</v>
      </c>
      <c r="V1620" s="2" t="s">
        <v>906</v>
      </c>
      <c r="W1620" s="2" t="s">
        <v>906</v>
      </c>
      <c r="X1620" s="2" t="s">
        <v>100</v>
      </c>
      <c r="Y1620" s="2" t="s">
        <v>2988</v>
      </c>
      <c r="Z1620" s="4">
        <v>76</v>
      </c>
      <c r="AA1620" s="4">
        <f>=ROUNDDOWN(38,0)</f>
      </c>
      <c r="AB1620" s="5">
        <v>2</v>
      </c>
      <c r="AC1620" s="2" t="s">
        <v>100</v>
      </c>
      <c r="AD1620" s="4"/>
      <c r="AE1620" s="4"/>
      <c r="AF1620" s="6">
        <v>67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35</v>
      </c>
      <c r="BK1620" s="8">
        <v>3285.83</v>
      </c>
      <c r="BL1620" s="2" t="s">
        <v>5381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147</v>
      </c>
      <c r="BV1620" s="2" t="s">
        <v>97</v>
      </c>
      <c r="BW1620" s="2" t="s">
        <v>100</v>
      </c>
      <c r="BX1620" s="2" t="s">
        <v>100</v>
      </c>
      <c r="BY1620" s="2" t="s">
        <v>112</v>
      </c>
      <c r="BZ1620" s="2" t="s">
        <v>100</v>
      </c>
    </row>
    <row r="1621">
      <c r="A1621" s="2" t="s">
        <v>5429</v>
      </c>
      <c r="B1621" s="2" t="s">
        <v>87</v>
      </c>
      <c r="C1621" s="2" t="s">
        <v>5275</v>
      </c>
      <c r="D1621" s="2" t="s">
        <v>89</v>
      </c>
      <c r="E1621" s="2" t="s">
        <v>90</v>
      </c>
      <c r="F1621" s="2" t="s">
        <v>5425</v>
      </c>
      <c r="G1621" s="2" t="s">
        <v>5425</v>
      </c>
      <c r="H1621" s="2" t="s">
        <v>5425</v>
      </c>
      <c r="I1621" s="2" t="s">
        <v>5426</v>
      </c>
      <c r="J1621" s="2" t="s">
        <v>95</v>
      </c>
      <c r="K1621" s="2" t="s">
        <v>5427</v>
      </c>
      <c r="L1621" s="3">
        <v>96</v>
      </c>
      <c r="M1621" s="3">
        <v>100.8</v>
      </c>
      <c r="N1621" s="3">
        <v>199.99</v>
      </c>
      <c r="O1621" s="2" t="s">
        <v>97</v>
      </c>
      <c r="P1621" s="2" t="s">
        <v>98</v>
      </c>
      <c r="Q1621" s="2" t="s">
        <v>99</v>
      </c>
      <c r="R1621" s="2" t="s">
        <v>100</v>
      </c>
      <c r="S1621" s="2" t="s">
        <v>5428</v>
      </c>
      <c r="T1621" s="2" t="s">
        <v>732</v>
      </c>
      <c r="U1621" s="2" t="s">
        <v>490</v>
      </c>
      <c r="V1621" s="2" t="s">
        <v>906</v>
      </c>
      <c r="W1621" s="2" t="s">
        <v>906</v>
      </c>
      <c r="X1621" s="2" t="s">
        <v>100</v>
      </c>
      <c r="Y1621" s="2" t="s">
        <v>2988</v>
      </c>
      <c r="Z1621" s="4">
        <v>44</v>
      </c>
      <c r="AA1621" s="4">
        <f>=ROUNDDOWN(4.4,0)</f>
      </c>
      <c r="AB1621" s="5">
        <v>10</v>
      </c>
      <c r="AC1621" s="2" t="s">
        <v>2152</v>
      </c>
      <c r="AD1621" s="4">
        <v>188</v>
      </c>
      <c r="AE1621" s="4">
        <v>188</v>
      </c>
      <c r="AF1621" s="6">
        <v>67</v>
      </c>
      <c r="AG1621" s="6"/>
      <c r="AH1621" s="7">
        <v>0.4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>
        <v>106</v>
      </c>
      <c r="BK1621" s="8">
        <v>11016.41</v>
      </c>
      <c r="BL1621" s="2" t="s">
        <v>5383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147</v>
      </c>
      <c r="BV1621" s="2" t="s">
        <v>97</v>
      </c>
      <c r="BW1621" s="2" t="s">
        <v>100</v>
      </c>
      <c r="BX1621" s="2" t="s">
        <v>100</v>
      </c>
      <c r="BY1621" s="2" t="s">
        <v>112</v>
      </c>
      <c r="BZ1621" s="2" t="s">
        <v>100</v>
      </c>
    </row>
    <row r="1622">
      <c r="A1622" s="2" t="s">
        <v>5430</v>
      </c>
      <c r="B1622" s="2" t="s">
        <v>87</v>
      </c>
      <c r="C1622" s="2" t="s">
        <v>5275</v>
      </c>
      <c r="D1622" s="2" t="s">
        <v>89</v>
      </c>
      <c r="E1622" s="2" t="s">
        <v>90</v>
      </c>
      <c r="F1622" s="2" t="s">
        <v>5425</v>
      </c>
      <c r="G1622" s="2" t="s">
        <v>5425</v>
      </c>
      <c r="H1622" s="2" t="s">
        <v>5425</v>
      </c>
      <c r="I1622" s="2" t="s">
        <v>5426</v>
      </c>
      <c r="J1622" s="2" t="s">
        <v>114</v>
      </c>
      <c r="K1622" s="2" t="s">
        <v>5427</v>
      </c>
      <c r="L1622" s="3">
        <v>105.6</v>
      </c>
      <c r="M1622" s="3">
        <v>110.88</v>
      </c>
      <c r="N1622" s="3">
        <v>219.99</v>
      </c>
      <c r="O1622" s="2" t="s">
        <v>97</v>
      </c>
      <c r="P1622" s="2" t="s">
        <v>98</v>
      </c>
      <c r="Q1622" s="2" t="s">
        <v>99</v>
      </c>
      <c r="R1622" s="2" t="s">
        <v>100</v>
      </c>
      <c r="S1622" s="2" t="s">
        <v>5428</v>
      </c>
      <c r="T1622" s="2" t="s">
        <v>732</v>
      </c>
      <c r="U1622" s="2" t="s">
        <v>490</v>
      </c>
      <c r="V1622" s="2" t="s">
        <v>906</v>
      </c>
      <c r="W1622" s="2" t="s">
        <v>906</v>
      </c>
      <c r="X1622" s="2" t="s">
        <v>100</v>
      </c>
      <c r="Y1622" s="2" t="s">
        <v>2988</v>
      </c>
      <c r="Z1622" s="4">
        <v>104</v>
      </c>
      <c r="AA1622" s="4">
        <f>=ROUNDDOWN(13,0)</f>
      </c>
      <c r="AB1622" s="5">
        <v>8</v>
      </c>
      <c r="AC1622" s="2" t="s">
        <v>2152</v>
      </c>
      <c r="AD1622" s="4">
        <v>111</v>
      </c>
      <c r="AE1622" s="4">
        <v>111</v>
      </c>
      <c r="AF1622" s="6">
        <v>67</v>
      </c>
      <c r="AG1622" s="6"/>
      <c r="AH1622" s="7">
        <v>0.2788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>
        <v>81</v>
      </c>
      <c r="BK1622" s="8">
        <v>9313.83</v>
      </c>
      <c r="BL1622" s="2" t="s">
        <v>5431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147</v>
      </c>
      <c r="BV1622" s="2" t="s">
        <v>97</v>
      </c>
      <c r="BW1622" s="2" t="s">
        <v>100</v>
      </c>
      <c r="BX1622" s="2" t="s">
        <v>100</v>
      </c>
      <c r="BY1622" s="2" t="s">
        <v>112</v>
      </c>
      <c r="BZ1622" s="2" t="s">
        <v>100</v>
      </c>
    </row>
    <row r="1623">
      <c r="A1623" s="2" t="s">
        <v>5432</v>
      </c>
      <c r="B1623" s="2" t="s">
        <v>87</v>
      </c>
      <c r="C1623" s="2" t="s">
        <v>5275</v>
      </c>
      <c r="D1623" s="2" t="s">
        <v>89</v>
      </c>
      <c r="E1623" s="2" t="s">
        <v>90</v>
      </c>
      <c r="F1623" s="2" t="s">
        <v>5425</v>
      </c>
      <c r="G1623" s="2" t="s">
        <v>5425</v>
      </c>
      <c r="H1623" s="2" t="s">
        <v>5425</v>
      </c>
      <c r="I1623" s="2" t="s">
        <v>5426</v>
      </c>
      <c r="J1623" s="2" t="s">
        <v>118</v>
      </c>
      <c r="K1623" s="2" t="s">
        <v>5427</v>
      </c>
      <c r="L1623" s="3">
        <v>105.6</v>
      </c>
      <c r="M1623" s="3">
        <v>110.88</v>
      </c>
      <c r="N1623" s="3">
        <v>219.99</v>
      </c>
      <c r="O1623" s="2" t="s">
        <v>97</v>
      </c>
      <c r="P1623" s="2" t="s">
        <v>98</v>
      </c>
      <c r="Q1623" s="2" t="s">
        <v>99</v>
      </c>
      <c r="R1623" s="2" t="s">
        <v>100</v>
      </c>
      <c r="S1623" s="2" t="s">
        <v>5428</v>
      </c>
      <c r="T1623" s="2" t="s">
        <v>732</v>
      </c>
      <c r="U1623" s="2" t="s">
        <v>490</v>
      </c>
      <c r="V1623" s="2" t="s">
        <v>906</v>
      </c>
      <c r="W1623" s="2" t="s">
        <v>906</v>
      </c>
      <c r="X1623" s="2" t="s">
        <v>100</v>
      </c>
      <c r="Y1623" s="2" t="s">
        <v>2988</v>
      </c>
      <c r="Z1623" s="4">
        <v>14</v>
      </c>
      <c r="AA1623" s="4">
        <f>=ROUNDDOWN(4.66666666666667,0)</f>
      </c>
      <c r="AB1623" s="5">
        <v>3</v>
      </c>
      <c r="AC1623" s="2" t="s">
        <v>2152</v>
      </c>
      <c r="AD1623" s="4">
        <v>80</v>
      </c>
      <c r="AE1623" s="4">
        <v>80</v>
      </c>
      <c r="AF1623" s="6">
        <v>67</v>
      </c>
      <c r="AG1623" s="6"/>
      <c r="AH1623" s="7">
        <v>0.3394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>
        <v>40</v>
      </c>
      <c r="BK1623" s="8">
        <v>4624.2</v>
      </c>
      <c r="BL1623" s="2" t="s">
        <v>5383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147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5433</v>
      </c>
      <c r="B1624" s="2" t="s">
        <v>87</v>
      </c>
      <c r="C1624" s="2" t="s">
        <v>5275</v>
      </c>
      <c r="D1624" s="2" t="s">
        <v>89</v>
      </c>
      <c r="E1624" s="2" t="s">
        <v>90</v>
      </c>
      <c r="F1624" s="2" t="s">
        <v>5434</v>
      </c>
      <c r="G1624" s="2" t="s">
        <v>100</v>
      </c>
      <c r="H1624" s="2" t="s">
        <v>100</v>
      </c>
      <c r="I1624" s="2" t="s">
        <v>5435</v>
      </c>
      <c r="J1624" s="2" t="s">
        <v>844</v>
      </c>
      <c r="K1624" s="2" t="s">
        <v>635</v>
      </c>
      <c r="L1624" s="3">
        <v>125</v>
      </c>
      <c r="M1624" s="3">
        <v>131.24</v>
      </c>
      <c r="N1624" s="3">
        <v>259.99</v>
      </c>
      <c r="O1624" s="2" t="s">
        <v>97</v>
      </c>
      <c r="P1624" s="2" t="s">
        <v>182</v>
      </c>
      <c r="Q1624" s="2" t="s">
        <v>99</v>
      </c>
      <c r="R1624" s="2" t="s">
        <v>100</v>
      </c>
      <c r="S1624" s="2" t="s">
        <v>5436</v>
      </c>
      <c r="T1624" s="2" t="s">
        <v>100</v>
      </c>
      <c r="U1624" s="2" t="s">
        <v>100</v>
      </c>
      <c r="V1624" s="2" t="s">
        <v>455</v>
      </c>
      <c r="W1624" s="2" t="s">
        <v>808</v>
      </c>
      <c r="X1624" s="2" t="s">
        <v>405</v>
      </c>
      <c r="Y1624" s="2" t="s">
        <v>106</v>
      </c>
      <c r="Z1624" s="4">
        <v>68</v>
      </c>
      <c r="AA1624" s="4">
        <f>=ROUNDDOWN(17,0)</f>
      </c>
      <c r="AB1624" s="5">
        <v>4</v>
      </c>
      <c r="AC1624" s="2" t="s">
        <v>100</v>
      </c>
      <c r="AD1624" s="4"/>
      <c r="AE1624" s="4"/>
      <c r="AF1624" s="6">
        <v>69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60</v>
      </c>
      <c r="BK1624" s="8">
        <v>8267.38</v>
      </c>
      <c r="BL1624" s="2" t="s">
        <v>5437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109</v>
      </c>
      <c r="BV1624" s="2" t="s">
        <v>97</v>
      </c>
      <c r="BW1624" s="2" t="s">
        <v>580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5438</v>
      </c>
      <c r="B1625" s="2" t="s">
        <v>87</v>
      </c>
      <c r="C1625" s="2" t="s">
        <v>5275</v>
      </c>
      <c r="D1625" s="2" t="s">
        <v>89</v>
      </c>
      <c r="E1625" s="2" t="s">
        <v>90</v>
      </c>
      <c r="F1625" s="2" t="s">
        <v>5434</v>
      </c>
      <c r="G1625" s="2" t="s">
        <v>100</v>
      </c>
      <c r="H1625" s="2" t="s">
        <v>100</v>
      </c>
      <c r="I1625" s="2" t="s">
        <v>5435</v>
      </c>
      <c r="J1625" s="2" t="s">
        <v>114</v>
      </c>
      <c r="K1625" s="2" t="s">
        <v>635</v>
      </c>
      <c r="L1625" s="3">
        <v>135</v>
      </c>
      <c r="M1625" s="3">
        <v>141.74</v>
      </c>
      <c r="N1625" s="3">
        <v>279.99</v>
      </c>
      <c r="O1625" s="2" t="s">
        <v>97</v>
      </c>
      <c r="P1625" s="2" t="s">
        <v>182</v>
      </c>
      <c r="Q1625" s="2" t="s">
        <v>99</v>
      </c>
      <c r="R1625" s="2" t="s">
        <v>100</v>
      </c>
      <c r="S1625" s="2" t="s">
        <v>5436</v>
      </c>
      <c r="T1625" s="2" t="s">
        <v>100</v>
      </c>
      <c r="U1625" s="2" t="s">
        <v>100</v>
      </c>
      <c r="V1625" s="2" t="s">
        <v>455</v>
      </c>
      <c r="W1625" s="2" t="s">
        <v>808</v>
      </c>
      <c r="X1625" s="2" t="s">
        <v>405</v>
      </c>
      <c r="Y1625" s="2" t="s">
        <v>106</v>
      </c>
      <c r="Z1625" s="4">
        <v>72</v>
      </c>
      <c r="AA1625" s="4">
        <f>=ROUNDDOWN(10.2857142857143,0)</f>
      </c>
      <c r="AB1625" s="5">
        <v>7</v>
      </c>
      <c r="AC1625" s="2" t="s">
        <v>126</v>
      </c>
      <c r="AD1625" s="4">
        <v>113</v>
      </c>
      <c r="AE1625" s="4">
        <v>226</v>
      </c>
      <c r="AF1625" s="6">
        <v>69</v>
      </c>
      <c r="AG1625" s="6"/>
      <c r="AH1625" s="7">
        <v>0.8121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104</v>
      </c>
      <c r="BK1625" s="8">
        <v>14950.07</v>
      </c>
      <c r="BL1625" s="2" t="s">
        <v>5439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109</v>
      </c>
      <c r="BV1625" s="2" t="s">
        <v>97</v>
      </c>
      <c r="BW1625" s="2" t="s">
        <v>580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5440</v>
      </c>
      <c r="B1626" s="2" t="s">
        <v>87</v>
      </c>
      <c r="C1626" s="2" t="s">
        <v>5275</v>
      </c>
      <c r="D1626" s="2" t="s">
        <v>89</v>
      </c>
      <c r="E1626" s="2" t="s">
        <v>90</v>
      </c>
      <c r="F1626" s="2" t="s">
        <v>5434</v>
      </c>
      <c r="G1626" s="2" t="s">
        <v>100</v>
      </c>
      <c r="H1626" s="2" t="s">
        <v>100</v>
      </c>
      <c r="I1626" s="2" t="s">
        <v>4910</v>
      </c>
      <c r="J1626" s="2" t="s">
        <v>844</v>
      </c>
      <c r="K1626" s="2" t="s">
        <v>622</v>
      </c>
      <c r="L1626" s="3">
        <v>125</v>
      </c>
      <c r="M1626" s="3">
        <v>131.24</v>
      </c>
      <c r="N1626" s="3">
        <v>259.99</v>
      </c>
      <c r="O1626" s="2" t="s">
        <v>97</v>
      </c>
      <c r="P1626" s="2" t="s">
        <v>182</v>
      </c>
      <c r="Q1626" s="2" t="s">
        <v>99</v>
      </c>
      <c r="R1626" s="2" t="s">
        <v>100</v>
      </c>
      <c r="S1626" s="2" t="s">
        <v>5441</v>
      </c>
      <c r="T1626" s="2" t="s">
        <v>100</v>
      </c>
      <c r="U1626" s="2" t="s">
        <v>100</v>
      </c>
      <c r="V1626" s="2" t="s">
        <v>455</v>
      </c>
      <c r="W1626" s="2" t="s">
        <v>808</v>
      </c>
      <c r="X1626" s="2" t="s">
        <v>733</v>
      </c>
      <c r="Y1626" s="2" t="s">
        <v>5442</v>
      </c>
      <c r="Z1626" s="4">
        <v>74</v>
      </c>
      <c r="AA1626" s="4">
        <f>=ROUNDDOWN(18.5,0)</f>
      </c>
      <c r="AB1626" s="5">
        <v>4</v>
      </c>
      <c r="AC1626" s="2" t="s">
        <v>766</v>
      </c>
      <c r="AD1626" s="4">
        <v>35</v>
      </c>
      <c r="AE1626" s="4">
        <v>35</v>
      </c>
      <c r="AF1626" s="6">
        <v>69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60</v>
      </c>
      <c r="BK1626" s="8">
        <v>7942.06</v>
      </c>
      <c r="BL1626" s="2" t="s">
        <v>5443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109</v>
      </c>
      <c r="BV1626" s="2" t="s">
        <v>97</v>
      </c>
      <c r="BW1626" s="2" t="s">
        <v>580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5444</v>
      </c>
      <c r="B1627" s="2" t="s">
        <v>87</v>
      </c>
      <c r="C1627" s="2" t="s">
        <v>5275</v>
      </c>
      <c r="D1627" s="2" t="s">
        <v>89</v>
      </c>
      <c r="E1627" s="2" t="s">
        <v>90</v>
      </c>
      <c r="F1627" s="2" t="s">
        <v>5434</v>
      </c>
      <c r="G1627" s="2" t="s">
        <v>100</v>
      </c>
      <c r="H1627" s="2" t="s">
        <v>100</v>
      </c>
      <c r="I1627" s="2" t="s">
        <v>4910</v>
      </c>
      <c r="J1627" s="2" t="s">
        <v>114</v>
      </c>
      <c r="K1627" s="2" t="s">
        <v>622</v>
      </c>
      <c r="L1627" s="3">
        <v>135</v>
      </c>
      <c r="M1627" s="3">
        <v>141.74</v>
      </c>
      <c r="N1627" s="3">
        <v>279.99</v>
      </c>
      <c r="O1627" s="2" t="s">
        <v>97</v>
      </c>
      <c r="P1627" s="2" t="s">
        <v>182</v>
      </c>
      <c r="Q1627" s="2" t="s">
        <v>99</v>
      </c>
      <c r="R1627" s="2" t="s">
        <v>100</v>
      </c>
      <c r="S1627" s="2" t="s">
        <v>5441</v>
      </c>
      <c r="T1627" s="2" t="s">
        <v>100</v>
      </c>
      <c r="U1627" s="2" t="s">
        <v>100</v>
      </c>
      <c r="V1627" s="2" t="s">
        <v>455</v>
      </c>
      <c r="W1627" s="2" t="s">
        <v>808</v>
      </c>
      <c r="X1627" s="2" t="s">
        <v>733</v>
      </c>
      <c r="Y1627" s="2" t="s">
        <v>5442</v>
      </c>
      <c r="Z1627" s="4">
        <v>189</v>
      </c>
      <c r="AA1627" s="4">
        <f>=ROUNDDOWN(18.9,0)</f>
      </c>
      <c r="AB1627" s="5">
        <v>10</v>
      </c>
      <c r="AC1627" s="2" t="s">
        <v>766</v>
      </c>
      <c r="AD1627" s="4">
        <v>140</v>
      </c>
      <c r="AE1627" s="4">
        <v>140</v>
      </c>
      <c r="AF1627" s="6">
        <v>69</v>
      </c>
      <c r="AG1627" s="6"/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146</v>
      </c>
      <c r="BK1627" s="8">
        <v>21122.2</v>
      </c>
      <c r="BL1627" s="2" t="s">
        <v>5445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109</v>
      </c>
      <c r="BV1627" s="2" t="s">
        <v>97</v>
      </c>
      <c r="BW1627" s="2" t="s">
        <v>580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5446</v>
      </c>
      <c r="B1628" s="2" t="s">
        <v>87</v>
      </c>
      <c r="C1628" s="2" t="s">
        <v>5275</v>
      </c>
      <c r="D1628" s="2" t="s">
        <v>3234</v>
      </c>
      <c r="E1628" s="2" t="s">
        <v>3235</v>
      </c>
      <c r="F1628" s="2" t="s">
        <v>5325</v>
      </c>
      <c r="G1628" s="2" t="s">
        <v>5325</v>
      </c>
      <c r="H1628" s="2" t="s">
        <v>5325</v>
      </c>
      <c r="I1628" s="2" t="s">
        <v>5447</v>
      </c>
      <c r="J1628" s="2" t="s">
        <v>844</v>
      </c>
      <c r="K1628" s="2" t="s">
        <v>622</v>
      </c>
      <c r="L1628" s="3">
        <v>85</v>
      </c>
      <c r="M1628" s="3">
        <v>89.24</v>
      </c>
      <c r="N1628" s="3">
        <v>179.99</v>
      </c>
      <c r="O1628" s="2" t="s">
        <v>97</v>
      </c>
      <c r="P1628" s="2" t="s">
        <v>124</v>
      </c>
      <c r="Q1628" s="2" t="s">
        <v>99</v>
      </c>
      <c r="R1628" s="2" t="s">
        <v>100</v>
      </c>
      <c r="S1628" s="2" t="s">
        <v>5327</v>
      </c>
      <c r="T1628" s="2" t="s">
        <v>100</v>
      </c>
      <c r="U1628" s="2" t="s">
        <v>100</v>
      </c>
      <c r="V1628" s="2" t="s">
        <v>561</v>
      </c>
      <c r="W1628" s="2" t="s">
        <v>808</v>
      </c>
      <c r="X1628" s="2" t="s">
        <v>906</v>
      </c>
      <c r="Y1628" s="2" t="s">
        <v>5315</v>
      </c>
      <c r="Z1628" s="4">
        <v>68</v>
      </c>
      <c r="AA1628" s="4">
        <f>=ROUNDDOWN(9.71428571428571,0)</f>
      </c>
      <c r="AB1628" s="5">
        <v>7</v>
      </c>
      <c r="AC1628" s="2" t="s">
        <v>126</v>
      </c>
      <c r="AD1628" s="4">
        <v>107</v>
      </c>
      <c r="AE1628" s="4">
        <v>149</v>
      </c>
      <c r="AF1628" s="6">
        <v>69</v>
      </c>
      <c r="AG1628" s="6"/>
      <c r="AH1628" s="7">
        <v>0.9758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>
        <v>3</v>
      </c>
      <c r="AW1628" s="8">
        <v>299.25</v>
      </c>
      <c r="AX1628" s="4">
        <v>2</v>
      </c>
      <c r="AY1628" s="8">
        <v>199.5</v>
      </c>
      <c r="AZ1628" s="7">
        <v>0.5</v>
      </c>
      <c r="BA1628" s="7">
        <v>0.5</v>
      </c>
      <c r="BB1628" s="7"/>
      <c r="BC1628" s="4">
        <v>3</v>
      </c>
      <c r="BD1628" s="8">
        <v>299.25</v>
      </c>
      <c r="BE1628" s="4">
        <v>2</v>
      </c>
      <c r="BF1628" s="8">
        <v>199.5</v>
      </c>
      <c r="BG1628" s="7">
        <v>0.5</v>
      </c>
      <c r="BH1628" s="7">
        <v>0.5</v>
      </c>
      <c r="BI1628" s="7">
        <v>1</v>
      </c>
      <c r="BJ1628" s="4">
        <v>118</v>
      </c>
      <c r="BK1628" s="8">
        <v>10531.66</v>
      </c>
      <c r="BL1628" s="2" t="s">
        <v>4579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109</v>
      </c>
      <c r="BV1628" s="2" t="s">
        <v>97</v>
      </c>
      <c r="BW1628" s="2" t="s">
        <v>110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5448</v>
      </c>
      <c r="B1629" s="2" t="s">
        <v>87</v>
      </c>
      <c r="C1629" s="2" t="s">
        <v>5275</v>
      </c>
      <c r="D1629" s="2" t="s">
        <v>3234</v>
      </c>
      <c r="E1629" s="2" t="s">
        <v>3235</v>
      </c>
      <c r="F1629" s="2" t="s">
        <v>5325</v>
      </c>
      <c r="G1629" s="2" t="s">
        <v>5325</v>
      </c>
      <c r="H1629" s="2" t="s">
        <v>5325</v>
      </c>
      <c r="I1629" s="2" t="s">
        <v>5447</v>
      </c>
      <c r="J1629" s="2" t="s">
        <v>114</v>
      </c>
      <c r="K1629" s="2" t="s">
        <v>622</v>
      </c>
      <c r="L1629" s="3">
        <v>95</v>
      </c>
      <c r="M1629" s="3">
        <v>99.74</v>
      </c>
      <c r="N1629" s="3">
        <v>199.99</v>
      </c>
      <c r="O1629" s="2" t="s">
        <v>97</v>
      </c>
      <c r="P1629" s="2" t="s">
        <v>124</v>
      </c>
      <c r="Q1629" s="2" t="s">
        <v>99</v>
      </c>
      <c r="R1629" s="2" t="s">
        <v>100</v>
      </c>
      <c r="S1629" s="2" t="s">
        <v>5327</v>
      </c>
      <c r="T1629" s="2" t="s">
        <v>100</v>
      </c>
      <c r="U1629" s="2" t="s">
        <v>100</v>
      </c>
      <c r="V1629" s="2" t="s">
        <v>561</v>
      </c>
      <c r="W1629" s="2" t="s">
        <v>808</v>
      </c>
      <c r="X1629" s="2" t="s">
        <v>906</v>
      </c>
      <c r="Y1629" s="2" t="s">
        <v>5315</v>
      </c>
      <c r="Z1629" s="4">
        <v>59</v>
      </c>
      <c r="AA1629" s="4">
        <f>=ROUNDDOWN(6.55555555555556,0)</f>
      </c>
      <c r="AB1629" s="5">
        <v>9</v>
      </c>
      <c r="AC1629" s="2" t="s">
        <v>126</v>
      </c>
      <c r="AD1629" s="4">
        <v>72</v>
      </c>
      <c r="AE1629" s="4">
        <v>122</v>
      </c>
      <c r="AF1629" s="6">
        <v>69</v>
      </c>
      <c r="AG1629" s="6"/>
      <c r="AH1629" s="7">
        <v>0.7697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>
        <v>0</v>
      </c>
      <c r="AP1629" s="4">
        <v>3</v>
      </c>
      <c r="AQ1629" s="8">
        <v>299.25</v>
      </c>
      <c r="AR1629" s="4">
        <v>2</v>
      </c>
      <c r="AS1629" s="8">
        <v>199.5</v>
      </c>
      <c r="AT1629" s="7">
        <v>0.5</v>
      </c>
      <c r="AU1629" s="7">
        <v>0.5</v>
      </c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>
        <v>1</v>
      </c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 t="s">
        <v>100</v>
      </c>
      <c r="BJ1629" s="4">
        <v>176</v>
      </c>
      <c r="BK1629" s="8">
        <v>17676.92</v>
      </c>
      <c r="BL1629" s="2" t="s">
        <v>5449</v>
      </c>
      <c r="BM1629" s="7">
        <v>0.017</v>
      </c>
      <c r="BN1629" s="7">
        <v>0.0169</v>
      </c>
      <c r="BO1629" s="4">
        <v>3</v>
      </c>
      <c r="BP1629" s="8">
        <v>299.25</v>
      </c>
      <c r="BQ1629" s="4">
        <v>2</v>
      </c>
      <c r="BR1629" s="8">
        <v>199.5</v>
      </c>
      <c r="BS1629" s="7">
        <v>0.5</v>
      </c>
      <c r="BT1629" s="7">
        <v>0.5</v>
      </c>
      <c r="BU1629" s="2" t="s">
        <v>109</v>
      </c>
      <c r="BV1629" s="2" t="s">
        <v>97</v>
      </c>
      <c r="BW1629" s="2" t="s">
        <v>110</v>
      </c>
      <c r="BX1629" s="2" t="s">
        <v>4720</v>
      </c>
      <c r="BY1629" s="2" t="s">
        <v>112</v>
      </c>
      <c r="BZ1629" s="2" t="s">
        <v>100</v>
      </c>
    </row>
    <row r="1630">
      <c r="A1630" s="2" t="s">
        <v>5450</v>
      </c>
      <c r="B1630" s="2" t="s">
        <v>87</v>
      </c>
      <c r="C1630" s="2" t="s">
        <v>5275</v>
      </c>
      <c r="D1630" s="2" t="s">
        <v>3234</v>
      </c>
      <c r="E1630" s="2" t="s">
        <v>3235</v>
      </c>
      <c r="F1630" s="2" t="s">
        <v>5312</v>
      </c>
      <c r="G1630" s="2" t="s">
        <v>5312</v>
      </c>
      <c r="H1630" s="2" t="s">
        <v>5312</v>
      </c>
      <c r="I1630" s="2" t="s">
        <v>5451</v>
      </c>
      <c r="J1630" s="2" t="s">
        <v>844</v>
      </c>
      <c r="K1630" s="2" t="s">
        <v>333</v>
      </c>
      <c r="L1630" s="3">
        <v>75</v>
      </c>
      <c r="M1630" s="3">
        <v>78.74</v>
      </c>
      <c r="N1630" s="3">
        <v>159.99</v>
      </c>
      <c r="O1630" s="2" t="s">
        <v>97</v>
      </c>
      <c r="P1630" s="2" t="s">
        <v>98</v>
      </c>
      <c r="Q1630" s="2" t="s">
        <v>99</v>
      </c>
      <c r="R1630" s="2" t="s">
        <v>100</v>
      </c>
      <c r="S1630" s="2" t="s">
        <v>5314</v>
      </c>
      <c r="T1630" s="2" t="s">
        <v>100</v>
      </c>
      <c r="U1630" s="2" t="s">
        <v>100</v>
      </c>
      <c r="V1630" s="2" t="s">
        <v>404</v>
      </c>
      <c r="W1630" s="2" t="s">
        <v>405</v>
      </c>
      <c r="X1630" s="2" t="s">
        <v>808</v>
      </c>
      <c r="Y1630" s="2" t="s">
        <v>5315</v>
      </c>
      <c r="Z1630" s="4">
        <v>57</v>
      </c>
      <c r="AA1630" s="4">
        <f>=ROUNDDOWN(19,0)</f>
      </c>
      <c r="AB1630" s="5">
        <v>3</v>
      </c>
      <c r="AC1630" s="2" t="s">
        <v>1328</v>
      </c>
      <c r="AD1630" s="4">
        <v>43</v>
      </c>
      <c r="AE1630" s="4">
        <v>43</v>
      </c>
      <c r="AF1630" s="6">
        <v>66</v>
      </c>
      <c r="AG1630" s="6"/>
      <c r="AH1630" s="7">
        <v>0.8061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>
        <v>0</v>
      </c>
      <c r="AP1630" s="4">
        <v>2</v>
      </c>
      <c r="AQ1630" s="8">
        <v>157.5</v>
      </c>
      <c r="AR1630" s="4"/>
      <c r="AS1630" s="8"/>
      <c r="AT1630" s="7"/>
      <c r="AU1630" s="7"/>
      <c r="AV1630" s="4">
        <v>2</v>
      </c>
      <c r="AW1630" s="8">
        <v>157.5</v>
      </c>
      <c r="AX1630" s="4">
        <v>1</v>
      </c>
      <c r="AY1630" s="8">
        <v>89.25</v>
      </c>
      <c r="AZ1630" s="7">
        <v>1</v>
      </c>
      <c r="BA1630" s="7">
        <v>0.7647</v>
      </c>
      <c r="BB1630" s="7">
        <v>1</v>
      </c>
      <c r="BC1630" s="4">
        <v>2</v>
      </c>
      <c r="BD1630" s="8">
        <v>157.5</v>
      </c>
      <c r="BE1630" s="4">
        <v>1</v>
      </c>
      <c r="BF1630" s="8">
        <v>89.25</v>
      </c>
      <c r="BG1630" s="7">
        <v>1</v>
      </c>
      <c r="BH1630" s="7">
        <v>0.7647</v>
      </c>
      <c r="BI1630" s="7">
        <v>1</v>
      </c>
      <c r="BJ1630" s="4">
        <v>35</v>
      </c>
      <c r="BK1630" s="8">
        <v>2829.45</v>
      </c>
      <c r="BL1630" s="2" t="s">
        <v>4486</v>
      </c>
      <c r="BM1630" s="7">
        <v>0.0571</v>
      </c>
      <c r="BN1630" s="7">
        <v>0.0557</v>
      </c>
      <c r="BO1630" s="4">
        <v>2</v>
      </c>
      <c r="BP1630" s="8">
        <v>157.5</v>
      </c>
      <c r="BQ1630" s="4"/>
      <c r="BR1630" s="8"/>
      <c r="BS1630" s="7"/>
      <c r="BT1630" s="7"/>
      <c r="BU1630" s="2" t="s">
        <v>109</v>
      </c>
      <c r="BV1630" s="2" t="s">
        <v>97</v>
      </c>
      <c r="BW1630" s="2" t="s">
        <v>110</v>
      </c>
      <c r="BX1630" s="2" t="s">
        <v>3874</v>
      </c>
      <c r="BY1630" s="2" t="s">
        <v>112</v>
      </c>
      <c r="BZ1630" s="2" t="s">
        <v>100</v>
      </c>
    </row>
    <row r="1631">
      <c r="A1631" s="2" t="s">
        <v>5452</v>
      </c>
      <c r="B1631" s="2" t="s">
        <v>87</v>
      </c>
      <c r="C1631" s="2" t="s">
        <v>5275</v>
      </c>
      <c r="D1631" s="2" t="s">
        <v>3234</v>
      </c>
      <c r="E1631" s="2" t="s">
        <v>3235</v>
      </c>
      <c r="F1631" s="2" t="s">
        <v>5312</v>
      </c>
      <c r="G1631" s="2" t="s">
        <v>5312</v>
      </c>
      <c r="H1631" s="2" t="s">
        <v>5312</v>
      </c>
      <c r="I1631" s="2" t="s">
        <v>5451</v>
      </c>
      <c r="J1631" s="2" t="s">
        <v>114</v>
      </c>
      <c r="K1631" s="2" t="s">
        <v>333</v>
      </c>
      <c r="L1631" s="3">
        <v>85</v>
      </c>
      <c r="M1631" s="3">
        <v>89.24</v>
      </c>
      <c r="N1631" s="3">
        <v>179.99</v>
      </c>
      <c r="O1631" s="2" t="s">
        <v>97</v>
      </c>
      <c r="P1631" s="2" t="s">
        <v>98</v>
      </c>
      <c r="Q1631" s="2" t="s">
        <v>99</v>
      </c>
      <c r="R1631" s="2" t="s">
        <v>100</v>
      </c>
      <c r="S1631" s="2" t="s">
        <v>5314</v>
      </c>
      <c r="T1631" s="2" t="s">
        <v>100</v>
      </c>
      <c r="U1631" s="2" t="s">
        <v>100</v>
      </c>
      <c r="V1631" s="2" t="s">
        <v>404</v>
      </c>
      <c r="W1631" s="2" t="s">
        <v>405</v>
      </c>
      <c r="X1631" s="2" t="s">
        <v>808</v>
      </c>
      <c r="Y1631" s="2" t="s">
        <v>5315</v>
      </c>
      <c r="Z1631" s="4">
        <v>111</v>
      </c>
      <c r="AA1631" s="4">
        <f>=ROUNDDOWN(37,0)</f>
      </c>
      <c r="AB1631" s="5">
        <v>3</v>
      </c>
      <c r="AC1631" s="2" t="s">
        <v>1328</v>
      </c>
      <c r="AD1631" s="4">
        <v>28</v>
      </c>
      <c r="AE1631" s="4">
        <v>28</v>
      </c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100</v>
      </c>
      <c r="AM1631" s="4"/>
      <c r="AN1631" s="4"/>
      <c r="AO1631" s="7">
        <v>0</v>
      </c>
      <c r="AP1631" s="4"/>
      <c r="AQ1631" s="8"/>
      <c r="AR1631" s="4">
        <v>1</v>
      </c>
      <c r="AS1631" s="8">
        <v>89.25</v>
      </c>
      <c r="AT1631" s="7">
        <v>-1</v>
      </c>
      <c r="AU1631" s="7">
        <v>-1</v>
      </c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 t="s">
        <v>100</v>
      </c>
      <c r="BJ1631" s="4">
        <v>65</v>
      </c>
      <c r="BK1631" s="8">
        <v>5881.02</v>
      </c>
      <c r="BL1631" s="2" t="s">
        <v>5453</v>
      </c>
      <c r="BM1631" s="7"/>
      <c r="BN1631" s="7"/>
      <c r="BO1631" s="4"/>
      <c r="BP1631" s="8"/>
      <c r="BQ1631" s="4">
        <v>1</v>
      </c>
      <c r="BR1631" s="8">
        <v>89.25</v>
      </c>
      <c r="BS1631" s="7">
        <v>-1</v>
      </c>
      <c r="BT1631" s="7">
        <v>-1</v>
      </c>
      <c r="BU1631" s="2" t="s">
        <v>109</v>
      </c>
      <c r="BV1631" s="2" t="s">
        <v>97</v>
      </c>
      <c r="BW1631" s="2" t="s">
        <v>110</v>
      </c>
      <c r="BX1631" s="2" t="s">
        <v>5454</v>
      </c>
      <c r="BY1631" s="2" t="s">
        <v>112</v>
      </c>
      <c r="BZ1631" s="2" t="s">
        <v>100</v>
      </c>
    </row>
    <row r="1632">
      <c r="A1632" s="2" t="s">
        <v>5455</v>
      </c>
      <c r="B1632" s="2" t="s">
        <v>87</v>
      </c>
      <c r="C1632" s="2" t="s">
        <v>5275</v>
      </c>
      <c r="D1632" s="2" t="s">
        <v>3234</v>
      </c>
      <c r="E1632" s="2" t="s">
        <v>3235</v>
      </c>
      <c r="F1632" s="2" t="s">
        <v>5276</v>
      </c>
      <c r="G1632" s="2" t="s">
        <v>5276</v>
      </c>
      <c r="H1632" s="2" t="s">
        <v>5276</v>
      </c>
      <c r="I1632" s="2" t="s">
        <v>5456</v>
      </c>
      <c r="J1632" s="2" t="s">
        <v>844</v>
      </c>
      <c r="K1632" s="2" t="s">
        <v>1767</v>
      </c>
      <c r="L1632" s="3">
        <v>75</v>
      </c>
      <c r="M1632" s="3">
        <v>78.74</v>
      </c>
      <c r="N1632" s="3">
        <v>159.99</v>
      </c>
      <c r="O1632" s="2" t="s">
        <v>97</v>
      </c>
      <c r="P1632" s="2" t="s">
        <v>98</v>
      </c>
      <c r="Q1632" s="2" t="s">
        <v>99</v>
      </c>
      <c r="R1632" s="2" t="s">
        <v>100</v>
      </c>
      <c r="S1632" s="2" t="s">
        <v>5278</v>
      </c>
      <c r="T1632" s="2" t="s">
        <v>100</v>
      </c>
      <c r="U1632" s="2" t="s">
        <v>100</v>
      </c>
      <c r="V1632" s="2" t="s">
        <v>1275</v>
      </c>
      <c r="W1632" s="2" t="s">
        <v>906</v>
      </c>
      <c r="X1632" s="2" t="s">
        <v>808</v>
      </c>
      <c r="Y1632" s="2" t="s">
        <v>106</v>
      </c>
      <c r="Z1632" s="4">
        <v>20</v>
      </c>
      <c r="AA1632" s="4">
        <f>=ROUNDDOWN(10,0)</f>
      </c>
      <c r="AB1632" s="5">
        <v>2</v>
      </c>
      <c r="AC1632" s="2" t="s">
        <v>1328</v>
      </c>
      <c r="AD1632" s="4">
        <v>10</v>
      </c>
      <c r="AE1632" s="4">
        <v>10</v>
      </c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100</v>
      </c>
      <c r="AM1632" s="4"/>
      <c r="AN1632" s="4"/>
      <c r="AO1632" s="7">
        <v>0</v>
      </c>
      <c r="AP1632" s="4">
        <v>1</v>
      </c>
      <c r="AQ1632" s="8">
        <v>78.75</v>
      </c>
      <c r="AR1632" s="4"/>
      <c r="AS1632" s="8"/>
      <c r="AT1632" s="7"/>
      <c r="AU1632" s="7"/>
      <c r="AV1632" s="4">
        <v>1</v>
      </c>
      <c r="AW1632" s="8">
        <v>78.75</v>
      </c>
      <c r="AX1632" s="4">
        <v>1</v>
      </c>
      <c r="AY1632" s="8">
        <v>89.25</v>
      </c>
      <c r="AZ1632" s="7" t="s">
        <v>100</v>
      </c>
      <c r="BA1632" s="7">
        <v>-0.1176</v>
      </c>
      <c r="BB1632" s="7">
        <v>1</v>
      </c>
      <c r="BC1632" s="4">
        <v>1</v>
      </c>
      <c r="BD1632" s="8">
        <v>78.75</v>
      </c>
      <c r="BE1632" s="4">
        <v>1</v>
      </c>
      <c r="BF1632" s="8">
        <v>89.25</v>
      </c>
      <c r="BG1632" s="7" t="s">
        <v>100</v>
      </c>
      <c r="BH1632" s="7">
        <v>-0.1176</v>
      </c>
      <c r="BI1632" s="7">
        <v>1</v>
      </c>
      <c r="BJ1632" s="4">
        <v>23</v>
      </c>
      <c r="BK1632" s="8">
        <v>1769.09</v>
      </c>
      <c r="BL1632" s="2" t="s">
        <v>5457</v>
      </c>
      <c r="BM1632" s="7">
        <v>0.0435</v>
      </c>
      <c r="BN1632" s="7">
        <v>0.0445</v>
      </c>
      <c r="BO1632" s="4">
        <v>1</v>
      </c>
      <c r="BP1632" s="8">
        <v>78.75</v>
      </c>
      <c r="BQ1632" s="4"/>
      <c r="BR1632" s="8"/>
      <c r="BS1632" s="7"/>
      <c r="BT1632" s="7"/>
      <c r="BU1632" s="2" t="s">
        <v>109</v>
      </c>
      <c r="BV1632" s="2" t="s">
        <v>97</v>
      </c>
      <c r="BW1632" s="2" t="s">
        <v>110</v>
      </c>
      <c r="BX1632" s="2" t="s">
        <v>1531</v>
      </c>
      <c r="BY1632" s="2" t="s">
        <v>112</v>
      </c>
      <c r="BZ1632" s="2" t="s">
        <v>100</v>
      </c>
    </row>
    <row r="1633">
      <c r="A1633" s="2" t="s">
        <v>5458</v>
      </c>
      <c r="B1633" s="2" t="s">
        <v>87</v>
      </c>
      <c r="C1633" s="2" t="s">
        <v>5275</v>
      </c>
      <c r="D1633" s="2" t="s">
        <v>3234</v>
      </c>
      <c r="E1633" s="2" t="s">
        <v>3235</v>
      </c>
      <c r="F1633" s="2" t="s">
        <v>5276</v>
      </c>
      <c r="G1633" s="2" t="s">
        <v>5276</v>
      </c>
      <c r="H1633" s="2" t="s">
        <v>5276</v>
      </c>
      <c r="I1633" s="2" t="s">
        <v>5456</v>
      </c>
      <c r="J1633" s="2" t="s">
        <v>850</v>
      </c>
      <c r="K1633" s="2" t="s">
        <v>1767</v>
      </c>
      <c r="L1633" s="3">
        <v>85</v>
      </c>
      <c r="M1633" s="3">
        <v>89.24</v>
      </c>
      <c r="N1633" s="3">
        <v>179.99</v>
      </c>
      <c r="O1633" s="2" t="s">
        <v>97</v>
      </c>
      <c r="P1633" s="2" t="s">
        <v>98</v>
      </c>
      <c r="Q1633" s="2" t="s">
        <v>99</v>
      </c>
      <c r="R1633" s="2" t="s">
        <v>100</v>
      </c>
      <c r="S1633" s="2" t="s">
        <v>5278</v>
      </c>
      <c r="T1633" s="2" t="s">
        <v>100</v>
      </c>
      <c r="U1633" s="2" t="s">
        <v>100</v>
      </c>
      <c r="V1633" s="2" t="s">
        <v>1275</v>
      </c>
      <c r="W1633" s="2" t="s">
        <v>906</v>
      </c>
      <c r="X1633" s="2" t="s">
        <v>808</v>
      </c>
      <c r="Y1633" s="2" t="s">
        <v>106</v>
      </c>
      <c r="Z1633" s="4">
        <v>64</v>
      </c>
      <c r="AA1633" s="4">
        <f>=ROUNDDOWN(21.3333333333333,0)</f>
      </c>
      <c r="AB1633" s="5">
        <v>3</v>
      </c>
      <c r="AC1633" s="2" t="s">
        <v>1328</v>
      </c>
      <c r="AD1633" s="4">
        <v>40</v>
      </c>
      <c r="AE1633" s="4">
        <v>40</v>
      </c>
      <c r="AF1633" s="6">
        <v>66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>
        <v>0</v>
      </c>
      <c r="AP1633" s="4"/>
      <c r="AQ1633" s="8"/>
      <c r="AR1633" s="4">
        <v>1</v>
      </c>
      <c r="AS1633" s="8">
        <v>89.25</v>
      </c>
      <c r="AT1633" s="7">
        <v>-1</v>
      </c>
      <c r="AU1633" s="7">
        <v>-1</v>
      </c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 t="s">
        <v>100</v>
      </c>
      <c r="BJ1633" s="4">
        <v>51</v>
      </c>
      <c r="BK1633" s="8">
        <v>4558.33</v>
      </c>
      <c r="BL1633" s="2" t="s">
        <v>5459</v>
      </c>
      <c r="BM1633" s="7"/>
      <c r="BN1633" s="7"/>
      <c r="BO1633" s="4"/>
      <c r="BP1633" s="8"/>
      <c r="BQ1633" s="4">
        <v>1</v>
      </c>
      <c r="BR1633" s="8">
        <v>89.25</v>
      </c>
      <c r="BS1633" s="7">
        <v>-1</v>
      </c>
      <c r="BT1633" s="7">
        <v>-1</v>
      </c>
      <c r="BU1633" s="2" t="s">
        <v>109</v>
      </c>
      <c r="BV1633" s="2" t="s">
        <v>97</v>
      </c>
      <c r="BW1633" s="2" t="s">
        <v>110</v>
      </c>
      <c r="BX1633" s="2" t="s">
        <v>3082</v>
      </c>
      <c r="BY1633" s="2" t="s">
        <v>112</v>
      </c>
      <c r="BZ1633" s="2" t="s">
        <v>100</v>
      </c>
    </row>
    <row r="1634">
      <c r="A1634" s="2" t="s">
        <v>5460</v>
      </c>
      <c r="B1634" s="2" t="s">
        <v>87</v>
      </c>
      <c r="C1634" s="2" t="s">
        <v>5275</v>
      </c>
      <c r="D1634" s="2" t="s">
        <v>3234</v>
      </c>
      <c r="E1634" s="2" t="s">
        <v>3235</v>
      </c>
      <c r="F1634" s="2" t="s">
        <v>5300</v>
      </c>
      <c r="G1634" s="2" t="s">
        <v>100</v>
      </c>
      <c r="H1634" s="2" t="s">
        <v>100</v>
      </c>
      <c r="I1634" s="2" t="s">
        <v>5461</v>
      </c>
      <c r="J1634" s="2" t="s">
        <v>3012</v>
      </c>
      <c r="K1634" s="2" t="s">
        <v>158</v>
      </c>
      <c r="L1634" s="3">
        <v>44.99</v>
      </c>
      <c r="M1634" s="3">
        <v>47.24</v>
      </c>
      <c r="N1634" s="3">
        <v>109.99</v>
      </c>
      <c r="O1634" s="2" t="s">
        <v>97</v>
      </c>
      <c r="P1634" s="2" t="s">
        <v>1265</v>
      </c>
      <c r="Q1634" s="2" t="s">
        <v>99</v>
      </c>
      <c r="R1634" s="2" t="s">
        <v>100</v>
      </c>
      <c r="S1634" s="2" t="s">
        <v>5301</v>
      </c>
      <c r="T1634" s="2" t="s">
        <v>100</v>
      </c>
      <c r="U1634" s="2" t="s">
        <v>100</v>
      </c>
      <c r="V1634" s="2" t="s">
        <v>906</v>
      </c>
      <c r="W1634" s="2" t="s">
        <v>906</v>
      </c>
      <c r="X1634" s="2" t="s">
        <v>808</v>
      </c>
      <c r="Y1634" s="2" t="s">
        <v>106</v>
      </c>
      <c r="Z1634" s="4">
        <v>103</v>
      </c>
      <c r="AA1634" s="4">
        <f>=ROUNDDOWN(51.5,0)</f>
      </c>
      <c r="AB1634" s="5">
        <v>2</v>
      </c>
      <c r="AC1634" s="2" t="s">
        <v>100</v>
      </c>
      <c r="AD1634" s="4"/>
      <c r="AE1634" s="4"/>
      <c r="AF1634" s="6">
        <v>66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34</v>
      </c>
      <c r="BK1634" s="8">
        <v>1800.74</v>
      </c>
      <c r="BL1634" s="2" t="s">
        <v>5462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109</v>
      </c>
      <c r="BV1634" s="2" t="s">
        <v>97</v>
      </c>
      <c r="BW1634" s="2" t="s">
        <v>110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5463</v>
      </c>
      <c r="B1635" s="2" t="s">
        <v>87</v>
      </c>
      <c r="C1635" s="2" t="s">
        <v>5275</v>
      </c>
      <c r="D1635" s="2" t="s">
        <v>3234</v>
      </c>
      <c r="E1635" s="2" t="s">
        <v>3235</v>
      </c>
      <c r="F1635" s="2" t="s">
        <v>5300</v>
      </c>
      <c r="G1635" s="2" t="s">
        <v>100</v>
      </c>
      <c r="H1635" s="2" t="s">
        <v>100</v>
      </c>
      <c r="I1635" s="2" t="s">
        <v>5464</v>
      </c>
      <c r="J1635" s="2" t="s">
        <v>844</v>
      </c>
      <c r="K1635" s="2" t="s">
        <v>158</v>
      </c>
      <c r="L1635" s="3">
        <v>70</v>
      </c>
      <c r="M1635" s="3">
        <v>73.49</v>
      </c>
      <c r="N1635" s="3">
        <v>149.99</v>
      </c>
      <c r="O1635" s="2" t="s">
        <v>97</v>
      </c>
      <c r="P1635" s="2" t="s">
        <v>1265</v>
      </c>
      <c r="Q1635" s="2" t="s">
        <v>99</v>
      </c>
      <c r="R1635" s="2" t="s">
        <v>100</v>
      </c>
      <c r="S1635" s="2" t="s">
        <v>5301</v>
      </c>
      <c r="T1635" s="2" t="s">
        <v>100</v>
      </c>
      <c r="U1635" s="2" t="s">
        <v>100</v>
      </c>
      <c r="V1635" s="2" t="s">
        <v>906</v>
      </c>
      <c r="W1635" s="2" t="s">
        <v>906</v>
      </c>
      <c r="X1635" s="2" t="s">
        <v>808</v>
      </c>
      <c r="Y1635" s="2" t="s">
        <v>106</v>
      </c>
      <c r="Z1635" s="4">
        <v>76</v>
      </c>
      <c r="AA1635" s="4">
        <f>=ROUNDDOWN(19,0)</f>
      </c>
      <c r="AB1635" s="5">
        <v>4</v>
      </c>
      <c r="AC1635" s="2" t="s">
        <v>325</v>
      </c>
      <c r="AD1635" s="4">
        <v>63</v>
      </c>
      <c r="AE1635" s="4">
        <v>63</v>
      </c>
      <c r="AF1635" s="6">
        <v>66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100</v>
      </c>
      <c r="AW1635" s="8" t="s">
        <v>100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>
        <v>53</v>
      </c>
      <c r="BK1635" s="8">
        <v>3563.41</v>
      </c>
      <c r="BL1635" s="2" t="s">
        <v>5465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97</v>
      </c>
      <c r="BW1635" s="2" t="s">
        <v>5076</v>
      </c>
      <c r="BX1635" s="2" t="s">
        <v>100</v>
      </c>
      <c r="BY1635" s="2" t="s">
        <v>112</v>
      </c>
      <c r="BZ1635" s="2" t="s">
        <v>100</v>
      </c>
    </row>
    <row r="1636">
      <c r="A1636" s="2" t="s">
        <v>5466</v>
      </c>
      <c r="B1636" s="2" t="s">
        <v>87</v>
      </c>
      <c r="C1636" s="2" t="s">
        <v>5275</v>
      </c>
      <c r="D1636" s="2" t="s">
        <v>3234</v>
      </c>
      <c r="E1636" s="2" t="s">
        <v>3235</v>
      </c>
      <c r="F1636" s="2" t="s">
        <v>5300</v>
      </c>
      <c r="G1636" s="2" t="s">
        <v>100</v>
      </c>
      <c r="H1636" s="2" t="s">
        <v>100</v>
      </c>
      <c r="I1636" s="2" t="s">
        <v>5464</v>
      </c>
      <c r="J1636" s="2" t="s">
        <v>114</v>
      </c>
      <c r="K1636" s="2" t="s">
        <v>158</v>
      </c>
      <c r="L1636" s="3">
        <v>81.59</v>
      </c>
      <c r="M1636" s="3">
        <v>85.67</v>
      </c>
      <c r="N1636" s="3">
        <v>169.99</v>
      </c>
      <c r="O1636" s="2" t="s">
        <v>97</v>
      </c>
      <c r="P1636" s="2" t="s">
        <v>1265</v>
      </c>
      <c r="Q1636" s="2" t="s">
        <v>99</v>
      </c>
      <c r="R1636" s="2" t="s">
        <v>100</v>
      </c>
      <c r="S1636" s="2" t="s">
        <v>5301</v>
      </c>
      <c r="T1636" s="2" t="s">
        <v>100</v>
      </c>
      <c r="U1636" s="2" t="s">
        <v>100</v>
      </c>
      <c r="V1636" s="2" t="s">
        <v>906</v>
      </c>
      <c r="W1636" s="2" t="s">
        <v>906</v>
      </c>
      <c r="X1636" s="2" t="s">
        <v>808</v>
      </c>
      <c r="Y1636" s="2" t="s">
        <v>106</v>
      </c>
      <c r="Z1636" s="4">
        <v>34</v>
      </c>
      <c r="AA1636" s="4">
        <f>=ROUNDDOWN(11.3333333333333,0)</f>
      </c>
      <c r="AB1636" s="5">
        <v>3</v>
      </c>
      <c r="AC1636" s="2" t="s">
        <v>325</v>
      </c>
      <c r="AD1636" s="4">
        <v>48</v>
      </c>
      <c r="AE1636" s="4">
        <v>48</v>
      </c>
      <c r="AF1636" s="6">
        <v>66</v>
      </c>
      <c r="AG1636" s="6"/>
      <c r="AH1636" s="7">
        <v>0.9939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35</v>
      </c>
      <c r="BK1636" s="8">
        <v>2699.76</v>
      </c>
      <c r="BL1636" s="2" t="s">
        <v>5467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97</v>
      </c>
      <c r="BW1636" s="2" t="s">
        <v>110</v>
      </c>
      <c r="BX1636" s="2" t="s">
        <v>100</v>
      </c>
      <c r="BY1636" s="2" t="s">
        <v>112</v>
      </c>
      <c r="BZ1636" s="2" t="s">
        <v>100</v>
      </c>
    </row>
    <row r="1637">
      <c r="A1637" s="2" t="s">
        <v>5468</v>
      </c>
      <c r="B1637" s="2" t="s">
        <v>87</v>
      </c>
      <c r="C1637" s="2" t="s">
        <v>5275</v>
      </c>
      <c r="D1637" s="2" t="s">
        <v>3234</v>
      </c>
      <c r="E1637" s="2" t="s">
        <v>3235</v>
      </c>
      <c r="F1637" s="2" t="s">
        <v>5341</v>
      </c>
      <c r="G1637" s="2" t="s">
        <v>5341</v>
      </c>
      <c r="H1637" s="2" t="s">
        <v>5341</v>
      </c>
      <c r="I1637" s="2" t="s">
        <v>3416</v>
      </c>
      <c r="J1637" s="2" t="s">
        <v>844</v>
      </c>
      <c r="K1637" s="2" t="s">
        <v>158</v>
      </c>
      <c r="L1637" s="3">
        <v>58.8</v>
      </c>
      <c r="M1637" s="3">
        <v>61.73</v>
      </c>
      <c r="N1637" s="3">
        <v>124.99</v>
      </c>
      <c r="O1637" s="2" t="s">
        <v>97</v>
      </c>
      <c r="P1637" s="2" t="s">
        <v>1265</v>
      </c>
      <c r="Q1637" s="2" t="s">
        <v>99</v>
      </c>
      <c r="R1637" s="2" t="s">
        <v>100</v>
      </c>
      <c r="S1637" s="2" t="s">
        <v>5342</v>
      </c>
      <c r="T1637" s="2" t="s">
        <v>100</v>
      </c>
      <c r="U1637" s="2" t="s">
        <v>100</v>
      </c>
      <c r="V1637" s="2" t="s">
        <v>1364</v>
      </c>
      <c r="W1637" s="2" t="s">
        <v>405</v>
      </c>
      <c r="X1637" s="2" t="s">
        <v>808</v>
      </c>
      <c r="Y1637" s="2" t="s">
        <v>106</v>
      </c>
      <c r="Z1637" s="4">
        <v>62</v>
      </c>
      <c r="AA1637" s="4">
        <f>=ROUNDDOWN(12.4,0)</f>
      </c>
      <c r="AB1637" s="5">
        <v>5</v>
      </c>
      <c r="AC1637" s="2" t="s">
        <v>847</v>
      </c>
      <c r="AD1637" s="4">
        <v>80</v>
      </c>
      <c r="AE1637" s="4">
        <v>80</v>
      </c>
      <c r="AF1637" s="6">
        <v>66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31</v>
      </c>
      <c r="BK1637" s="8">
        <v>1686.79</v>
      </c>
      <c r="BL1637" s="2" t="s">
        <v>5469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147</v>
      </c>
      <c r="BV1637" s="2" t="s">
        <v>97</v>
      </c>
      <c r="BW1637" s="2" t="s">
        <v>100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5470</v>
      </c>
      <c r="B1638" s="2" t="s">
        <v>87</v>
      </c>
      <c r="C1638" s="2" t="s">
        <v>5275</v>
      </c>
      <c r="D1638" s="2" t="s">
        <v>3234</v>
      </c>
      <c r="E1638" s="2" t="s">
        <v>3235</v>
      </c>
      <c r="F1638" s="2" t="s">
        <v>5341</v>
      </c>
      <c r="G1638" s="2" t="s">
        <v>5341</v>
      </c>
      <c r="H1638" s="2" t="s">
        <v>5341</v>
      </c>
      <c r="I1638" s="2" t="s">
        <v>3416</v>
      </c>
      <c r="J1638" s="2" t="s">
        <v>114</v>
      </c>
      <c r="K1638" s="2" t="s">
        <v>158</v>
      </c>
      <c r="L1638" s="3">
        <v>68.6</v>
      </c>
      <c r="M1638" s="3">
        <v>72.02</v>
      </c>
      <c r="N1638" s="3">
        <v>144.99</v>
      </c>
      <c r="O1638" s="2" t="s">
        <v>97</v>
      </c>
      <c r="P1638" s="2" t="s">
        <v>1265</v>
      </c>
      <c r="Q1638" s="2" t="s">
        <v>99</v>
      </c>
      <c r="R1638" s="2" t="s">
        <v>100</v>
      </c>
      <c r="S1638" s="2" t="s">
        <v>5342</v>
      </c>
      <c r="T1638" s="2" t="s">
        <v>100</v>
      </c>
      <c r="U1638" s="2" t="s">
        <v>100</v>
      </c>
      <c r="V1638" s="2" t="s">
        <v>1364</v>
      </c>
      <c r="W1638" s="2" t="s">
        <v>405</v>
      </c>
      <c r="X1638" s="2" t="s">
        <v>808</v>
      </c>
      <c r="Y1638" s="2" t="s">
        <v>106</v>
      </c>
      <c r="Z1638" s="4">
        <v>116</v>
      </c>
      <c r="AA1638" s="4">
        <f>=ROUNDDOWN(29,0)</f>
      </c>
      <c r="AB1638" s="5">
        <v>4</v>
      </c>
      <c r="AC1638" s="2" t="s">
        <v>847</v>
      </c>
      <c r="AD1638" s="4">
        <v>30</v>
      </c>
      <c r="AE1638" s="4">
        <v>30</v>
      </c>
      <c r="AF1638" s="6">
        <v>66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54</v>
      </c>
      <c r="BK1638" s="8">
        <v>3525.17</v>
      </c>
      <c r="BL1638" s="2" t="s">
        <v>5471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147</v>
      </c>
      <c r="BV1638" s="2" t="s">
        <v>97</v>
      </c>
      <c r="BW1638" s="2" t="s">
        <v>100</v>
      </c>
      <c r="BX1638" s="2" t="s">
        <v>100</v>
      </c>
      <c r="BY1638" s="2" t="s">
        <v>112</v>
      </c>
      <c r="BZ1638" s="2" t="s">
        <v>100</v>
      </c>
    </row>
    <row r="1639">
      <c r="A1639" s="2" t="s">
        <v>5472</v>
      </c>
      <c r="B1639" s="2" t="s">
        <v>87</v>
      </c>
      <c r="C1639" s="2" t="s">
        <v>5275</v>
      </c>
      <c r="D1639" s="2" t="s">
        <v>3234</v>
      </c>
      <c r="E1639" s="2" t="s">
        <v>3235</v>
      </c>
      <c r="F1639" s="2" t="s">
        <v>5347</v>
      </c>
      <c r="G1639" s="2" t="s">
        <v>5347</v>
      </c>
      <c r="H1639" s="2" t="s">
        <v>5347</v>
      </c>
      <c r="I1639" s="2" t="s">
        <v>5110</v>
      </c>
      <c r="J1639" s="2" t="s">
        <v>844</v>
      </c>
      <c r="K1639" s="2" t="s">
        <v>267</v>
      </c>
      <c r="L1639" s="3">
        <v>76.49</v>
      </c>
      <c r="M1639" s="3">
        <v>80.32</v>
      </c>
      <c r="N1639" s="3">
        <v>174.99</v>
      </c>
      <c r="O1639" s="2" t="s">
        <v>97</v>
      </c>
      <c r="P1639" s="2" t="s">
        <v>98</v>
      </c>
      <c r="Q1639" s="2" t="s">
        <v>99</v>
      </c>
      <c r="R1639" s="2" t="s">
        <v>100</v>
      </c>
      <c r="S1639" s="2" t="s">
        <v>5349</v>
      </c>
      <c r="T1639" s="2" t="s">
        <v>100</v>
      </c>
      <c r="U1639" s="2" t="s">
        <v>100</v>
      </c>
      <c r="V1639" s="2" t="s">
        <v>906</v>
      </c>
      <c r="W1639" s="2" t="s">
        <v>906</v>
      </c>
      <c r="X1639" s="2" t="s">
        <v>808</v>
      </c>
      <c r="Y1639" s="2" t="s">
        <v>106</v>
      </c>
      <c r="Z1639" s="4">
        <v>25</v>
      </c>
      <c r="AA1639" s="4">
        <f>=ROUNDDOWN(12.5,0)</f>
      </c>
      <c r="AB1639" s="5">
        <v>2</v>
      </c>
      <c r="AC1639" s="2" t="s">
        <v>145</v>
      </c>
      <c r="AD1639" s="4">
        <v>15</v>
      </c>
      <c r="AE1639" s="4">
        <v>85</v>
      </c>
      <c r="AF1639" s="6">
        <v>68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45</v>
      </c>
      <c r="BK1639" s="8">
        <v>3599.03</v>
      </c>
      <c r="BL1639" s="2" t="s">
        <v>5473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147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5474</v>
      </c>
      <c r="B1640" s="2" t="s">
        <v>87</v>
      </c>
      <c r="C1640" s="2" t="s">
        <v>5275</v>
      </c>
      <c r="D1640" s="2" t="s">
        <v>3234</v>
      </c>
      <c r="E1640" s="2" t="s">
        <v>3235</v>
      </c>
      <c r="F1640" s="2" t="s">
        <v>5347</v>
      </c>
      <c r="G1640" s="2" t="s">
        <v>5347</v>
      </c>
      <c r="H1640" s="2" t="s">
        <v>5347</v>
      </c>
      <c r="I1640" s="2" t="s">
        <v>5110</v>
      </c>
      <c r="J1640" s="2" t="s">
        <v>850</v>
      </c>
      <c r="K1640" s="2" t="s">
        <v>267</v>
      </c>
      <c r="L1640" s="3">
        <v>86.69</v>
      </c>
      <c r="M1640" s="3">
        <v>91.03</v>
      </c>
      <c r="N1640" s="3">
        <v>194.99</v>
      </c>
      <c r="O1640" s="2" t="s">
        <v>97</v>
      </c>
      <c r="P1640" s="2" t="s">
        <v>98</v>
      </c>
      <c r="Q1640" s="2" t="s">
        <v>99</v>
      </c>
      <c r="R1640" s="2" t="s">
        <v>100</v>
      </c>
      <c r="S1640" s="2" t="s">
        <v>5349</v>
      </c>
      <c r="T1640" s="2" t="s">
        <v>100</v>
      </c>
      <c r="U1640" s="2" t="s">
        <v>100</v>
      </c>
      <c r="V1640" s="2" t="s">
        <v>906</v>
      </c>
      <c r="W1640" s="2" t="s">
        <v>906</v>
      </c>
      <c r="X1640" s="2" t="s">
        <v>808</v>
      </c>
      <c r="Y1640" s="2" t="s">
        <v>106</v>
      </c>
      <c r="Z1640" s="4">
        <v>51</v>
      </c>
      <c r="AA1640" s="4">
        <f>=ROUNDDOWN(17,0)</f>
      </c>
      <c r="AB1640" s="5">
        <v>3</v>
      </c>
      <c r="AC1640" s="2" t="s">
        <v>145</v>
      </c>
      <c r="AD1640" s="4">
        <v>22</v>
      </c>
      <c r="AE1640" s="4">
        <v>72</v>
      </c>
      <c r="AF1640" s="6">
        <v>68</v>
      </c>
      <c r="AG1640" s="6"/>
      <c r="AH1640" s="7">
        <v>0.6303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39</v>
      </c>
      <c r="BK1640" s="8">
        <v>3560.65</v>
      </c>
      <c r="BL1640" s="2" t="s">
        <v>5475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147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5476</v>
      </c>
      <c r="B1641" s="2" t="s">
        <v>87</v>
      </c>
      <c r="C1641" s="2" t="s">
        <v>5275</v>
      </c>
      <c r="D1641" s="2" t="s">
        <v>3234</v>
      </c>
      <c r="E1641" s="2" t="s">
        <v>3235</v>
      </c>
      <c r="F1641" s="2" t="s">
        <v>5347</v>
      </c>
      <c r="G1641" s="2" t="s">
        <v>5347</v>
      </c>
      <c r="H1641" s="2" t="s">
        <v>5347</v>
      </c>
      <c r="I1641" s="2" t="s">
        <v>5477</v>
      </c>
      <c r="J1641" s="2" t="s">
        <v>844</v>
      </c>
      <c r="K1641" s="2" t="s">
        <v>1018</v>
      </c>
      <c r="L1641" s="3">
        <v>81.59</v>
      </c>
      <c r="M1641" s="3">
        <v>85.67</v>
      </c>
      <c r="N1641" s="3">
        <v>174.99</v>
      </c>
      <c r="O1641" s="2" t="s">
        <v>97</v>
      </c>
      <c r="P1641" s="2" t="s">
        <v>182</v>
      </c>
      <c r="Q1641" s="2" t="s">
        <v>99</v>
      </c>
      <c r="R1641" s="2" t="s">
        <v>100</v>
      </c>
      <c r="S1641" s="2" t="s">
        <v>5361</v>
      </c>
      <c r="T1641" s="2" t="s">
        <v>100</v>
      </c>
      <c r="U1641" s="2" t="s">
        <v>100</v>
      </c>
      <c r="V1641" s="2" t="s">
        <v>906</v>
      </c>
      <c r="W1641" s="2" t="s">
        <v>906</v>
      </c>
      <c r="X1641" s="2" t="s">
        <v>808</v>
      </c>
      <c r="Y1641" s="2" t="s">
        <v>106</v>
      </c>
      <c r="Z1641" s="4">
        <v>40</v>
      </c>
      <c r="AA1641" s="4">
        <f>=ROUNDDOWN(20,0)</f>
      </c>
      <c r="AB1641" s="5">
        <v>2</v>
      </c>
      <c r="AC1641" s="2" t="s">
        <v>145</v>
      </c>
      <c r="AD1641" s="4">
        <v>20</v>
      </c>
      <c r="AE1641" s="4">
        <v>50</v>
      </c>
      <c r="AF1641" s="6">
        <v>68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100</v>
      </c>
      <c r="AW1641" s="8" t="s">
        <v>100</v>
      </c>
      <c r="AX1641" s="4" t="s">
        <v>100</v>
      </c>
      <c r="AY1641" s="8" t="s">
        <v>100</v>
      </c>
      <c r="AZ1641" s="7" t="s">
        <v>100</v>
      </c>
      <c r="BA1641" s="7" t="s">
        <v>100</v>
      </c>
      <c r="BB1641" s="7"/>
      <c r="BC1641" s="4" t="s">
        <v>100</v>
      </c>
      <c r="BD1641" s="8" t="s">
        <v>100</v>
      </c>
      <c r="BE1641" s="4" t="s">
        <v>100</v>
      </c>
      <c r="BF1641" s="8" t="s">
        <v>100</v>
      </c>
      <c r="BG1641" s="7" t="s">
        <v>100</v>
      </c>
      <c r="BH1641" s="7" t="s">
        <v>100</v>
      </c>
      <c r="BI1641" s="7"/>
      <c r="BJ1641" s="4">
        <v>25</v>
      </c>
      <c r="BK1641" s="8">
        <v>2255.47</v>
      </c>
      <c r="BL1641" s="2" t="s">
        <v>5478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147</v>
      </c>
      <c r="BV1641" s="2" t="s">
        <v>97</v>
      </c>
      <c r="BW1641" s="2" t="s">
        <v>100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5479</v>
      </c>
      <c r="B1642" s="2" t="s">
        <v>87</v>
      </c>
      <c r="C1642" s="2" t="s">
        <v>5275</v>
      </c>
      <c r="D1642" s="2" t="s">
        <v>3234</v>
      </c>
      <c r="E1642" s="2" t="s">
        <v>3235</v>
      </c>
      <c r="F1642" s="2" t="s">
        <v>5347</v>
      </c>
      <c r="G1642" s="2" t="s">
        <v>5347</v>
      </c>
      <c r="H1642" s="2" t="s">
        <v>5347</v>
      </c>
      <c r="I1642" s="2" t="s">
        <v>5477</v>
      </c>
      <c r="J1642" s="2" t="s">
        <v>850</v>
      </c>
      <c r="K1642" s="2" t="s">
        <v>1018</v>
      </c>
      <c r="L1642" s="3">
        <v>96.89</v>
      </c>
      <c r="M1642" s="3">
        <v>101.74</v>
      </c>
      <c r="N1642" s="3">
        <v>204.99</v>
      </c>
      <c r="O1642" s="2" t="s">
        <v>97</v>
      </c>
      <c r="P1642" s="2" t="s">
        <v>182</v>
      </c>
      <c r="Q1642" s="2" t="s">
        <v>99</v>
      </c>
      <c r="R1642" s="2" t="s">
        <v>100</v>
      </c>
      <c r="S1642" s="2" t="s">
        <v>5361</v>
      </c>
      <c r="T1642" s="2" t="s">
        <v>100</v>
      </c>
      <c r="U1642" s="2" t="s">
        <v>100</v>
      </c>
      <c r="V1642" s="2" t="s">
        <v>906</v>
      </c>
      <c r="W1642" s="2" t="s">
        <v>906</v>
      </c>
      <c r="X1642" s="2" t="s">
        <v>808</v>
      </c>
      <c r="Y1642" s="2" t="s">
        <v>106</v>
      </c>
      <c r="Z1642" s="4">
        <v>20</v>
      </c>
      <c r="AA1642" s="4">
        <f>=ROUNDDOWN(10,0)</f>
      </c>
      <c r="AB1642" s="5">
        <v>2</v>
      </c>
      <c r="AC1642" s="2" t="s">
        <v>145</v>
      </c>
      <c r="AD1642" s="4">
        <v>31</v>
      </c>
      <c r="AE1642" s="4">
        <v>67</v>
      </c>
      <c r="AF1642" s="6">
        <v>68</v>
      </c>
      <c r="AG1642" s="6"/>
      <c r="AH1642" s="7">
        <v>0.9212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 t="s">
        <v>100</v>
      </c>
      <c r="AY1642" s="8" t="s">
        <v>100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 t="s">
        <v>100</v>
      </c>
      <c r="BF1642" s="8" t="s">
        <v>100</v>
      </c>
      <c r="BG1642" s="7" t="s">
        <v>100</v>
      </c>
      <c r="BH1642" s="7" t="s">
        <v>100</v>
      </c>
      <c r="BI1642" s="7"/>
      <c r="BJ1642" s="4">
        <v>32</v>
      </c>
      <c r="BK1642" s="8">
        <v>3521.67</v>
      </c>
      <c r="BL1642" s="2" t="s">
        <v>5480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147</v>
      </c>
      <c r="BV1642" s="2" t="s">
        <v>97</v>
      </c>
      <c r="BW1642" s="2" t="s">
        <v>100</v>
      </c>
      <c r="BX1642" s="2" t="s">
        <v>100</v>
      </c>
      <c r="BY1642" s="2" t="s">
        <v>112</v>
      </c>
      <c r="BZ1642" s="2" t="s">
        <v>100</v>
      </c>
    </row>
    <row r="1643">
      <c r="A1643" s="2" t="s">
        <v>5481</v>
      </c>
      <c r="B1643" s="2" t="s">
        <v>87</v>
      </c>
      <c r="C1643" s="2" t="s">
        <v>5275</v>
      </c>
      <c r="D1643" s="2" t="s">
        <v>3234</v>
      </c>
      <c r="E1643" s="2" t="s">
        <v>3235</v>
      </c>
      <c r="F1643" s="2" t="s">
        <v>5377</v>
      </c>
      <c r="G1643" s="2" t="s">
        <v>5377</v>
      </c>
      <c r="H1643" s="2" t="s">
        <v>5377</v>
      </c>
      <c r="I1643" s="2" t="s">
        <v>5482</v>
      </c>
      <c r="J1643" s="2" t="s">
        <v>844</v>
      </c>
      <c r="K1643" s="2" t="s">
        <v>158</v>
      </c>
      <c r="L1643" s="3">
        <v>72</v>
      </c>
      <c r="M1643" s="3">
        <v>75.6</v>
      </c>
      <c r="N1643" s="3">
        <v>149.99</v>
      </c>
      <c r="O1643" s="2" t="s">
        <v>97</v>
      </c>
      <c r="P1643" s="2" t="s">
        <v>182</v>
      </c>
      <c r="Q1643" s="2" t="s">
        <v>99</v>
      </c>
      <c r="R1643" s="2" t="s">
        <v>100</v>
      </c>
      <c r="S1643" s="2" t="s">
        <v>5483</v>
      </c>
      <c r="T1643" s="2" t="s">
        <v>732</v>
      </c>
      <c r="U1643" s="2" t="s">
        <v>790</v>
      </c>
      <c r="V1643" s="2" t="s">
        <v>906</v>
      </c>
      <c r="W1643" s="2" t="s">
        <v>906</v>
      </c>
      <c r="X1643" s="2" t="s">
        <v>759</v>
      </c>
      <c r="Y1643" s="2" t="s">
        <v>5484</v>
      </c>
      <c r="Z1643" s="4">
        <v>50</v>
      </c>
      <c r="AA1643" s="4">
        <f>=ROUNDDOWN(25,0)</f>
      </c>
      <c r="AB1643" s="5">
        <v>2</v>
      </c>
      <c r="AC1643" s="2" t="s">
        <v>847</v>
      </c>
      <c r="AD1643" s="4">
        <v>60</v>
      </c>
      <c r="AE1643" s="4">
        <v>60</v>
      </c>
      <c r="AF1643" s="6">
        <v>70</v>
      </c>
      <c r="AG1643" s="6"/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47</v>
      </c>
      <c r="BK1643" s="8">
        <v>3818.78</v>
      </c>
      <c r="BL1643" s="2" t="s">
        <v>5383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147</v>
      </c>
      <c r="BV1643" s="2" t="s">
        <v>97</v>
      </c>
      <c r="BW1643" s="2" t="s">
        <v>100</v>
      </c>
      <c r="BX1643" s="2" t="s">
        <v>100</v>
      </c>
      <c r="BY1643" s="2" t="s">
        <v>112</v>
      </c>
      <c r="BZ1643" s="2" t="s">
        <v>100</v>
      </c>
    </row>
    <row r="1644">
      <c r="A1644" s="2" t="s">
        <v>5485</v>
      </c>
      <c r="B1644" s="2" t="s">
        <v>87</v>
      </c>
      <c r="C1644" s="2" t="s">
        <v>5275</v>
      </c>
      <c r="D1644" s="2" t="s">
        <v>3234</v>
      </c>
      <c r="E1644" s="2" t="s">
        <v>3235</v>
      </c>
      <c r="F1644" s="2" t="s">
        <v>5377</v>
      </c>
      <c r="G1644" s="2" t="s">
        <v>5377</v>
      </c>
      <c r="H1644" s="2" t="s">
        <v>5377</v>
      </c>
      <c r="I1644" s="2" t="s">
        <v>5482</v>
      </c>
      <c r="J1644" s="2" t="s">
        <v>850</v>
      </c>
      <c r="K1644" s="2" t="s">
        <v>158</v>
      </c>
      <c r="L1644" s="3">
        <v>81.6</v>
      </c>
      <c r="M1644" s="3">
        <v>85.68</v>
      </c>
      <c r="N1644" s="3">
        <v>169.99</v>
      </c>
      <c r="O1644" s="2" t="s">
        <v>97</v>
      </c>
      <c r="P1644" s="2" t="s">
        <v>182</v>
      </c>
      <c r="Q1644" s="2" t="s">
        <v>99</v>
      </c>
      <c r="R1644" s="2" t="s">
        <v>100</v>
      </c>
      <c r="S1644" s="2" t="s">
        <v>5483</v>
      </c>
      <c r="T1644" s="2" t="s">
        <v>732</v>
      </c>
      <c r="U1644" s="2" t="s">
        <v>790</v>
      </c>
      <c r="V1644" s="2" t="s">
        <v>906</v>
      </c>
      <c r="W1644" s="2" t="s">
        <v>906</v>
      </c>
      <c r="X1644" s="2" t="s">
        <v>759</v>
      </c>
      <c r="Y1644" s="2" t="s">
        <v>5484</v>
      </c>
      <c r="Z1644" s="4">
        <v>68</v>
      </c>
      <c r="AA1644" s="4">
        <f>=ROUNDDOWN(17,0)</f>
      </c>
      <c r="AB1644" s="5">
        <v>4</v>
      </c>
      <c r="AC1644" s="2" t="s">
        <v>847</v>
      </c>
      <c r="AD1644" s="4">
        <v>70</v>
      </c>
      <c r="AE1644" s="4">
        <v>70</v>
      </c>
      <c r="AF1644" s="6">
        <v>70</v>
      </c>
      <c r="AG1644" s="6"/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61</v>
      </c>
      <c r="BK1644" s="8">
        <v>5486.47</v>
      </c>
      <c r="BL1644" s="2" t="s">
        <v>5381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147</v>
      </c>
      <c r="BV1644" s="2" t="s">
        <v>97</v>
      </c>
      <c r="BW1644" s="2" t="s">
        <v>100</v>
      </c>
      <c r="BX1644" s="2" t="s">
        <v>100</v>
      </c>
      <c r="BY1644" s="2" t="s">
        <v>112</v>
      </c>
      <c r="BZ1644" s="2" t="s">
        <v>100</v>
      </c>
    </row>
    <row r="1645">
      <c r="A1645" s="2" t="s">
        <v>5486</v>
      </c>
      <c r="B1645" s="2" t="s">
        <v>87</v>
      </c>
      <c r="C1645" s="2" t="s">
        <v>5275</v>
      </c>
      <c r="D1645" s="2" t="s">
        <v>3234</v>
      </c>
      <c r="E1645" s="2" t="s">
        <v>3235</v>
      </c>
      <c r="F1645" s="2" t="s">
        <v>5388</v>
      </c>
      <c r="G1645" s="2" t="s">
        <v>5388</v>
      </c>
      <c r="H1645" s="2" t="s">
        <v>5388</v>
      </c>
      <c r="I1645" s="2" t="s">
        <v>5451</v>
      </c>
      <c r="J1645" s="2" t="s">
        <v>844</v>
      </c>
      <c r="K1645" s="2" t="s">
        <v>1767</v>
      </c>
      <c r="L1645" s="3">
        <v>75</v>
      </c>
      <c r="M1645" s="3">
        <v>78.74</v>
      </c>
      <c r="N1645" s="3">
        <v>149.99</v>
      </c>
      <c r="O1645" s="2" t="s">
        <v>97</v>
      </c>
      <c r="P1645" s="2" t="s">
        <v>98</v>
      </c>
      <c r="Q1645" s="2" t="s">
        <v>99</v>
      </c>
      <c r="R1645" s="2" t="s">
        <v>100</v>
      </c>
      <c r="S1645" s="2" t="s">
        <v>5389</v>
      </c>
      <c r="T1645" s="2" t="s">
        <v>732</v>
      </c>
      <c r="U1645" s="2" t="s">
        <v>790</v>
      </c>
      <c r="V1645" s="2" t="s">
        <v>1275</v>
      </c>
      <c r="W1645" s="2" t="s">
        <v>808</v>
      </c>
      <c r="X1645" s="2" t="s">
        <v>3896</v>
      </c>
      <c r="Y1645" s="2" t="s">
        <v>5487</v>
      </c>
      <c r="Z1645" s="4">
        <v>35</v>
      </c>
      <c r="AA1645" s="4">
        <f>=ROUNDDOWN(17.5,0)</f>
      </c>
      <c r="AB1645" s="5">
        <v>2</v>
      </c>
      <c r="AC1645" s="2" t="s">
        <v>518</v>
      </c>
      <c r="AD1645" s="4">
        <v>25</v>
      </c>
      <c r="AE1645" s="4">
        <v>45</v>
      </c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35</v>
      </c>
      <c r="BK1645" s="8">
        <v>2822.99</v>
      </c>
      <c r="BL1645" s="2" t="s">
        <v>5488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147</v>
      </c>
      <c r="BV1645" s="2" t="s">
        <v>97</v>
      </c>
      <c r="BW1645" s="2" t="s">
        <v>100</v>
      </c>
      <c r="BX1645" s="2" t="s">
        <v>100</v>
      </c>
      <c r="BY1645" s="2" t="s">
        <v>112</v>
      </c>
      <c r="BZ1645" s="2" t="s">
        <v>100</v>
      </c>
    </row>
    <row r="1646">
      <c r="A1646" s="2" t="s">
        <v>5489</v>
      </c>
      <c r="B1646" s="2" t="s">
        <v>87</v>
      </c>
      <c r="C1646" s="2" t="s">
        <v>5275</v>
      </c>
      <c r="D1646" s="2" t="s">
        <v>3234</v>
      </c>
      <c r="E1646" s="2" t="s">
        <v>3235</v>
      </c>
      <c r="F1646" s="2" t="s">
        <v>5388</v>
      </c>
      <c r="G1646" s="2" t="s">
        <v>5388</v>
      </c>
      <c r="H1646" s="2" t="s">
        <v>5388</v>
      </c>
      <c r="I1646" s="2" t="s">
        <v>5451</v>
      </c>
      <c r="J1646" s="2" t="s">
        <v>114</v>
      </c>
      <c r="K1646" s="2" t="s">
        <v>1767</v>
      </c>
      <c r="L1646" s="3">
        <v>85</v>
      </c>
      <c r="M1646" s="3">
        <v>89.24</v>
      </c>
      <c r="N1646" s="3">
        <v>169.99</v>
      </c>
      <c r="O1646" s="2" t="s">
        <v>97</v>
      </c>
      <c r="P1646" s="2" t="s">
        <v>98</v>
      </c>
      <c r="Q1646" s="2" t="s">
        <v>99</v>
      </c>
      <c r="R1646" s="2" t="s">
        <v>100</v>
      </c>
      <c r="S1646" s="2" t="s">
        <v>5389</v>
      </c>
      <c r="T1646" s="2" t="s">
        <v>732</v>
      </c>
      <c r="U1646" s="2" t="s">
        <v>790</v>
      </c>
      <c r="V1646" s="2" t="s">
        <v>1275</v>
      </c>
      <c r="W1646" s="2" t="s">
        <v>808</v>
      </c>
      <c r="X1646" s="2" t="s">
        <v>3896</v>
      </c>
      <c r="Y1646" s="2" t="s">
        <v>5487</v>
      </c>
      <c r="Z1646" s="4">
        <v>64</v>
      </c>
      <c r="AA1646" s="4">
        <f>=ROUNDDOWN(16,0)</f>
      </c>
      <c r="AB1646" s="5">
        <v>4</v>
      </c>
      <c r="AC1646" s="2" t="s">
        <v>518</v>
      </c>
      <c r="AD1646" s="4">
        <v>30</v>
      </c>
      <c r="AE1646" s="4">
        <v>68</v>
      </c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44</v>
      </c>
      <c r="BK1646" s="8">
        <v>4062.37</v>
      </c>
      <c r="BL1646" s="2" t="s">
        <v>5490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147</v>
      </c>
      <c r="BV1646" s="2" t="s">
        <v>97</v>
      </c>
      <c r="BW1646" s="2" t="s">
        <v>100</v>
      </c>
      <c r="BX1646" s="2" t="s">
        <v>100</v>
      </c>
      <c r="BY1646" s="2" t="s">
        <v>112</v>
      </c>
      <c r="BZ1646" s="2" t="s">
        <v>100</v>
      </c>
    </row>
    <row r="1647">
      <c r="A1647" s="2" t="s">
        <v>5491</v>
      </c>
      <c r="B1647" s="2" t="s">
        <v>87</v>
      </c>
      <c r="C1647" s="2" t="s">
        <v>5275</v>
      </c>
      <c r="D1647" s="2" t="s">
        <v>3234</v>
      </c>
      <c r="E1647" s="2" t="s">
        <v>3235</v>
      </c>
      <c r="F1647" s="2" t="s">
        <v>5287</v>
      </c>
      <c r="G1647" s="2" t="s">
        <v>5287</v>
      </c>
      <c r="H1647" s="2" t="s">
        <v>5287</v>
      </c>
      <c r="I1647" s="2" t="s">
        <v>5110</v>
      </c>
      <c r="J1647" s="2" t="s">
        <v>844</v>
      </c>
      <c r="K1647" s="2" t="s">
        <v>666</v>
      </c>
      <c r="L1647" s="3">
        <v>96.89</v>
      </c>
      <c r="M1647" s="3">
        <v>101.74</v>
      </c>
      <c r="N1647" s="3">
        <v>199.99</v>
      </c>
      <c r="O1647" s="2" t="s">
        <v>97</v>
      </c>
      <c r="P1647" s="2" t="s">
        <v>98</v>
      </c>
      <c r="Q1647" s="2" t="s">
        <v>99</v>
      </c>
      <c r="R1647" s="2" t="s">
        <v>100</v>
      </c>
      <c r="S1647" s="2" t="s">
        <v>5288</v>
      </c>
      <c r="T1647" s="2" t="s">
        <v>100</v>
      </c>
      <c r="U1647" s="2" t="s">
        <v>100</v>
      </c>
      <c r="V1647" s="2" t="s">
        <v>906</v>
      </c>
      <c r="W1647" s="2" t="s">
        <v>906</v>
      </c>
      <c r="X1647" s="2" t="s">
        <v>808</v>
      </c>
      <c r="Y1647" s="2" t="s">
        <v>106</v>
      </c>
      <c r="Z1647" s="4">
        <v>293</v>
      </c>
      <c r="AA1647" s="4">
        <f>=ROUNDDOWN(97.6666666666667,0)</f>
      </c>
      <c r="AB1647" s="5">
        <v>3</v>
      </c>
      <c r="AC1647" s="2" t="s">
        <v>100</v>
      </c>
      <c r="AD1647" s="4"/>
      <c r="AE1647" s="4"/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>
        <v>1</v>
      </c>
      <c r="AY1647" s="8">
        <v>114.65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>
        <v>1</v>
      </c>
      <c r="BF1647" s="8">
        <v>114.65</v>
      </c>
      <c r="BG1647" s="7" t="s">
        <v>100</v>
      </c>
      <c r="BH1647" s="7" t="s">
        <v>100</v>
      </c>
      <c r="BI1647" s="7"/>
      <c r="BJ1647" s="4">
        <v>52</v>
      </c>
      <c r="BK1647" s="8">
        <v>5444.77</v>
      </c>
      <c r="BL1647" s="2" t="s">
        <v>5492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110</v>
      </c>
      <c r="BX1647" s="2" t="s">
        <v>100</v>
      </c>
      <c r="BY1647" s="2" t="s">
        <v>112</v>
      </c>
      <c r="BZ1647" s="2" t="s">
        <v>100</v>
      </c>
    </row>
    <row r="1648">
      <c r="A1648" s="2" t="s">
        <v>5493</v>
      </c>
      <c r="B1648" s="2" t="s">
        <v>87</v>
      </c>
      <c r="C1648" s="2" t="s">
        <v>5275</v>
      </c>
      <c r="D1648" s="2" t="s">
        <v>3234</v>
      </c>
      <c r="E1648" s="2" t="s">
        <v>3235</v>
      </c>
      <c r="F1648" s="2" t="s">
        <v>5287</v>
      </c>
      <c r="G1648" s="2" t="s">
        <v>5287</v>
      </c>
      <c r="H1648" s="2" t="s">
        <v>5287</v>
      </c>
      <c r="I1648" s="2" t="s">
        <v>5110</v>
      </c>
      <c r="J1648" s="2" t="s">
        <v>114</v>
      </c>
      <c r="K1648" s="2" t="s">
        <v>666</v>
      </c>
      <c r="L1648" s="3">
        <v>109.19</v>
      </c>
      <c r="M1648" s="3">
        <v>114.65</v>
      </c>
      <c r="N1648" s="3">
        <v>224.99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5288</v>
      </c>
      <c r="T1648" s="2" t="s">
        <v>100</v>
      </c>
      <c r="U1648" s="2" t="s">
        <v>100</v>
      </c>
      <c r="V1648" s="2" t="s">
        <v>906</v>
      </c>
      <c r="W1648" s="2" t="s">
        <v>906</v>
      </c>
      <c r="X1648" s="2" t="s">
        <v>808</v>
      </c>
      <c r="Y1648" s="2" t="s">
        <v>106</v>
      </c>
      <c r="Z1648" s="4">
        <v>58</v>
      </c>
      <c r="AA1648" s="4">
        <f>=ROUNDDOWN(19.3333333333333,0)</f>
      </c>
      <c r="AB1648" s="5">
        <v>3</v>
      </c>
      <c r="AC1648" s="2" t="s">
        <v>847</v>
      </c>
      <c r="AD1648" s="4">
        <v>95</v>
      </c>
      <c r="AE1648" s="4">
        <v>95</v>
      </c>
      <c r="AF1648" s="6">
        <v>66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>
        <v>0</v>
      </c>
      <c r="AP1648" s="4"/>
      <c r="AQ1648" s="8"/>
      <c r="AR1648" s="4">
        <v>1</v>
      </c>
      <c r="AS1648" s="8">
        <v>114.65</v>
      </c>
      <c r="AT1648" s="7">
        <v>-1</v>
      </c>
      <c r="AU1648" s="7">
        <v>-1</v>
      </c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54</v>
      </c>
      <c r="BK1648" s="8">
        <v>6228.05</v>
      </c>
      <c r="BL1648" s="2" t="s">
        <v>5494</v>
      </c>
      <c r="BM1648" s="7"/>
      <c r="BN1648" s="7"/>
      <c r="BO1648" s="4"/>
      <c r="BP1648" s="8"/>
      <c r="BQ1648" s="4">
        <v>1</v>
      </c>
      <c r="BR1648" s="8">
        <v>114.65</v>
      </c>
      <c r="BS1648" s="7">
        <v>-1</v>
      </c>
      <c r="BT1648" s="7">
        <v>-1</v>
      </c>
      <c r="BU1648" s="2" t="s">
        <v>109</v>
      </c>
      <c r="BV1648" s="2" t="s">
        <v>97</v>
      </c>
      <c r="BW1648" s="2" t="s">
        <v>110</v>
      </c>
      <c r="BX1648" s="2" t="s">
        <v>2470</v>
      </c>
      <c r="BY1648" s="2" t="s">
        <v>112</v>
      </c>
      <c r="BZ1648" s="2" t="s">
        <v>100</v>
      </c>
    </row>
    <row r="1649">
      <c r="A1649" s="2" t="s">
        <v>5495</v>
      </c>
      <c r="B1649" s="2" t="s">
        <v>87</v>
      </c>
      <c r="C1649" s="2" t="s">
        <v>5275</v>
      </c>
      <c r="D1649" s="2" t="s">
        <v>3234</v>
      </c>
      <c r="E1649" s="2" t="s">
        <v>3235</v>
      </c>
      <c r="F1649" s="2" t="s">
        <v>5403</v>
      </c>
      <c r="G1649" s="2" t="s">
        <v>5403</v>
      </c>
      <c r="H1649" s="2" t="s">
        <v>5403</v>
      </c>
      <c r="I1649" s="2" t="s">
        <v>5496</v>
      </c>
      <c r="J1649" s="2" t="s">
        <v>844</v>
      </c>
      <c r="K1649" s="2" t="s">
        <v>5334</v>
      </c>
      <c r="L1649" s="3">
        <v>80</v>
      </c>
      <c r="M1649" s="3">
        <v>84</v>
      </c>
      <c r="N1649" s="3">
        <v>159.99</v>
      </c>
      <c r="O1649" s="2" t="s">
        <v>97</v>
      </c>
      <c r="P1649" s="2" t="s">
        <v>1166</v>
      </c>
      <c r="Q1649" s="2" t="s">
        <v>99</v>
      </c>
      <c r="R1649" s="2" t="s">
        <v>100</v>
      </c>
      <c r="S1649" s="2" t="s">
        <v>5405</v>
      </c>
      <c r="T1649" s="2" t="s">
        <v>732</v>
      </c>
      <c r="U1649" s="2" t="s">
        <v>790</v>
      </c>
      <c r="V1649" s="2" t="s">
        <v>561</v>
      </c>
      <c r="W1649" s="2" t="s">
        <v>808</v>
      </c>
      <c r="X1649" s="2" t="s">
        <v>5406</v>
      </c>
      <c r="Y1649" s="2" t="s">
        <v>5407</v>
      </c>
      <c r="Z1649" s="4">
        <v>15</v>
      </c>
      <c r="AA1649" s="4">
        <f>=ROUNDDOWN(3.75,0)</f>
      </c>
      <c r="AB1649" s="5">
        <v>4</v>
      </c>
      <c r="AC1649" s="2" t="s">
        <v>100</v>
      </c>
      <c r="AD1649" s="4"/>
      <c r="AE1649" s="4"/>
      <c r="AF1649" s="6">
        <v>65</v>
      </c>
      <c r="AG1649" s="6"/>
      <c r="AH1649" s="7">
        <v>0.8548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4</v>
      </c>
      <c r="BK1649" s="8">
        <v>344</v>
      </c>
      <c r="BL1649" s="2" t="s">
        <v>5497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147</v>
      </c>
      <c r="BV1649" s="2" t="s">
        <v>97</v>
      </c>
      <c r="BW1649" s="2" t="s">
        <v>100</v>
      </c>
      <c r="BX1649" s="2" t="s">
        <v>100</v>
      </c>
      <c r="BY1649" s="2" t="s">
        <v>112</v>
      </c>
      <c r="BZ1649" s="2" t="s">
        <v>100</v>
      </c>
    </row>
    <row r="1650">
      <c r="A1650" s="2" t="s">
        <v>5498</v>
      </c>
      <c r="B1650" s="2" t="s">
        <v>87</v>
      </c>
      <c r="C1650" s="2" t="s">
        <v>5275</v>
      </c>
      <c r="D1650" s="2" t="s">
        <v>3234</v>
      </c>
      <c r="E1650" s="2" t="s">
        <v>3235</v>
      </c>
      <c r="F1650" s="2" t="s">
        <v>5403</v>
      </c>
      <c r="G1650" s="2" t="s">
        <v>5403</v>
      </c>
      <c r="H1650" s="2" t="s">
        <v>5403</v>
      </c>
      <c r="I1650" s="2" t="s">
        <v>5496</v>
      </c>
      <c r="J1650" s="2" t="s">
        <v>850</v>
      </c>
      <c r="K1650" s="2" t="s">
        <v>5334</v>
      </c>
      <c r="L1650" s="3">
        <v>90</v>
      </c>
      <c r="M1650" s="3">
        <v>94.5</v>
      </c>
      <c r="N1650" s="3">
        <v>179.99</v>
      </c>
      <c r="O1650" s="2" t="s">
        <v>97</v>
      </c>
      <c r="P1650" s="2" t="s">
        <v>1166</v>
      </c>
      <c r="Q1650" s="2" t="s">
        <v>99</v>
      </c>
      <c r="R1650" s="2" t="s">
        <v>100</v>
      </c>
      <c r="S1650" s="2" t="s">
        <v>5405</v>
      </c>
      <c r="T1650" s="2" t="s">
        <v>732</v>
      </c>
      <c r="U1650" s="2" t="s">
        <v>790</v>
      </c>
      <c r="V1650" s="2" t="s">
        <v>561</v>
      </c>
      <c r="W1650" s="2" t="s">
        <v>808</v>
      </c>
      <c r="X1650" s="2" t="s">
        <v>5406</v>
      </c>
      <c r="Y1650" s="2" t="s">
        <v>5407</v>
      </c>
      <c r="Z1650" s="4">
        <v>12</v>
      </c>
      <c r="AA1650" s="4">
        <f>=ROUNDDOWN(2.4,0)</f>
      </c>
      <c r="AB1650" s="5">
        <v>5</v>
      </c>
      <c r="AC1650" s="2" t="s">
        <v>100</v>
      </c>
      <c r="AD1650" s="4"/>
      <c r="AE1650" s="4"/>
      <c r="AF1650" s="6">
        <v>65</v>
      </c>
      <c r="AG1650" s="6"/>
      <c r="AH1650" s="7">
        <v>0.8387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6</v>
      </c>
      <c r="BK1650" s="8">
        <v>598.5</v>
      </c>
      <c r="BL1650" s="2" t="s">
        <v>5499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147</v>
      </c>
      <c r="BV1650" s="2" t="s">
        <v>97</v>
      </c>
      <c r="BW1650" s="2" t="s">
        <v>100</v>
      </c>
      <c r="BX1650" s="2" t="s">
        <v>100</v>
      </c>
      <c r="BY1650" s="2" t="s">
        <v>112</v>
      </c>
      <c r="BZ1650" s="2" t="s">
        <v>100</v>
      </c>
    </row>
    <row r="1651">
      <c r="A1651" s="2" t="s">
        <v>5500</v>
      </c>
      <c r="B1651" s="2" t="s">
        <v>87</v>
      </c>
      <c r="C1651" s="2" t="s">
        <v>5275</v>
      </c>
      <c r="D1651" s="2" t="s">
        <v>3234</v>
      </c>
      <c r="E1651" s="2" t="s">
        <v>3235</v>
      </c>
      <c r="F1651" s="2" t="s">
        <v>5403</v>
      </c>
      <c r="G1651" s="2" t="s">
        <v>5403</v>
      </c>
      <c r="H1651" s="2" t="s">
        <v>5403</v>
      </c>
      <c r="I1651" s="2" t="s">
        <v>5496</v>
      </c>
      <c r="J1651" s="2" t="s">
        <v>844</v>
      </c>
      <c r="K1651" s="2" t="s">
        <v>5415</v>
      </c>
      <c r="L1651" s="3">
        <v>80</v>
      </c>
      <c r="M1651" s="3">
        <v>84</v>
      </c>
      <c r="N1651" s="3">
        <v>159.99</v>
      </c>
      <c r="O1651" s="2" t="s">
        <v>97</v>
      </c>
      <c r="P1651" s="2" t="s">
        <v>124</v>
      </c>
      <c r="Q1651" s="2" t="s">
        <v>99</v>
      </c>
      <c r="R1651" s="2" t="s">
        <v>100</v>
      </c>
      <c r="S1651" s="2" t="s">
        <v>5416</v>
      </c>
      <c r="T1651" s="2" t="s">
        <v>732</v>
      </c>
      <c r="U1651" s="2" t="s">
        <v>790</v>
      </c>
      <c r="V1651" s="2" t="s">
        <v>561</v>
      </c>
      <c r="W1651" s="2" t="s">
        <v>808</v>
      </c>
      <c r="X1651" s="2" t="s">
        <v>5406</v>
      </c>
      <c r="Y1651" s="2" t="s">
        <v>5336</v>
      </c>
      <c r="Z1651" s="4">
        <v>28</v>
      </c>
      <c r="AA1651" s="4">
        <f>=ROUNDDOWN(9.33333333333333,0)</f>
      </c>
      <c r="AB1651" s="5">
        <v>3</v>
      </c>
      <c r="AC1651" s="2" t="s">
        <v>1328</v>
      </c>
      <c r="AD1651" s="4">
        <v>27</v>
      </c>
      <c r="AE1651" s="4">
        <v>77</v>
      </c>
      <c r="AF1651" s="6">
        <v>65</v>
      </c>
      <c r="AG1651" s="6"/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20</v>
      </c>
      <c r="BK1651" s="8">
        <v>1802.06</v>
      </c>
      <c r="BL1651" s="2" t="s">
        <v>4557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147</v>
      </c>
      <c r="BV1651" s="2" t="s">
        <v>97</v>
      </c>
      <c r="BW1651" s="2" t="s">
        <v>100</v>
      </c>
      <c r="BX1651" s="2" t="s">
        <v>100</v>
      </c>
      <c r="BY1651" s="2" t="s">
        <v>112</v>
      </c>
      <c r="BZ1651" s="2" t="s">
        <v>100</v>
      </c>
    </row>
    <row r="1652">
      <c r="A1652" s="2" t="s">
        <v>5501</v>
      </c>
      <c r="B1652" s="2" t="s">
        <v>87</v>
      </c>
      <c r="C1652" s="2" t="s">
        <v>5275</v>
      </c>
      <c r="D1652" s="2" t="s">
        <v>3234</v>
      </c>
      <c r="E1652" s="2" t="s">
        <v>3235</v>
      </c>
      <c r="F1652" s="2" t="s">
        <v>5403</v>
      </c>
      <c r="G1652" s="2" t="s">
        <v>5403</v>
      </c>
      <c r="H1652" s="2" t="s">
        <v>5403</v>
      </c>
      <c r="I1652" s="2" t="s">
        <v>5496</v>
      </c>
      <c r="J1652" s="2" t="s">
        <v>850</v>
      </c>
      <c r="K1652" s="2" t="s">
        <v>5415</v>
      </c>
      <c r="L1652" s="3">
        <v>90</v>
      </c>
      <c r="M1652" s="3">
        <v>94.5</v>
      </c>
      <c r="N1652" s="3">
        <v>179.99</v>
      </c>
      <c r="O1652" s="2" t="s">
        <v>97</v>
      </c>
      <c r="P1652" s="2" t="s">
        <v>124</v>
      </c>
      <c r="Q1652" s="2" t="s">
        <v>99</v>
      </c>
      <c r="R1652" s="2" t="s">
        <v>100</v>
      </c>
      <c r="S1652" s="2" t="s">
        <v>5416</v>
      </c>
      <c r="T1652" s="2" t="s">
        <v>732</v>
      </c>
      <c r="U1652" s="2" t="s">
        <v>790</v>
      </c>
      <c r="V1652" s="2" t="s">
        <v>561</v>
      </c>
      <c r="W1652" s="2" t="s">
        <v>808</v>
      </c>
      <c r="X1652" s="2" t="s">
        <v>5406</v>
      </c>
      <c r="Y1652" s="2" t="s">
        <v>5336</v>
      </c>
      <c r="Z1652" s="4">
        <v>59</v>
      </c>
      <c r="AA1652" s="4">
        <f>=ROUNDDOWN(14.75,0)</f>
      </c>
      <c r="AB1652" s="5">
        <v>4</v>
      </c>
      <c r="AC1652" s="2" t="s">
        <v>1328</v>
      </c>
      <c r="AD1652" s="4">
        <v>27</v>
      </c>
      <c r="AE1652" s="4">
        <v>67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31</v>
      </c>
      <c r="BK1652" s="8">
        <v>3190.67</v>
      </c>
      <c r="BL1652" s="2" t="s">
        <v>5502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147</v>
      </c>
      <c r="BV1652" s="2" t="s">
        <v>97</v>
      </c>
      <c r="BW1652" s="2" t="s">
        <v>100</v>
      </c>
      <c r="BX1652" s="2" t="s">
        <v>100</v>
      </c>
      <c r="BY1652" s="2" t="s">
        <v>112</v>
      </c>
      <c r="BZ1652" s="2" t="s">
        <v>100</v>
      </c>
    </row>
    <row r="1653">
      <c r="A1653" s="2" t="s">
        <v>5503</v>
      </c>
      <c r="B1653" s="2" t="s">
        <v>87</v>
      </c>
      <c r="C1653" s="2" t="s">
        <v>5275</v>
      </c>
      <c r="D1653" s="2" t="s">
        <v>3234</v>
      </c>
      <c r="E1653" s="2" t="s">
        <v>3235</v>
      </c>
      <c r="F1653" s="2" t="s">
        <v>5425</v>
      </c>
      <c r="G1653" s="2" t="s">
        <v>5425</v>
      </c>
      <c r="H1653" s="2" t="s">
        <v>5425</v>
      </c>
      <c r="I1653" s="2" t="s">
        <v>5504</v>
      </c>
      <c r="J1653" s="2" t="s">
        <v>844</v>
      </c>
      <c r="K1653" s="2" t="s">
        <v>5427</v>
      </c>
      <c r="L1653" s="3">
        <v>72</v>
      </c>
      <c r="M1653" s="3">
        <v>75.6</v>
      </c>
      <c r="N1653" s="3">
        <v>149.99</v>
      </c>
      <c r="O1653" s="2" t="s">
        <v>97</v>
      </c>
      <c r="P1653" s="2" t="s">
        <v>98</v>
      </c>
      <c r="Q1653" s="2" t="s">
        <v>99</v>
      </c>
      <c r="R1653" s="2" t="s">
        <v>100</v>
      </c>
      <c r="S1653" s="2" t="s">
        <v>5428</v>
      </c>
      <c r="T1653" s="2" t="s">
        <v>732</v>
      </c>
      <c r="U1653" s="2" t="s">
        <v>790</v>
      </c>
      <c r="V1653" s="2" t="s">
        <v>906</v>
      </c>
      <c r="W1653" s="2" t="s">
        <v>906</v>
      </c>
      <c r="X1653" s="2" t="s">
        <v>100</v>
      </c>
      <c r="Y1653" s="2" t="s">
        <v>2988</v>
      </c>
      <c r="Z1653" s="4">
        <v>31</v>
      </c>
      <c r="AA1653" s="4">
        <f>=ROUNDDOWN(15.5,0)</f>
      </c>
      <c r="AB1653" s="5">
        <v>2</v>
      </c>
      <c r="AC1653" s="2" t="s">
        <v>2152</v>
      </c>
      <c r="AD1653" s="4">
        <v>30</v>
      </c>
      <c r="AE1653" s="4">
        <v>30</v>
      </c>
      <c r="AF1653" s="6">
        <v>67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33</v>
      </c>
      <c r="BK1653" s="8">
        <v>2610.22</v>
      </c>
      <c r="BL1653" s="2" t="s">
        <v>5423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147</v>
      </c>
      <c r="BV1653" s="2" t="s">
        <v>97</v>
      </c>
      <c r="BW1653" s="2" t="s">
        <v>100</v>
      </c>
      <c r="BX1653" s="2" t="s">
        <v>100</v>
      </c>
      <c r="BY1653" s="2" t="s">
        <v>112</v>
      </c>
      <c r="BZ1653" s="2" t="s">
        <v>100</v>
      </c>
    </row>
    <row r="1654">
      <c r="A1654" s="2" t="s">
        <v>5505</v>
      </c>
      <c r="B1654" s="2" t="s">
        <v>87</v>
      </c>
      <c r="C1654" s="2" t="s">
        <v>5275</v>
      </c>
      <c r="D1654" s="2" t="s">
        <v>3234</v>
      </c>
      <c r="E1654" s="2" t="s">
        <v>3235</v>
      </c>
      <c r="F1654" s="2" t="s">
        <v>5425</v>
      </c>
      <c r="G1654" s="2" t="s">
        <v>5425</v>
      </c>
      <c r="H1654" s="2" t="s">
        <v>5425</v>
      </c>
      <c r="I1654" s="2" t="s">
        <v>5504</v>
      </c>
      <c r="J1654" s="2" t="s">
        <v>850</v>
      </c>
      <c r="K1654" s="2" t="s">
        <v>5427</v>
      </c>
      <c r="L1654" s="3">
        <v>81.6</v>
      </c>
      <c r="M1654" s="3">
        <v>85.68</v>
      </c>
      <c r="N1654" s="3">
        <v>169.99</v>
      </c>
      <c r="O1654" s="2" t="s">
        <v>97</v>
      </c>
      <c r="P1654" s="2" t="s">
        <v>98</v>
      </c>
      <c r="Q1654" s="2" t="s">
        <v>99</v>
      </c>
      <c r="R1654" s="2" t="s">
        <v>100</v>
      </c>
      <c r="S1654" s="2" t="s">
        <v>5428</v>
      </c>
      <c r="T1654" s="2" t="s">
        <v>732</v>
      </c>
      <c r="U1654" s="2" t="s">
        <v>790</v>
      </c>
      <c r="V1654" s="2" t="s">
        <v>906</v>
      </c>
      <c r="W1654" s="2" t="s">
        <v>906</v>
      </c>
      <c r="X1654" s="2" t="s">
        <v>100</v>
      </c>
      <c r="Y1654" s="2" t="s">
        <v>2988</v>
      </c>
      <c r="Z1654" s="4">
        <v>3</v>
      </c>
      <c r="AA1654" s="4">
        <f>=ROUNDDOWN(1,0)</f>
      </c>
      <c r="AB1654" s="5">
        <v>3</v>
      </c>
      <c r="AC1654" s="2" t="s">
        <v>2152</v>
      </c>
      <c r="AD1654" s="4">
        <v>86</v>
      </c>
      <c r="AE1654" s="4">
        <v>86</v>
      </c>
      <c r="AF1654" s="6">
        <v>67</v>
      </c>
      <c r="AG1654" s="6"/>
      <c r="AH1654" s="7">
        <v>0.9152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50</v>
      </c>
      <c r="BK1654" s="8">
        <v>4573.21</v>
      </c>
      <c r="BL1654" s="2" t="s">
        <v>5506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147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5507</v>
      </c>
      <c r="B1655" s="2" t="s">
        <v>87</v>
      </c>
      <c r="C1655" s="2" t="s">
        <v>5275</v>
      </c>
      <c r="D1655" s="2" t="s">
        <v>3234</v>
      </c>
      <c r="E1655" s="2" t="s">
        <v>3235</v>
      </c>
      <c r="F1655" s="2" t="s">
        <v>5434</v>
      </c>
      <c r="G1655" s="2" t="s">
        <v>100</v>
      </c>
      <c r="H1655" s="2" t="s">
        <v>100</v>
      </c>
      <c r="I1655" s="2" t="s">
        <v>3360</v>
      </c>
      <c r="J1655" s="2" t="s">
        <v>844</v>
      </c>
      <c r="K1655" s="2" t="s">
        <v>635</v>
      </c>
      <c r="L1655" s="3">
        <v>96.89</v>
      </c>
      <c r="M1655" s="3">
        <v>101.74</v>
      </c>
      <c r="N1655" s="3">
        <v>199.99</v>
      </c>
      <c r="O1655" s="2" t="s">
        <v>97</v>
      </c>
      <c r="P1655" s="2" t="s">
        <v>182</v>
      </c>
      <c r="Q1655" s="2" t="s">
        <v>99</v>
      </c>
      <c r="R1655" s="2" t="s">
        <v>100</v>
      </c>
      <c r="S1655" s="2" t="s">
        <v>5436</v>
      </c>
      <c r="T1655" s="2" t="s">
        <v>100</v>
      </c>
      <c r="U1655" s="2" t="s">
        <v>100</v>
      </c>
      <c r="V1655" s="2" t="s">
        <v>455</v>
      </c>
      <c r="W1655" s="2" t="s">
        <v>808</v>
      </c>
      <c r="X1655" s="2" t="s">
        <v>733</v>
      </c>
      <c r="Y1655" s="2" t="s">
        <v>106</v>
      </c>
      <c r="Z1655" s="4">
        <v>49</v>
      </c>
      <c r="AA1655" s="4">
        <f>=ROUNDDOWN(49,0)</f>
      </c>
      <c r="AB1655" s="5">
        <v>1</v>
      </c>
      <c r="AC1655" s="2" t="s">
        <v>1328</v>
      </c>
      <c r="AD1655" s="4">
        <v>35</v>
      </c>
      <c r="AE1655" s="4">
        <v>35</v>
      </c>
      <c r="AF1655" s="6">
        <v>69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13</v>
      </c>
      <c r="BK1655" s="8">
        <v>1264.03</v>
      </c>
      <c r="BL1655" s="2" t="s">
        <v>5508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147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5509</v>
      </c>
      <c r="B1656" s="2" t="s">
        <v>87</v>
      </c>
      <c r="C1656" s="2" t="s">
        <v>5275</v>
      </c>
      <c r="D1656" s="2" t="s">
        <v>3234</v>
      </c>
      <c r="E1656" s="2" t="s">
        <v>3235</v>
      </c>
      <c r="F1656" s="2" t="s">
        <v>5434</v>
      </c>
      <c r="G1656" s="2" t="s">
        <v>100</v>
      </c>
      <c r="H1656" s="2" t="s">
        <v>100</v>
      </c>
      <c r="I1656" s="2" t="s">
        <v>3360</v>
      </c>
      <c r="J1656" s="2" t="s">
        <v>114</v>
      </c>
      <c r="K1656" s="2" t="s">
        <v>635</v>
      </c>
      <c r="L1656" s="3">
        <v>109.19</v>
      </c>
      <c r="M1656" s="3">
        <v>114.65</v>
      </c>
      <c r="N1656" s="3">
        <v>224.99</v>
      </c>
      <c r="O1656" s="2" t="s">
        <v>97</v>
      </c>
      <c r="P1656" s="2" t="s">
        <v>182</v>
      </c>
      <c r="Q1656" s="2" t="s">
        <v>99</v>
      </c>
      <c r="R1656" s="2" t="s">
        <v>100</v>
      </c>
      <c r="S1656" s="2" t="s">
        <v>5436</v>
      </c>
      <c r="T1656" s="2" t="s">
        <v>100</v>
      </c>
      <c r="U1656" s="2" t="s">
        <v>100</v>
      </c>
      <c r="V1656" s="2" t="s">
        <v>455</v>
      </c>
      <c r="W1656" s="2" t="s">
        <v>808</v>
      </c>
      <c r="X1656" s="2" t="s">
        <v>733</v>
      </c>
      <c r="Y1656" s="2" t="s">
        <v>106</v>
      </c>
      <c r="Z1656" s="4">
        <v>15</v>
      </c>
      <c r="AA1656" s="4">
        <f>=ROUNDDOWN(15,0)</f>
      </c>
      <c r="AB1656" s="5">
        <v>1</v>
      </c>
      <c r="AC1656" s="2" t="s">
        <v>126</v>
      </c>
      <c r="AD1656" s="4">
        <v>37</v>
      </c>
      <c r="AE1656" s="4">
        <v>74</v>
      </c>
      <c r="AF1656" s="6">
        <v>69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27</v>
      </c>
      <c r="BK1656" s="8">
        <v>3130.68</v>
      </c>
      <c r="BL1656" s="2" t="s">
        <v>5510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147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5511</v>
      </c>
      <c r="B1657" s="2" t="s">
        <v>87</v>
      </c>
      <c r="C1657" s="2" t="s">
        <v>5275</v>
      </c>
      <c r="D1657" s="2" t="s">
        <v>3234</v>
      </c>
      <c r="E1657" s="2" t="s">
        <v>3235</v>
      </c>
      <c r="F1657" s="2" t="s">
        <v>5434</v>
      </c>
      <c r="G1657" s="2" t="s">
        <v>100</v>
      </c>
      <c r="H1657" s="2" t="s">
        <v>100</v>
      </c>
      <c r="I1657" s="2" t="s">
        <v>5512</v>
      </c>
      <c r="J1657" s="2" t="s">
        <v>844</v>
      </c>
      <c r="K1657" s="2" t="s">
        <v>622</v>
      </c>
      <c r="L1657" s="3">
        <v>96.89</v>
      </c>
      <c r="M1657" s="3">
        <v>101.74</v>
      </c>
      <c r="N1657" s="3">
        <v>199.99</v>
      </c>
      <c r="O1657" s="2" t="s">
        <v>97</v>
      </c>
      <c r="P1657" s="2" t="s">
        <v>182</v>
      </c>
      <c r="Q1657" s="2" t="s">
        <v>99</v>
      </c>
      <c r="R1657" s="2" t="s">
        <v>100</v>
      </c>
      <c r="S1657" s="2" t="s">
        <v>5441</v>
      </c>
      <c r="T1657" s="2" t="s">
        <v>100</v>
      </c>
      <c r="U1657" s="2" t="s">
        <v>100</v>
      </c>
      <c r="V1657" s="2" t="s">
        <v>455</v>
      </c>
      <c r="W1657" s="2" t="s">
        <v>808</v>
      </c>
      <c r="X1657" s="2" t="s">
        <v>733</v>
      </c>
      <c r="Y1657" s="2" t="s">
        <v>5442</v>
      </c>
      <c r="Z1657" s="4">
        <v>78</v>
      </c>
      <c r="AA1657" s="4">
        <f>=ROUNDDOWN(26,0)</f>
      </c>
      <c r="AB1657" s="5">
        <v>3</v>
      </c>
      <c r="AC1657" s="2" t="s">
        <v>766</v>
      </c>
      <c r="AD1657" s="4">
        <v>60</v>
      </c>
      <c r="AE1657" s="4">
        <v>60</v>
      </c>
      <c r="AF1657" s="6">
        <v>69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26</v>
      </c>
      <c r="BK1657" s="8">
        <v>2681.78</v>
      </c>
      <c r="BL1657" s="2" t="s">
        <v>5513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147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5514</v>
      </c>
      <c r="B1658" s="2" t="s">
        <v>87</v>
      </c>
      <c r="C1658" s="2" t="s">
        <v>5275</v>
      </c>
      <c r="D1658" s="2" t="s">
        <v>3234</v>
      </c>
      <c r="E1658" s="2" t="s">
        <v>3235</v>
      </c>
      <c r="F1658" s="2" t="s">
        <v>5434</v>
      </c>
      <c r="G1658" s="2" t="s">
        <v>100</v>
      </c>
      <c r="H1658" s="2" t="s">
        <v>100</v>
      </c>
      <c r="I1658" s="2" t="s">
        <v>5515</v>
      </c>
      <c r="J1658" s="2" t="s">
        <v>114</v>
      </c>
      <c r="K1658" s="2" t="s">
        <v>622</v>
      </c>
      <c r="L1658" s="3">
        <v>109.19</v>
      </c>
      <c r="M1658" s="3">
        <v>114.65</v>
      </c>
      <c r="N1658" s="3">
        <v>224.99</v>
      </c>
      <c r="O1658" s="2" t="s">
        <v>97</v>
      </c>
      <c r="P1658" s="2" t="s">
        <v>182</v>
      </c>
      <c r="Q1658" s="2" t="s">
        <v>99</v>
      </c>
      <c r="R1658" s="2" t="s">
        <v>100</v>
      </c>
      <c r="S1658" s="2" t="s">
        <v>5441</v>
      </c>
      <c r="T1658" s="2" t="s">
        <v>100</v>
      </c>
      <c r="U1658" s="2" t="s">
        <v>100</v>
      </c>
      <c r="V1658" s="2" t="s">
        <v>455</v>
      </c>
      <c r="W1658" s="2" t="s">
        <v>808</v>
      </c>
      <c r="X1658" s="2" t="s">
        <v>733</v>
      </c>
      <c r="Y1658" s="2" t="s">
        <v>5442</v>
      </c>
      <c r="Z1658" s="4">
        <v>86</v>
      </c>
      <c r="AA1658" s="4">
        <f>=ROUNDDOWN(21.5,0)</f>
      </c>
      <c r="AB1658" s="5">
        <v>4</v>
      </c>
      <c r="AC1658" s="2" t="s">
        <v>766</v>
      </c>
      <c r="AD1658" s="4">
        <v>5</v>
      </c>
      <c r="AE1658" s="4">
        <v>5</v>
      </c>
      <c r="AF1658" s="6">
        <v>69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100</v>
      </c>
      <c r="AW1658" s="8" t="s">
        <v>100</v>
      </c>
      <c r="AX1658" s="4" t="s">
        <v>100</v>
      </c>
      <c r="AY1658" s="8" t="s">
        <v>100</v>
      </c>
      <c r="AZ1658" s="7" t="s">
        <v>100</v>
      </c>
      <c r="BA1658" s="7" t="s">
        <v>100</v>
      </c>
      <c r="BB1658" s="7"/>
      <c r="BC1658" s="4" t="s">
        <v>100</v>
      </c>
      <c r="BD1658" s="8" t="s">
        <v>100</v>
      </c>
      <c r="BE1658" s="4" t="s">
        <v>100</v>
      </c>
      <c r="BF1658" s="8" t="s">
        <v>100</v>
      </c>
      <c r="BG1658" s="7" t="s">
        <v>100</v>
      </c>
      <c r="BH1658" s="7" t="s">
        <v>100</v>
      </c>
      <c r="BI1658" s="7"/>
      <c r="BJ1658" s="4">
        <v>77</v>
      </c>
      <c r="BK1658" s="8">
        <v>8596.39</v>
      </c>
      <c r="BL1658" s="2" t="s">
        <v>5516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147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5517</v>
      </c>
      <c r="B1659" s="2" t="s">
        <v>87</v>
      </c>
      <c r="C1659" s="2" t="s">
        <v>5275</v>
      </c>
      <c r="D1659" s="2" t="s">
        <v>2308</v>
      </c>
      <c r="E1659" s="2" t="s">
        <v>3080</v>
      </c>
      <c r="F1659" s="2" t="s">
        <v>1351</v>
      </c>
      <c r="G1659" s="2" t="s">
        <v>1351</v>
      </c>
      <c r="H1659" s="2" t="s">
        <v>1351</v>
      </c>
      <c r="I1659" s="2" t="s">
        <v>5518</v>
      </c>
      <c r="J1659" s="2" t="s">
        <v>844</v>
      </c>
      <c r="K1659" s="2" t="s">
        <v>267</v>
      </c>
      <c r="L1659" s="3">
        <v>75</v>
      </c>
      <c r="M1659" s="3">
        <v>78.74</v>
      </c>
      <c r="N1659" s="3">
        <v>164.99</v>
      </c>
      <c r="O1659" s="2" t="s">
        <v>97</v>
      </c>
      <c r="P1659" s="2" t="s">
        <v>182</v>
      </c>
      <c r="Q1659" s="2" t="s">
        <v>99</v>
      </c>
      <c r="R1659" s="2" t="s">
        <v>100</v>
      </c>
      <c r="S1659" s="2" t="s">
        <v>5519</v>
      </c>
      <c r="T1659" s="2" t="s">
        <v>732</v>
      </c>
      <c r="U1659" s="2" t="s">
        <v>1482</v>
      </c>
      <c r="V1659" s="2" t="s">
        <v>906</v>
      </c>
      <c r="W1659" s="2" t="s">
        <v>906</v>
      </c>
      <c r="X1659" s="2" t="s">
        <v>808</v>
      </c>
      <c r="Y1659" s="2" t="s">
        <v>106</v>
      </c>
      <c r="Z1659" s="4">
        <v>74</v>
      </c>
      <c r="AA1659" s="4">
        <f>=ROUNDDOWN(7.18446601941748,0)</f>
      </c>
      <c r="AB1659" s="5">
        <v>10.3</v>
      </c>
      <c r="AC1659" s="2" t="s">
        <v>746</v>
      </c>
      <c r="AD1659" s="4">
        <v>12</v>
      </c>
      <c r="AE1659" s="4">
        <v>240</v>
      </c>
      <c r="AF1659" s="6">
        <v>68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>
        <v>0</v>
      </c>
      <c r="AP1659" s="4">
        <v>2</v>
      </c>
      <c r="AQ1659" s="8">
        <v>157.5</v>
      </c>
      <c r="AR1659" s="4">
        <v>1</v>
      </c>
      <c r="AS1659" s="8">
        <v>78.75</v>
      </c>
      <c r="AT1659" s="7">
        <v>1</v>
      </c>
      <c r="AU1659" s="7">
        <v>1</v>
      </c>
      <c r="AV1659" s="4">
        <v>3</v>
      </c>
      <c r="AW1659" s="8">
        <v>246.75</v>
      </c>
      <c r="AX1659" s="4">
        <v>6</v>
      </c>
      <c r="AY1659" s="8">
        <v>525</v>
      </c>
      <c r="AZ1659" s="7">
        <v>-0.5</v>
      </c>
      <c r="BA1659" s="7">
        <v>-0.53</v>
      </c>
      <c r="BB1659" s="7">
        <v>0.6383</v>
      </c>
      <c r="BC1659" s="4">
        <v>3</v>
      </c>
      <c r="BD1659" s="8">
        <v>246.75</v>
      </c>
      <c r="BE1659" s="4">
        <v>6</v>
      </c>
      <c r="BF1659" s="8">
        <v>525</v>
      </c>
      <c r="BG1659" s="7">
        <v>-0.5</v>
      </c>
      <c r="BH1659" s="7">
        <v>-0.53</v>
      </c>
      <c r="BI1659" s="7">
        <v>1</v>
      </c>
      <c r="BJ1659" s="4">
        <v>260</v>
      </c>
      <c r="BK1659" s="8">
        <v>22078.26</v>
      </c>
      <c r="BL1659" s="2" t="s">
        <v>5520</v>
      </c>
      <c r="BM1659" s="7">
        <v>0.0077</v>
      </c>
      <c r="BN1659" s="7">
        <v>0.0071</v>
      </c>
      <c r="BO1659" s="4">
        <v>2</v>
      </c>
      <c r="BP1659" s="8">
        <v>157.5</v>
      </c>
      <c r="BQ1659" s="4">
        <v>1</v>
      </c>
      <c r="BR1659" s="8">
        <v>78.75</v>
      </c>
      <c r="BS1659" s="7">
        <v>1</v>
      </c>
      <c r="BT1659" s="7">
        <v>1</v>
      </c>
      <c r="BU1659" s="2" t="s">
        <v>109</v>
      </c>
      <c r="BV1659" s="2" t="s">
        <v>97</v>
      </c>
      <c r="BW1659" s="2" t="s">
        <v>110</v>
      </c>
      <c r="BX1659" s="2" t="s">
        <v>5521</v>
      </c>
      <c r="BY1659" s="2" t="s">
        <v>112</v>
      </c>
      <c r="BZ1659" s="2" t="s">
        <v>100</v>
      </c>
    </row>
    <row r="1660">
      <c r="A1660" s="2" t="s">
        <v>5522</v>
      </c>
      <c r="B1660" s="2" t="s">
        <v>87</v>
      </c>
      <c r="C1660" s="2" t="s">
        <v>5275</v>
      </c>
      <c r="D1660" s="2" t="s">
        <v>2308</v>
      </c>
      <c r="E1660" s="2" t="s">
        <v>3080</v>
      </c>
      <c r="F1660" s="2" t="s">
        <v>1351</v>
      </c>
      <c r="G1660" s="2" t="s">
        <v>1351</v>
      </c>
      <c r="H1660" s="2" t="s">
        <v>1351</v>
      </c>
      <c r="I1660" s="2" t="s">
        <v>5518</v>
      </c>
      <c r="J1660" s="2" t="s">
        <v>850</v>
      </c>
      <c r="K1660" s="2" t="s">
        <v>267</v>
      </c>
      <c r="L1660" s="3">
        <v>85</v>
      </c>
      <c r="M1660" s="3">
        <v>89.24</v>
      </c>
      <c r="N1660" s="3">
        <v>189.99</v>
      </c>
      <c r="O1660" s="2" t="s">
        <v>97</v>
      </c>
      <c r="P1660" s="2" t="s">
        <v>182</v>
      </c>
      <c r="Q1660" s="2" t="s">
        <v>99</v>
      </c>
      <c r="R1660" s="2" t="s">
        <v>100</v>
      </c>
      <c r="S1660" s="2" t="s">
        <v>5519</v>
      </c>
      <c r="T1660" s="2" t="s">
        <v>732</v>
      </c>
      <c r="U1660" s="2" t="s">
        <v>1482</v>
      </c>
      <c r="V1660" s="2" t="s">
        <v>906</v>
      </c>
      <c r="W1660" s="2" t="s">
        <v>906</v>
      </c>
      <c r="X1660" s="2" t="s">
        <v>808</v>
      </c>
      <c r="Y1660" s="2" t="s">
        <v>106</v>
      </c>
      <c r="Z1660" s="4">
        <v>213</v>
      </c>
      <c r="AA1660" s="4">
        <f>=ROUNDDOWN(13.3125,0)</f>
      </c>
      <c r="AB1660" s="5">
        <v>16</v>
      </c>
      <c r="AC1660" s="2" t="s">
        <v>430</v>
      </c>
      <c r="AD1660" s="4">
        <v>110</v>
      </c>
      <c r="AE1660" s="4">
        <v>220</v>
      </c>
      <c r="AF1660" s="6">
        <v>68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>
        <v>0</v>
      </c>
      <c r="AP1660" s="4">
        <v>1</v>
      </c>
      <c r="AQ1660" s="8">
        <v>89.25</v>
      </c>
      <c r="AR1660" s="4">
        <v>5</v>
      </c>
      <c r="AS1660" s="8">
        <v>446.25</v>
      </c>
      <c r="AT1660" s="7">
        <v>-0.8</v>
      </c>
      <c r="AU1660" s="7">
        <v>-0.8</v>
      </c>
      <c r="AV1660" s="4" t="s">
        <v>100</v>
      </c>
      <c r="AW1660" s="8" t="s">
        <v>100</v>
      </c>
      <c r="AX1660" s="4" t="s">
        <v>100</v>
      </c>
      <c r="AY1660" s="8" t="s">
        <v>100</v>
      </c>
      <c r="AZ1660" s="7" t="s">
        <v>100</v>
      </c>
      <c r="BA1660" s="7" t="s">
        <v>100</v>
      </c>
      <c r="BB1660" s="7">
        <v>0.3617</v>
      </c>
      <c r="BC1660" s="4" t="s">
        <v>100</v>
      </c>
      <c r="BD1660" s="8" t="s">
        <v>100</v>
      </c>
      <c r="BE1660" s="4" t="s">
        <v>100</v>
      </c>
      <c r="BF1660" s="8" t="s">
        <v>100</v>
      </c>
      <c r="BG1660" s="7" t="s">
        <v>100</v>
      </c>
      <c r="BH1660" s="7" t="s">
        <v>100</v>
      </c>
      <c r="BI1660" s="7" t="s">
        <v>100</v>
      </c>
      <c r="BJ1660" s="4">
        <v>323</v>
      </c>
      <c r="BK1660" s="8">
        <v>31296.78</v>
      </c>
      <c r="BL1660" s="2" t="s">
        <v>5523</v>
      </c>
      <c r="BM1660" s="7">
        <v>0.0031</v>
      </c>
      <c r="BN1660" s="7">
        <v>0.0029</v>
      </c>
      <c r="BO1660" s="4">
        <v>1</v>
      </c>
      <c r="BP1660" s="8">
        <v>89.25</v>
      </c>
      <c r="BQ1660" s="4">
        <v>5</v>
      </c>
      <c r="BR1660" s="8">
        <v>446.25</v>
      </c>
      <c r="BS1660" s="7">
        <v>-0.8</v>
      </c>
      <c r="BT1660" s="7">
        <v>-0.8</v>
      </c>
      <c r="BU1660" s="2" t="s">
        <v>109</v>
      </c>
      <c r="BV1660" s="2" t="s">
        <v>97</v>
      </c>
      <c r="BW1660" s="2" t="s">
        <v>110</v>
      </c>
      <c r="BX1660" s="2" t="s">
        <v>5524</v>
      </c>
      <c r="BY1660" s="2" t="s">
        <v>112</v>
      </c>
      <c r="BZ1660" s="2" t="s">
        <v>100</v>
      </c>
    </row>
    <row r="1661">
      <c r="A1661" s="2" t="s">
        <v>5525</v>
      </c>
      <c r="B1661" s="2" t="s">
        <v>87</v>
      </c>
      <c r="C1661" s="2" t="s">
        <v>5275</v>
      </c>
      <c r="D1661" s="2" t="s">
        <v>2308</v>
      </c>
      <c r="E1661" s="2" t="s">
        <v>3080</v>
      </c>
      <c r="F1661" s="2" t="s">
        <v>1351</v>
      </c>
      <c r="G1661" s="2" t="s">
        <v>1351</v>
      </c>
      <c r="H1661" s="2" t="s">
        <v>1351</v>
      </c>
      <c r="I1661" s="2" t="s">
        <v>5518</v>
      </c>
      <c r="J1661" s="2" t="s">
        <v>844</v>
      </c>
      <c r="K1661" s="2" t="s">
        <v>197</v>
      </c>
      <c r="L1661" s="3">
        <v>75</v>
      </c>
      <c r="M1661" s="3">
        <v>78.74</v>
      </c>
      <c r="N1661" s="3">
        <v>164.99</v>
      </c>
      <c r="O1661" s="2" t="s">
        <v>97</v>
      </c>
      <c r="P1661" s="2" t="s">
        <v>1265</v>
      </c>
      <c r="Q1661" s="2" t="s">
        <v>99</v>
      </c>
      <c r="R1661" s="2" t="s">
        <v>100</v>
      </c>
      <c r="S1661" s="2" t="s">
        <v>5526</v>
      </c>
      <c r="T1661" s="2" t="s">
        <v>732</v>
      </c>
      <c r="U1661" s="2" t="s">
        <v>1482</v>
      </c>
      <c r="V1661" s="2" t="s">
        <v>906</v>
      </c>
      <c r="W1661" s="2" t="s">
        <v>906</v>
      </c>
      <c r="X1661" s="2" t="s">
        <v>808</v>
      </c>
      <c r="Y1661" s="2" t="s">
        <v>5527</v>
      </c>
      <c r="Z1661" s="4">
        <v>82</v>
      </c>
      <c r="AA1661" s="4">
        <f>=ROUNDDOWN(13.6666666666667,0)</f>
      </c>
      <c r="AB1661" s="5">
        <v>6</v>
      </c>
      <c r="AC1661" s="2" t="s">
        <v>766</v>
      </c>
      <c r="AD1661" s="4">
        <v>155</v>
      </c>
      <c r="AE1661" s="4">
        <v>155</v>
      </c>
      <c r="AF1661" s="6">
        <v>68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 t="s">
        <v>100</v>
      </c>
      <c r="BJ1661" s="4">
        <v>107</v>
      </c>
      <c r="BK1661" s="8">
        <v>8822.94</v>
      </c>
      <c r="BL1661" s="2" t="s">
        <v>5528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147</v>
      </c>
      <c r="BV1661" s="2" t="s">
        <v>97</v>
      </c>
      <c r="BW1661" s="2" t="s">
        <v>100</v>
      </c>
      <c r="BX1661" s="2" t="s">
        <v>100</v>
      </c>
      <c r="BY1661" s="2" t="s">
        <v>112</v>
      </c>
      <c r="BZ1661" s="2" t="s">
        <v>100</v>
      </c>
    </row>
    <row r="1662">
      <c r="A1662" s="2" t="s">
        <v>5529</v>
      </c>
      <c r="B1662" s="2" t="s">
        <v>87</v>
      </c>
      <c r="C1662" s="2" t="s">
        <v>5275</v>
      </c>
      <c r="D1662" s="2" t="s">
        <v>2308</v>
      </c>
      <c r="E1662" s="2" t="s">
        <v>3080</v>
      </c>
      <c r="F1662" s="2" t="s">
        <v>1351</v>
      </c>
      <c r="G1662" s="2" t="s">
        <v>1351</v>
      </c>
      <c r="H1662" s="2" t="s">
        <v>1351</v>
      </c>
      <c r="I1662" s="2" t="s">
        <v>5518</v>
      </c>
      <c r="J1662" s="2" t="s">
        <v>850</v>
      </c>
      <c r="K1662" s="2" t="s">
        <v>197</v>
      </c>
      <c r="L1662" s="3">
        <v>85</v>
      </c>
      <c r="M1662" s="3">
        <v>89.24</v>
      </c>
      <c r="N1662" s="3">
        <v>189.99</v>
      </c>
      <c r="O1662" s="2" t="s">
        <v>97</v>
      </c>
      <c r="P1662" s="2" t="s">
        <v>1265</v>
      </c>
      <c r="Q1662" s="2" t="s">
        <v>99</v>
      </c>
      <c r="R1662" s="2" t="s">
        <v>100</v>
      </c>
      <c r="S1662" s="2" t="s">
        <v>5526</v>
      </c>
      <c r="T1662" s="2" t="s">
        <v>732</v>
      </c>
      <c r="U1662" s="2" t="s">
        <v>1482</v>
      </c>
      <c r="V1662" s="2" t="s">
        <v>906</v>
      </c>
      <c r="W1662" s="2" t="s">
        <v>906</v>
      </c>
      <c r="X1662" s="2" t="s">
        <v>808</v>
      </c>
      <c r="Y1662" s="2" t="s">
        <v>5527</v>
      </c>
      <c r="Z1662" s="4">
        <v>213</v>
      </c>
      <c r="AA1662" s="4">
        <f>=ROUNDDOWN(42.6,0)</f>
      </c>
      <c r="AB1662" s="5">
        <v>5</v>
      </c>
      <c r="AC1662" s="2" t="s">
        <v>766</v>
      </c>
      <c r="AD1662" s="4">
        <v>60</v>
      </c>
      <c r="AE1662" s="4">
        <v>60</v>
      </c>
      <c r="AF1662" s="6">
        <v>68</v>
      </c>
      <c r="AG1662" s="6"/>
      <c r="AH1662" s="7">
        <v>0.8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 t="s">
        <v>100</v>
      </c>
      <c r="BJ1662" s="4">
        <v>107</v>
      </c>
      <c r="BK1662" s="8">
        <v>10119.07</v>
      </c>
      <c r="BL1662" s="2" t="s">
        <v>5530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147</v>
      </c>
      <c r="BV1662" s="2" t="s">
        <v>97</v>
      </c>
      <c r="BW1662" s="2" t="s">
        <v>100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5531</v>
      </c>
      <c r="B1663" s="2" t="s">
        <v>87</v>
      </c>
      <c r="C1663" s="2" t="s">
        <v>5275</v>
      </c>
      <c r="D1663" s="2" t="s">
        <v>5203</v>
      </c>
      <c r="E1663" s="2" t="s">
        <v>5204</v>
      </c>
      <c r="F1663" s="2" t="s">
        <v>5300</v>
      </c>
      <c r="G1663" s="2" t="s">
        <v>100</v>
      </c>
      <c r="H1663" s="2" t="s">
        <v>100</v>
      </c>
      <c r="I1663" s="2" t="s">
        <v>5532</v>
      </c>
      <c r="J1663" s="2" t="s">
        <v>5269</v>
      </c>
      <c r="K1663" s="2" t="s">
        <v>158</v>
      </c>
      <c r="L1663" s="3">
        <v>11.4</v>
      </c>
      <c r="M1663" s="3">
        <v>11.97</v>
      </c>
      <c r="N1663" s="3">
        <v>32.99</v>
      </c>
      <c r="O1663" s="2" t="s">
        <v>97</v>
      </c>
      <c r="P1663" s="2" t="s">
        <v>1265</v>
      </c>
      <c r="Q1663" s="2" t="s">
        <v>99</v>
      </c>
      <c r="R1663" s="2" t="s">
        <v>100</v>
      </c>
      <c r="S1663" s="2" t="s">
        <v>5301</v>
      </c>
      <c r="T1663" s="2" t="s">
        <v>100</v>
      </c>
      <c r="U1663" s="2" t="s">
        <v>100</v>
      </c>
      <c r="V1663" s="2" t="s">
        <v>906</v>
      </c>
      <c r="W1663" s="2" t="s">
        <v>906</v>
      </c>
      <c r="X1663" s="2" t="s">
        <v>808</v>
      </c>
      <c r="Y1663" s="2" t="s">
        <v>106</v>
      </c>
      <c r="Z1663" s="4">
        <v>119</v>
      </c>
      <c r="AA1663" s="4">
        <f>=ROUNDDOWN(29.75,0)</f>
      </c>
      <c r="AB1663" s="5">
        <v>4</v>
      </c>
      <c r="AC1663" s="2" t="s">
        <v>325</v>
      </c>
      <c r="AD1663" s="4">
        <v>62</v>
      </c>
      <c r="AE1663" s="4">
        <v>62</v>
      </c>
      <c r="AF1663" s="6">
        <v>66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>
        <v>0</v>
      </c>
      <c r="AP1663" s="4">
        <v>4</v>
      </c>
      <c r="AQ1663" s="8">
        <v>47.88</v>
      </c>
      <c r="AR1663" s="4">
        <v>5</v>
      </c>
      <c r="AS1663" s="8">
        <v>59.85</v>
      </c>
      <c r="AT1663" s="7">
        <v>-0.2</v>
      </c>
      <c r="AU1663" s="7">
        <v>-0.2</v>
      </c>
      <c r="AV1663" s="4">
        <v>6</v>
      </c>
      <c r="AW1663" s="8">
        <v>98.88</v>
      </c>
      <c r="AX1663" s="4">
        <v>7</v>
      </c>
      <c r="AY1663" s="8">
        <v>110.85</v>
      </c>
      <c r="AZ1663" s="7">
        <v>-0.1429</v>
      </c>
      <c r="BA1663" s="7">
        <v>-0.108</v>
      </c>
      <c r="BB1663" s="7">
        <v>0.4842</v>
      </c>
      <c r="BC1663" s="4">
        <v>6</v>
      </c>
      <c r="BD1663" s="8">
        <v>98.88</v>
      </c>
      <c r="BE1663" s="4">
        <v>7</v>
      </c>
      <c r="BF1663" s="8">
        <v>110.85</v>
      </c>
      <c r="BG1663" s="7">
        <v>-0.1429</v>
      </c>
      <c r="BH1663" s="7">
        <v>-0.108</v>
      </c>
      <c r="BI1663" s="7">
        <v>1</v>
      </c>
      <c r="BJ1663" s="4">
        <v>79</v>
      </c>
      <c r="BK1663" s="8">
        <v>921.62</v>
      </c>
      <c r="BL1663" s="2" t="s">
        <v>5533</v>
      </c>
      <c r="BM1663" s="7">
        <v>0.0506</v>
      </c>
      <c r="BN1663" s="7">
        <v>0.052</v>
      </c>
      <c r="BO1663" s="4">
        <v>4</v>
      </c>
      <c r="BP1663" s="8">
        <v>47.88</v>
      </c>
      <c r="BQ1663" s="4">
        <v>5</v>
      </c>
      <c r="BR1663" s="8">
        <v>59.85</v>
      </c>
      <c r="BS1663" s="7">
        <v>-0.2</v>
      </c>
      <c r="BT1663" s="7">
        <v>-0.2</v>
      </c>
      <c r="BU1663" s="2" t="s">
        <v>109</v>
      </c>
      <c r="BV1663" s="2" t="s">
        <v>97</v>
      </c>
      <c r="BW1663" s="2" t="s">
        <v>110</v>
      </c>
      <c r="BX1663" s="2" t="s">
        <v>373</v>
      </c>
      <c r="BY1663" s="2" t="s">
        <v>112</v>
      </c>
      <c r="BZ1663" s="2" t="s">
        <v>100</v>
      </c>
    </row>
    <row r="1664">
      <c r="A1664" s="2" t="s">
        <v>5534</v>
      </c>
      <c r="B1664" s="2" t="s">
        <v>87</v>
      </c>
      <c r="C1664" s="2" t="s">
        <v>5275</v>
      </c>
      <c r="D1664" s="2" t="s">
        <v>5203</v>
      </c>
      <c r="E1664" s="2" t="s">
        <v>5204</v>
      </c>
      <c r="F1664" s="2" t="s">
        <v>5300</v>
      </c>
      <c r="G1664" s="2" t="s">
        <v>100</v>
      </c>
      <c r="H1664" s="2" t="s">
        <v>100</v>
      </c>
      <c r="I1664" s="2" t="s">
        <v>5535</v>
      </c>
      <c r="J1664" s="2" t="s">
        <v>5217</v>
      </c>
      <c r="K1664" s="2" t="s">
        <v>158</v>
      </c>
      <c r="L1664" s="3">
        <v>24.29</v>
      </c>
      <c r="M1664" s="3">
        <v>25.5</v>
      </c>
      <c r="N1664" s="3">
        <v>49.99</v>
      </c>
      <c r="O1664" s="2" t="s">
        <v>97</v>
      </c>
      <c r="P1664" s="2" t="s">
        <v>1265</v>
      </c>
      <c r="Q1664" s="2" t="s">
        <v>99</v>
      </c>
      <c r="R1664" s="2" t="s">
        <v>100</v>
      </c>
      <c r="S1664" s="2" t="s">
        <v>5301</v>
      </c>
      <c r="T1664" s="2" t="s">
        <v>100</v>
      </c>
      <c r="U1664" s="2" t="s">
        <v>100</v>
      </c>
      <c r="V1664" s="2" t="s">
        <v>906</v>
      </c>
      <c r="W1664" s="2" t="s">
        <v>906</v>
      </c>
      <c r="X1664" s="2" t="s">
        <v>808</v>
      </c>
      <c r="Y1664" s="2" t="s">
        <v>106</v>
      </c>
      <c r="Z1664" s="4">
        <v>252</v>
      </c>
      <c r="AA1664" s="4">
        <f>=ROUNDDOWN(36,0)</f>
      </c>
      <c r="AB1664" s="5">
        <v>7</v>
      </c>
      <c r="AC1664" s="2" t="s">
        <v>325</v>
      </c>
      <c r="AD1664" s="4">
        <v>150</v>
      </c>
      <c r="AE1664" s="4">
        <v>150</v>
      </c>
      <c r="AF1664" s="6">
        <v>66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>
        <v>0</v>
      </c>
      <c r="AP1664" s="4">
        <v>2</v>
      </c>
      <c r="AQ1664" s="8">
        <v>51</v>
      </c>
      <c r="AR1664" s="4">
        <v>2</v>
      </c>
      <c r="AS1664" s="8">
        <v>51</v>
      </c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>
        <v>0.5158</v>
      </c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 t="s">
        <v>100</v>
      </c>
      <c r="BJ1664" s="4">
        <v>125</v>
      </c>
      <c r="BK1664" s="8">
        <v>3058.57</v>
      </c>
      <c r="BL1664" s="2" t="s">
        <v>5536</v>
      </c>
      <c r="BM1664" s="7">
        <v>0.016</v>
      </c>
      <c r="BN1664" s="7">
        <v>0.0167</v>
      </c>
      <c r="BO1664" s="4">
        <v>2</v>
      </c>
      <c r="BP1664" s="8">
        <v>51</v>
      </c>
      <c r="BQ1664" s="4">
        <v>2</v>
      </c>
      <c r="BR1664" s="8">
        <v>51</v>
      </c>
      <c r="BS1664" s="7"/>
      <c r="BT1664" s="7"/>
      <c r="BU1664" s="2" t="s">
        <v>109</v>
      </c>
      <c r="BV1664" s="2" t="s">
        <v>97</v>
      </c>
      <c r="BW1664" s="2" t="s">
        <v>110</v>
      </c>
      <c r="BX1664" s="2" t="s">
        <v>3475</v>
      </c>
      <c r="BY1664" s="2" t="s">
        <v>112</v>
      </c>
      <c r="BZ1664" s="2" t="s">
        <v>100</v>
      </c>
    </row>
    <row r="1665">
      <c r="A1665" s="2" t="s">
        <v>5537</v>
      </c>
      <c r="B1665" s="2" t="s">
        <v>87</v>
      </c>
      <c r="C1665" s="2" t="s">
        <v>5275</v>
      </c>
      <c r="D1665" s="2" t="s">
        <v>5203</v>
      </c>
      <c r="E1665" s="2" t="s">
        <v>5204</v>
      </c>
      <c r="F1665" s="2" t="s">
        <v>5287</v>
      </c>
      <c r="G1665" s="2" t="s">
        <v>5287</v>
      </c>
      <c r="H1665" s="2" t="s">
        <v>5287</v>
      </c>
      <c r="I1665" s="2" t="s">
        <v>5538</v>
      </c>
      <c r="J1665" s="2" t="s">
        <v>5539</v>
      </c>
      <c r="K1665" s="2" t="s">
        <v>666</v>
      </c>
      <c r="L1665" s="3">
        <v>22.5</v>
      </c>
      <c r="M1665" s="3">
        <v>23.62</v>
      </c>
      <c r="N1665" s="3">
        <v>44.99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5288</v>
      </c>
      <c r="T1665" s="2" t="s">
        <v>100</v>
      </c>
      <c r="U1665" s="2" t="s">
        <v>100</v>
      </c>
      <c r="V1665" s="2" t="s">
        <v>906</v>
      </c>
      <c r="W1665" s="2" t="s">
        <v>906</v>
      </c>
      <c r="X1665" s="2" t="s">
        <v>405</v>
      </c>
      <c r="Y1665" s="2" t="s">
        <v>106</v>
      </c>
      <c r="Z1665" s="4">
        <v>298</v>
      </c>
      <c r="AA1665" s="4">
        <f>=ROUNDDOWN(22.9230769230769,0)</f>
      </c>
      <c r="AB1665" s="5">
        <v>13</v>
      </c>
      <c r="AC1665" s="2" t="s">
        <v>1328</v>
      </c>
      <c r="AD1665" s="4">
        <v>150</v>
      </c>
      <c r="AE1665" s="4">
        <v>324</v>
      </c>
      <c r="AF1665" s="6">
        <v>66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>
        <v>0</v>
      </c>
      <c r="AP1665" s="4">
        <v>4</v>
      </c>
      <c r="AQ1665" s="8">
        <v>94.48</v>
      </c>
      <c r="AR1665" s="4">
        <v>3</v>
      </c>
      <c r="AS1665" s="8">
        <v>70.86</v>
      </c>
      <c r="AT1665" s="7">
        <v>0.3333</v>
      </c>
      <c r="AU1665" s="7">
        <v>0.3333</v>
      </c>
      <c r="AV1665" s="4">
        <v>4</v>
      </c>
      <c r="AW1665" s="8">
        <v>94.48</v>
      </c>
      <c r="AX1665" s="4">
        <v>3</v>
      </c>
      <c r="AY1665" s="8">
        <v>70.86</v>
      </c>
      <c r="AZ1665" s="7">
        <v>0.3333</v>
      </c>
      <c r="BA1665" s="7">
        <v>0.3333</v>
      </c>
      <c r="BB1665" s="7">
        <v>1</v>
      </c>
      <c r="BC1665" s="4">
        <v>4</v>
      </c>
      <c r="BD1665" s="8">
        <v>94.48</v>
      </c>
      <c r="BE1665" s="4">
        <v>3</v>
      </c>
      <c r="BF1665" s="8">
        <v>70.86</v>
      </c>
      <c r="BG1665" s="7">
        <v>0.3333</v>
      </c>
      <c r="BH1665" s="7">
        <v>0.3333</v>
      </c>
      <c r="BI1665" s="7">
        <v>1</v>
      </c>
      <c r="BJ1665" s="4">
        <v>243</v>
      </c>
      <c r="BK1665" s="8">
        <v>5737.03</v>
      </c>
      <c r="BL1665" s="2" t="s">
        <v>5540</v>
      </c>
      <c r="BM1665" s="7">
        <v>0.0165</v>
      </c>
      <c r="BN1665" s="7">
        <v>0.0165</v>
      </c>
      <c r="BO1665" s="4">
        <v>4</v>
      </c>
      <c r="BP1665" s="8">
        <v>94.48</v>
      </c>
      <c r="BQ1665" s="4">
        <v>3</v>
      </c>
      <c r="BR1665" s="8">
        <v>70.86</v>
      </c>
      <c r="BS1665" s="7">
        <v>0.3333</v>
      </c>
      <c r="BT1665" s="7">
        <v>0.3333</v>
      </c>
      <c r="BU1665" s="2" t="s">
        <v>109</v>
      </c>
      <c r="BV1665" s="2" t="s">
        <v>97</v>
      </c>
      <c r="BW1665" s="2" t="s">
        <v>132</v>
      </c>
      <c r="BX1665" s="2" t="s">
        <v>4319</v>
      </c>
      <c r="BY1665" s="2" t="s">
        <v>112</v>
      </c>
      <c r="BZ1665" s="2" t="s">
        <v>100</v>
      </c>
    </row>
    <row r="1666">
      <c r="A1666" s="2" t="s">
        <v>5541</v>
      </c>
      <c r="B1666" s="2" t="s">
        <v>87</v>
      </c>
      <c r="C1666" s="2" t="s">
        <v>5275</v>
      </c>
      <c r="D1666" s="2" t="s">
        <v>5203</v>
      </c>
      <c r="E1666" s="2" t="s">
        <v>5204</v>
      </c>
      <c r="F1666" s="2" t="s">
        <v>5287</v>
      </c>
      <c r="G1666" s="2" t="s">
        <v>5287</v>
      </c>
      <c r="H1666" s="2" t="s">
        <v>5287</v>
      </c>
      <c r="I1666" s="2" t="s">
        <v>5532</v>
      </c>
      <c r="J1666" s="2" t="s">
        <v>5269</v>
      </c>
      <c r="K1666" s="2" t="s">
        <v>158</v>
      </c>
      <c r="L1666" s="3">
        <v>16.8</v>
      </c>
      <c r="M1666" s="3">
        <v>17.63</v>
      </c>
      <c r="N1666" s="3">
        <v>34.99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5288</v>
      </c>
      <c r="T1666" s="2" t="s">
        <v>100</v>
      </c>
      <c r="U1666" s="2" t="s">
        <v>100</v>
      </c>
      <c r="V1666" s="2" t="s">
        <v>601</v>
      </c>
      <c r="W1666" s="2" t="s">
        <v>906</v>
      </c>
      <c r="X1666" s="2" t="s">
        <v>405</v>
      </c>
      <c r="Y1666" s="2" t="s">
        <v>106</v>
      </c>
      <c r="Z1666" s="4">
        <v>215</v>
      </c>
      <c r="AA1666" s="4">
        <f>=ROUNDDOWN(35.8333333333333,0)</f>
      </c>
      <c r="AB1666" s="5">
        <v>6</v>
      </c>
      <c r="AC1666" s="2" t="s">
        <v>130</v>
      </c>
      <c r="AD1666" s="4">
        <v>95</v>
      </c>
      <c r="AE1666" s="4">
        <v>185</v>
      </c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113</v>
      </c>
      <c r="BK1666" s="8">
        <v>2019.23</v>
      </c>
      <c r="BL1666" s="2" t="s">
        <v>5542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147</v>
      </c>
      <c r="BV1666" s="2" t="s">
        <v>97</v>
      </c>
      <c r="BW1666" s="2" t="s">
        <v>100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5543</v>
      </c>
      <c r="B1667" s="2" t="s">
        <v>87</v>
      </c>
      <c r="C1667" s="2" t="s">
        <v>5275</v>
      </c>
      <c r="D1667" s="2" t="s">
        <v>5203</v>
      </c>
      <c r="E1667" s="2" t="s">
        <v>5204</v>
      </c>
      <c r="F1667" s="2" t="s">
        <v>5325</v>
      </c>
      <c r="G1667" s="2" t="s">
        <v>5325</v>
      </c>
      <c r="H1667" s="2" t="s">
        <v>5325</v>
      </c>
      <c r="I1667" s="2" t="s">
        <v>5544</v>
      </c>
      <c r="J1667" s="2" t="s">
        <v>5269</v>
      </c>
      <c r="K1667" s="2" t="s">
        <v>622</v>
      </c>
      <c r="L1667" s="3">
        <v>15.75</v>
      </c>
      <c r="M1667" s="3">
        <v>16.53</v>
      </c>
      <c r="N1667" s="3">
        <v>34.99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5545</v>
      </c>
      <c r="T1667" s="2" t="s">
        <v>100</v>
      </c>
      <c r="U1667" s="2" t="s">
        <v>100</v>
      </c>
      <c r="V1667" s="2" t="s">
        <v>637</v>
      </c>
      <c r="W1667" s="2" t="s">
        <v>808</v>
      </c>
      <c r="X1667" s="2" t="s">
        <v>906</v>
      </c>
      <c r="Y1667" s="2" t="s">
        <v>5315</v>
      </c>
      <c r="Z1667" s="4">
        <v>57</v>
      </c>
      <c r="AA1667" s="4">
        <f>=ROUNDDOWN(4.07142857142857,0)</f>
      </c>
      <c r="AB1667" s="5">
        <v>14</v>
      </c>
      <c r="AC1667" s="2" t="s">
        <v>1208</v>
      </c>
      <c r="AD1667" s="4">
        <v>100</v>
      </c>
      <c r="AE1667" s="4">
        <v>350</v>
      </c>
      <c r="AF1667" s="6">
        <v>64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>
        <v>0</v>
      </c>
      <c r="AP1667" s="4">
        <v>1</v>
      </c>
      <c r="AQ1667" s="8">
        <v>16.54</v>
      </c>
      <c r="AR1667" s="4">
        <v>1</v>
      </c>
      <c r="AS1667" s="8">
        <v>16.54</v>
      </c>
      <c r="AT1667" s="7"/>
      <c r="AU1667" s="7"/>
      <c r="AV1667" s="4">
        <v>2</v>
      </c>
      <c r="AW1667" s="8">
        <v>36.28</v>
      </c>
      <c r="AX1667" s="4">
        <v>2</v>
      </c>
      <c r="AY1667" s="8">
        <v>36.28</v>
      </c>
      <c r="AZ1667" s="7" t="s">
        <v>100</v>
      </c>
      <c r="BA1667" s="7" t="s">
        <v>100</v>
      </c>
      <c r="BB1667" s="7">
        <v>0.4559</v>
      </c>
      <c r="BC1667" s="4">
        <v>2</v>
      </c>
      <c r="BD1667" s="8">
        <v>36.28</v>
      </c>
      <c r="BE1667" s="4">
        <v>2</v>
      </c>
      <c r="BF1667" s="8">
        <v>36.28</v>
      </c>
      <c r="BG1667" s="7" t="s">
        <v>100</v>
      </c>
      <c r="BH1667" s="7" t="s">
        <v>100</v>
      </c>
      <c r="BI1667" s="7">
        <v>1</v>
      </c>
      <c r="BJ1667" s="4">
        <v>224</v>
      </c>
      <c r="BK1667" s="8">
        <v>3756.54</v>
      </c>
      <c r="BL1667" s="2" t="s">
        <v>5546</v>
      </c>
      <c r="BM1667" s="7">
        <v>0.0045</v>
      </c>
      <c r="BN1667" s="7">
        <v>0.0044</v>
      </c>
      <c r="BO1667" s="4">
        <v>1</v>
      </c>
      <c r="BP1667" s="8">
        <v>16.54</v>
      </c>
      <c r="BQ1667" s="4">
        <v>1</v>
      </c>
      <c r="BR1667" s="8">
        <v>16.54</v>
      </c>
      <c r="BS1667" s="7"/>
      <c r="BT1667" s="7"/>
      <c r="BU1667" s="2" t="s">
        <v>109</v>
      </c>
      <c r="BV1667" s="2" t="s">
        <v>97</v>
      </c>
      <c r="BW1667" s="2" t="s">
        <v>110</v>
      </c>
      <c r="BX1667" s="2" t="s">
        <v>5547</v>
      </c>
      <c r="BY1667" s="2" t="s">
        <v>112</v>
      </c>
      <c r="BZ1667" s="2" t="s">
        <v>100</v>
      </c>
    </row>
    <row r="1668">
      <c r="A1668" s="2" t="s">
        <v>5548</v>
      </c>
      <c r="B1668" s="2" t="s">
        <v>87</v>
      </c>
      <c r="C1668" s="2" t="s">
        <v>5275</v>
      </c>
      <c r="D1668" s="2" t="s">
        <v>5203</v>
      </c>
      <c r="E1668" s="2" t="s">
        <v>5204</v>
      </c>
      <c r="F1668" s="2" t="s">
        <v>5325</v>
      </c>
      <c r="G1668" s="2" t="s">
        <v>5325</v>
      </c>
      <c r="H1668" s="2" t="s">
        <v>5325</v>
      </c>
      <c r="I1668" s="2" t="s">
        <v>5549</v>
      </c>
      <c r="J1668" s="2" t="s">
        <v>5217</v>
      </c>
      <c r="K1668" s="2" t="s">
        <v>622</v>
      </c>
      <c r="L1668" s="3">
        <v>18.8</v>
      </c>
      <c r="M1668" s="3">
        <v>19.74</v>
      </c>
      <c r="N1668" s="3">
        <v>39.99</v>
      </c>
      <c r="O1668" s="2" t="s">
        <v>97</v>
      </c>
      <c r="P1668" s="2" t="s">
        <v>124</v>
      </c>
      <c r="Q1668" s="2" t="s">
        <v>99</v>
      </c>
      <c r="R1668" s="2" t="s">
        <v>100</v>
      </c>
      <c r="S1668" s="2" t="s">
        <v>5545</v>
      </c>
      <c r="T1668" s="2" t="s">
        <v>100</v>
      </c>
      <c r="U1668" s="2" t="s">
        <v>100</v>
      </c>
      <c r="V1668" s="2" t="s">
        <v>991</v>
      </c>
      <c r="W1668" s="2" t="s">
        <v>808</v>
      </c>
      <c r="X1668" s="2" t="s">
        <v>906</v>
      </c>
      <c r="Y1668" s="2" t="s">
        <v>5315</v>
      </c>
      <c r="Z1668" s="4">
        <v>84</v>
      </c>
      <c r="AA1668" s="4">
        <f>=ROUNDDOWN(9.33333333333333,0)</f>
      </c>
      <c r="AB1668" s="5">
        <v>9</v>
      </c>
      <c r="AC1668" s="2" t="s">
        <v>589</v>
      </c>
      <c r="AD1668" s="4">
        <v>200</v>
      </c>
      <c r="AE1668" s="4">
        <v>280</v>
      </c>
      <c r="AF1668" s="6">
        <v>64</v>
      </c>
      <c r="AG1668" s="6"/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>
        <v>0</v>
      </c>
      <c r="AP1668" s="4">
        <v>1</v>
      </c>
      <c r="AQ1668" s="8">
        <v>19.74</v>
      </c>
      <c r="AR1668" s="4">
        <v>1</v>
      </c>
      <c r="AS1668" s="8">
        <v>19.74</v>
      </c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>
        <v>0.5441</v>
      </c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 t="s">
        <v>100</v>
      </c>
      <c r="BJ1668" s="4">
        <v>145</v>
      </c>
      <c r="BK1668" s="8">
        <v>2962.26</v>
      </c>
      <c r="BL1668" s="2" t="s">
        <v>5550</v>
      </c>
      <c r="BM1668" s="7">
        <v>0.0069</v>
      </c>
      <c r="BN1668" s="7">
        <v>0.0067</v>
      </c>
      <c r="BO1668" s="4">
        <v>1</v>
      </c>
      <c r="BP1668" s="8">
        <v>19.74</v>
      </c>
      <c r="BQ1668" s="4">
        <v>1</v>
      </c>
      <c r="BR1668" s="8">
        <v>19.74</v>
      </c>
      <c r="BS1668" s="7"/>
      <c r="BT1668" s="7"/>
      <c r="BU1668" s="2" t="s">
        <v>109</v>
      </c>
      <c r="BV1668" s="2" t="s">
        <v>97</v>
      </c>
      <c r="BW1668" s="2" t="s">
        <v>110</v>
      </c>
      <c r="BX1668" s="2" t="s">
        <v>5547</v>
      </c>
      <c r="BY1668" s="2" t="s">
        <v>112</v>
      </c>
      <c r="BZ1668" s="2" t="s">
        <v>100</v>
      </c>
    </row>
    <row r="1669">
      <c r="A1669" s="2" t="s">
        <v>5551</v>
      </c>
      <c r="B1669" s="2" t="s">
        <v>87</v>
      </c>
      <c r="C1669" s="2" t="s">
        <v>5275</v>
      </c>
      <c r="D1669" s="2" t="s">
        <v>5203</v>
      </c>
      <c r="E1669" s="2" t="s">
        <v>5204</v>
      </c>
      <c r="F1669" s="2" t="s">
        <v>5341</v>
      </c>
      <c r="G1669" s="2" t="s">
        <v>5341</v>
      </c>
      <c r="H1669" s="2" t="s">
        <v>5341</v>
      </c>
      <c r="I1669" s="2" t="s">
        <v>5226</v>
      </c>
      <c r="J1669" s="2" t="s">
        <v>5244</v>
      </c>
      <c r="K1669" s="2" t="s">
        <v>158</v>
      </c>
      <c r="L1669" s="3">
        <v>13.65</v>
      </c>
      <c r="M1669" s="3">
        <v>14.33</v>
      </c>
      <c r="N1669" s="3">
        <v>32.99</v>
      </c>
      <c r="O1669" s="2" t="s">
        <v>97</v>
      </c>
      <c r="P1669" s="2" t="s">
        <v>1265</v>
      </c>
      <c r="Q1669" s="2" t="s">
        <v>99</v>
      </c>
      <c r="R1669" s="2" t="s">
        <v>100</v>
      </c>
      <c r="S1669" s="2" t="s">
        <v>5342</v>
      </c>
      <c r="T1669" s="2" t="s">
        <v>100</v>
      </c>
      <c r="U1669" s="2" t="s">
        <v>100</v>
      </c>
      <c r="V1669" s="2" t="s">
        <v>1364</v>
      </c>
      <c r="W1669" s="2" t="s">
        <v>405</v>
      </c>
      <c r="X1669" s="2" t="s">
        <v>808</v>
      </c>
      <c r="Y1669" s="2" t="s">
        <v>106</v>
      </c>
      <c r="Z1669" s="4">
        <v>83</v>
      </c>
      <c r="AA1669" s="4">
        <f>=ROUNDDOWN(27.6666666666667,0)</f>
      </c>
      <c r="AB1669" s="5">
        <v>3</v>
      </c>
      <c r="AC1669" s="2" t="s">
        <v>847</v>
      </c>
      <c r="AD1669" s="4">
        <v>75</v>
      </c>
      <c r="AE1669" s="4">
        <v>75</v>
      </c>
      <c r="AF1669" s="6">
        <v>66</v>
      </c>
      <c r="AG1669" s="6"/>
      <c r="AH1669" s="7">
        <v>0.9273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/>
      <c r="AW1669" s="8"/>
      <c r="AX1669" s="4"/>
      <c r="AY1669" s="8"/>
      <c r="AZ1669" s="7"/>
      <c r="BA1669" s="7"/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54</v>
      </c>
      <c r="BK1669" s="8">
        <v>727.2</v>
      </c>
      <c r="BL1669" s="2" t="s">
        <v>5552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147</v>
      </c>
      <c r="BV1669" s="2" t="s">
        <v>97</v>
      </c>
      <c r="BW1669" s="2" t="s">
        <v>100</v>
      </c>
      <c r="BX1669" s="2" t="s">
        <v>100</v>
      </c>
      <c r="BY1669" s="2" t="s">
        <v>112</v>
      </c>
      <c r="BZ1669" s="2" t="s">
        <v>100</v>
      </c>
    </row>
    <row r="1670">
      <c r="A1670" s="2" t="s">
        <v>5553</v>
      </c>
      <c r="B1670" s="2" t="s">
        <v>87</v>
      </c>
      <c r="C1670" s="2" t="s">
        <v>5275</v>
      </c>
      <c r="D1670" s="2" t="s">
        <v>5203</v>
      </c>
      <c r="E1670" s="2" t="s">
        <v>5204</v>
      </c>
      <c r="F1670" s="2" t="s">
        <v>5341</v>
      </c>
      <c r="G1670" s="2" t="s">
        <v>5341</v>
      </c>
      <c r="H1670" s="2" t="s">
        <v>5341</v>
      </c>
      <c r="I1670" s="2" t="s">
        <v>5237</v>
      </c>
      <c r="J1670" s="2" t="s">
        <v>5539</v>
      </c>
      <c r="K1670" s="2" t="s">
        <v>635</v>
      </c>
      <c r="L1670" s="3">
        <v>13.65</v>
      </c>
      <c r="M1670" s="3">
        <v>14.33</v>
      </c>
      <c r="N1670" s="3">
        <v>32.99</v>
      </c>
      <c r="O1670" s="2" t="s">
        <v>97</v>
      </c>
      <c r="P1670" s="2" t="s">
        <v>1265</v>
      </c>
      <c r="Q1670" s="2" t="s">
        <v>99</v>
      </c>
      <c r="R1670" s="2" t="s">
        <v>100</v>
      </c>
      <c r="S1670" s="2" t="s">
        <v>5342</v>
      </c>
      <c r="T1670" s="2" t="s">
        <v>100</v>
      </c>
      <c r="U1670" s="2" t="s">
        <v>100</v>
      </c>
      <c r="V1670" s="2" t="s">
        <v>637</v>
      </c>
      <c r="W1670" s="2" t="s">
        <v>405</v>
      </c>
      <c r="X1670" s="2" t="s">
        <v>808</v>
      </c>
      <c r="Y1670" s="2" t="s">
        <v>106</v>
      </c>
      <c r="Z1670" s="4">
        <v>115</v>
      </c>
      <c r="AA1670" s="4">
        <f>=ROUNDDOWN(28.75,0)</f>
      </c>
      <c r="AB1670" s="5">
        <v>4</v>
      </c>
      <c r="AC1670" s="2" t="s">
        <v>847</v>
      </c>
      <c r="AD1670" s="4">
        <v>60</v>
      </c>
      <c r="AE1670" s="4">
        <v>60</v>
      </c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/>
      <c r="AW1670" s="8"/>
      <c r="AX1670" s="4"/>
      <c r="AY1670" s="8"/>
      <c r="AZ1670" s="7"/>
      <c r="BA1670" s="7"/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58</v>
      </c>
      <c r="BK1670" s="8">
        <v>802.83</v>
      </c>
      <c r="BL1670" s="2" t="s">
        <v>5554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147</v>
      </c>
      <c r="BV1670" s="2" t="s">
        <v>97</v>
      </c>
      <c r="BW1670" s="2" t="s">
        <v>100</v>
      </c>
      <c r="BX1670" s="2" t="s">
        <v>100</v>
      </c>
      <c r="BY1670" s="2" t="s">
        <v>112</v>
      </c>
      <c r="BZ1670" s="2" t="s">
        <v>100</v>
      </c>
    </row>
    <row r="1671">
      <c r="A1671" s="2" t="s">
        <v>5555</v>
      </c>
      <c r="B1671" s="2" t="s">
        <v>87</v>
      </c>
      <c r="C1671" s="2" t="s">
        <v>5275</v>
      </c>
      <c r="D1671" s="2" t="s">
        <v>5203</v>
      </c>
      <c r="E1671" s="2" t="s">
        <v>5204</v>
      </c>
      <c r="F1671" s="2" t="s">
        <v>5347</v>
      </c>
      <c r="G1671" s="2" t="s">
        <v>5347</v>
      </c>
      <c r="H1671" s="2" t="s">
        <v>5347</v>
      </c>
      <c r="I1671" s="2" t="s">
        <v>5532</v>
      </c>
      <c r="J1671" s="2" t="s">
        <v>5556</v>
      </c>
      <c r="K1671" s="2" t="s">
        <v>267</v>
      </c>
      <c r="L1671" s="3">
        <v>22.5</v>
      </c>
      <c r="M1671" s="3">
        <v>23.62</v>
      </c>
      <c r="N1671" s="3">
        <v>49.99</v>
      </c>
      <c r="O1671" s="2" t="s">
        <v>97</v>
      </c>
      <c r="P1671" s="2" t="s">
        <v>98</v>
      </c>
      <c r="Q1671" s="2" t="s">
        <v>99</v>
      </c>
      <c r="R1671" s="2" t="s">
        <v>100</v>
      </c>
      <c r="S1671" s="2" t="s">
        <v>5349</v>
      </c>
      <c r="T1671" s="2" t="s">
        <v>100</v>
      </c>
      <c r="U1671" s="2" t="s">
        <v>100</v>
      </c>
      <c r="V1671" s="2" t="s">
        <v>906</v>
      </c>
      <c r="W1671" s="2" t="s">
        <v>906</v>
      </c>
      <c r="X1671" s="2" t="s">
        <v>808</v>
      </c>
      <c r="Y1671" s="2" t="s">
        <v>106</v>
      </c>
      <c r="Z1671" s="4">
        <v>55</v>
      </c>
      <c r="AA1671" s="4">
        <f>=ROUNDDOWN(7.85714285714286,0)</f>
      </c>
      <c r="AB1671" s="5">
        <v>7</v>
      </c>
      <c r="AC1671" s="2" t="s">
        <v>145</v>
      </c>
      <c r="AD1671" s="4">
        <v>100</v>
      </c>
      <c r="AE1671" s="4">
        <v>210</v>
      </c>
      <c r="AF1671" s="6">
        <v>68</v>
      </c>
      <c r="AG1671" s="6"/>
      <c r="AH1671" s="7">
        <v>0.4121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/>
      <c r="AW1671" s="8"/>
      <c r="AX1671" s="4"/>
      <c r="AY1671" s="8"/>
      <c r="AZ1671" s="7"/>
      <c r="BA1671" s="7"/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76</v>
      </c>
      <c r="BK1671" s="8">
        <v>1830.29</v>
      </c>
      <c r="BL1671" s="2" t="s">
        <v>5557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147</v>
      </c>
      <c r="BV1671" s="2" t="s">
        <v>97</v>
      </c>
      <c r="BW1671" s="2" t="s">
        <v>100</v>
      </c>
      <c r="BX1671" s="2" t="s">
        <v>100</v>
      </c>
      <c r="BY1671" s="2" t="s">
        <v>112</v>
      </c>
      <c r="BZ1671" s="2" t="s">
        <v>100</v>
      </c>
    </row>
    <row r="1672">
      <c r="A1672" s="2" t="s">
        <v>5558</v>
      </c>
      <c r="B1672" s="2" t="s">
        <v>87</v>
      </c>
      <c r="C1672" s="2" t="s">
        <v>5275</v>
      </c>
      <c r="D1672" s="2" t="s">
        <v>5203</v>
      </c>
      <c r="E1672" s="2" t="s">
        <v>5204</v>
      </c>
      <c r="F1672" s="2" t="s">
        <v>5347</v>
      </c>
      <c r="G1672" s="2" t="s">
        <v>5347</v>
      </c>
      <c r="H1672" s="2" t="s">
        <v>5347</v>
      </c>
      <c r="I1672" s="2" t="s">
        <v>5538</v>
      </c>
      <c r="J1672" s="2" t="s">
        <v>5539</v>
      </c>
      <c r="K1672" s="2" t="s">
        <v>635</v>
      </c>
      <c r="L1672" s="3">
        <v>22.5</v>
      </c>
      <c r="M1672" s="3">
        <v>23.62</v>
      </c>
      <c r="N1672" s="3">
        <v>49.99</v>
      </c>
      <c r="O1672" s="2" t="s">
        <v>97</v>
      </c>
      <c r="P1672" s="2" t="s">
        <v>98</v>
      </c>
      <c r="Q1672" s="2" t="s">
        <v>99</v>
      </c>
      <c r="R1672" s="2" t="s">
        <v>100</v>
      </c>
      <c r="S1672" s="2" t="s">
        <v>5349</v>
      </c>
      <c r="T1672" s="2" t="s">
        <v>100</v>
      </c>
      <c r="U1672" s="2" t="s">
        <v>100</v>
      </c>
      <c r="V1672" s="2" t="s">
        <v>906</v>
      </c>
      <c r="W1672" s="2" t="s">
        <v>906</v>
      </c>
      <c r="X1672" s="2" t="s">
        <v>808</v>
      </c>
      <c r="Y1672" s="2" t="s">
        <v>106</v>
      </c>
      <c r="Z1672" s="4">
        <v>32</v>
      </c>
      <c r="AA1672" s="4">
        <f>=ROUNDDOWN(10.6666666666667,0)</f>
      </c>
      <c r="AB1672" s="5">
        <v>3</v>
      </c>
      <c r="AC1672" s="2" t="s">
        <v>5559</v>
      </c>
      <c r="AD1672" s="4">
        <v>77</v>
      </c>
      <c r="AE1672" s="4">
        <v>77</v>
      </c>
      <c r="AF1672" s="6">
        <v>68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/>
      <c r="AW1672" s="8"/>
      <c r="AX1672" s="4"/>
      <c r="AY1672" s="8"/>
      <c r="AZ1672" s="7"/>
      <c r="BA1672" s="7"/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46</v>
      </c>
      <c r="BK1672" s="8">
        <v>1127.44</v>
      </c>
      <c r="BL1672" s="2" t="s">
        <v>5560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147</v>
      </c>
      <c r="BV1672" s="2" t="s">
        <v>97</v>
      </c>
      <c r="BW1672" s="2" t="s">
        <v>100</v>
      </c>
      <c r="BX1672" s="2" t="s">
        <v>100</v>
      </c>
      <c r="BY1672" s="2" t="s">
        <v>112</v>
      </c>
      <c r="BZ1672" s="2" t="s">
        <v>100</v>
      </c>
    </row>
    <row r="1673">
      <c r="A1673" s="2" t="s">
        <v>5561</v>
      </c>
      <c r="B1673" s="2" t="s">
        <v>87</v>
      </c>
      <c r="C1673" s="2" t="s">
        <v>5275</v>
      </c>
      <c r="D1673" s="2" t="s">
        <v>5203</v>
      </c>
      <c r="E1673" s="2" t="s">
        <v>5204</v>
      </c>
      <c r="F1673" s="2" t="s">
        <v>5369</v>
      </c>
      <c r="G1673" s="2" t="s">
        <v>5369</v>
      </c>
      <c r="H1673" s="2" t="s">
        <v>5369</v>
      </c>
      <c r="I1673" s="2" t="s">
        <v>5562</v>
      </c>
      <c r="J1673" s="2" t="s">
        <v>5563</v>
      </c>
      <c r="K1673" s="2" t="s">
        <v>158</v>
      </c>
      <c r="L1673" s="3">
        <v>22.5</v>
      </c>
      <c r="M1673" s="3">
        <v>23.62</v>
      </c>
      <c r="N1673" s="3">
        <v>49.99</v>
      </c>
      <c r="O1673" s="2" t="s">
        <v>97</v>
      </c>
      <c r="P1673" s="2" t="s">
        <v>98</v>
      </c>
      <c r="Q1673" s="2" t="s">
        <v>99</v>
      </c>
      <c r="R1673" s="2" t="s">
        <v>100</v>
      </c>
      <c r="S1673" s="2" t="s">
        <v>5370</v>
      </c>
      <c r="T1673" s="2" t="s">
        <v>100</v>
      </c>
      <c r="U1673" s="2" t="s">
        <v>100</v>
      </c>
      <c r="V1673" s="2" t="s">
        <v>906</v>
      </c>
      <c r="W1673" s="2" t="s">
        <v>906</v>
      </c>
      <c r="X1673" s="2" t="s">
        <v>808</v>
      </c>
      <c r="Y1673" s="2" t="s">
        <v>106</v>
      </c>
      <c r="Z1673" s="4">
        <v>305</v>
      </c>
      <c r="AA1673" s="4">
        <f>=ROUNDDOWN(38.125,0)</f>
      </c>
      <c r="AB1673" s="5">
        <v>8</v>
      </c>
      <c r="AC1673" s="2" t="s">
        <v>1208</v>
      </c>
      <c r="AD1673" s="4">
        <v>110</v>
      </c>
      <c r="AE1673" s="4">
        <v>180</v>
      </c>
      <c r="AF1673" s="6">
        <v>64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/>
      <c r="AW1673" s="8"/>
      <c r="AX1673" s="4"/>
      <c r="AY1673" s="8"/>
      <c r="AZ1673" s="7"/>
      <c r="BA1673" s="7"/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143</v>
      </c>
      <c r="BK1673" s="8">
        <v>3364.39</v>
      </c>
      <c r="BL1673" s="2" t="s">
        <v>5564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147</v>
      </c>
      <c r="BV1673" s="2" t="s">
        <v>97</v>
      </c>
      <c r="BW1673" s="2" t="s">
        <v>100</v>
      </c>
      <c r="BX1673" s="2" t="s">
        <v>100</v>
      </c>
      <c r="BY1673" s="2" t="s">
        <v>112</v>
      </c>
      <c r="BZ1673" s="2" t="s">
        <v>100</v>
      </c>
    </row>
    <row r="1674">
      <c r="A1674" s="2" t="s">
        <v>5565</v>
      </c>
      <c r="B1674" s="2" t="s">
        <v>87</v>
      </c>
      <c r="C1674" s="2" t="s">
        <v>5275</v>
      </c>
      <c r="D1674" s="2" t="s">
        <v>5203</v>
      </c>
      <c r="E1674" s="2" t="s">
        <v>5204</v>
      </c>
      <c r="F1674" s="2" t="s">
        <v>5369</v>
      </c>
      <c r="G1674" s="2" t="s">
        <v>5369</v>
      </c>
      <c r="H1674" s="2" t="s">
        <v>5369</v>
      </c>
      <c r="I1674" s="2" t="s">
        <v>5249</v>
      </c>
      <c r="J1674" s="2" t="s">
        <v>5269</v>
      </c>
      <c r="K1674" s="2" t="s">
        <v>666</v>
      </c>
      <c r="L1674" s="3">
        <v>22.5</v>
      </c>
      <c r="M1674" s="3">
        <v>23.62</v>
      </c>
      <c r="N1674" s="3">
        <v>49.99</v>
      </c>
      <c r="O1674" s="2" t="s">
        <v>97</v>
      </c>
      <c r="P1674" s="2" t="s">
        <v>98</v>
      </c>
      <c r="Q1674" s="2" t="s">
        <v>99</v>
      </c>
      <c r="R1674" s="2" t="s">
        <v>100</v>
      </c>
      <c r="S1674" s="2" t="s">
        <v>5370</v>
      </c>
      <c r="T1674" s="2" t="s">
        <v>100</v>
      </c>
      <c r="U1674" s="2" t="s">
        <v>100</v>
      </c>
      <c r="V1674" s="2" t="s">
        <v>906</v>
      </c>
      <c r="W1674" s="2" t="s">
        <v>906</v>
      </c>
      <c r="X1674" s="2" t="s">
        <v>808</v>
      </c>
      <c r="Y1674" s="2" t="s">
        <v>106</v>
      </c>
      <c r="Z1674" s="4">
        <v>276</v>
      </c>
      <c r="AA1674" s="4">
        <f>=ROUNDDOWN(30.6666666666667,0)</f>
      </c>
      <c r="AB1674" s="5">
        <v>9</v>
      </c>
      <c r="AC1674" s="2" t="s">
        <v>1208</v>
      </c>
      <c r="AD1674" s="4">
        <v>66</v>
      </c>
      <c r="AE1674" s="4">
        <v>150</v>
      </c>
      <c r="AF1674" s="6">
        <v>64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175</v>
      </c>
      <c r="BK1674" s="8">
        <v>4182.65</v>
      </c>
      <c r="BL1674" s="2" t="s">
        <v>5566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147</v>
      </c>
      <c r="BV1674" s="2" t="s">
        <v>97</v>
      </c>
      <c r="BW1674" s="2" t="s">
        <v>100</v>
      </c>
      <c r="BX1674" s="2" t="s">
        <v>100</v>
      </c>
      <c r="BY1674" s="2" t="s">
        <v>112</v>
      </c>
      <c r="BZ1674" s="2" t="s">
        <v>100</v>
      </c>
    </row>
    <row r="1675">
      <c r="A1675" s="2" t="s">
        <v>5567</v>
      </c>
      <c r="B1675" s="2" t="s">
        <v>87</v>
      </c>
      <c r="C1675" s="2" t="s">
        <v>5275</v>
      </c>
      <c r="D1675" s="2" t="s">
        <v>5203</v>
      </c>
      <c r="E1675" s="2" t="s">
        <v>5204</v>
      </c>
      <c r="F1675" s="2" t="s">
        <v>5369</v>
      </c>
      <c r="G1675" s="2" t="s">
        <v>5369</v>
      </c>
      <c r="H1675" s="2" t="s">
        <v>5369</v>
      </c>
      <c r="I1675" s="2" t="s">
        <v>5568</v>
      </c>
      <c r="J1675" s="2" t="s">
        <v>5217</v>
      </c>
      <c r="K1675" s="2" t="s">
        <v>666</v>
      </c>
      <c r="L1675" s="3">
        <v>17.49</v>
      </c>
      <c r="M1675" s="3">
        <v>18.37</v>
      </c>
      <c r="N1675" s="3">
        <v>39.99</v>
      </c>
      <c r="O1675" s="2" t="s">
        <v>97</v>
      </c>
      <c r="P1675" s="2" t="s">
        <v>98</v>
      </c>
      <c r="Q1675" s="2" t="s">
        <v>99</v>
      </c>
      <c r="R1675" s="2" t="s">
        <v>100</v>
      </c>
      <c r="S1675" s="2" t="s">
        <v>5370</v>
      </c>
      <c r="T1675" s="2" t="s">
        <v>100</v>
      </c>
      <c r="U1675" s="2" t="s">
        <v>100</v>
      </c>
      <c r="V1675" s="2" t="s">
        <v>561</v>
      </c>
      <c r="W1675" s="2" t="s">
        <v>906</v>
      </c>
      <c r="X1675" s="2" t="s">
        <v>808</v>
      </c>
      <c r="Y1675" s="2" t="s">
        <v>106</v>
      </c>
      <c r="Z1675" s="4">
        <v>235</v>
      </c>
      <c r="AA1675" s="4">
        <f>=ROUNDDOWN(19.5833333333333,0)</f>
      </c>
      <c r="AB1675" s="5">
        <v>12</v>
      </c>
      <c r="AC1675" s="2" t="s">
        <v>1208</v>
      </c>
      <c r="AD1675" s="4">
        <v>70</v>
      </c>
      <c r="AE1675" s="4">
        <v>150</v>
      </c>
      <c r="AF1675" s="6">
        <v>64</v>
      </c>
      <c r="AG1675" s="6"/>
      <c r="AH1675" s="7">
        <v>0.9212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176</v>
      </c>
      <c r="BK1675" s="8">
        <v>3152.86</v>
      </c>
      <c r="BL1675" s="2" t="s">
        <v>5564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147</v>
      </c>
      <c r="BV1675" s="2" t="s">
        <v>97</v>
      </c>
      <c r="BW1675" s="2" t="s">
        <v>100</v>
      </c>
      <c r="BX1675" s="2" t="s">
        <v>100</v>
      </c>
      <c r="BY1675" s="2" t="s">
        <v>112</v>
      </c>
      <c r="BZ1675" s="2" t="s">
        <v>100</v>
      </c>
    </row>
    <row r="1676">
      <c r="A1676" s="2" t="s">
        <v>5569</v>
      </c>
      <c r="B1676" s="2" t="s">
        <v>87</v>
      </c>
      <c r="C1676" s="2" t="s">
        <v>5275</v>
      </c>
      <c r="D1676" s="2" t="s">
        <v>5203</v>
      </c>
      <c r="E1676" s="2" t="s">
        <v>5204</v>
      </c>
      <c r="F1676" s="2" t="s">
        <v>5434</v>
      </c>
      <c r="G1676" s="2" t="s">
        <v>100</v>
      </c>
      <c r="H1676" s="2" t="s">
        <v>100</v>
      </c>
      <c r="I1676" s="2" t="s">
        <v>5538</v>
      </c>
      <c r="J1676" s="2" t="s">
        <v>5217</v>
      </c>
      <c r="K1676" s="2" t="s">
        <v>622</v>
      </c>
      <c r="L1676" s="3">
        <v>22.5</v>
      </c>
      <c r="M1676" s="3">
        <v>23.62</v>
      </c>
      <c r="N1676" s="3">
        <v>49.99</v>
      </c>
      <c r="O1676" s="2" t="s">
        <v>97</v>
      </c>
      <c r="P1676" s="2" t="s">
        <v>182</v>
      </c>
      <c r="Q1676" s="2" t="s">
        <v>99</v>
      </c>
      <c r="R1676" s="2" t="s">
        <v>100</v>
      </c>
      <c r="S1676" s="2" t="s">
        <v>5441</v>
      </c>
      <c r="T1676" s="2" t="s">
        <v>100</v>
      </c>
      <c r="U1676" s="2" t="s">
        <v>100</v>
      </c>
      <c r="V1676" s="2" t="s">
        <v>455</v>
      </c>
      <c r="W1676" s="2" t="s">
        <v>808</v>
      </c>
      <c r="X1676" s="2" t="s">
        <v>733</v>
      </c>
      <c r="Y1676" s="2" t="s">
        <v>5570</v>
      </c>
      <c r="Z1676" s="4">
        <v>157</v>
      </c>
      <c r="AA1676" s="4">
        <f>=ROUNDDOWN(31.4,0)</f>
      </c>
      <c r="AB1676" s="5">
        <v>5</v>
      </c>
      <c r="AC1676" s="2" t="s">
        <v>563</v>
      </c>
      <c r="AD1676" s="4">
        <v>100</v>
      </c>
      <c r="AE1676" s="4">
        <v>100</v>
      </c>
      <c r="AF1676" s="6">
        <v>64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/>
      <c r="AW1676" s="8"/>
      <c r="AX1676" s="4"/>
      <c r="AY1676" s="8"/>
      <c r="AZ1676" s="7"/>
      <c r="BA1676" s="7"/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98</v>
      </c>
      <c r="BK1676" s="8">
        <v>2303.1</v>
      </c>
      <c r="BL1676" s="2" t="s">
        <v>5571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147</v>
      </c>
      <c r="BV1676" s="2" t="s">
        <v>97</v>
      </c>
      <c r="BW1676" s="2" t="s">
        <v>100</v>
      </c>
      <c r="BX1676" s="2" t="s">
        <v>100</v>
      </c>
      <c r="BY1676" s="2" t="s">
        <v>112</v>
      </c>
      <c r="BZ1676" s="2" t="s">
        <v>100</v>
      </c>
    </row>
    <row r="1677">
      <c r="A1677" s="2" t="s">
        <v>5572</v>
      </c>
      <c r="B1677" s="2" t="s">
        <v>87</v>
      </c>
      <c r="C1677" s="2" t="s">
        <v>5275</v>
      </c>
      <c r="D1677" s="2" t="s">
        <v>5203</v>
      </c>
      <c r="E1677" s="2" t="s">
        <v>5204</v>
      </c>
      <c r="F1677" s="2" t="s">
        <v>5434</v>
      </c>
      <c r="G1677" s="2" t="s">
        <v>100</v>
      </c>
      <c r="H1677" s="2" t="s">
        <v>100</v>
      </c>
      <c r="I1677" s="2" t="s">
        <v>5532</v>
      </c>
      <c r="J1677" s="2" t="s">
        <v>5269</v>
      </c>
      <c r="K1677" s="2" t="s">
        <v>666</v>
      </c>
      <c r="L1677" s="3">
        <v>16.8</v>
      </c>
      <c r="M1677" s="3">
        <v>17.63</v>
      </c>
      <c r="N1677" s="3">
        <v>49.99</v>
      </c>
      <c r="O1677" s="2" t="s">
        <v>97</v>
      </c>
      <c r="P1677" s="2" t="s">
        <v>182</v>
      </c>
      <c r="Q1677" s="2" t="s">
        <v>99</v>
      </c>
      <c r="R1677" s="2" t="s">
        <v>100</v>
      </c>
      <c r="S1677" s="2" t="s">
        <v>5441</v>
      </c>
      <c r="T1677" s="2" t="s">
        <v>100</v>
      </c>
      <c r="U1677" s="2" t="s">
        <v>100</v>
      </c>
      <c r="V1677" s="2" t="s">
        <v>455</v>
      </c>
      <c r="W1677" s="2" t="s">
        <v>808</v>
      </c>
      <c r="X1677" s="2" t="s">
        <v>733</v>
      </c>
      <c r="Y1677" s="2" t="s">
        <v>5573</v>
      </c>
      <c r="Z1677" s="4">
        <v>150</v>
      </c>
      <c r="AA1677" s="4">
        <f>=ROUNDDOWN(37.5,0)</f>
      </c>
      <c r="AB1677" s="5">
        <v>4</v>
      </c>
      <c r="AC1677" s="2" t="s">
        <v>563</v>
      </c>
      <c r="AD1677" s="4">
        <v>100</v>
      </c>
      <c r="AE1677" s="4">
        <v>100</v>
      </c>
      <c r="AF1677" s="6">
        <v>64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/>
      <c r="AW1677" s="8"/>
      <c r="AX1677" s="4"/>
      <c r="AY1677" s="8"/>
      <c r="AZ1677" s="7"/>
      <c r="BA1677" s="7"/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51</v>
      </c>
      <c r="BK1677" s="8">
        <v>952.86</v>
      </c>
      <c r="BL1677" s="2" t="s">
        <v>5574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147</v>
      </c>
      <c r="BV1677" s="2" t="s">
        <v>97</v>
      </c>
      <c r="BW1677" s="2" t="s">
        <v>100</v>
      </c>
      <c r="BX1677" s="2" t="s">
        <v>100</v>
      </c>
      <c r="BY1677" s="2" t="s">
        <v>112</v>
      </c>
      <c r="BZ1677" s="2" t="s">
        <v>100</v>
      </c>
    </row>
    <row r="1678">
      <c r="A1678" s="2" t="s">
        <v>5575</v>
      </c>
      <c r="B1678" s="2" t="s">
        <v>87</v>
      </c>
      <c r="C1678" s="2" t="s">
        <v>5275</v>
      </c>
      <c r="D1678" s="2" t="s">
        <v>3569</v>
      </c>
      <c r="E1678" s="2" t="s">
        <v>5169</v>
      </c>
      <c r="F1678" s="2" t="s">
        <v>5341</v>
      </c>
      <c r="G1678" s="2" t="s">
        <v>5341</v>
      </c>
      <c r="H1678" s="2" t="s">
        <v>5341</v>
      </c>
      <c r="I1678" s="2" t="s">
        <v>5576</v>
      </c>
      <c r="J1678" s="2" t="s">
        <v>5171</v>
      </c>
      <c r="K1678" s="2" t="s">
        <v>635</v>
      </c>
      <c r="L1678" s="3">
        <v>15.51</v>
      </c>
      <c r="M1678" s="3">
        <v>16.28</v>
      </c>
      <c r="N1678" s="3">
        <v>32.99</v>
      </c>
      <c r="O1678" s="2" t="s">
        <v>97</v>
      </c>
      <c r="P1678" s="2" t="s">
        <v>1265</v>
      </c>
      <c r="Q1678" s="2" t="s">
        <v>99</v>
      </c>
      <c r="R1678" s="2" t="s">
        <v>100</v>
      </c>
      <c r="S1678" s="2" t="s">
        <v>5342</v>
      </c>
      <c r="T1678" s="2" t="s">
        <v>100</v>
      </c>
      <c r="U1678" s="2" t="s">
        <v>100</v>
      </c>
      <c r="V1678" s="2" t="s">
        <v>637</v>
      </c>
      <c r="W1678" s="2" t="s">
        <v>405</v>
      </c>
      <c r="X1678" s="2" t="s">
        <v>808</v>
      </c>
      <c r="Y1678" s="2" t="s">
        <v>106</v>
      </c>
      <c r="Z1678" s="4">
        <v>258</v>
      </c>
      <c r="AA1678" s="4">
        <f>=ROUNDDOWN(23.4545454545455,0)</f>
      </c>
      <c r="AB1678" s="5">
        <v>11</v>
      </c>
      <c r="AC1678" s="2" t="s">
        <v>847</v>
      </c>
      <c r="AD1678" s="4">
        <v>192</v>
      </c>
      <c r="AE1678" s="4">
        <v>192</v>
      </c>
      <c r="AF1678" s="6">
        <v>66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/>
      <c r="AW1678" s="8"/>
      <c r="AX1678" s="4"/>
      <c r="AY1678" s="8"/>
      <c r="AZ1678" s="7"/>
      <c r="BA1678" s="7"/>
      <c r="BB1678" s="7"/>
      <c r="BC1678" s="4"/>
      <c r="BD1678" s="8"/>
      <c r="BE1678" s="4"/>
      <c r="BF1678" s="8"/>
      <c r="BG1678" s="7"/>
      <c r="BH1678" s="7"/>
      <c r="BI1678" s="7"/>
      <c r="BJ1678" s="4">
        <v>224</v>
      </c>
      <c r="BK1678" s="8">
        <v>3780.15</v>
      </c>
      <c r="BL1678" s="2" t="s">
        <v>5577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147</v>
      </c>
      <c r="BV1678" s="2" t="s">
        <v>97</v>
      </c>
      <c r="BW1678" s="2" t="s">
        <v>100</v>
      </c>
      <c r="BX1678" s="2" t="s">
        <v>100</v>
      </c>
      <c r="BY1678" s="2" t="s">
        <v>112</v>
      </c>
      <c r="BZ1678" s="2" t="s">
        <v>100</v>
      </c>
    </row>
    <row r="1679">
      <c r="A1679" s="2" t="s">
        <v>5578</v>
      </c>
      <c r="B1679" s="2" t="s">
        <v>87</v>
      </c>
      <c r="C1679" s="2" t="s">
        <v>5275</v>
      </c>
      <c r="D1679" s="2" t="s">
        <v>3569</v>
      </c>
      <c r="E1679" s="2" t="s">
        <v>5169</v>
      </c>
      <c r="F1679" s="2" t="s">
        <v>5347</v>
      </c>
      <c r="G1679" s="2" t="s">
        <v>5347</v>
      </c>
      <c r="H1679" s="2" t="s">
        <v>5347</v>
      </c>
      <c r="I1679" s="2" t="s">
        <v>5171</v>
      </c>
      <c r="J1679" s="2" t="s">
        <v>5171</v>
      </c>
      <c r="K1679" s="2" t="s">
        <v>267</v>
      </c>
      <c r="L1679" s="3">
        <v>21.5</v>
      </c>
      <c r="M1679" s="3">
        <v>22.57</v>
      </c>
      <c r="N1679" s="3">
        <v>47.99</v>
      </c>
      <c r="O1679" s="2" t="s">
        <v>97</v>
      </c>
      <c r="P1679" s="2" t="s">
        <v>98</v>
      </c>
      <c r="Q1679" s="2" t="s">
        <v>99</v>
      </c>
      <c r="R1679" s="2" t="s">
        <v>100</v>
      </c>
      <c r="S1679" s="2" t="s">
        <v>5349</v>
      </c>
      <c r="T1679" s="2" t="s">
        <v>100</v>
      </c>
      <c r="U1679" s="2" t="s">
        <v>100</v>
      </c>
      <c r="V1679" s="2" t="s">
        <v>601</v>
      </c>
      <c r="W1679" s="2" t="s">
        <v>906</v>
      </c>
      <c r="X1679" s="2" t="s">
        <v>808</v>
      </c>
      <c r="Y1679" s="2" t="s">
        <v>106</v>
      </c>
      <c r="Z1679" s="4">
        <v>82</v>
      </c>
      <c r="AA1679" s="4">
        <f>=ROUNDDOWN(9.11111111111111,0)</f>
      </c>
      <c r="AB1679" s="5">
        <v>9</v>
      </c>
      <c r="AC1679" s="2" t="s">
        <v>145</v>
      </c>
      <c r="AD1679" s="4">
        <v>140</v>
      </c>
      <c r="AE1679" s="4">
        <v>267</v>
      </c>
      <c r="AF1679" s="6">
        <v>68</v>
      </c>
      <c r="AG1679" s="6"/>
      <c r="AH1679" s="7">
        <v>0.8848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/>
      <c r="AW1679" s="8"/>
      <c r="AX1679" s="4"/>
      <c r="AY1679" s="8"/>
      <c r="AZ1679" s="7"/>
      <c r="BA1679" s="7"/>
      <c r="BB1679" s="7"/>
      <c r="BC1679" s="4"/>
      <c r="BD1679" s="8"/>
      <c r="BE1679" s="4"/>
      <c r="BF1679" s="8"/>
      <c r="BG1679" s="7"/>
      <c r="BH1679" s="7"/>
      <c r="BI1679" s="7"/>
      <c r="BJ1679" s="4">
        <v>131</v>
      </c>
      <c r="BK1679" s="8">
        <v>2959.51</v>
      </c>
      <c r="BL1679" s="2" t="s">
        <v>5579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147</v>
      </c>
      <c r="BV1679" s="2" t="s">
        <v>97</v>
      </c>
      <c r="BW1679" s="2" t="s">
        <v>100</v>
      </c>
      <c r="BX1679" s="2" t="s">
        <v>100</v>
      </c>
      <c r="BY1679" s="2" t="s">
        <v>112</v>
      </c>
      <c r="BZ1679" s="2" t="s">
        <v>100</v>
      </c>
    </row>
    <row r="1680">
      <c r="A1680" s="2" t="s">
        <v>5580</v>
      </c>
      <c r="B1680" s="2" t="s">
        <v>87</v>
      </c>
      <c r="C1680" s="2" t="s">
        <v>5275</v>
      </c>
      <c r="D1680" s="2" t="s">
        <v>3569</v>
      </c>
      <c r="E1680" s="2" t="s">
        <v>5169</v>
      </c>
      <c r="F1680" s="2" t="s">
        <v>5369</v>
      </c>
      <c r="G1680" s="2" t="s">
        <v>5369</v>
      </c>
      <c r="H1680" s="2" t="s">
        <v>5369</v>
      </c>
      <c r="I1680" s="2" t="s">
        <v>5171</v>
      </c>
      <c r="J1680" s="2" t="s">
        <v>5171</v>
      </c>
      <c r="K1680" s="2" t="s">
        <v>158</v>
      </c>
      <c r="L1680" s="3">
        <v>21.5</v>
      </c>
      <c r="M1680" s="3">
        <v>22.57</v>
      </c>
      <c r="N1680" s="3">
        <v>47.99</v>
      </c>
      <c r="O1680" s="2" t="s">
        <v>97</v>
      </c>
      <c r="P1680" s="2" t="s">
        <v>98</v>
      </c>
      <c r="Q1680" s="2" t="s">
        <v>99</v>
      </c>
      <c r="R1680" s="2" t="s">
        <v>100</v>
      </c>
      <c r="S1680" s="2" t="s">
        <v>5370</v>
      </c>
      <c r="T1680" s="2" t="s">
        <v>100</v>
      </c>
      <c r="U1680" s="2" t="s">
        <v>100</v>
      </c>
      <c r="V1680" s="2" t="s">
        <v>561</v>
      </c>
      <c r="W1680" s="2" t="s">
        <v>906</v>
      </c>
      <c r="X1680" s="2" t="s">
        <v>808</v>
      </c>
      <c r="Y1680" s="2" t="s">
        <v>106</v>
      </c>
      <c r="Z1680" s="4">
        <v>129</v>
      </c>
      <c r="AA1680" s="4">
        <f>=ROUNDDOWN(8.0625,0)</f>
      </c>
      <c r="AB1680" s="5">
        <v>16</v>
      </c>
      <c r="AC1680" s="2" t="s">
        <v>1208</v>
      </c>
      <c r="AD1680" s="4">
        <v>70</v>
      </c>
      <c r="AE1680" s="4">
        <v>220</v>
      </c>
      <c r="AF1680" s="6">
        <v>64</v>
      </c>
      <c r="AG1680" s="6"/>
      <c r="AH1680" s="7">
        <v>0.9333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/>
      <c r="AW1680" s="8"/>
      <c r="AX1680" s="4"/>
      <c r="AY1680" s="8"/>
      <c r="AZ1680" s="7"/>
      <c r="BA1680" s="7"/>
      <c r="BB1680" s="7"/>
      <c r="BC1680" s="4"/>
      <c r="BD1680" s="8"/>
      <c r="BE1680" s="4"/>
      <c r="BF1680" s="8"/>
      <c r="BG1680" s="7"/>
      <c r="BH1680" s="7"/>
      <c r="BI1680" s="7"/>
      <c r="BJ1680" s="4">
        <v>302</v>
      </c>
      <c r="BK1680" s="8">
        <v>6851.47</v>
      </c>
      <c r="BL1680" s="2" t="s">
        <v>5581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147</v>
      </c>
      <c r="BV1680" s="2" t="s">
        <v>97</v>
      </c>
      <c r="BW1680" s="2" t="s">
        <v>100</v>
      </c>
      <c r="BX1680" s="2" t="s">
        <v>100</v>
      </c>
      <c r="BY1680" s="2" t="s">
        <v>112</v>
      </c>
      <c r="BZ1680" s="2" t="s">
        <v>100</v>
      </c>
    </row>
    <row r="1681">
      <c r="A1681" s="2" t="s">
        <v>5582</v>
      </c>
      <c r="B1681" s="2" t="s">
        <v>87</v>
      </c>
      <c r="C1681" s="2" t="s">
        <v>5275</v>
      </c>
      <c r="D1681" s="2" t="s">
        <v>3569</v>
      </c>
      <c r="E1681" s="2" t="s">
        <v>5169</v>
      </c>
      <c r="F1681" s="2" t="s">
        <v>5287</v>
      </c>
      <c r="G1681" s="2" t="s">
        <v>5287</v>
      </c>
      <c r="H1681" s="2" t="s">
        <v>5287</v>
      </c>
      <c r="I1681" s="2" t="s">
        <v>5171</v>
      </c>
      <c r="J1681" s="2" t="s">
        <v>5171</v>
      </c>
      <c r="K1681" s="2" t="s">
        <v>158</v>
      </c>
      <c r="L1681" s="3">
        <v>21.5</v>
      </c>
      <c r="M1681" s="3">
        <v>22.57</v>
      </c>
      <c r="N1681" s="3">
        <v>42.99</v>
      </c>
      <c r="O1681" s="2" t="s">
        <v>97</v>
      </c>
      <c r="P1681" s="2" t="s">
        <v>98</v>
      </c>
      <c r="Q1681" s="2" t="s">
        <v>99</v>
      </c>
      <c r="R1681" s="2" t="s">
        <v>100</v>
      </c>
      <c r="S1681" s="2" t="s">
        <v>5288</v>
      </c>
      <c r="T1681" s="2" t="s">
        <v>100</v>
      </c>
      <c r="U1681" s="2" t="s">
        <v>100</v>
      </c>
      <c r="V1681" s="2" t="s">
        <v>601</v>
      </c>
      <c r="W1681" s="2" t="s">
        <v>906</v>
      </c>
      <c r="X1681" s="2" t="s">
        <v>808</v>
      </c>
      <c r="Y1681" s="2" t="s">
        <v>106</v>
      </c>
      <c r="Z1681" s="4">
        <v>256</v>
      </c>
      <c r="AA1681" s="4">
        <f>=ROUNDDOWN(28.4444444444444,0)</f>
      </c>
      <c r="AB1681" s="5">
        <v>9</v>
      </c>
      <c r="AC1681" s="2" t="s">
        <v>100</v>
      </c>
      <c r="AD1681" s="4"/>
      <c r="AE1681" s="4"/>
      <c r="AF1681" s="6">
        <v>66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/>
      <c r="AW1681" s="8"/>
      <c r="AX1681" s="4"/>
      <c r="AY1681" s="8"/>
      <c r="AZ1681" s="7"/>
      <c r="BA1681" s="7"/>
      <c r="BB1681" s="7"/>
      <c r="BC1681" s="4"/>
      <c r="BD1681" s="8"/>
      <c r="BE1681" s="4"/>
      <c r="BF1681" s="8"/>
      <c r="BG1681" s="7"/>
      <c r="BH1681" s="7"/>
      <c r="BI1681" s="7"/>
      <c r="BJ1681" s="4">
        <v>146</v>
      </c>
      <c r="BK1681" s="8">
        <v>3338.96</v>
      </c>
      <c r="BL1681" s="2" t="s">
        <v>5583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109</v>
      </c>
      <c r="BV1681" s="2" t="s">
        <v>97</v>
      </c>
      <c r="BW1681" s="2" t="s">
        <v>110</v>
      </c>
      <c r="BX1681" s="2" t="s">
        <v>100</v>
      </c>
      <c r="BY1681" s="2" t="s">
        <v>112</v>
      </c>
      <c r="BZ1681" s="2" t="s">
        <v>100</v>
      </c>
    </row>
    <row r="1682">
      <c r="A1682" s="2" t="s">
        <v>5584</v>
      </c>
      <c r="B1682" s="2" t="s">
        <v>87</v>
      </c>
      <c r="C1682" s="2" t="s">
        <v>5585</v>
      </c>
      <c r="D1682" s="2" t="s">
        <v>2308</v>
      </c>
      <c r="E1682" s="2" t="s">
        <v>5586</v>
      </c>
      <c r="F1682" s="2" t="s">
        <v>5587</v>
      </c>
      <c r="G1682" s="2" t="s">
        <v>5587</v>
      </c>
      <c r="H1682" s="2" t="s">
        <v>100</v>
      </c>
      <c r="I1682" s="2" t="s">
        <v>5588</v>
      </c>
      <c r="J1682" s="2" t="s">
        <v>844</v>
      </c>
      <c r="K1682" s="2" t="s">
        <v>1204</v>
      </c>
      <c r="L1682" s="3">
        <v>49.99</v>
      </c>
      <c r="M1682" s="3">
        <v>52.49</v>
      </c>
      <c r="N1682" s="3">
        <v>99.99</v>
      </c>
      <c r="O1682" s="2" t="s">
        <v>229</v>
      </c>
      <c r="P1682" s="2" t="s">
        <v>198</v>
      </c>
      <c r="Q1682" s="2" t="s">
        <v>99</v>
      </c>
      <c r="R1682" s="2" t="s">
        <v>100</v>
      </c>
      <c r="S1682" s="2" t="s">
        <v>5589</v>
      </c>
      <c r="T1682" s="2" t="s">
        <v>100</v>
      </c>
      <c r="U1682" s="2" t="s">
        <v>100</v>
      </c>
      <c r="V1682" s="2" t="s">
        <v>991</v>
      </c>
      <c r="W1682" s="2" t="s">
        <v>312</v>
      </c>
      <c r="X1682" s="2" t="s">
        <v>185</v>
      </c>
      <c r="Y1682" s="2" t="s">
        <v>5590</v>
      </c>
      <c r="Z1682" s="4">
        <v>93</v>
      </c>
      <c r="AA1682" s="4">
        <f>=ROUNDDOWN(21.6279069767442,0)</f>
      </c>
      <c r="AB1682" s="5">
        <v>4.3</v>
      </c>
      <c r="AC1682" s="2" t="s">
        <v>100</v>
      </c>
      <c r="AD1682" s="4"/>
      <c r="AE1682" s="4"/>
      <c r="AF1682" s="6">
        <v>65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>
        <v>0</v>
      </c>
      <c r="AP1682" s="4">
        <v>2</v>
      </c>
      <c r="AQ1682" s="8">
        <v>104.98</v>
      </c>
      <c r="AR1682" s="4">
        <v>1</v>
      </c>
      <c r="AS1682" s="8">
        <v>52.49</v>
      </c>
      <c r="AT1682" s="7">
        <v>1</v>
      </c>
      <c r="AU1682" s="7">
        <v>1</v>
      </c>
      <c r="AV1682" s="4">
        <v>3</v>
      </c>
      <c r="AW1682" s="8">
        <v>162.72</v>
      </c>
      <c r="AX1682" s="4">
        <v>4</v>
      </c>
      <c r="AY1682" s="8">
        <v>225.71</v>
      </c>
      <c r="AZ1682" s="7">
        <v>-0.25</v>
      </c>
      <c r="BA1682" s="7">
        <v>-0.2791</v>
      </c>
      <c r="BB1682" s="7">
        <v>0.6452</v>
      </c>
      <c r="BC1682" s="4">
        <v>3</v>
      </c>
      <c r="BD1682" s="8">
        <v>162.72</v>
      </c>
      <c r="BE1682" s="4">
        <v>10</v>
      </c>
      <c r="BF1682" s="8">
        <v>572.15</v>
      </c>
      <c r="BG1682" s="7">
        <v>-0.7</v>
      </c>
      <c r="BH1682" s="7">
        <v>-0.7156</v>
      </c>
      <c r="BI1682" s="7">
        <v>1</v>
      </c>
      <c r="BJ1682" s="4">
        <v>98</v>
      </c>
      <c r="BK1682" s="8">
        <v>4543.86</v>
      </c>
      <c r="BL1682" s="2" t="s">
        <v>5591</v>
      </c>
      <c r="BM1682" s="7">
        <v>0.0204</v>
      </c>
      <c r="BN1682" s="7">
        <v>0.0231</v>
      </c>
      <c r="BO1682" s="4">
        <v>2</v>
      </c>
      <c r="BP1682" s="8">
        <v>104.98</v>
      </c>
      <c r="BQ1682" s="4">
        <v>1</v>
      </c>
      <c r="BR1682" s="8">
        <v>52.49</v>
      </c>
      <c r="BS1682" s="7">
        <v>1</v>
      </c>
      <c r="BT1682" s="7">
        <v>1</v>
      </c>
      <c r="BU1682" s="2" t="s">
        <v>109</v>
      </c>
      <c r="BV1682" s="2" t="s">
        <v>97</v>
      </c>
      <c r="BW1682" s="2" t="s">
        <v>132</v>
      </c>
      <c r="BX1682" s="2" t="s">
        <v>5592</v>
      </c>
      <c r="BY1682" s="2" t="s">
        <v>112</v>
      </c>
      <c r="BZ1682" s="2" t="s">
        <v>100</v>
      </c>
    </row>
    <row r="1683">
      <c r="A1683" s="2" t="s">
        <v>5593</v>
      </c>
      <c r="B1683" s="2" t="s">
        <v>87</v>
      </c>
      <c r="C1683" s="2" t="s">
        <v>5585</v>
      </c>
      <c r="D1683" s="2" t="s">
        <v>2308</v>
      </c>
      <c r="E1683" s="2" t="s">
        <v>5586</v>
      </c>
      <c r="F1683" s="2" t="s">
        <v>5587</v>
      </c>
      <c r="G1683" s="2" t="s">
        <v>5587</v>
      </c>
      <c r="H1683" s="2" t="s">
        <v>100</v>
      </c>
      <c r="I1683" s="2" t="s">
        <v>5588</v>
      </c>
      <c r="J1683" s="2" t="s">
        <v>850</v>
      </c>
      <c r="K1683" s="2" t="s">
        <v>1204</v>
      </c>
      <c r="L1683" s="3">
        <v>54.99</v>
      </c>
      <c r="M1683" s="3">
        <v>57.74</v>
      </c>
      <c r="N1683" s="3">
        <v>109.99</v>
      </c>
      <c r="O1683" s="2" t="s">
        <v>229</v>
      </c>
      <c r="P1683" s="2" t="s">
        <v>198</v>
      </c>
      <c r="Q1683" s="2" t="s">
        <v>99</v>
      </c>
      <c r="R1683" s="2" t="s">
        <v>100</v>
      </c>
      <c r="S1683" s="2" t="s">
        <v>5589</v>
      </c>
      <c r="T1683" s="2" t="s">
        <v>100</v>
      </c>
      <c r="U1683" s="2" t="s">
        <v>100</v>
      </c>
      <c r="V1683" s="2" t="s">
        <v>991</v>
      </c>
      <c r="W1683" s="2" t="s">
        <v>312</v>
      </c>
      <c r="X1683" s="2" t="s">
        <v>185</v>
      </c>
      <c r="Y1683" s="2" t="s">
        <v>5590</v>
      </c>
      <c r="Z1683" s="4">
        <v>343</v>
      </c>
      <c r="AA1683" s="4">
        <f>=ROUNDDOWN(76.2222222222222,0)</f>
      </c>
      <c r="AB1683" s="5">
        <v>4.5</v>
      </c>
      <c r="AC1683" s="2" t="s">
        <v>100</v>
      </c>
      <c r="AD1683" s="4"/>
      <c r="AE1683" s="4"/>
      <c r="AF1683" s="6">
        <v>65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>
        <v>0</v>
      </c>
      <c r="AP1683" s="4">
        <v>1</v>
      </c>
      <c r="AQ1683" s="8">
        <v>57.74</v>
      </c>
      <c r="AR1683" s="4">
        <v>3</v>
      </c>
      <c r="AS1683" s="8">
        <v>173.22</v>
      </c>
      <c r="AT1683" s="7">
        <v>-0.6667</v>
      </c>
      <c r="AU1683" s="7">
        <v>-0.6667</v>
      </c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>
        <v>0.3548</v>
      </c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 t="s">
        <v>100</v>
      </c>
      <c r="BJ1683" s="4">
        <v>150</v>
      </c>
      <c r="BK1683" s="8">
        <v>7664.26</v>
      </c>
      <c r="BL1683" s="2" t="s">
        <v>5594</v>
      </c>
      <c r="BM1683" s="7">
        <v>0.0067</v>
      </c>
      <c r="BN1683" s="7">
        <v>0.0075</v>
      </c>
      <c r="BO1683" s="4">
        <v>1</v>
      </c>
      <c r="BP1683" s="8">
        <v>57.74</v>
      </c>
      <c r="BQ1683" s="4">
        <v>3</v>
      </c>
      <c r="BR1683" s="8">
        <v>173.22</v>
      </c>
      <c r="BS1683" s="7">
        <v>-0.6667</v>
      </c>
      <c r="BT1683" s="7">
        <v>-0.6667</v>
      </c>
      <c r="BU1683" s="2" t="s">
        <v>109</v>
      </c>
      <c r="BV1683" s="2" t="s">
        <v>97</v>
      </c>
      <c r="BW1683" s="2" t="s">
        <v>132</v>
      </c>
      <c r="BX1683" s="2" t="s">
        <v>5595</v>
      </c>
      <c r="BY1683" s="2" t="s">
        <v>112</v>
      </c>
      <c r="BZ1683" s="2" t="s">
        <v>100</v>
      </c>
    </row>
    <row r="1684">
      <c r="A1684" s="2" t="s">
        <v>5596</v>
      </c>
      <c r="B1684" s="2" t="s">
        <v>87</v>
      </c>
      <c r="C1684" s="2" t="s">
        <v>5585</v>
      </c>
      <c r="D1684" s="2" t="s">
        <v>2308</v>
      </c>
      <c r="E1684" s="2" t="s">
        <v>5586</v>
      </c>
      <c r="F1684" s="2" t="s">
        <v>5587</v>
      </c>
      <c r="G1684" s="2" t="s">
        <v>5587</v>
      </c>
      <c r="H1684" s="2" t="s">
        <v>100</v>
      </c>
      <c r="I1684" s="2" t="s">
        <v>5588</v>
      </c>
      <c r="J1684" s="2" t="s">
        <v>850</v>
      </c>
      <c r="K1684" s="2" t="s">
        <v>310</v>
      </c>
      <c r="L1684" s="3">
        <v>54.99</v>
      </c>
      <c r="M1684" s="3">
        <v>57.74</v>
      </c>
      <c r="N1684" s="3">
        <v>109.99</v>
      </c>
      <c r="O1684" s="2" t="s">
        <v>229</v>
      </c>
      <c r="P1684" s="2" t="s">
        <v>198</v>
      </c>
      <c r="Q1684" s="2" t="s">
        <v>99</v>
      </c>
      <c r="R1684" s="2" t="s">
        <v>100</v>
      </c>
      <c r="S1684" s="2" t="s">
        <v>5589</v>
      </c>
      <c r="T1684" s="2" t="s">
        <v>100</v>
      </c>
      <c r="U1684" s="2" t="s">
        <v>100</v>
      </c>
      <c r="V1684" s="2" t="s">
        <v>991</v>
      </c>
      <c r="W1684" s="2" t="s">
        <v>312</v>
      </c>
      <c r="X1684" s="2" t="s">
        <v>185</v>
      </c>
      <c r="Y1684" s="2" t="s">
        <v>5590</v>
      </c>
      <c r="Z1684" s="4"/>
      <c r="AA1684" s="4">
        <f>=ROUNDDOWN({0},0)</f>
      </c>
      <c r="AB1684" s="5">
        <v>4</v>
      </c>
      <c r="AC1684" s="2" t="s">
        <v>100</v>
      </c>
      <c r="AD1684" s="4"/>
      <c r="AE1684" s="4"/>
      <c r="AF1684" s="6">
        <v>65</v>
      </c>
      <c r="AG1684" s="6"/>
      <c r="AH1684" s="7">
        <v>0.1879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>
        <v>0</v>
      </c>
      <c r="AP1684" s="4"/>
      <c r="AQ1684" s="8"/>
      <c r="AR1684" s="4">
        <v>6</v>
      </c>
      <c r="AS1684" s="8">
        <v>346.44</v>
      </c>
      <c r="AT1684" s="7">
        <v>-1</v>
      </c>
      <c r="AU1684" s="7">
        <v>-1</v>
      </c>
      <c r="AV1684" s="4"/>
      <c r="AW1684" s="8"/>
      <c r="AX1684" s="4">
        <v>6</v>
      </c>
      <c r="AY1684" s="8">
        <v>346.44</v>
      </c>
      <c r="AZ1684" s="7">
        <v>-1</v>
      </c>
      <c r="BA1684" s="7">
        <v>-1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/>
      <c r="BK1684" s="8"/>
      <c r="BL1684" s="2" t="s">
        <v>5597</v>
      </c>
      <c r="BM1684" s="7"/>
      <c r="BN1684" s="7"/>
      <c r="BO1684" s="4"/>
      <c r="BP1684" s="8"/>
      <c r="BQ1684" s="4">
        <v>6</v>
      </c>
      <c r="BR1684" s="8">
        <v>346.44</v>
      </c>
      <c r="BS1684" s="7">
        <v>-1</v>
      </c>
      <c r="BT1684" s="7">
        <v>-1</v>
      </c>
      <c r="BU1684" s="2" t="s">
        <v>109</v>
      </c>
      <c r="BV1684" s="2" t="s">
        <v>552</v>
      </c>
      <c r="BW1684" s="2" t="s">
        <v>132</v>
      </c>
      <c r="BX1684" s="2" t="s">
        <v>5598</v>
      </c>
      <c r="BY1684" s="2" t="s">
        <v>112</v>
      </c>
      <c r="BZ1684" s="2" t="s">
        <v>100</v>
      </c>
    </row>
    <row r="1685">
      <c r="A1685" s="2" t="s">
        <v>5599</v>
      </c>
      <c r="B1685" s="2" t="s">
        <v>87</v>
      </c>
      <c r="C1685" s="2" t="s">
        <v>5585</v>
      </c>
      <c r="D1685" s="2" t="s">
        <v>2308</v>
      </c>
      <c r="E1685" s="2" t="s">
        <v>5586</v>
      </c>
      <c r="F1685" s="2" t="s">
        <v>1129</v>
      </c>
      <c r="G1685" s="2" t="s">
        <v>1129</v>
      </c>
      <c r="H1685" s="2" t="s">
        <v>1129</v>
      </c>
      <c r="I1685" s="2" t="s">
        <v>5600</v>
      </c>
      <c r="J1685" s="2" t="s">
        <v>844</v>
      </c>
      <c r="K1685" s="2" t="s">
        <v>181</v>
      </c>
      <c r="L1685" s="3">
        <v>52.38</v>
      </c>
      <c r="M1685" s="3">
        <v>55</v>
      </c>
      <c r="N1685" s="3">
        <v>109.99</v>
      </c>
      <c r="O1685" s="2" t="s">
        <v>550</v>
      </c>
      <c r="P1685" s="2" t="s">
        <v>198</v>
      </c>
      <c r="Q1685" s="2" t="s">
        <v>99</v>
      </c>
      <c r="R1685" s="2" t="s">
        <v>100</v>
      </c>
      <c r="S1685" s="2" t="s">
        <v>5601</v>
      </c>
      <c r="T1685" s="2" t="s">
        <v>732</v>
      </c>
      <c r="U1685" s="2" t="s">
        <v>1610</v>
      </c>
      <c r="V1685" s="2" t="s">
        <v>991</v>
      </c>
      <c r="W1685" s="2" t="s">
        <v>312</v>
      </c>
      <c r="X1685" s="2" t="s">
        <v>808</v>
      </c>
      <c r="Y1685" s="2" t="s">
        <v>5602</v>
      </c>
      <c r="Z1685" s="4">
        <v>157</v>
      </c>
      <c r="AA1685" s="4">
        <f>=ROUNDDOWN(196.25,0)</f>
      </c>
      <c r="AB1685" s="5">
        <v>0.8</v>
      </c>
      <c r="AC1685" s="2" t="s">
        <v>100</v>
      </c>
      <c r="AD1685" s="4"/>
      <c r="AE1685" s="4"/>
      <c r="AF1685" s="6">
        <v>65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50</v>
      </c>
      <c r="BK1685" s="8">
        <v>1980.39</v>
      </c>
      <c r="BL1685" s="2" t="s">
        <v>3340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147</v>
      </c>
      <c r="BV1685" s="2" t="s">
        <v>97</v>
      </c>
      <c r="BW1685" s="2" t="s">
        <v>100</v>
      </c>
      <c r="BX1685" s="2" t="s">
        <v>100</v>
      </c>
      <c r="BY1685" s="2" t="s">
        <v>112</v>
      </c>
      <c r="BZ1685" s="2" t="s">
        <v>100</v>
      </c>
    </row>
    <row r="1686">
      <c r="A1686" s="2" t="s">
        <v>5603</v>
      </c>
      <c r="B1686" s="2" t="s">
        <v>87</v>
      </c>
      <c r="C1686" s="2" t="s">
        <v>5585</v>
      </c>
      <c r="D1686" s="2" t="s">
        <v>2308</v>
      </c>
      <c r="E1686" s="2" t="s">
        <v>5586</v>
      </c>
      <c r="F1686" s="2" t="s">
        <v>1129</v>
      </c>
      <c r="G1686" s="2" t="s">
        <v>1129</v>
      </c>
      <c r="H1686" s="2" t="s">
        <v>1129</v>
      </c>
      <c r="I1686" s="2" t="s">
        <v>5600</v>
      </c>
      <c r="J1686" s="2" t="s">
        <v>850</v>
      </c>
      <c r="K1686" s="2" t="s">
        <v>181</v>
      </c>
      <c r="L1686" s="3">
        <v>59.42</v>
      </c>
      <c r="M1686" s="3">
        <v>62.39</v>
      </c>
      <c r="N1686" s="3">
        <v>129.99</v>
      </c>
      <c r="O1686" s="2" t="s">
        <v>550</v>
      </c>
      <c r="P1686" s="2" t="s">
        <v>198</v>
      </c>
      <c r="Q1686" s="2" t="s">
        <v>99</v>
      </c>
      <c r="R1686" s="2" t="s">
        <v>100</v>
      </c>
      <c r="S1686" s="2" t="s">
        <v>5601</v>
      </c>
      <c r="T1686" s="2" t="s">
        <v>732</v>
      </c>
      <c r="U1686" s="2" t="s">
        <v>1610</v>
      </c>
      <c r="V1686" s="2" t="s">
        <v>991</v>
      </c>
      <c r="W1686" s="2" t="s">
        <v>312</v>
      </c>
      <c r="X1686" s="2" t="s">
        <v>808</v>
      </c>
      <c r="Y1686" s="2" t="s">
        <v>5602</v>
      </c>
      <c r="Z1686" s="4">
        <v>138</v>
      </c>
      <c r="AA1686" s="4">
        <f>=ROUNDDOWN(81.1764705882353,0)</f>
      </c>
      <c r="AB1686" s="5">
        <v>1.7</v>
      </c>
      <c r="AC1686" s="2" t="s">
        <v>100</v>
      </c>
      <c r="AD1686" s="4"/>
      <c r="AE1686" s="4"/>
      <c r="AF1686" s="6">
        <v>65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53</v>
      </c>
      <c r="BK1686" s="8">
        <v>2217.05</v>
      </c>
      <c r="BL1686" s="2" t="s">
        <v>3340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147</v>
      </c>
      <c r="BV1686" s="2" t="s">
        <v>97</v>
      </c>
      <c r="BW1686" s="2" t="s">
        <v>100</v>
      </c>
      <c r="BX1686" s="2" t="s">
        <v>100</v>
      </c>
      <c r="BY1686" s="2" t="s">
        <v>112</v>
      </c>
      <c r="BZ1686" s="2" t="s">
        <v>100</v>
      </c>
    </row>
    <row r="1687">
      <c r="A1687" s="2" t="s">
        <v>5604</v>
      </c>
      <c r="B1687" s="2" t="s">
        <v>87</v>
      </c>
      <c r="C1687" s="2" t="s">
        <v>5585</v>
      </c>
      <c r="D1687" s="2" t="s">
        <v>2308</v>
      </c>
      <c r="E1687" s="2" t="s">
        <v>5586</v>
      </c>
      <c r="F1687" s="2" t="s">
        <v>5605</v>
      </c>
      <c r="G1687" s="2" t="s">
        <v>5605</v>
      </c>
      <c r="H1687" s="2" t="s">
        <v>5605</v>
      </c>
      <c r="I1687" s="2" t="s">
        <v>5606</v>
      </c>
      <c r="J1687" s="2" t="s">
        <v>844</v>
      </c>
      <c r="K1687" s="2" t="s">
        <v>96</v>
      </c>
      <c r="L1687" s="3">
        <v>49.99</v>
      </c>
      <c r="M1687" s="3">
        <v>52.49</v>
      </c>
      <c r="N1687" s="3">
        <v>109.99</v>
      </c>
      <c r="O1687" s="2" t="s">
        <v>97</v>
      </c>
      <c r="P1687" s="2" t="s">
        <v>143</v>
      </c>
      <c r="Q1687" s="2" t="s">
        <v>99</v>
      </c>
      <c r="R1687" s="2" t="s">
        <v>100</v>
      </c>
      <c r="S1687" s="2" t="s">
        <v>5607</v>
      </c>
      <c r="T1687" s="2" t="s">
        <v>100</v>
      </c>
      <c r="U1687" s="2" t="s">
        <v>100</v>
      </c>
      <c r="V1687" s="2" t="s">
        <v>1287</v>
      </c>
      <c r="W1687" s="2" t="s">
        <v>312</v>
      </c>
      <c r="X1687" s="2" t="s">
        <v>185</v>
      </c>
      <c r="Y1687" s="2" t="s">
        <v>106</v>
      </c>
      <c r="Z1687" s="4">
        <v>92</v>
      </c>
      <c r="AA1687" s="4">
        <f>=ROUNDDOWN(15.3333333333333,0)</f>
      </c>
      <c r="AB1687" s="5">
        <v>6</v>
      </c>
      <c r="AC1687" s="2" t="s">
        <v>145</v>
      </c>
      <c r="AD1687" s="4">
        <v>60</v>
      </c>
      <c r="AE1687" s="4">
        <v>340</v>
      </c>
      <c r="AF1687" s="6">
        <v>69</v>
      </c>
      <c r="AG1687" s="6"/>
      <c r="AH1687" s="7">
        <v>0.6545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>
        <v>62</v>
      </c>
      <c r="BK1687" s="8">
        <v>3322.61</v>
      </c>
      <c r="BL1687" s="2" t="s">
        <v>5608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147</v>
      </c>
      <c r="BV1687" s="2" t="s">
        <v>97</v>
      </c>
      <c r="BW1687" s="2" t="s">
        <v>100</v>
      </c>
      <c r="BX1687" s="2" t="s">
        <v>100</v>
      </c>
      <c r="BY1687" s="2" t="s">
        <v>112</v>
      </c>
      <c r="BZ1687" s="2" t="s">
        <v>100</v>
      </c>
    </row>
    <row r="1688">
      <c r="A1688" s="2" t="s">
        <v>5609</v>
      </c>
      <c r="B1688" s="2" t="s">
        <v>87</v>
      </c>
      <c r="C1688" s="2" t="s">
        <v>5585</v>
      </c>
      <c r="D1688" s="2" t="s">
        <v>2308</v>
      </c>
      <c r="E1688" s="2" t="s">
        <v>5586</v>
      </c>
      <c r="F1688" s="2" t="s">
        <v>5605</v>
      </c>
      <c r="G1688" s="2" t="s">
        <v>5605</v>
      </c>
      <c r="H1688" s="2" t="s">
        <v>5605</v>
      </c>
      <c r="I1688" s="2" t="s">
        <v>5606</v>
      </c>
      <c r="J1688" s="2" t="s">
        <v>850</v>
      </c>
      <c r="K1688" s="2" t="s">
        <v>96</v>
      </c>
      <c r="L1688" s="3">
        <v>54.99</v>
      </c>
      <c r="M1688" s="3">
        <v>57.74</v>
      </c>
      <c r="N1688" s="3">
        <v>119.99</v>
      </c>
      <c r="O1688" s="2" t="s">
        <v>97</v>
      </c>
      <c r="P1688" s="2" t="s">
        <v>143</v>
      </c>
      <c r="Q1688" s="2" t="s">
        <v>99</v>
      </c>
      <c r="R1688" s="2" t="s">
        <v>100</v>
      </c>
      <c r="S1688" s="2" t="s">
        <v>5607</v>
      </c>
      <c r="T1688" s="2" t="s">
        <v>100</v>
      </c>
      <c r="U1688" s="2" t="s">
        <v>100</v>
      </c>
      <c r="V1688" s="2" t="s">
        <v>1287</v>
      </c>
      <c r="W1688" s="2" t="s">
        <v>312</v>
      </c>
      <c r="X1688" s="2" t="s">
        <v>185</v>
      </c>
      <c r="Y1688" s="2" t="s">
        <v>106</v>
      </c>
      <c r="Z1688" s="4">
        <v>80</v>
      </c>
      <c r="AA1688" s="4">
        <f>=ROUNDDOWN(11.4285714285714,0)</f>
      </c>
      <c r="AB1688" s="5">
        <v>7</v>
      </c>
      <c r="AC1688" s="2" t="s">
        <v>145</v>
      </c>
      <c r="AD1688" s="4">
        <v>90</v>
      </c>
      <c r="AE1688" s="4">
        <v>430</v>
      </c>
      <c r="AF1688" s="6">
        <v>69</v>
      </c>
      <c r="AG1688" s="6"/>
      <c r="AH1688" s="7">
        <v>0.7152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130</v>
      </c>
      <c r="BK1688" s="8">
        <v>7775.31</v>
      </c>
      <c r="BL1688" s="2" t="s">
        <v>5610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147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5611</v>
      </c>
      <c r="B1689" s="2" t="s">
        <v>87</v>
      </c>
      <c r="C1689" s="2" t="s">
        <v>5585</v>
      </c>
      <c r="D1689" s="2" t="s">
        <v>2308</v>
      </c>
      <c r="E1689" s="2" t="s">
        <v>5586</v>
      </c>
      <c r="F1689" s="2" t="s">
        <v>5612</v>
      </c>
      <c r="G1689" s="2" t="s">
        <v>5612</v>
      </c>
      <c r="H1689" s="2" t="s">
        <v>5612</v>
      </c>
      <c r="I1689" s="2" t="s">
        <v>5613</v>
      </c>
      <c r="J1689" s="2" t="s">
        <v>487</v>
      </c>
      <c r="K1689" s="2" t="s">
        <v>181</v>
      </c>
      <c r="L1689" s="3">
        <v>39</v>
      </c>
      <c r="M1689" s="3">
        <v>40.95</v>
      </c>
      <c r="N1689" s="3">
        <v>89.99</v>
      </c>
      <c r="O1689" s="2" t="s">
        <v>97</v>
      </c>
      <c r="P1689" s="2" t="s">
        <v>182</v>
      </c>
      <c r="Q1689" s="2" t="s">
        <v>99</v>
      </c>
      <c r="R1689" s="2" t="s">
        <v>100</v>
      </c>
      <c r="S1689" s="2" t="s">
        <v>5614</v>
      </c>
      <c r="T1689" s="2" t="s">
        <v>732</v>
      </c>
      <c r="U1689" s="2" t="s">
        <v>2104</v>
      </c>
      <c r="V1689" s="2" t="s">
        <v>2574</v>
      </c>
      <c r="W1689" s="2" t="s">
        <v>312</v>
      </c>
      <c r="X1689" s="2" t="s">
        <v>405</v>
      </c>
      <c r="Y1689" s="2" t="s">
        <v>5615</v>
      </c>
      <c r="Z1689" s="4">
        <v>393</v>
      </c>
      <c r="AA1689" s="4">
        <f>=ROUNDDOWN(35.7272727272727,0)</f>
      </c>
      <c r="AB1689" s="5">
        <v>11</v>
      </c>
      <c r="AC1689" s="2" t="s">
        <v>659</v>
      </c>
      <c r="AD1689" s="4">
        <v>60</v>
      </c>
      <c r="AE1689" s="4">
        <v>60</v>
      </c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295</v>
      </c>
      <c r="BK1689" s="8">
        <v>13138.04</v>
      </c>
      <c r="BL1689" s="2" t="s">
        <v>5616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147</v>
      </c>
      <c r="BV1689" s="2" t="s">
        <v>97</v>
      </c>
      <c r="BW1689" s="2" t="s">
        <v>100</v>
      </c>
      <c r="BX1689" s="2" t="s">
        <v>100</v>
      </c>
      <c r="BY1689" s="2" t="s">
        <v>112</v>
      </c>
      <c r="BZ1689" s="2" t="s">
        <v>100</v>
      </c>
    </row>
    <row r="1690">
      <c r="A1690" s="2" t="s">
        <v>5617</v>
      </c>
      <c r="B1690" s="2" t="s">
        <v>87</v>
      </c>
      <c r="C1690" s="2" t="s">
        <v>5585</v>
      </c>
      <c r="D1690" s="2" t="s">
        <v>2308</v>
      </c>
      <c r="E1690" s="2" t="s">
        <v>5586</v>
      </c>
      <c r="F1690" s="2" t="s">
        <v>5612</v>
      </c>
      <c r="G1690" s="2" t="s">
        <v>5612</v>
      </c>
      <c r="H1690" s="2" t="s">
        <v>5612</v>
      </c>
      <c r="I1690" s="2" t="s">
        <v>5613</v>
      </c>
      <c r="J1690" s="2" t="s">
        <v>844</v>
      </c>
      <c r="K1690" s="2" t="s">
        <v>181</v>
      </c>
      <c r="L1690" s="3">
        <v>52.8</v>
      </c>
      <c r="M1690" s="3">
        <v>55.43</v>
      </c>
      <c r="N1690" s="3">
        <v>109.99</v>
      </c>
      <c r="O1690" s="2" t="s">
        <v>97</v>
      </c>
      <c r="P1690" s="2" t="s">
        <v>124</v>
      </c>
      <c r="Q1690" s="2" t="s">
        <v>99</v>
      </c>
      <c r="R1690" s="2" t="s">
        <v>100</v>
      </c>
      <c r="S1690" s="2" t="s">
        <v>5614</v>
      </c>
      <c r="T1690" s="2" t="s">
        <v>732</v>
      </c>
      <c r="U1690" s="2" t="s">
        <v>1610</v>
      </c>
      <c r="V1690" s="2" t="s">
        <v>2574</v>
      </c>
      <c r="W1690" s="2" t="s">
        <v>312</v>
      </c>
      <c r="X1690" s="2" t="s">
        <v>405</v>
      </c>
      <c r="Y1690" s="2" t="s">
        <v>5618</v>
      </c>
      <c r="Z1690" s="4">
        <v>671</v>
      </c>
      <c r="AA1690" s="4">
        <f>=ROUNDDOWN(16.775,0)</f>
      </c>
      <c r="AB1690" s="5">
        <v>40</v>
      </c>
      <c r="AC1690" s="2" t="s">
        <v>936</v>
      </c>
      <c r="AD1690" s="4">
        <v>270</v>
      </c>
      <c r="AE1690" s="4">
        <v>800</v>
      </c>
      <c r="AF1690" s="6">
        <v>69</v>
      </c>
      <c r="AG1690" s="6">
        <v>52</v>
      </c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915</v>
      </c>
      <c r="BK1690" s="8">
        <v>52963.67</v>
      </c>
      <c r="BL1690" s="2" t="s">
        <v>3987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109</v>
      </c>
      <c r="BV1690" s="2" t="s">
        <v>97</v>
      </c>
      <c r="BW1690" s="2" t="s">
        <v>737</v>
      </c>
      <c r="BX1690" s="2" t="s">
        <v>100</v>
      </c>
      <c r="BY1690" s="2" t="s">
        <v>112</v>
      </c>
      <c r="BZ1690" s="2" t="s">
        <v>100</v>
      </c>
    </row>
    <row r="1691">
      <c r="A1691" s="2" t="s">
        <v>5619</v>
      </c>
      <c r="B1691" s="2" t="s">
        <v>87</v>
      </c>
      <c r="C1691" s="2" t="s">
        <v>5585</v>
      </c>
      <c r="D1691" s="2" t="s">
        <v>2308</v>
      </c>
      <c r="E1691" s="2" t="s">
        <v>5586</v>
      </c>
      <c r="F1691" s="2" t="s">
        <v>5612</v>
      </c>
      <c r="G1691" s="2" t="s">
        <v>5612</v>
      </c>
      <c r="H1691" s="2" t="s">
        <v>5612</v>
      </c>
      <c r="I1691" s="2" t="s">
        <v>5613</v>
      </c>
      <c r="J1691" s="2" t="s">
        <v>850</v>
      </c>
      <c r="K1691" s="2" t="s">
        <v>181</v>
      </c>
      <c r="L1691" s="3">
        <v>63.7</v>
      </c>
      <c r="M1691" s="3">
        <v>66.88</v>
      </c>
      <c r="N1691" s="3">
        <v>129.99</v>
      </c>
      <c r="O1691" s="2" t="s">
        <v>97</v>
      </c>
      <c r="P1691" s="2" t="s">
        <v>124</v>
      </c>
      <c r="Q1691" s="2" t="s">
        <v>99</v>
      </c>
      <c r="R1691" s="2" t="s">
        <v>100</v>
      </c>
      <c r="S1691" s="2" t="s">
        <v>5614</v>
      </c>
      <c r="T1691" s="2" t="s">
        <v>732</v>
      </c>
      <c r="U1691" s="2" t="s">
        <v>1610</v>
      </c>
      <c r="V1691" s="2" t="s">
        <v>2574</v>
      </c>
      <c r="W1691" s="2" t="s">
        <v>312</v>
      </c>
      <c r="X1691" s="2" t="s">
        <v>405</v>
      </c>
      <c r="Y1691" s="2" t="s">
        <v>5618</v>
      </c>
      <c r="Z1691" s="4">
        <v>904</v>
      </c>
      <c r="AA1691" s="4">
        <f>=ROUNDDOWN(39.304347826087,0)</f>
      </c>
      <c r="AB1691" s="5">
        <v>23</v>
      </c>
      <c r="AC1691" s="2" t="s">
        <v>936</v>
      </c>
      <c r="AD1691" s="4">
        <v>230</v>
      </c>
      <c r="AE1691" s="4">
        <v>540</v>
      </c>
      <c r="AF1691" s="6">
        <v>69</v>
      </c>
      <c r="AG1691" s="6">
        <v>52</v>
      </c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497</v>
      </c>
      <c r="BK1691" s="8">
        <v>33989.63</v>
      </c>
      <c r="BL1691" s="2" t="s">
        <v>5620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109</v>
      </c>
      <c r="BV1691" s="2" t="s">
        <v>97</v>
      </c>
      <c r="BW1691" s="2" t="s">
        <v>737</v>
      </c>
      <c r="BX1691" s="2" t="s">
        <v>100</v>
      </c>
      <c r="BY1691" s="2" t="s">
        <v>112</v>
      </c>
      <c r="BZ1691" s="2" t="s">
        <v>100</v>
      </c>
    </row>
    <row r="1692">
      <c r="A1692" s="2" t="s">
        <v>5621</v>
      </c>
      <c r="B1692" s="2" t="s">
        <v>87</v>
      </c>
      <c r="C1692" s="2" t="s">
        <v>5585</v>
      </c>
      <c r="D1692" s="2" t="s">
        <v>2308</v>
      </c>
      <c r="E1692" s="2" t="s">
        <v>5586</v>
      </c>
      <c r="F1692" s="2" t="s">
        <v>5622</v>
      </c>
      <c r="G1692" s="2" t="s">
        <v>5622</v>
      </c>
      <c r="H1692" s="2" t="s">
        <v>5622</v>
      </c>
      <c r="I1692" s="2" t="s">
        <v>5623</v>
      </c>
      <c r="J1692" s="2" t="s">
        <v>844</v>
      </c>
      <c r="K1692" s="2" t="s">
        <v>310</v>
      </c>
      <c r="L1692" s="3">
        <v>50.6</v>
      </c>
      <c r="M1692" s="3">
        <v>53.13</v>
      </c>
      <c r="N1692" s="3">
        <v>109.99</v>
      </c>
      <c r="O1692" s="2" t="s">
        <v>97</v>
      </c>
      <c r="P1692" s="2" t="s">
        <v>182</v>
      </c>
      <c r="Q1692" s="2" t="s">
        <v>99</v>
      </c>
      <c r="R1692" s="2" t="s">
        <v>100</v>
      </c>
      <c r="S1692" s="2" t="s">
        <v>5624</v>
      </c>
      <c r="T1692" s="2" t="s">
        <v>732</v>
      </c>
      <c r="U1692" s="2" t="s">
        <v>1610</v>
      </c>
      <c r="V1692" s="2" t="s">
        <v>1741</v>
      </c>
      <c r="W1692" s="2" t="s">
        <v>312</v>
      </c>
      <c r="X1692" s="2" t="s">
        <v>808</v>
      </c>
      <c r="Y1692" s="2" t="s">
        <v>5625</v>
      </c>
      <c r="Z1692" s="4">
        <v>232</v>
      </c>
      <c r="AA1692" s="4">
        <f>=ROUNDDOWN(25.7777777777778,0)</f>
      </c>
      <c r="AB1692" s="5">
        <v>9</v>
      </c>
      <c r="AC1692" s="2" t="s">
        <v>145</v>
      </c>
      <c r="AD1692" s="4">
        <v>230</v>
      </c>
      <c r="AE1692" s="4">
        <v>230</v>
      </c>
      <c r="AF1692" s="6">
        <v>66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216</v>
      </c>
      <c r="BK1692" s="8">
        <v>12028.58</v>
      </c>
      <c r="BL1692" s="2" t="s">
        <v>5626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147</v>
      </c>
      <c r="BV1692" s="2" t="s">
        <v>97</v>
      </c>
      <c r="BW1692" s="2" t="s">
        <v>100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5627</v>
      </c>
      <c r="B1693" s="2" t="s">
        <v>87</v>
      </c>
      <c r="C1693" s="2" t="s">
        <v>5585</v>
      </c>
      <c r="D1693" s="2" t="s">
        <v>2308</v>
      </c>
      <c r="E1693" s="2" t="s">
        <v>5586</v>
      </c>
      <c r="F1693" s="2" t="s">
        <v>5622</v>
      </c>
      <c r="G1693" s="2" t="s">
        <v>5622</v>
      </c>
      <c r="H1693" s="2" t="s">
        <v>5622</v>
      </c>
      <c r="I1693" s="2" t="s">
        <v>5623</v>
      </c>
      <c r="J1693" s="2" t="s">
        <v>850</v>
      </c>
      <c r="K1693" s="2" t="s">
        <v>310</v>
      </c>
      <c r="L1693" s="3">
        <v>57.6</v>
      </c>
      <c r="M1693" s="3">
        <v>60.47</v>
      </c>
      <c r="N1693" s="3">
        <v>119.99</v>
      </c>
      <c r="O1693" s="2" t="s">
        <v>97</v>
      </c>
      <c r="P1693" s="2" t="s">
        <v>182</v>
      </c>
      <c r="Q1693" s="2" t="s">
        <v>99</v>
      </c>
      <c r="R1693" s="2" t="s">
        <v>100</v>
      </c>
      <c r="S1693" s="2" t="s">
        <v>5624</v>
      </c>
      <c r="T1693" s="2" t="s">
        <v>732</v>
      </c>
      <c r="U1693" s="2" t="s">
        <v>1610</v>
      </c>
      <c r="V1693" s="2" t="s">
        <v>1741</v>
      </c>
      <c r="W1693" s="2" t="s">
        <v>312</v>
      </c>
      <c r="X1693" s="2" t="s">
        <v>808</v>
      </c>
      <c r="Y1693" s="2" t="s">
        <v>5625</v>
      </c>
      <c r="Z1693" s="4">
        <v>258</v>
      </c>
      <c r="AA1693" s="4">
        <f>=ROUNDDOWN(19.8461538461538,0)</f>
      </c>
      <c r="AB1693" s="5">
        <v>13</v>
      </c>
      <c r="AC1693" s="2" t="s">
        <v>145</v>
      </c>
      <c r="AD1693" s="4">
        <v>190</v>
      </c>
      <c r="AE1693" s="4">
        <v>190</v>
      </c>
      <c r="AF1693" s="6">
        <v>66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286</v>
      </c>
      <c r="BK1693" s="8">
        <v>18085.22</v>
      </c>
      <c r="BL1693" s="2" t="s">
        <v>5628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147</v>
      </c>
      <c r="BV1693" s="2" t="s">
        <v>97</v>
      </c>
      <c r="BW1693" s="2" t="s">
        <v>100</v>
      </c>
      <c r="BX1693" s="2" t="s">
        <v>100</v>
      </c>
      <c r="BY1693" s="2" t="s">
        <v>112</v>
      </c>
      <c r="BZ1693" s="2" t="s">
        <v>100</v>
      </c>
    </row>
    <row r="1694">
      <c r="A1694" s="2" t="s">
        <v>5629</v>
      </c>
      <c r="B1694" s="2" t="s">
        <v>87</v>
      </c>
      <c r="C1694" s="2" t="s">
        <v>5585</v>
      </c>
      <c r="D1694" s="2" t="s">
        <v>2308</v>
      </c>
      <c r="E1694" s="2" t="s">
        <v>5586</v>
      </c>
      <c r="F1694" s="2" t="s">
        <v>5630</v>
      </c>
      <c r="G1694" s="2" t="s">
        <v>5630</v>
      </c>
      <c r="H1694" s="2" t="s">
        <v>5630</v>
      </c>
      <c r="I1694" s="2" t="s">
        <v>5631</v>
      </c>
      <c r="J1694" s="2" t="s">
        <v>844</v>
      </c>
      <c r="K1694" s="2" t="s">
        <v>158</v>
      </c>
      <c r="L1694" s="3">
        <v>52.38</v>
      </c>
      <c r="M1694" s="3">
        <v>55</v>
      </c>
      <c r="N1694" s="3">
        <v>109.99</v>
      </c>
      <c r="O1694" s="2" t="s">
        <v>97</v>
      </c>
      <c r="P1694" s="2" t="s">
        <v>182</v>
      </c>
      <c r="Q1694" s="2" t="s">
        <v>99</v>
      </c>
      <c r="R1694" s="2" t="s">
        <v>100</v>
      </c>
      <c r="S1694" s="2" t="s">
        <v>5632</v>
      </c>
      <c r="T1694" s="2" t="s">
        <v>732</v>
      </c>
      <c r="U1694" s="2" t="s">
        <v>1610</v>
      </c>
      <c r="V1694" s="2" t="s">
        <v>991</v>
      </c>
      <c r="W1694" s="2" t="s">
        <v>312</v>
      </c>
      <c r="X1694" s="2" t="s">
        <v>808</v>
      </c>
      <c r="Y1694" s="2" t="s">
        <v>5602</v>
      </c>
      <c r="Z1694" s="4">
        <v>213</v>
      </c>
      <c r="AA1694" s="4">
        <f>=ROUNDDOWN(17.75,0)</f>
      </c>
      <c r="AB1694" s="5">
        <v>12</v>
      </c>
      <c r="AC1694" s="2" t="s">
        <v>1328</v>
      </c>
      <c r="AD1694" s="4">
        <v>140</v>
      </c>
      <c r="AE1694" s="4">
        <v>280</v>
      </c>
      <c r="AF1694" s="6">
        <v>65</v>
      </c>
      <c r="AG1694" s="6"/>
      <c r="AH1694" s="7">
        <v>0.8121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290</v>
      </c>
      <c r="BK1694" s="8">
        <v>16976.44</v>
      </c>
      <c r="BL1694" s="2" t="s">
        <v>1474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109</v>
      </c>
      <c r="BV1694" s="2" t="s">
        <v>97</v>
      </c>
      <c r="BW1694" s="2" t="s">
        <v>4241</v>
      </c>
      <c r="BX1694" s="2" t="s">
        <v>100</v>
      </c>
      <c r="BY1694" s="2" t="s">
        <v>112</v>
      </c>
      <c r="BZ1694" s="2" t="s">
        <v>100</v>
      </c>
    </row>
    <row r="1695">
      <c r="A1695" s="2" t="s">
        <v>5633</v>
      </c>
      <c r="B1695" s="2" t="s">
        <v>87</v>
      </c>
      <c r="C1695" s="2" t="s">
        <v>5585</v>
      </c>
      <c r="D1695" s="2" t="s">
        <v>2308</v>
      </c>
      <c r="E1695" s="2" t="s">
        <v>5586</v>
      </c>
      <c r="F1695" s="2" t="s">
        <v>5630</v>
      </c>
      <c r="G1695" s="2" t="s">
        <v>5630</v>
      </c>
      <c r="H1695" s="2" t="s">
        <v>5630</v>
      </c>
      <c r="I1695" s="2" t="s">
        <v>5631</v>
      </c>
      <c r="J1695" s="2" t="s">
        <v>850</v>
      </c>
      <c r="K1695" s="2" t="s">
        <v>158</v>
      </c>
      <c r="L1695" s="3">
        <v>59.42</v>
      </c>
      <c r="M1695" s="3">
        <v>62.39</v>
      </c>
      <c r="N1695" s="3">
        <v>129.99</v>
      </c>
      <c r="O1695" s="2" t="s">
        <v>97</v>
      </c>
      <c r="P1695" s="2" t="s">
        <v>182</v>
      </c>
      <c r="Q1695" s="2" t="s">
        <v>99</v>
      </c>
      <c r="R1695" s="2" t="s">
        <v>100</v>
      </c>
      <c r="S1695" s="2" t="s">
        <v>5632</v>
      </c>
      <c r="T1695" s="2" t="s">
        <v>732</v>
      </c>
      <c r="U1695" s="2" t="s">
        <v>1610</v>
      </c>
      <c r="V1695" s="2" t="s">
        <v>991</v>
      </c>
      <c r="W1695" s="2" t="s">
        <v>312</v>
      </c>
      <c r="X1695" s="2" t="s">
        <v>808</v>
      </c>
      <c r="Y1695" s="2" t="s">
        <v>5602</v>
      </c>
      <c r="Z1695" s="4">
        <v>434</v>
      </c>
      <c r="AA1695" s="4">
        <f>=ROUNDDOWN(28.9333333333333,0)</f>
      </c>
      <c r="AB1695" s="5">
        <v>15</v>
      </c>
      <c r="AC1695" s="2" t="s">
        <v>1328</v>
      </c>
      <c r="AD1695" s="4">
        <v>200</v>
      </c>
      <c r="AE1695" s="4">
        <v>400</v>
      </c>
      <c r="AF1695" s="6">
        <v>65</v>
      </c>
      <c r="AG1695" s="6"/>
      <c r="AH1695" s="7">
        <v>0.9394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100</v>
      </c>
      <c r="AW1695" s="8" t="s">
        <v>100</v>
      </c>
      <c r="AX1695" s="4" t="s">
        <v>100</v>
      </c>
      <c r="AY1695" s="8" t="s">
        <v>100</v>
      </c>
      <c r="AZ1695" s="7" t="s">
        <v>100</v>
      </c>
      <c r="BA1695" s="7" t="s">
        <v>100</v>
      </c>
      <c r="BB1695" s="7"/>
      <c r="BC1695" s="4" t="s">
        <v>100</v>
      </c>
      <c r="BD1695" s="8" t="s">
        <v>100</v>
      </c>
      <c r="BE1695" s="4" t="s">
        <v>100</v>
      </c>
      <c r="BF1695" s="8" t="s">
        <v>100</v>
      </c>
      <c r="BG1695" s="7" t="s">
        <v>100</v>
      </c>
      <c r="BH1695" s="7" t="s">
        <v>100</v>
      </c>
      <c r="BI1695" s="7"/>
      <c r="BJ1695" s="4">
        <v>230</v>
      </c>
      <c r="BK1695" s="8">
        <v>15183.28</v>
      </c>
      <c r="BL1695" s="2" t="s">
        <v>1873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580</v>
      </c>
      <c r="BX1695" s="2" t="s">
        <v>100</v>
      </c>
      <c r="BY1695" s="2" t="s">
        <v>112</v>
      </c>
      <c r="BZ1695" s="2" t="s">
        <v>100</v>
      </c>
    </row>
    <row r="1696">
      <c r="A1696" s="2" t="s">
        <v>5634</v>
      </c>
      <c r="B1696" s="2" t="s">
        <v>87</v>
      </c>
      <c r="C1696" s="2" t="s">
        <v>5585</v>
      </c>
      <c r="D1696" s="2" t="s">
        <v>2308</v>
      </c>
      <c r="E1696" s="2" t="s">
        <v>5586</v>
      </c>
      <c r="F1696" s="2" t="s">
        <v>5630</v>
      </c>
      <c r="G1696" s="2" t="s">
        <v>5630</v>
      </c>
      <c r="H1696" s="2" t="s">
        <v>5630</v>
      </c>
      <c r="I1696" s="2" t="s">
        <v>5631</v>
      </c>
      <c r="J1696" s="2" t="s">
        <v>844</v>
      </c>
      <c r="K1696" s="2" t="s">
        <v>310</v>
      </c>
      <c r="L1696" s="3">
        <v>52.38</v>
      </c>
      <c r="M1696" s="3">
        <v>55</v>
      </c>
      <c r="N1696" s="3">
        <v>109.99</v>
      </c>
      <c r="O1696" s="2" t="s">
        <v>97</v>
      </c>
      <c r="P1696" s="2" t="s">
        <v>182</v>
      </c>
      <c r="Q1696" s="2" t="s">
        <v>99</v>
      </c>
      <c r="R1696" s="2" t="s">
        <v>100</v>
      </c>
      <c r="S1696" s="2" t="s">
        <v>5635</v>
      </c>
      <c r="T1696" s="2" t="s">
        <v>732</v>
      </c>
      <c r="U1696" s="2" t="s">
        <v>1610</v>
      </c>
      <c r="V1696" s="2" t="s">
        <v>991</v>
      </c>
      <c r="W1696" s="2" t="s">
        <v>312</v>
      </c>
      <c r="X1696" s="2" t="s">
        <v>808</v>
      </c>
      <c r="Y1696" s="2" t="s">
        <v>5636</v>
      </c>
      <c r="Z1696" s="4">
        <v>159</v>
      </c>
      <c r="AA1696" s="4">
        <f>=ROUNDDOWN(17.6666666666667,0)</f>
      </c>
      <c r="AB1696" s="5">
        <v>9</v>
      </c>
      <c r="AC1696" s="2" t="s">
        <v>130</v>
      </c>
      <c r="AD1696" s="4">
        <v>130</v>
      </c>
      <c r="AE1696" s="4">
        <v>410</v>
      </c>
      <c r="AF1696" s="6">
        <v>65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100</v>
      </c>
      <c r="AW1696" s="8" t="s">
        <v>100</v>
      </c>
      <c r="AX1696" s="4" t="s">
        <v>100</v>
      </c>
      <c r="AY1696" s="8" t="s">
        <v>100</v>
      </c>
      <c r="AZ1696" s="7" t="s">
        <v>100</v>
      </c>
      <c r="BA1696" s="7" t="s">
        <v>100</v>
      </c>
      <c r="BB1696" s="7"/>
      <c r="BC1696" s="4" t="s">
        <v>100</v>
      </c>
      <c r="BD1696" s="8" t="s">
        <v>100</v>
      </c>
      <c r="BE1696" s="4" t="s">
        <v>100</v>
      </c>
      <c r="BF1696" s="8" t="s">
        <v>100</v>
      </c>
      <c r="BG1696" s="7" t="s">
        <v>100</v>
      </c>
      <c r="BH1696" s="7" t="s">
        <v>100</v>
      </c>
      <c r="BI1696" s="7"/>
      <c r="BJ1696" s="4">
        <v>194</v>
      </c>
      <c r="BK1696" s="8">
        <v>11205.84</v>
      </c>
      <c r="BL1696" s="2" t="s">
        <v>5637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147</v>
      </c>
      <c r="BV1696" s="2" t="s">
        <v>97</v>
      </c>
      <c r="BW1696" s="2" t="s">
        <v>100</v>
      </c>
      <c r="BX1696" s="2" t="s">
        <v>100</v>
      </c>
      <c r="BY1696" s="2" t="s">
        <v>112</v>
      </c>
      <c r="BZ1696" s="2" t="s">
        <v>100</v>
      </c>
    </row>
    <row r="1697">
      <c r="A1697" s="2" t="s">
        <v>5638</v>
      </c>
      <c r="B1697" s="2" t="s">
        <v>87</v>
      </c>
      <c r="C1697" s="2" t="s">
        <v>5585</v>
      </c>
      <c r="D1697" s="2" t="s">
        <v>2308</v>
      </c>
      <c r="E1697" s="2" t="s">
        <v>5586</v>
      </c>
      <c r="F1697" s="2" t="s">
        <v>5630</v>
      </c>
      <c r="G1697" s="2" t="s">
        <v>5630</v>
      </c>
      <c r="H1697" s="2" t="s">
        <v>5630</v>
      </c>
      <c r="I1697" s="2" t="s">
        <v>5631</v>
      </c>
      <c r="J1697" s="2" t="s">
        <v>850</v>
      </c>
      <c r="K1697" s="2" t="s">
        <v>310</v>
      </c>
      <c r="L1697" s="3">
        <v>59.42</v>
      </c>
      <c r="M1697" s="3">
        <v>62.39</v>
      </c>
      <c r="N1697" s="3">
        <v>129.99</v>
      </c>
      <c r="O1697" s="2" t="s">
        <v>97</v>
      </c>
      <c r="P1697" s="2" t="s">
        <v>182</v>
      </c>
      <c r="Q1697" s="2" t="s">
        <v>99</v>
      </c>
      <c r="R1697" s="2" t="s">
        <v>100</v>
      </c>
      <c r="S1697" s="2" t="s">
        <v>5635</v>
      </c>
      <c r="T1697" s="2" t="s">
        <v>732</v>
      </c>
      <c r="U1697" s="2" t="s">
        <v>1610</v>
      </c>
      <c r="V1697" s="2" t="s">
        <v>991</v>
      </c>
      <c r="W1697" s="2" t="s">
        <v>312</v>
      </c>
      <c r="X1697" s="2" t="s">
        <v>808</v>
      </c>
      <c r="Y1697" s="2" t="s">
        <v>5636</v>
      </c>
      <c r="Z1697" s="4">
        <v>340</v>
      </c>
      <c r="AA1697" s="4">
        <f>=ROUNDDOWN(24.2857142857143,0)</f>
      </c>
      <c r="AB1697" s="5">
        <v>14</v>
      </c>
      <c r="AC1697" s="2" t="s">
        <v>130</v>
      </c>
      <c r="AD1697" s="4">
        <v>100</v>
      </c>
      <c r="AE1697" s="4">
        <v>390</v>
      </c>
      <c r="AF1697" s="6">
        <v>65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100</v>
      </c>
      <c r="AW1697" s="8" t="s">
        <v>100</v>
      </c>
      <c r="AX1697" s="4" t="s">
        <v>100</v>
      </c>
      <c r="AY1697" s="8" t="s">
        <v>100</v>
      </c>
      <c r="AZ1697" s="7" t="s">
        <v>100</v>
      </c>
      <c r="BA1697" s="7" t="s">
        <v>100</v>
      </c>
      <c r="BB1697" s="7"/>
      <c r="BC1697" s="4" t="s">
        <v>100</v>
      </c>
      <c r="BD1697" s="8" t="s">
        <v>100</v>
      </c>
      <c r="BE1697" s="4" t="s">
        <v>100</v>
      </c>
      <c r="BF1697" s="8" t="s">
        <v>100</v>
      </c>
      <c r="BG1697" s="7" t="s">
        <v>100</v>
      </c>
      <c r="BH1697" s="7" t="s">
        <v>100</v>
      </c>
      <c r="BI1697" s="7"/>
      <c r="BJ1697" s="4">
        <v>334</v>
      </c>
      <c r="BK1697" s="8">
        <v>22364.01</v>
      </c>
      <c r="BL1697" s="2" t="s">
        <v>5637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147</v>
      </c>
      <c r="BV1697" s="2" t="s">
        <v>97</v>
      </c>
      <c r="BW1697" s="2" t="s">
        <v>100</v>
      </c>
      <c r="BX1697" s="2" t="s">
        <v>100</v>
      </c>
      <c r="BY1697" s="2" t="s">
        <v>112</v>
      </c>
      <c r="BZ1697" s="2" t="s">
        <v>100</v>
      </c>
    </row>
    <row r="1698">
      <c r="A1698" s="2" t="s">
        <v>5639</v>
      </c>
      <c r="B1698" s="2" t="s">
        <v>87</v>
      </c>
      <c r="C1698" s="2" t="s">
        <v>5585</v>
      </c>
      <c r="D1698" s="2" t="s">
        <v>2308</v>
      </c>
      <c r="E1698" s="2" t="s">
        <v>5586</v>
      </c>
      <c r="F1698" s="2" t="s">
        <v>5640</v>
      </c>
      <c r="G1698" s="2" t="s">
        <v>5640</v>
      </c>
      <c r="H1698" s="2" t="s">
        <v>5640</v>
      </c>
      <c r="I1698" s="2" t="s">
        <v>5641</v>
      </c>
      <c r="J1698" s="2" t="s">
        <v>850</v>
      </c>
      <c r="K1698" s="2" t="s">
        <v>1204</v>
      </c>
      <c r="L1698" s="3">
        <v>55</v>
      </c>
      <c r="M1698" s="3">
        <v>57.75</v>
      </c>
      <c r="N1698" s="3">
        <v>109.99</v>
      </c>
      <c r="O1698" s="2" t="s">
        <v>229</v>
      </c>
      <c r="P1698" s="2" t="s">
        <v>198</v>
      </c>
      <c r="Q1698" s="2" t="s">
        <v>99</v>
      </c>
      <c r="R1698" s="2" t="s">
        <v>100</v>
      </c>
      <c r="S1698" s="2" t="s">
        <v>100</v>
      </c>
      <c r="T1698" s="2" t="s">
        <v>100</v>
      </c>
      <c r="U1698" s="2" t="s">
        <v>100</v>
      </c>
      <c r="V1698" s="2" t="s">
        <v>1287</v>
      </c>
      <c r="W1698" s="2" t="s">
        <v>312</v>
      </c>
      <c r="X1698" s="2" t="s">
        <v>185</v>
      </c>
      <c r="Y1698" s="2" t="s">
        <v>5573</v>
      </c>
      <c r="Z1698" s="4"/>
      <c r="AA1698" s="4">
        <f>=ROUNDDOWN({0},0)</f>
      </c>
      <c r="AB1698" s="5"/>
      <c r="AC1698" s="2" t="s">
        <v>100</v>
      </c>
      <c r="AD1698" s="4"/>
      <c r="AE1698" s="4"/>
      <c r="AF1698" s="6"/>
      <c r="AG1698" s="6"/>
      <c r="AH1698" s="7">
        <v>0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/>
      <c r="BK1698" s="8"/>
      <c r="BL1698" s="2" t="s">
        <v>100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147</v>
      </c>
      <c r="BV1698" s="2" t="s">
        <v>97</v>
      </c>
      <c r="BW1698" s="2" t="s">
        <v>100</v>
      </c>
      <c r="BX1698" s="2" t="s">
        <v>100</v>
      </c>
      <c r="BY1698" s="2" t="s">
        <v>112</v>
      </c>
      <c r="BZ1698" s="2" t="s">
        <v>100</v>
      </c>
    </row>
    <row r="1699">
      <c r="A1699" s="2" t="s">
        <v>5642</v>
      </c>
      <c r="B1699" s="2" t="s">
        <v>87</v>
      </c>
      <c r="C1699" s="2" t="s">
        <v>5585</v>
      </c>
      <c r="D1699" s="2" t="s">
        <v>2308</v>
      </c>
      <c r="E1699" s="2" t="s">
        <v>5586</v>
      </c>
      <c r="F1699" s="2" t="s">
        <v>5643</v>
      </c>
      <c r="G1699" s="2" t="s">
        <v>5643</v>
      </c>
      <c r="H1699" s="2" t="s">
        <v>5643</v>
      </c>
      <c r="I1699" s="2" t="s">
        <v>5600</v>
      </c>
      <c r="J1699" s="2" t="s">
        <v>844</v>
      </c>
      <c r="K1699" s="2" t="s">
        <v>181</v>
      </c>
      <c r="L1699" s="3">
        <v>52.8</v>
      </c>
      <c r="M1699" s="3">
        <v>55.43</v>
      </c>
      <c r="N1699" s="3">
        <v>109.99</v>
      </c>
      <c r="O1699" s="2" t="s">
        <v>97</v>
      </c>
      <c r="P1699" s="2" t="s">
        <v>182</v>
      </c>
      <c r="Q1699" s="2" t="s">
        <v>99</v>
      </c>
      <c r="R1699" s="2" t="s">
        <v>100</v>
      </c>
      <c r="S1699" s="2" t="s">
        <v>5644</v>
      </c>
      <c r="T1699" s="2" t="s">
        <v>732</v>
      </c>
      <c r="U1699" s="2" t="s">
        <v>1610</v>
      </c>
      <c r="V1699" s="2" t="s">
        <v>2574</v>
      </c>
      <c r="W1699" s="2" t="s">
        <v>312</v>
      </c>
      <c r="X1699" s="2" t="s">
        <v>405</v>
      </c>
      <c r="Y1699" s="2" t="s">
        <v>5645</v>
      </c>
      <c r="Z1699" s="4">
        <v>66</v>
      </c>
      <c r="AA1699" s="4">
        <f>=ROUNDDOWN(7.33333333333333,0)</f>
      </c>
      <c r="AB1699" s="5">
        <v>9</v>
      </c>
      <c r="AC1699" s="2" t="s">
        <v>145</v>
      </c>
      <c r="AD1699" s="4">
        <v>120</v>
      </c>
      <c r="AE1699" s="4">
        <v>320</v>
      </c>
      <c r="AF1699" s="6">
        <v>69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100</v>
      </c>
      <c r="AW1699" s="8" t="s">
        <v>100</v>
      </c>
      <c r="AX1699" s="4" t="s">
        <v>100</v>
      </c>
      <c r="AY1699" s="8" t="s">
        <v>100</v>
      </c>
      <c r="AZ1699" s="7" t="s">
        <v>100</v>
      </c>
      <c r="BA1699" s="7" t="s">
        <v>100</v>
      </c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163</v>
      </c>
      <c r="BK1699" s="8">
        <v>9509.62</v>
      </c>
      <c r="BL1699" s="2" t="s">
        <v>1474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147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5646</v>
      </c>
      <c r="B1700" s="2" t="s">
        <v>87</v>
      </c>
      <c r="C1700" s="2" t="s">
        <v>5585</v>
      </c>
      <c r="D1700" s="2" t="s">
        <v>2308</v>
      </c>
      <c r="E1700" s="2" t="s">
        <v>5586</v>
      </c>
      <c r="F1700" s="2" t="s">
        <v>5643</v>
      </c>
      <c r="G1700" s="2" t="s">
        <v>5643</v>
      </c>
      <c r="H1700" s="2" t="s">
        <v>5643</v>
      </c>
      <c r="I1700" s="2" t="s">
        <v>5600</v>
      </c>
      <c r="J1700" s="2" t="s">
        <v>850</v>
      </c>
      <c r="K1700" s="2" t="s">
        <v>181</v>
      </c>
      <c r="L1700" s="3">
        <v>63.7</v>
      </c>
      <c r="M1700" s="3">
        <v>66.88</v>
      </c>
      <c r="N1700" s="3">
        <v>129.99</v>
      </c>
      <c r="O1700" s="2" t="s">
        <v>97</v>
      </c>
      <c r="P1700" s="2" t="s">
        <v>182</v>
      </c>
      <c r="Q1700" s="2" t="s">
        <v>99</v>
      </c>
      <c r="R1700" s="2" t="s">
        <v>100</v>
      </c>
      <c r="S1700" s="2" t="s">
        <v>5644</v>
      </c>
      <c r="T1700" s="2" t="s">
        <v>732</v>
      </c>
      <c r="U1700" s="2" t="s">
        <v>1610</v>
      </c>
      <c r="V1700" s="2" t="s">
        <v>2574</v>
      </c>
      <c r="W1700" s="2" t="s">
        <v>312</v>
      </c>
      <c r="X1700" s="2" t="s">
        <v>405</v>
      </c>
      <c r="Y1700" s="2" t="s">
        <v>5645</v>
      </c>
      <c r="Z1700" s="4">
        <v>97</v>
      </c>
      <c r="AA1700" s="4">
        <f>=ROUNDDOWN(16.1666666666667,0)</f>
      </c>
      <c r="AB1700" s="5">
        <v>6</v>
      </c>
      <c r="AC1700" s="2" t="s">
        <v>145</v>
      </c>
      <c r="AD1700" s="4">
        <v>60</v>
      </c>
      <c r="AE1700" s="4">
        <v>140</v>
      </c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100</v>
      </c>
      <c r="AW1700" s="8" t="s">
        <v>100</v>
      </c>
      <c r="AX1700" s="4" t="s">
        <v>100</v>
      </c>
      <c r="AY1700" s="8" t="s">
        <v>100</v>
      </c>
      <c r="AZ1700" s="7" t="s">
        <v>100</v>
      </c>
      <c r="BA1700" s="7" t="s">
        <v>100</v>
      </c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107</v>
      </c>
      <c r="BK1700" s="8">
        <v>7479.81</v>
      </c>
      <c r="BL1700" s="2" t="s">
        <v>5647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147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5648</v>
      </c>
      <c r="B1701" s="2" t="s">
        <v>87</v>
      </c>
      <c r="C1701" s="2" t="s">
        <v>5585</v>
      </c>
      <c r="D1701" s="2" t="s">
        <v>2308</v>
      </c>
      <c r="E1701" s="2" t="s">
        <v>5586</v>
      </c>
      <c r="F1701" s="2" t="s">
        <v>5649</v>
      </c>
      <c r="G1701" s="2" t="s">
        <v>5649</v>
      </c>
      <c r="H1701" s="2" t="s">
        <v>5649</v>
      </c>
      <c r="I1701" s="2" t="s">
        <v>5600</v>
      </c>
      <c r="J1701" s="2" t="s">
        <v>844</v>
      </c>
      <c r="K1701" s="2" t="s">
        <v>96</v>
      </c>
      <c r="L1701" s="3">
        <v>49.99</v>
      </c>
      <c r="M1701" s="3">
        <v>52.49</v>
      </c>
      <c r="N1701" s="3">
        <v>109.99</v>
      </c>
      <c r="O1701" s="2" t="s">
        <v>97</v>
      </c>
      <c r="P1701" s="2" t="s">
        <v>143</v>
      </c>
      <c r="Q1701" s="2" t="s">
        <v>99</v>
      </c>
      <c r="R1701" s="2" t="s">
        <v>100</v>
      </c>
      <c r="S1701" s="2" t="s">
        <v>5650</v>
      </c>
      <c r="T1701" s="2" t="s">
        <v>100</v>
      </c>
      <c r="U1701" s="2" t="s">
        <v>100</v>
      </c>
      <c r="V1701" s="2" t="s">
        <v>1287</v>
      </c>
      <c r="W1701" s="2" t="s">
        <v>312</v>
      </c>
      <c r="X1701" s="2" t="s">
        <v>185</v>
      </c>
      <c r="Y1701" s="2" t="s">
        <v>106</v>
      </c>
      <c r="Z1701" s="4">
        <v>131</v>
      </c>
      <c r="AA1701" s="4">
        <f>=ROUNDDOWN(14.5555555555556,0)</f>
      </c>
      <c r="AB1701" s="5">
        <v>9</v>
      </c>
      <c r="AC1701" s="2" t="s">
        <v>145</v>
      </c>
      <c r="AD1701" s="4">
        <v>210</v>
      </c>
      <c r="AE1701" s="4">
        <v>480</v>
      </c>
      <c r="AF1701" s="6">
        <v>69</v>
      </c>
      <c r="AG1701" s="6"/>
      <c r="AH1701" s="7">
        <v>0.6485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100</v>
      </c>
      <c r="AW1701" s="8" t="s">
        <v>100</v>
      </c>
      <c r="AX1701" s="4" t="s">
        <v>100</v>
      </c>
      <c r="AY1701" s="8" t="s">
        <v>100</v>
      </c>
      <c r="AZ1701" s="7" t="s">
        <v>100</v>
      </c>
      <c r="BA1701" s="7" t="s">
        <v>100</v>
      </c>
      <c r="BB1701" s="7"/>
      <c r="BC1701" s="4" t="s">
        <v>100</v>
      </c>
      <c r="BD1701" s="8" t="s">
        <v>100</v>
      </c>
      <c r="BE1701" s="4" t="s">
        <v>100</v>
      </c>
      <c r="BF1701" s="8" t="s">
        <v>100</v>
      </c>
      <c r="BG1701" s="7" t="s">
        <v>100</v>
      </c>
      <c r="BH1701" s="7" t="s">
        <v>100</v>
      </c>
      <c r="BI1701" s="7"/>
      <c r="BJ1701" s="4">
        <v>104</v>
      </c>
      <c r="BK1701" s="8">
        <v>5638.18</v>
      </c>
      <c r="BL1701" s="2" t="s">
        <v>5651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109</v>
      </c>
      <c r="BV1701" s="2" t="s">
        <v>97</v>
      </c>
      <c r="BW1701" s="2" t="s">
        <v>580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5652</v>
      </c>
      <c r="B1702" s="2" t="s">
        <v>87</v>
      </c>
      <c r="C1702" s="2" t="s">
        <v>5585</v>
      </c>
      <c r="D1702" s="2" t="s">
        <v>2308</v>
      </c>
      <c r="E1702" s="2" t="s">
        <v>5586</v>
      </c>
      <c r="F1702" s="2" t="s">
        <v>5649</v>
      </c>
      <c r="G1702" s="2" t="s">
        <v>5649</v>
      </c>
      <c r="H1702" s="2" t="s">
        <v>5649</v>
      </c>
      <c r="I1702" s="2" t="s">
        <v>5600</v>
      </c>
      <c r="J1702" s="2" t="s">
        <v>850</v>
      </c>
      <c r="K1702" s="2" t="s">
        <v>96</v>
      </c>
      <c r="L1702" s="3">
        <v>54.99</v>
      </c>
      <c r="M1702" s="3">
        <v>57.74</v>
      </c>
      <c r="N1702" s="3">
        <v>119.99</v>
      </c>
      <c r="O1702" s="2" t="s">
        <v>97</v>
      </c>
      <c r="P1702" s="2" t="s">
        <v>143</v>
      </c>
      <c r="Q1702" s="2" t="s">
        <v>99</v>
      </c>
      <c r="R1702" s="2" t="s">
        <v>100</v>
      </c>
      <c r="S1702" s="2" t="s">
        <v>5650</v>
      </c>
      <c r="T1702" s="2" t="s">
        <v>100</v>
      </c>
      <c r="U1702" s="2" t="s">
        <v>100</v>
      </c>
      <c r="V1702" s="2" t="s">
        <v>1287</v>
      </c>
      <c r="W1702" s="2" t="s">
        <v>312</v>
      </c>
      <c r="X1702" s="2" t="s">
        <v>185</v>
      </c>
      <c r="Y1702" s="2" t="s">
        <v>106</v>
      </c>
      <c r="Z1702" s="4">
        <v>188</v>
      </c>
      <c r="AA1702" s="4">
        <f>=ROUNDDOWN(14.4615384615385,0)</f>
      </c>
      <c r="AB1702" s="5">
        <v>13</v>
      </c>
      <c r="AC1702" s="2" t="s">
        <v>145</v>
      </c>
      <c r="AD1702" s="4">
        <v>360</v>
      </c>
      <c r="AE1702" s="4">
        <v>950</v>
      </c>
      <c r="AF1702" s="6">
        <v>69</v>
      </c>
      <c r="AG1702" s="6"/>
      <c r="AH1702" s="7">
        <v>0.9939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100</v>
      </c>
      <c r="AW1702" s="8" t="s">
        <v>100</v>
      </c>
      <c r="AX1702" s="4" t="s">
        <v>100</v>
      </c>
      <c r="AY1702" s="8" t="s">
        <v>100</v>
      </c>
      <c r="AZ1702" s="7" t="s">
        <v>100</v>
      </c>
      <c r="BA1702" s="7" t="s">
        <v>100</v>
      </c>
      <c r="BB1702" s="7"/>
      <c r="BC1702" s="4" t="s">
        <v>100</v>
      </c>
      <c r="BD1702" s="8" t="s">
        <v>100</v>
      </c>
      <c r="BE1702" s="4" t="s">
        <v>100</v>
      </c>
      <c r="BF1702" s="8" t="s">
        <v>100</v>
      </c>
      <c r="BG1702" s="7" t="s">
        <v>100</v>
      </c>
      <c r="BH1702" s="7" t="s">
        <v>100</v>
      </c>
      <c r="BI1702" s="7"/>
      <c r="BJ1702" s="4">
        <v>189</v>
      </c>
      <c r="BK1702" s="8">
        <v>11364.31</v>
      </c>
      <c r="BL1702" s="2" t="s">
        <v>5653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109</v>
      </c>
      <c r="BV1702" s="2" t="s">
        <v>97</v>
      </c>
      <c r="BW1702" s="2" t="s">
        <v>580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5654</v>
      </c>
      <c r="B1703" s="2" t="s">
        <v>87</v>
      </c>
      <c r="C1703" s="2" t="s">
        <v>5585</v>
      </c>
      <c r="D1703" s="2" t="s">
        <v>2308</v>
      </c>
      <c r="E1703" s="2" t="s">
        <v>5586</v>
      </c>
      <c r="F1703" s="2" t="s">
        <v>1954</v>
      </c>
      <c r="G1703" s="2" t="s">
        <v>1954</v>
      </c>
      <c r="H1703" s="2" t="s">
        <v>1954</v>
      </c>
      <c r="I1703" s="2" t="s">
        <v>5655</v>
      </c>
      <c r="J1703" s="2" t="s">
        <v>844</v>
      </c>
      <c r="K1703" s="2" t="s">
        <v>96</v>
      </c>
      <c r="L1703" s="3">
        <v>49.99</v>
      </c>
      <c r="M1703" s="3">
        <v>52.49</v>
      </c>
      <c r="N1703" s="3">
        <v>99.99</v>
      </c>
      <c r="O1703" s="2" t="s">
        <v>97</v>
      </c>
      <c r="P1703" s="2" t="s">
        <v>182</v>
      </c>
      <c r="Q1703" s="2" t="s">
        <v>99</v>
      </c>
      <c r="R1703" s="2" t="s">
        <v>100</v>
      </c>
      <c r="S1703" s="2" t="s">
        <v>5607</v>
      </c>
      <c r="T1703" s="2" t="s">
        <v>100</v>
      </c>
      <c r="U1703" s="2" t="s">
        <v>100</v>
      </c>
      <c r="V1703" s="2" t="s">
        <v>1287</v>
      </c>
      <c r="W1703" s="2" t="s">
        <v>312</v>
      </c>
      <c r="X1703" s="2" t="s">
        <v>185</v>
      </c>
      <c r="Y1703" s="2" t="s">
        <v>106</v>
      </c>
      <c r="Z1703" s="4">
        <v>107</v>
      </c>
      <c r="AA1703" s="4">
        <f>=ROUNDDOWN(17.8333333333333,0)</f>
      </c>
      <c r="AB1703" s="5">
        <v>6</v>
      </c>
      <c r="AC1703" s="2" t="s">
        <v>145</v>
      </c>
      <c r="AD1703" s="4">
        <v>160</v>
      </c>
      <c r="AE1703" s="4">
        <v>330</v>
      </c>
      <c r="AF1703" s="6">
        <v>69</v>
      </c>
      <c r="AG1703" s="6"/>
      <c r="AH1703" s="7">
        <v>0.6485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100</v>
      </c>
      <c r="AW1703" s="8" t="s">
        <v>100</v>
      </c>
      <c r="AX1703" s="4" t="s">
        <v>100</v>
      </c>
      <c r="AY1703" s="8" t="s">
        <v>100</v>
      </c>
      <c r="AZ1703" s="7" t="s">
        <v>100</v>
      </c>
      <c r="BA1703" s="7" t="s">
        <v>100</v>
      </c>
      <c r="BB1703" s="7"/>
      <c r="BC1703" s="4" t="s">
        <v>100</v>
      </c>
      <c r="BD1703" s="8" t="s">
        <v>100</v>
      </c>
      <c r="BE1703" s="4" t="s">
        <v>100</v>
      </c>
      <c r="BF1703" s="8" t="s">
        <v>100</v>
      </c>
      <c r="BG1703" s="7" t="s">
        <v>100</v>
      </c>
      <c r="BH1703" s="7" t="s">
        <v>100</v>
      </c>
      <c r="BI1703" s="7"/>
      <c r="BJ1703" s="4">
        <v>70</v>
      </c>
      <c r="BK1703" s="8">
        <v>3449.51</v>
      </c>
      <c r="BL1703" s="2" t="s">
        <v>5656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147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5657</v>
      </c>
      <c r="B1704" s="2" t="s">
        <v>87</v>
      </c>
      <c r="C1704" s="2" t="s">
        <v>5585</v>
      </c>
      <c r="D1704" s="2" t="s">
        <v>2308</v>
      </c>
      <c r="E1704" s="2" t="s">
        <v>5586</v>
      </c>
      <c r="F1704" s="2" t="s">
        <v>1954</v>
      </c>
      <c r="G1704" s="2" t="s">
        <v>1954</v>
      </c>
      <c r="H1704" s="2" t="s">
        <v>1954</v>
      </c>
      <c r="I1704" s="2" t="s">
        <v>5655</v>
      </c>
      <c r="J1704" s="2" t="s">
        <v>850</v>
      </c>
      <c r="K1704" s="2" t="s">
        <v>96</v>
      </c>
      <c r="L1704" s="3">
        <v>54.99</v>
      </c>
      <c r="M1704" s="3">
        <v>57.74</v>
      </c>
      <c r="N1704" s="3">
        <v>109.99</v>
      </c>
      <c r="O1704" s="2" t="s">
        <v>97</v>
      </c>
      <c r="P1704" s="2" t="s">
        <v>182</v>
      </c>
      <c r="Q1704" s="2" t="s">
        <v>99</v>
      </c>
      <c r="R1704" s="2" t="s">
        <v>100</v>
      </c>
      <c r="S1704" s="2" t="s">
        <v>5607</v>
      </c>
      <c r="T1704" s="2" t="s">
        <v>100</v>
      </c>
      <c r="U1704" s="2" t="s">
        <v>100</v>
      </c>
      <c r="V1704" s="2" t="s">
        <v>1287</v>
      </c>
      <c r="W1704" s="2" t="s">
        <v>312</v>
      </c>
      <c r="X1704" s="2" t="s">
        <v>185</v>
      </c>
      <c r="Y1704" s="2" t="s">
        <v>106</v>
      </c>
      <c r="Z1704" s="4">
        <v>53</v>
      </c>
      <c r="AA1704" s="4">
        <f>=ROUNDDOWN(10.6,0)</f>
      </c>
      <c r="AB1704" s="5">
        <v>5</v>
      </c>
      <c r="AC1704" s="2" t="s">
        <v>145</v>
      </c>
      <c r="AD1704" s="4">
        <v>170</v>
      </c>
      <c r="AE1704" s="4">
        <v>340</v>
      </c>
      <c r="AF1704" s="6">
        <v>69</v>
      </c>
      <c r="AG1704" s="6"/>
      <c r="AH1704" s="7">
        <v>0.6485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>
        <v>70</v>
      </c>
      <c r="BK1704" s="8">
        <v>3809.14</v>
      </c>
      <c r="BL1704" s="2" t="s">
        <v>5658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147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5659</v>
      </c>
      <c r="B1705" s="2" t="s">
        <v>87</v>
      </c>
      <c r="C1705" s="2" t="s">
        <v>5585</v>
      </c>
      <c r="D1705" s="2" t="s">
        <v>2308</v>
      </c>
      <c r="E1705" s="2" t="s">
        <v>5586</v>
      </c>
      <c r="F1705" s="2" t="s">
        <v>1954</v>
      </c>
      <c r="G1705" s="2" t="s">
        <v>1954</v>
      </c>
      <c r="H1705" s="2" t="s">
        <v>1954</v>
      </c>
      <c r="I1705" s="2" t="s">
        <v>5606</v>
      </c>
      <c r="J1705" s="2" t="s">
        <v>844</v>
      </c>
      <c r="K1705" s="2" t="s">
        <v>310</v>
      </c>
      <c r="L1705" s="3">
        <v>49.99</v>
      </c>
      <c r="M1705" s="3">
        <v>52.49</v>
      </c>
      <c r="N1705" s="3">
        <v>99.99</v>
      </c>
      <c r="O1705" s="2" t="s">
        <v>97</v>
      </c>
      <c r="P1705" s="2" t="s">
        <v>182</v>
      </c>
      <c r="Q1705" s="2" t="s">
        <v>99</v>
      </c>
      <c r="R1705" s="2" t="s">
        <v>100</v>
      </c>
      <c r="S1705" s="2" t="s">
        <v>5607</v>
      </c>
      <c r="T1705" s="2" t="s">
        <v>100</v>
      </c>
      <c r="U1705" s="2" t="s">
        <v>100</v>
      </c>
      <c r="V1705" s="2" t="s">
        <v>1287</v>
      </c>
      <c r="W1705" s="2" t="s">
        <v>312</v>
      </c>
      <c r="X1705" s="2" t="s">
        <v>185</v>
      </c>
      <c r="Y1705" s="2" t="s">
        <v>106</v>
      </c>
      <c r="Z1705" s="4">
        <v>118</v>
      </c>
      <c r="AA1705" s="4">
        <f>=ROUNDDOWN(14.75,0)</f>
      </c>
      <c r="AB1705" s="5">
        <v>8</v>
      </c>
      <c r="AC1705" s="2" t="s">
        <v>130</v>
      </c>
      <c r="AD1705" s="4">
        <v>50</v>
      </c>
      <c r="AE1705" s="4">
        <v>280</v>
      </c>
      <c r="AF1705" s="6">
        <v>69</v>
      </c>
      <c r="AG1705" s="6"/>
      <c r="AH1705" s="7">
        <v>0.6485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>
        <v>99</v>
      </c>
      <c r="BK1705" s="8">
        <v>4888.26</v>
      </c>
      <c r="BL1705" s="2" t="s">
        <v>5660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147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5661</v>
      </c>
      <c r="B1706" s="2" t="s">
        <v>87</v>
      </c>
      <c r="C1706" s="2" t="s">
        <v>5585</v>
      </c>
      <c r="D1706" s="2" t="s">
        <v>2308</v>
      </c>
      <c r="E1706" s="2" t="s">
        <v>5586</v>
      </c>
      <c r="F1706" s="2" t="s">
        <v>1954</v>
      </c>
      <c r="G1706" s="2" t="s">
        <v>1954</v>
      </c>
      <c r="H1706" s="2" t="s">
        <v>1954</v>
      </c>
      <c r="I1706" s="2" t="s">
        <v>5606</v>
      </c>
      <c r="J1706" s="2" t="s">
        <v>850</v>
      </c>
      <c r="K1706" s="2" t="s">
        <v>310</v>
      </c>
      <c r="L1706" s="3">
        <v>54.99</v>
      </c>
      <c r="M1706" s="3">
        <v>57.74</v>
      </c>
      <c r="N1706" s="3">
        <v>109.99</v>
      </c>
      <c r="O1706" s="2" t="s">
        <v>97</v>
      </c>
      <c r="P1706" s="2" t="s">
        <v>182</v>
      </c>
      <c r="Q1706" s="2" t="s">
        <v>99</v>
      </c>
      <c r="R1706" s="2" t="s">
        <v>100</v>
      </c>
      <c r="S1706" s="2" t="s">
        <v>5607</v>
      </c>
      <c r="T1706" s="2" t="s">
        <v>100</v>
      </c>
      <c r="U1706" s="2" t="s">
        <v>100</v>
      </c>
      <c r="V1706" s="2" t="s">
        <v>1287</v>
      </c>
      <c r="W1706" s="2" t="s">
        <v>312</v>
      </c>
      <c r="X1706" s="2" t="s">
        <v>185</v>
      </c>
      <c r="Y1706" s="2" t="s">
        <v>106</v>
      </c>
      <c r="Z1706" s="4">
        <v>54</v>
      </c>
      <c r="AA1706" s="4">
        <f>=ROUNDDOWN(13.5,0)</f>
      </c>
      <c r="AB1706" s="5">
        <v>4</v>
      </c>
      <c r="AC1706" s="2" t="s">
        <v>145</v>
      </c>
      <c r="AD1706" s="4">
        <v>40</v>
      </c>
      <c r="AE1706" s="4">
        <v>230</v>
      </c>
      <c r="AF1706" s="6">
        <v>69</v>
      </c>
      <c r="AG1706" s="6"/>
      <c r="AH1706" s="7">
        <v>0.6545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>
        <v>73</v>
      </c>
      <c r="BK1706" s="8">
        <v>4050.52</v>
      </c>
      <c r="BL1706" s="2" t="s">
        <v>5662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147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5663</v>
      </c>
      <c r="B1707" s="2" t="s">
        <v>87</v>
      </c>
      <c r="C1707" s="2" t="s">
        <v>5585</v>
      </c>
      <c r="D1707" s="2" t="s">
        <v>2308</v>
      </c>
      <c r="E1707" s="2" t="s">
        <v>5586</v>
      </c>
      <c r="F1707" s="2" t="s">
        <v>5664</v>
      </c>
      <c r="G1707" s="2" t="s">
        <v>5664</v>
      </c>
      <c r="H1707" s="2" t="s">
        <v>5664</v>
      </c>
      <c r="I1707" s="2" t="s">
        <v>5665</v>
      </c>
      <c r="J1707" s="2" t="s">
        <v>844</v>
      </c>
      <c r="K1707" s="2" t="s">
        <v>5666</v>
      </c>
      <c r="L1707" s="3">
        <v>48</v>
      </c>
      <c r="M1707" s="3">
        <v>50.39</v>
      </c>
      <c r="N1707" s="3">
        <v>99.99</v>
      </c>
      <c r="O1707" s="2" t="s">
        <v>97</v>
      </c>
      <c r="P1707" s="2" t="s">
        <v>182</v>
      </c>
      <c r="Q1707" s="2" t="s">
        <v>99</v>
      </c>
      <c r="R1707" s="2" t="s">
        <v>100</v>
      </c>
      <c r="S1707" s="2" t="s">
        <v>5667</v>
      </c>
      <c r="T1707" s="2" t="s">
        <v>732</v>
      </c>
      <c r="U1707" s="2" t="s">
        <v>1610</v>
      </c>
      <c r="V1707" s="2" t="s">
        <v>1287</v>
      </c>
      <c r="W1707" s="2" t="s">
        <v>312</v>
      </c>
      <c r="X1707" s="2" t="s">
        <v>1288</v>
      </c>
      <c r="Y1707" s="2" t="s">
        <v>5668</v>
      </c>
      <c r="Z1707" s="4">
        <v>159</v>
      </c>
      <c r="AA1707" s="4">
        <f>=ROUNDDOWN(31.8,0)</f>
      </c>
      <c r="AB1707" s="5">
        <v>5</v>
      </c>
      <c r="AC1707" s="2" t="s">
        <v>1243</v>
      </c>
      <c r="AD1707" s="4">
        <v>100</v>
      </c>
      <c r="AE1707" s="4">
        <v>100</v>
      </c>
      <c r="AF1707" s="6">
        <v>66</v>
      </c>
      <c r="AG1707" s="6"/>
      <c r="AH1707" s="7">
        <v>0.4424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>
        <v>41</v>
      </c>
      <c r="BK1707" s="8">
        <v>2077.71</v>
      </c>
      <c r="BL1707" s="2" t="s">
        <v>5669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147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5670</v>
      </c>
      <c r="B1708" s="2" t="s">
        <v>87</v>
      </c>
      <c r="C1708" s="2" t="s">
        <v>5585</v>
      </c>
      <c r="D1708" s="2" t="s">
        <v>2308</v>
      </c>
      <c r="E1708" s="2" t="s">
        <v>5586</v>
      </c>
      <c r="F1708" s="2" t="s">
        <v>5664</v>
      </c>
      <c r="G1708" s="2" t="s">
        <v>5664</v>
      </c>
      <c r="H1708" s="2" t="s">
        <v>5664</v>
      </c>
      <c r="I1708" s="2" t="s">
        <v>5665</v>
      </c>
      <c r="J1708" s="2" t="s">
        <v>850</v>
      </c>
      <c r="K1708" s="2" t="s">
        <v>5666</v>
      </c>
      <c r="L1708" s="3">
        <v>52.8</v>
      </c>
      <c r="M1708" s="3">
        <v>55.43</v>
      </c>
      <c r="N1708" s="3">
        <v>109.99</v>
      </c>
      <c r="O1708" s="2" t="s">
        <v>97</v>
      </c>
      <c r="P1708" s="2" t="s">
        <v>182</v>
      </c>
      <c r="Q1708" s="2" t="s">
        <v>99</v>
      </c>
      <c r="R1708" s="2" t="s">
        <v>100</v>
      </c>
      <c r="S1708" s="2" t="s">
        <v>5667</v>
      </c>
      <c r="T1708" s="2" t="s">
        <v>732</v>
      </c>
      <c r="U1708" s="2" t="s">
        <v>1610</v>
      </c>
      <c r="V1708" s="2" t="s">
        <v>1287</v>
      </c>
      <c r="W1708" s="2" t="s">
        <v>312</v>
      </c>
      <c r="X1708" s="2" t="s">
        <v>1288</v>
      </c>
      <c r="Y1708" s="2" t="s">
        <v>5668</v>
      </c>
      <c r="Z1708" s="4">
        <v>160</v>
      </c>
      <c r="AA1708" s="4">
        <f>=ROUNDDOWN(26.6666666666667,0)</f>
      </c>
      <c r="AB1708" s="5">
        <v>6</v>
      </c>
      <c r="AC1708" s="2" t="s">
        <v>1243</v>
      </c>
      <c r="AD1708" s="4">
        <v>180</v>
      </c>
      <c r="AE1708" s="4">
        <v>180</v>
      </c>
      <c r="AF1708" s="6">
        <v>66</v>
      </c>
      <c r="AG1708" s="6"/>
      <c r="AH1708" s="7">
        <v>0.4485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>
        <v>59</v>
      </c>
      <c r="BK1708" s="8">
        <v>3343.77</v>
      </c>
      <c r="BL1708" s="2" t="s">
        <v>5671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147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5672</v>
      </c>
      <c r="B1709" s="2" t="s">
        <v>87</v>
      </c>
      <c r="C1709" s="2" t="s">
        <v>5585</v>
      </c>
      <c r="D1709" s="2" t="s">
        <v>2308</v>
      </c>
      <c r="E1709" s="2" t="s">
        <v>5586</v>
      </c>
      <c r="F1709" s="2" t="s">
        <v>5673</v>
      </c>
      <c r="G1709" s="2" t="s">
        <v>5673</v>
      </c>
      <c r="H1709" s="2" t="s">
        <v>5673</v>
      </c>
      <c r="I1709" s="2" t="s">
        <v>5674</v>
      </c>
      <c r="J1709" s="2" t="s">
        <v>844</v>
      </c>
      <c r="K1709" s="2" t="s">
        <v>5675</v>
      </c>
      <c r="L1709" s="3">
        <v>48</v>
      </c>
      <c r="M1709" s="3">
        <v>50.39</v>
      </c>
      <c r="N1709" s="3">
        <v>99.99</v>
      </c>
      <c r="O1709" s="2" t="s">
        <v>97</v>
      </c>
      <c r="P1709" s="2" t="s">
        <v>198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100</v>
      </c>
      <c r="V1709" s="2" t="s">
        <v>1287</v>
      </c>
      <c r="W1709" s="2" t="s">
        <v>312</v>
      </c>
      <c r="X1709" s="2" t="s">
        <v>185</v>
      </c>
      <c r="Y1709" s="2" t="s">
        <v>5570</v>
      </c>
      <c r="Z1709" s="4">
        <v>345</v>
      </c>
      <c r="AA1709" s="4">
        <f>=ROUNDDOWN(57.5,0)</f>
      </c>
      <c r="AB1709" s="5">
        <v>6</v>
      </c>
      <c r="AC1709" s="2" t="s">
        <v>100</v>
      </c>
      <c r="AD1709" s="4"/>
      <c r="AE1709" s="4"/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>
        <v>104</v>
      </c>
      <c r="BK1709" s="8">
        <v>5237.89</v>
      </c>
      <c r="BL1709" s="2" t="s">
        <v>5676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109</v>
      </c>
      <c r="BV1709" s="2" t="s">
        <v>97</v>
      </c>
      <c r="BW1709" s="2" t="s">
        <v>580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5677</v>
      </c>
      <c r="B1710" s="2" t="s">
        <v>87</v>
      </c>
      <c r="C1710" s="2" t="s">
        <v>5585</v>
      </c>
      <c r="D1710" s="2" t="s">
        <v>2308</v>
      </c>
      <c r="E1710" s="2" t="s">
        <v>5586</v>
      </c>
      <c r="F1710" s="2" t="s">
        <v>5673</v>
      </c>
      <c r="G1710" s="2" t="s">
        <v>5673</v>
      </c>
      <c r="H1710" s="2" t="s">
        <v>5673</v>
      </c>
      <c r="I1710" s="2" t="s">
        <v>5674</v>
      </c>
      <c r="J1710" s="2" t="s">
        <v>850</v>
      </c>
      <c r="K1710" s="2" t="s">
        <v>5675</v>
      </c>
      <c r="L1710" s="3">
        <v>52.8</v>
      </c>
      <c r="M1710" s="3">
        <v>55.43</v>
      </c>
      <c r="N1710" s="3">
        <v>109.99</v>
      </c>
      <c r="O1710" s="2" t="s">
        <v>97</v>
      </c>
      <c r="P1710" s="2" t="s">
        <v>198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100</v>
      </c>
      <c r="V1710" s="2" t="s">
        <v>1287</v>
      </c>
      <c r="W1710" s="2" t="s">
        <v>312</v>
      </c>
      <c r="X1710" s="2" t="s">
        <v>185</v>
      </c>
      <c r="Y1710" s="2" t="s">
        <v>5570</v>
      </c>
      <c r="Z1710" s="4">
        <v>170</v>
      </c>
      <c r="AA1710" s="4">
        <f>=ROUNDDOWN(28.3333333333333,0)</f>
      </c>
      <c r="AB1710" s="5">
        <v>6</v>
      </c>
      <c r="AC1710" s="2" t="s">
        <v>100</v>
      </c>
      <c r="AD1710" s="4"/>
      <c r="AE1710" s="4"/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111</v>
      </c>
      <c r="BK1710" s="8">
        <v>6236.47</v>
      </c>
      <c r="BL1710" s="2" t="s">
        <v>5678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109</v>
      </c>
      <c r="BV1710" s="2" t="s">
        <v>97</v>
      </c>
      <c r="BW1710" s="2" t="s">
        <v>580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5679</v>
      </c>
      <c r="B1711" s="2" t="s">
        <v>87</v>
      </c>
      <c r="C1711" s="2" t="s">
        <v>5585</v>
      </c>
      <c r="D1711" s="2" t="s">
        <v>2308</v>
      </c>
      <c r="E1711" s="2" t="s">
        <v>5586</v>
      </c>
      <c r="F1711" s="2" t="s">
        <v>5680</v>
      </c>
      <c r="G1711" s="2" t="s">
        <v>5680</v>
      </c>
      <c r="H1711" s="2" t="s">
        <v>5680</v>
      </c>
      <c r="I1711" s="2" t="s">
        <v>5613</v>
      </c>
      <c r="J1711" s="2" t="s">
        <v>487</v>
      </c>
      <c r="K1711" s="2" t="s">
        <v>310</v>
      </c>
      <c r="L1711" s="3">
        <v>39</v>
      </c>
      <c r="M1711" s="3">
        <v>40.95</v>
      </c>
      <c r="N1711" s="3">
        <v>89.99</v>
      </c>
      <c r="O1711" s="2" t="s">
        <v>97</v>
      </c>
      <c r="P1711" s="2" t="s">
        <v>182</v>
      </c>
      <c r="Q1711" s="2" t="s">
        <v>99</v>
      </c>
      <c r="R1711" s="2" t="s">
        <v>100</v>
      </c>
      <c r="S1711" s="2" t="s">
        <v>5650</v>
      </c>
      <c r="T1711" s="2" t="s">
        <v>732</v>
      </c>
      <c r="U1711" s="2" t="s">
        <v>2104</v>
      </c>
      <c r="V1711" s="2" t="s">
        <v>2574</v>
      </c>
      <c r="W1711" s="2" t="s">
        <v>312</v>
      </c>
      <c r="X1711" s="2" t="s">
        <v>405</v>
      </c>
      <c r="Y1711" s="2" t="s">
        <v>5615</v>
      </c>
      <c r="Z1711" s="4">
        <v>727</v>
      </c>
      <c r="AA1711" s="4">
        <f>=ROUNDDOWN(80.7777777777778,0)</f>
      </c>
      <c r="AB1711" s="5">
        <v>9</v>
      </c>
      <c r="AC1711" s="2" t="s">
        <v>1243</v>
      </c>
      <c r="AD1711" s="4">
        <v>350</v>
      </c>
      <c r="AE1711" s="4">
        <v>350</v>
      </c>
      <c r="AF1711" s="6">
        <v>69</v>
      </c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>
        <v>175</v>
      </c>
      <c r="BK1711" s="8">
        <v>7654.45</v>
      </c>
      <c r="BL1711" s="2" t="s">
        <v>5191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147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5681</v>
      </c>
      <c r="B1712" s="2" t="s">
        <v>87</v>
      </c>
      <c r="C1712" s="2" t="s">
        <v>5585</v>
      </c>
      <c r="D1712" s="2" t="s">
        <v>2308</v>
      </c>
      <c r="E1712" s="2" t="s">
        <v>5586</v>
      </c>
      <c r="F1712" s="2" t="s">
        <v>5680</v>
      </c>
      <c r="G1712" s="2" t="s">
        <v>5680</v>
      </c>
      <c r="H1712" s="2" t="s">
        <v>5680</v>
      </c>
      <c r="I1712" s="2" t="s">
        <v>5613</v>
      </c>
      <c r="J1712" s="2" t="s">
        <v>844</v>
      </c>
      <c r="K1712" s="2" t="s">
        <v>310</v>
      </c>
      <c r="L1712" s="3">
        <v>49.99</v>
      </c>
      <c r="M1712" s="3">
        <v>52.49</v>
      </c>
      <c r="N1712" s="3">
        <v>119.99</v>
      </c>
      <c r="O1712" s="2" t="s">
        <v>97</v>
      </c>
      <c r="P1712" s="2" t="s">
        <v>124</v>
      </c>
      <c r="Q1712" s="2" t="s">
        <v>99</v>
      </c>
      <c r="R1712" s="2" t="s">
        <v>100</v>
      </c>
      <c r="S1712" s="2" t="s">
        <v>5650</v>
      </c>
      <c r="T1712" s="2" t="s">
        <v>732</v>
      </c>
      <c r="U1712" s="2" t="s">
        <v>1610</v>
      </c>
      <c r="V1712" s="2" t="s">
        <v>2574</v>
      </c>
      <c r="W1712" s="2" t="s">
        <v>312</v>
      </c>
      <c r="X1712" s="2" t="s">
        <v>405</v>
      </c>
      <c r="Y1712" s="2" t="s">
        <v>106</v>
      </c>
      <c r="Z1712" s="4">
        <v>462</v>
      </c>
      <c r="AA1712" s="4">
        <f>=ROUNDDOWN(15.4,0)</f>
      </c>
      <c r="AB1712" s="5">
        <v>30</v>
      </c>
      <c r="AC1712" s="2" t="s">
        <v>145</v>
      </c>
      <c r="AD1712" s="4">
        <v>350</v>
      </c>
      <c r="AE1712" s="4">
        <v>1030</v>
      </c>
      <c r="AF1712" s="6">
        <v>69</v>
      </c>
      <c r="AG1712" s="6"/>
      <c r="AH1712" s="7">
        <v>0.6545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>
        <v>457</v>
      </c>
      <c r="BK1712" s="8">
        <v>26263.59</v>
      </c>
      <c r="BL1712" s="2" t="s">
        <v>5682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109</v>
      </c>
      <c r="BV1712" s="2" t="s">
        <v>97</v>
      </c>
      <c r="BW1712" s="2" t="s">
        <v>580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5683</v>
      </c>
      <c r="B1713" s="2" t="s">
        <v>87</v>
      </c>
      <c r="C1713" s="2" t="s">
        <v>5585</v>
      </c>
      <c r="D1713" s="2" t="s">
        <v>2308</v>
      </c>
      <c r="E1713" s="2" t="s">
        <v>5586</v>
      </c>
      <c r="F1713" s="2" t="s">
        <v>5680</v>
      </c>
      <c r="G1713" s="2" t="s">
        <v>5680</v>
      </c>
      <c r="H1713" s="2" t="s">
        <v>5680</v>
      </c>
      <c r="I1713" s="2" t="s">
        <v>5613</v>
      </c>
      <c r="J1713" s="2" t="s">
        <v>850</v>
      </c>
      <c r="K1713" s="2" t="s">
        <v>310</v>
      </c>
      <c r="L1713" s="3">
        <v>54.99</v>
      </c>
      <c r="M1713" s="3">
        <v>57.74</v>
      </c>
      <c r="N1713" s="3">
        <v>129.99</v>
      </c>
      <c r="O1713" s="2" t="s">
        <v>97</v>
      </c>
      <c r="P1713" s="2" t="s">
        <v>124</v>
      </c>
      <c r="Q1713" s="2" t="s">
        <v>99</v>
      </c>
      <c r="R1713" s="2" t="s">
        <v>100</v>
      </c>
      <c r="S1713" s="2" t="s">
        <v>5650</v>
      </c>
      <c r="T1713" s="2" t="s">
        <v>732</v>
      </c>
      <c r="U1713" s="2" t="s">
        <v>1610</v>
      </c>
      <c r="V1713" s="2" t="s">
        <v>2574</v>
      </c>
      <c r="W1713" s="2" t="s">
        <v>312</v>
      </c>
      <c r="X1713" s="2" t="s">
        <v>405</v>
      </c>
      <c r="Y1713" s="2" t="s">
        <v>106</v>
      </c>
      <c r="Z1713" s="4">
        <v>570</v>
      </c>
      <c r="AA1713" s="4">
        <f>=ROUNDDOWN(22.8,0)</f>
      </c>
      <c r="AB1713" s="5">
        <v>25</v>
      </c>
      <c r="AC1713" s="2" t="s">
        <v>145</v>
      </c>
      <c r="AD1713" s="4">
        <v>470</v>
      </c>
      <c r="AE1713" s="4">
        <v>1170</v>
      </c>
      <c r="AF1713" s="6">
        <v>69</v>
      </c>
      <c r="AG1713" s="6"/>
      <c r="AH1713" s="7">
        <v>0.9091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>
        <v>730</v>
      </c>
      <c r="BK1713" s="8">
        <v>43424.54</v>
      </c>
      <c r="BL1713" s="2" t="s">
        <v>5684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109</v>
      </c>
      <c r="BV1713" s="2" t="s">
        <v>97</v>
      </c>
      <c r="BW1713" s="2" t="s">
        <v>580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5685</v>
      </c>
      <c r="B1714" s="2" t="s">
        <v>87</v>
      </c>
      <c r="C1714" s="2" t="s">
        <v>5585</v>
      </c>
      <c r="D1714" s="2" t="s">
        <v>2308</v>
      </c>
      <c r="E1714" s="2" t="s">
        <v>5586</v>
      </c>
      <c r="F1714" s="2" t="s">
        <v>5686</v>
      </c>
      <c r="G1714" s="2" t="s">
        <v>5686</v>
      </c>
      <c r="H1714" s="2" t="s">
        <v>5686</v>
      </c>
      <c r="I1714" s="2" t="s">
        <v>5606</v>
      </c>
      <c r="J1714" s="2" t="s">
        <v>844</v>
      </c>
      <c r="K1714" s="2" t="s">
        <v>622</v>
      </c>
      <c r="L1714" s="3">
        <v>49.99</v>
      </c>
      <c r="M1714" s="3">
        <v>52.49</v>
      </c>
      <c r="N1714" s="3">
        <v>109.99</v>
      </c>
      <c r="O1714" s="2" t="s">
        <v>97</v>
      </c>
      <c r="P1714" s="2" t="s">
        <v>143</v>
      </c>
      <c r="Q1714" s="2" t="s">
        <v>99</v>
      </c>
      <c r="R1714" s="2" t="s">
        <v>100</v>
      </c>
      <c r="S1714" s="2" t="s">
        <v>5607</v>
      </c>
      <c r="T1714" s="2" t="s">
        <v>100</v>
      </c>
      <c r="U1714" s="2" t="s">
        <v>100</v>
      </c>
      <c r="V1714" s="2" t="s">
        <v>1287</v>
      </c>
      <c r="W1714" s="2" t="s">
        <v>312</v>
      </c>
      <c r="X1714" s="2" t="s">
        <v>185</v>
      </c>
      <c r="Y1714" s="2" t="s">
        <v>106</v>
      </c>
      <c r="Z1714" s="4">
        <v>368</v>
      </c>
      <c r="AA1714" s="4">
        <f>=ROUNDDOWN(26.2857142857143,0)</f>
      </c>
      <c r="AB1714" s="5">
        <v>14</v>
      </c>
      <c r="AC1714" s="2" t="s">
        <v>130</v>
      </c>
      <c r="AD1714" s="4">
        <v>260</v>
      </c>
      <c r="AE1714" s="4">
        <v>490</v>
      </c>
      <c r="AF1714" s="6">
        <v>69</v>
      </c>
      <c r="AG1714" s="6"/>
      <c r="AH1714" s="7">
        <v>0.6485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>
        <v>0</v>
      </c>
      <c r="AP1714" s="4"/>
      <c r="AQ1714" s="8"/>
      <c r="AR1714" s="4">
        <v>6</v>
      </c>
      <c r="AS1714" s="8">
        <v>314.94</v>
      </c>
      <c r="AT1714" s="7">
        <v>-1</v>
      </c>
      <c r="AU1714" s="7">
        <v>-1</v>
      </c>
      <c r="AV1714" s="4" t="s">
        <v>100</v>
      </c>
      <c r="AW1714" s="8" t="s">
        <v>100</v>
      </c>
      <c r="AX1714" s="4">
        <v>7</v>
      </c>
      <c r="AY1714" s="8">
        <v>372.68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>
        <v>7</v>
      </c>
      <c r="BF1714" s="8">
        <v>372.68</v>
      </c>
      <c r="BG1714" s="7" t="s">
        <v>100</v>
      </c>
      <c r="BH1714" s="7" t="s">
        <v>100</v>
      </c>
      <c r="BI1714" s="7"/>
      <c r="BJ1714" s="4">
        <v>222</v>
      </c>
      <c r="BK1714" s="8">
        <v>12058.81</v>
      </c>
      <c r="BL1714" s="2" t="s">
        <v>5687</v>
      </c>
      <c r="BM1714" s="7"/>
      <c r="BN1714" s="7"/>
      <c r="BO1714" s="4"/>
      <c r="BP1714" s="8"/>
      <c r="BQ1714" s="4">
        <v>6</v>
      </c>
      <c r="BR1714" s="8">
        <v>314.94</v>
      </c>
      <c r="BS1714" s="7">
        <v>-1</v>
      </c>
      <c r="BT1714" s="7">
        <v>-1</v>
      </c>
      <c r="BU1714" s="2" t="s">
        <v>109</v>
      </c>
      <c r="BV1714" s="2" t="s">
        <v>97</v>
      </c>
      <c r="BW1714" s="2" t="s">
        <v>132</v>
      </c>
      <c r="BX1714" s="2" t="s">
        <v>5688</v>
      </c>
      <c r="BY1714" s="2" t="s">
        <v>112</v>
      </c>
      <c r="BZ1714" s="2" t="s">
        <v>100</v>
      </c>
    </row>
    <row r="1715">
      <c r="A1715" s="2" t="s">
        <v>5689</v>
      </c>
      <c r="B1715" s="2" t="s">
        <v>87</v>
      </c>
      <c r="C1715" s="2" t="s">
        <v>5585</v>
      </c>
      <c r="D1715" s="2" t="s">
        <v>2308</v>
      </c>
      <c r="E1715" s="2" t="s">
        <v>5586</v>
      </c>
      <c r="F1715" s="2" t="s">
        <v>5686</v>
      </c>
      <c r="G1715" s="2" t="s">
        <v>5686</v>
      </c>
      <c r="H1715" s="2" t="s">
        <v>5686</v>
      </c>
      <c r="I1715" s="2" t="s">
        <v>5606</v>
      </c>
      <c r="J1715" s="2" t="s">
        <v>850</v>
      </c>
      <c r="K1715" s="2" t="s">
        <v>622</v>
      </c>
      <c r="L1715" s="3">
        <v>54.99</v>
      </c>
      <c r="M1715" s="3">
        <v>57.74</v>
      </c>
      <c r="N1715" s="3">
        <v>119.99</v>
      </c>
      <c r="O1715" s="2" t="s">
        <v>97</v>
      </c>
      <c r="P1715" s="2" t="s">
        <v>143</v>
      </c>
      <c r="Q1715" s="2" t="s">
        <v>99</v>
      </c>
      <c r="R1715" s="2" t="s">
        <v>100</v>
      </c>
      <c r="S1715" s="2" t="s">
        <v>5607</v>
      </c>
      <c r="T1715" s="2" t="s">
        <v>100</v>
      </c>
      <c r="U1715" s="2" t="s">
        <v>100</v>
      </c>
      <c r="V1715" s="2" t="s">
        <v>1287</v>
      </c>
      <c r="W1715" s="2" t="s">
        <v>312</v>
      </c>
      <c r="X1715" s="2" t="s">
        <v>185</v>
      </c>
      <c r="Y1715" s="2" t="s">
        <v>106</v>
      </c>
      <c r="Z1715" s="4">
        <v>263</v>
      </c>
      <c r="AA1715" s="4">
        <f>=ROUNDDOWN(13.8421052631579,0)</f>
      </c>
      <c r="AB1715" s="5">
        <v>19</v>
      </c>
      <c r="AC1715" s="2" t="s">
        <v>130</v>
      </c>
      <c r="AD1715" s="4">
        <v>210</v>
      </c>
      <c r="AE1715" s="4">
        <v>770</v>
      </c>
      <c r="AF1715" s="6">
        <v>69</v>
      </c>
      <c r="AG1715" s="6"/>
      <c r="AH1715" s="7">
        <v>0.6485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>
        <v>0</v>
      </c>
      <c r="AP1715" s="4"/>
      <c r="AQ1715" s="8"/>
      <c r="AR1715" s="4">
        <v>1</v>
      </c>
      <c r="AS1715" s="8">
        <v>57.74</v>
      </c>
      <c r="AT1715" s="7">
        <v>-1</v>
      </c>
      <c r="AU1715" s="7">
        <v>-1</v>
      </c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>
        <v>236</v>
      </c>
      <c r="BK1715" s="8">
        <v>14267.21</v>
      </c>
      <c r="BL1715" s="2" t="s">
        <v>5690</v>
      </c>
      <c r="BM1715" s="7"/>
      <c r="BN1715" s="7"/>
      <c r="BO1715" s="4"/>
      <c r="BP1715" s="8"/>
      <c r="BQ1715" s="4">
        <v>1</v>
      </c>
      <c r="BR1715" s="8">
        <v>57.74</v>
      </c>
      <c r="BS1715" s="7">
        <v>-1</v>
      </c>
      <c r="BT1715" s="7">
        <v>-1</v>
      </c>
      <c r="BU1715" s="2" t="s">
        <v>109</v>
      </c>
      <c r="BV1715" s="2" t="s">
        <v>97</v>
      </c>
      <c r="BW1715" s="2" t="s">
        <v>132</v>
      </c>
      <c r="BX1715" s="2" t="s">
        <v>967</v>
      </c>
      <c r="BY1715" s="2" t="s">
        <v>112</v>
      </c>
      <c r="BZ1715" s="2" t="s">
        <v>100</v>
      </c>
    </row>
    <row r="1716">
      <c r="A1716" s="2" t="s">
        <v>5691</v>
      </c>
      <c r="B1716" s="2" t="s">
        <v>87</v>
      </c>
      <c r="C1716" s="2" t="s">
        <v>5585</v>
      </c>
      <c r="D1716" s="2" t="s">
        <v>2308</v>
      </c>
      <c r="E1716" s="2" t="s">
        <v>5586</v>
      </c>
      <c r="F1716" s="2" t="s">
        <v>5692</v>
      </c>
      <c r="G1716" s="2" t="s">
        <v>5692</v>
      </c>
      <c r="H1716" s="2" t="s">
        <v>5692</v>
      </c>
      <c r="I1716" s="2" t="s">
        <v>5588</v>
      </c>
      <c r="J1716" s="2" t="s">
        <v>844</v>
      </c>
      <c r="K1716" s="2" t="s">
        <v>96</v>
      </c>
      <c r="L1716" s="3">
        <v>49.99</v>
      </c>
      <c r="M1716" s="3">
        <v>52.49</v>
      </c>
      <c r="N1716" s="3">
        <v>99.99</v>
      </c>
      <c r="O1716" s="2" t="s">
        <v>97</v>
      </c>
      <c r="P1716" s="2" t="s">
        <v>182</v>
      </c>
      <c r="Q1716" s="2" t="s">
        <v>99</v>
      </c>
      <c r="R1716" s="2" t="s">
        <v>100</v>
      </c>
      <c r="S1716" s="2" t="s">
        <v>5607</v>
      </c>
      <c r="T1716" s="2" t="s">
        <v>100</v>
      </c>
      <c r="U1716" s="2" t="s">
        <v>100</v>
      </c>
      <c r="V1716" s="2" t="s">
        <v>5693</v>
      </c>
      <c r="W1716" s="2" t="s">
        <v>312</v>
      </c>
      <c r="X1716" s="2" t="s">
        <v>185</v>
      </c>
      <c r="Y1716" s="2" t="s">
        <v>106</v>
      </c>
      <c r="Z1716" s="4">
        <v>555</v>
      </c>
      <c r="AA1716" s="4">
        <f>=ROUNDDOWN(111,0)</f>
      </c>
      <c r="AB1716" s="5">
        <v>5</v>
      </c>
      <c r="AC1716" s="2" t="s">
        <v>100</v>
      </c>
      <c r="AD1716" s="4"/>
      <c r="AE1716" s="4"/>
      <c r="AF1716" s="6">
        <v>65</v>
      </c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>
        <v>115</v>
      </c>
      <c r="BK1716" s="8">
        <v>5877.89</v>
      </c>
      <c r="BL1716" s="2" t="s">
        <v>5694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147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5695</v>
      </c>
      <c r="B1717" s="2" t="s">
        <v>87</v>
      </c>
      <c r="C1717" s="2" t="s">
        <v>5585</v>
      </c>
      <c r="D1717" s="2" t="s">
        <v>2308</v>
      </c>
      <c r="E1717" s="2" t="s">
        <v>5586</v>
      </c>
      <c r="F1717" s="2" t="s">
        <v>5692</v>
      </c>
      <c r="G1717" s="2" t="s">
        <v>5692</v>
      </c>
      <c r="H1717" s="2" t="s">
        <v>5692</v>
      </c>
      <c r="I1717" s="2" t="s">
        <v>5588</v>
      </c>
      <c r="J1717" s="2" t="s">
        <v>850</v>
      </c>
      <c r="K1717" s="2" t="s">
        <v>96</v>
      </c>
      <c r="L1717" s="3">
        <v>54.99</v>
      </c>
      <c r="M1717" s="3">
        <v>57.74</v>
      </c>
      <c r="N1717" s="3">
        <v>109.99</v>
      </c>
      <c r="O1717" s="2" t="s">
        <v>97</v>
      </c>
      <c r="P1717" s="2" t="s">
        <v>182</v>
      </c>
      <c r="Q1717" s="2" t="s">
        <v>99</v>
      </c>
      <c r="R1717" s="2" t="s">
        <v>100</v>
      </c>
      <c r="S1717" s="2" t="s">
        <v>5607</v>
      </c>
      <c r="T1717" s="2" t="s">
        <v>100</v>
      </c>
      <c r="U1717" s="2" t="s">
        <v>100</v>
      </c>
      <c r="V1717" s="2" t="s">
        <v>5693</v>
      </c>
      <c r="W1717" s="2" t="s">
        <v>312</v>
      </c>
      <c r="X1717" s="2" t="s">
        <v>185</v>
      </c>
      <c r="Y1717" s="2" t="s">
        <v>106</v>
      </c>
      <c r="Z1717" s="4">
        <v>325</v>
      </c>
      <c r="AA1717" s="4">
        <f>=ROUNDDOWN(65,0)</f>
      </c>
      <c r="AB1717" s="5">
        <v>5</v>
      </c>
      <c r="AC1717" s="2" t="s">
        <v>100</v>
      </c>
      <c r="AD1717" s="4"/>
      <c r="AE1717" s="4"/>
      <c r="AF1717" s="6">
        <v>65</v>
      </c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>
        <v>126</v>
      </c>
      <c r="BK1717" s="8">
        <v>7095.62</v>
      </c>
      <c r="BL1717" s="2" t="s">
        <v>5696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147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5697</v>
      </c>
      <c r="B1718" s="2" t="s">
        <v>87</v>
      </c>
      <c r="C1718" s="2" t="s">
        <v>5585</v>
      </c>
      <c r="D1718" s="2" t="s">
        <v>2308</v>
      </c>
      <c r="E1718" s="2" t="s">
        <v>3080</v>
      </c>
      <c r="F1718" s="2" t="s">
        <v>5698</v>
      </c>
      <c r="G1718" s="2" t="s">
        <v>5698</v>
      </c>
      <c r="H1718" s="2" t="s">
        <v>5698</v>
      </c>
      <c r="I1718" s="2" t="s">
        <v>5699</v>
      </c>
      <c r="J1718" s="2" t="s">
        <v>844</v>
      </c>
      <c r="K1718" s="2" t="s">
        <v>96</v>
      </c>
      <c r="L1718" s="3">
        <v>58.97</v>
      </c>
      <c r="M1718" s="3">
        <v>61.92</v>
      </c>
      <c r="N1718" s="3">
        <v>129.99</v>
      </c>
      <c r="O1718" s="2" t="s">
        <v>229</v>
      </c>
      <c r="P1718" s="2" t="s">
        <v>198</v>
      </c>
      <c r="Q1718" s="2" t="s">
        <v>99</v>
      </c>
      <c r="R1718" s="2" t="s">
        <v>100</v>
      </c>
      <c r="S1718" s="2" t="s">
        <v>5700</v>
      </c>
      <c r="T1718" s="2" t="s">
        <v>732</v>
      </c>
      <c r="U1718" s="2" t="s">
        <v>1610</v>
      </c>
      <c r="V1718" s="2" t="s">
        <v>4714</v>
      </c>
      <c r="W1718" s="2" t="s">
        <v>312</v>
      </c>
      <c r="X1718" s="2" t="s">
        <v>808</v>
      </c>
      <c r="Y1718" s="2" t="s">
        <v>5701</v>
      </c>
      <c r="Z1718" s="4">
        <v>228</v>
      </c>
      <c r="AA1718" s="4">
        <f>=ROUNDDOWN(76,0)</f>
      </c>
      <c r="AB1718" s="5">
        <v>3</v>
      </c>
      <c r="AC1718" s="2" t="s">
        <v>100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>
        <v>30</v>
      </c>
      <c r="BK1718" s="8">
        <v>1665.48</v>
      </c>
      <c r="BL1718" s="2" t="s">
        <v>5702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147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5703</v>
      </c>
      <c r="B1719" s="2" t="s">
        <v>87</v>
      </c>
      <c r="C1719" s="2" t="s">
        <v>5585</v>
      </c>
      <c r="D1719" s="2" t="s">
        <v>2308</v>
      </c>
      <c r="E1719" s="2" t="s">
        <v>3080</v>
      </c>
      <c r="F1719" s="2" t="s">
        <v>5698</v>
      </c>
      <c r="G1719" s="2" t="s">
        <v>5698</v>
      </c>
      <c r="H1719" s="2" t="s">
        <v>5698</v>
      </c>
      <c r="I1719" s="2" t="s">
        <v>5699</v>
      </c>
      <c r="J1719" s="2" t="s">
        <v>850</v>
      </c>
      <c r="K1719" s="2" t="s">
        <v>96</v>
      </c>
      <c r="L1719" s="3">
        <v>68.11</v>
      </c>
      <c r="M1719" s="3">
        <v>71.52</v>
      </c>
      <c r="N1719" s="3">
        <v>149.99</v>
      </c>
      <c r="O1719" s="2" t="s">
        <v>229</v>
      </c>
      <c r="P1719" s="2" t="s">
        <v>198</v>
      </c>
      <c r="Q1719" s="2" t="s">
        <v>99</v>
      </c>
      <c r="R1719" s="2" t="s">
        <v>100</v>
      </c>
      <c r="S1719" s="2" t="s">
        <v>5700</v>
      </c>
      <c r="T1719" s="2" t="s">
        <v>732</v>
      </c>
      <c r="U1719" s="2" t="s">
        <v>1610</v>
      </c>
      <c r="V1719" s="2" t="s">
        <v>4714</v>
      </c>
      <c r="W1719" s="2" t="s">
        <v>312</v>
      </c>
      <c r="X1719" s="2" t="s">
        <v>808</v>
      </c>
      <c r="Y1719" s="2" t="s">
        <v>5701</v>
      </c>
      <c r="Z1719" s="4">
        <v>163</v>
      </c>
      <c r="AA1719" s="4">
        <f>=ROUNDDOWN(27.1666666666667,0)</f>
      </c>
      <c r="AB1719" s="5">
        <v>6</v>
      </c>
      <c r="AC1719" s="2" t="s">
        <v>100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>
        <v>59</v>
      </c>
      <c r="BK1719" s="8">
        <v>3873.71</v>
      </c>
      <c r="BL1719" s="2" t="s">
        <v>5704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147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5705</v>
      </c>
      <c r="B1720" s="2" t="s">
        <v>87</v>
      </c>
      <c r="C1720" s="2" t="s">
        <v>5585</v>
      </c>
      <c r="D1720" s="2" t="s">
        <v>2308</v>
      </c>
      <c r="E1720" s="2" t="s">
        <v>2309</v>
      </c>
      <c r="F1720" s="2" t="s">
        <v>5706</v>
      </c>
      <c r="G1720" s="2" t="s">
        <v>5706</v>
      </c>
      <c r="H1720" s="2" t="s">
        <v>5706</v>
      </c>
      <c r="I1720" s="2" t="s">
        <v>5707</v>
      </c>
      <c r="J1720" s="2" t="s">
        <v>844</v>
      </c>
      <c r="K1720" s="2" t="s">
        <v>5708</v>
      </c>
      <c r="L1720" s="3">
        <v>42</v>
      </c>
      <c r="M1720" s="3">
        <v>44.1</v>
      </c>
      <c r="N1720" s="3">
        <v>89.99</v>
      </c>
      <c r="O1720" s="2" t="s">
        <v>97</v>
      </c>
      <c r="P1720" s="2" t="s">
        <v>198</v>
      </c>
      <c r="Q1720" s="2" t="s">
        <v>99</v>
      </c>
      <c r="R1720" s="2" t="s">
        <v>100</v>
      </c>
      <c r="S1720" s="2" t="s">
        <v>5709</v>
      </c>
      <c r="T1720" s="2" t="s">
        <v>184</v>
      </c>
      <c r="U1720" s="2" t="s">
        <v>1610</v>
      </c>
      <c r="V1720" s="2" t="s">
        <v>1287</v>
      </c>
      <c r="W1720" s="2" t="s">
        <v>312</v>
      </c>
      <c r="X1720" s="2" t="s">
        <v>808</v>
      </c>
      <c r="Y1720" s="2" t="s">
        <v>5710</v>
      </c>
      <c r="Z1720" s="4">
        <v>78</v>
      </c>
      <c r="AA1720" s="4">
        <f>=ROUNDDOWN(26,0)</f>
      </c>
      <c r="AB1720" s="5">
        <v>3</v>
      </c>
      <c r="AC1720" s="2" t="s">
        <v>100</v>
      </c>
      <c r="AD1720" s="4"/>
      <c r="AE1720" s="4"/>
      <c r="AF1720" s="6">
        <v>65</v>
      </c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>
        <v>85</v>
      </c>
      <c r="BK1720" s="8">
        <v>3296.89</v>
      </c>
      <c r="BL1720" s="2" t="s">
        <v>2946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147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5711</v>
      </c>
      <c r="B1721" s="2" t="s">
        <v>87</v>
      </c>
      <c r="C1721" s="2" t="s">
        <v>5585</v>
      </c>
      <c r="D1721" s="2" t="s">
        <v>2308</v>
      </c>
      <c r="E1721" s="2" t="s">
        <v>2309</v>
      </c>
      <c r="F1721" s="2" t="s">
        <v>5706</v>
      </c>
      <c r="G1721" s="2" t="s">
        <v>5706</v>
      </c>
      <c r="H1721" s="2" t="s">
        <v>5706</v>
      </c>
      <c r="I1721" s="2" t="s">
        <v>5707</v>
      </c>
      <c r="J1721" s="2" t="s">
        <v>850</v>
      </c>
      <c r="K1721" s="2" t="s">
        <v>5708</v>
      </c>
      <c r="L1721" s="3">
        <v>48</v>
      </c>
      <c r="M1721" s="3">
        <v>50.4</v>
      </c>
      <c r="N1721" s="3">
        <v>99.99</v>
      </c>
      <c r="O1721" s="2" t="s">
        <v>97</v>
      </c>
      <c r="P1721" s="2" t="s">
        <v>198</v>
      </c>
      <c r="Q1721" s="2" t="s">
        <v>99</v>
      </c>
      <c r="R1721" s="2" t="s">
        <v>100</v>
      </c>
      <c r="S1721" s="2" t="s">
        <v>5709</v>
      </c>
      <c r="T1721" s="2" t="s">
        <v>184</v>
      </c>
      <c r="U1721" s="2" t="s">
        <v>1610</v>
      </c>
      <c r="V1721" s="2" t="s">
        <v>1287</v>
      </c>
      <c r="W1721" s="2" t="s">
        <v>312</v>
      </c>
      <c r="X1721" s="2" t="s">
        <v>808</v>
      </c>
      <c r="Y1721" s="2" t="s">
        <v>5710</v>
      </c>
      <c r="Z1721" s="4">
        <v>62</v>
      </c>
      <c r="AA1721" s="4">
        <f>=ROUNDDOWN(20.6666666666667,0)</f>
      </c>
      <c r="AB1721" s="5">
        <v>3</v>
      </c>
      <c r="AC1721" s="2" t="s">
        <v>100</v>
      </c>
      <c r="AD1721" s="4"/>
      <c r="AE1721" s="4"/>
      <c r="AF1721" s="6">
        <v>65</v>
      </c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>
        <v>68</v>
      </c>
      <c r="BK1721" s="8">
        <v>3161.07</v>
      </c>
      <c r="BL1721" s="2" t="s">
        <v>899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147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5712</v>
      </c>
      <c r="B1722" s="2" t="s">
        <v>87</v>
      </c>
      <c r="C1722" s="2" t="s">
        <v>5585</v>
      </c>
      <c r="D1722" s="2" t="s">
        <v>2308</v>
      </c>
      <c r="E1722" s="2" t="s">
        <v>3101</v>
      </c>
      <c r="F1722" s="2" t="s">
        <v>5649</v>
      </c>
      <c r="G1722" s="2" t="s">
        <v>5649</v>
      </c>
      <c r="H1722" s="2" t="s">
        <v>100</v>
      </c>
      <c r="I1722" s="2" t="s">
        <v>5713</v>
      </c>
      <c r="J1722" s="2" t="s">
        <v>3103</v>
      </c>
      <c r="K1722" s="2" t="s">
        <v>96</v>
      </c>
      <c r="L1722" s="3">
        <v>59.99</v>
      </c>
      <c r="M1722" s="3">
        <v>62.99</v>
      </c>
      <c r="N1722" s="3">
        <v>129.99</v>
      </c>
      <c r="O1722" s="2" t="s">
        <v>97</v>
      </c>
      <c r="P1722" s="2" t="s">
        <v>182</v>
      </c>
      <c r="Q1722" s="2" t="s">
        <v>99</v>
      </c>
      <c r="R1722" s="2" t="s">
        <v>100</v>
      </c>
      <c r="S1722" s="2" t="s">
        <v>5607</v>
      </c>
      <c r="T1722" s="2" t="s">
        <v>100</v>
      </c>
      <c r="U1722" s="2" t="s">
        <v>100</v>
      </c>
      <c r="V1722" s="2" t="s">
        <v>1287</v>
      </c>
      <c r="W1722" s="2" t="s">
        <v>312</v>
      </c>
      <c r="X1722" s="2" t="s">
        <v>185</v>
      </c>
      <c r="Y1722" s="2" t="s">
        <v>5714</v>
      </c>
      <c r="Z1722" s="4"/>
      <c r="AA1722" s="4">
        <f>=ROUNDDOWN({0},0)</f>
      </c>
      <c r="AB1722" s="5">
        <v>7</v>
      </c>
      <c r="AC1722" s="2" t="s">
        <v>145</v>
      </c>
      <c r="AD1722" s="4">
        <v>160</v>
      </c>
      <c r="AE1722" s="4">
        <v>370</v>
      </c>
      <c r="AF1722" s="6">
        <v>69</v>
      </c>
      <c r="AG1722" s="6"/>
      <c r="AH1722" s="7">
        <v>0.4909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/>
      <c r="AW1722" s="8"/>
      <c r="AX1722" s="4"/>
      <c r="AY1722" s="8"/>
      <c r="AZ1722" s="7"/>
      <c r="BA1722" s="7"/>
      <c r="BB1722" s="7"/>
      <c r="BC1722" s="4"/>
      <c r="BD1722" s="8"/>
      <c r="BE1722" s="4"/>
      <c r="BF1722" s="8"/>
      <c r="BG1722" s="7"/>
      <c r="BH1722" s="7"/>
      <c r="BI1722" s="7"/>
      <c r="BJ1722" s="4">
        <v>119</v>
      </c>
      <c r="BK1722" s="8">
        <v>8172.21</v>
      </c>
      <c r="BL1722" s="2" t="s">
        <v>1873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147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5715</v>
      </c>
      <c r="B1723" s="2" t="s">
        <v>87</v>
      </c>
      <c r="C1723" s="2" t="s">
        <v>5585</v>
      </c>
      <c r="D1723" s="2" t="s">
        <v>2308</v>
      </c>
      <c r="E1723" s="2" t="s">
        <v>3101</v>
      </c>
      <c r="F1723" s="2" t="s">
        <v>5686</v>
      </c>
      <c r="G1723" s="2" t="s">
        <v>5686</v>
      </c>
      <c r="H1723" s="2" t="s">
        <v>100</v>
      </c>
      <c r="I1723" s="2" t="s">
        <v>5713</v>
      </c>
      <c r="J1723" s="2" t="s">
        <v>3103</v>
      </c>
      <c r="K1723" s="2" t="s">
        <v>310</v>
      </c>
      <c r="L1723" s="3">
        <v>59.99</v>
      </c>
      <c r="M1723" s="3">
        <v>62.99</v>
      </c>
      <c r="N1723" s="3">
        <v>119.99</v>
      </c>
      <c r="O1723" s="2" t="s">
        <v>97</v>
      </c>
      <c r="P1723" s="2" t="s">
        <v>182</v>
      </c>
      <c r="Q1723" s="2" t="s">
        <v>99</v>
      </c>
      <c r="R1723" s="2" t="s">
        <v>100</v>
      </c>
      <c r="S1723" s="2" t="s">
        <v>5607</v>
      </c>
      <c r="T1723" s="2" t="s">
        <v>100</v>
      </c>
      <c r="U1723" s="2" t="s">
        <v>100</v>
      </c>
      <c r="V1723" s="2" t="s">
        <v>1287</v>
      </c>
      <c r="W1723" s="2" t="s">
        <v>312</v>
      </c>
      <c r="X1723" s="2" t="s">
        <v>185</v>
      </c>
      <c r="Y1723" s="2" t="s">
        <v>5714</v>
      </c>
      <c r="Z1723" s="4">
        <v>54</v>
      </c>
      <c r="AA1723" s="4">
        <f>=ROUNDDOWN(10.8,0)</f>
      </c>
      <c r="AB1723" s="5">
        <v>5</v>
      </c>
      <c r="AC1723" s="2" t="s">
        <v>145</v>
      </c>
      <c r="AD1723" s="4">
        <v>70</v>
      </c>
      <c r="AE1723" s="4">
        <v>180</v>
      </c>
      <c r="AF1723" s="6">
        <v>69</v>
      </c>
      <c r="AG1723" s="6"/>
      <c r="AH1723" s="7">
        <v>0.897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/>
      <c r="AW1723" s="8"/>
      <c r="AX1723" s="4"/>
      <c r="AY1723" s="8"/>
      <c r="AZ1723" s="7"/>
      <c r="BA1723" s="7"/>
      <c r="BB1723" s="7"/>
      <c r="BC1723" s="4"/>
      <c r="BD1723" s="8"/>
      <c r="BE1723" s="4"/>
      <c r="BF1723" s="8"/>
      <c r="BG1723" s="7"/>
      <c r="BH1723" s="7"/>
      <c r="BI1723" s="7"/>
      <c r="BJ1723" s="4">
        <v>159</v>
      </c>
      <c r="BK1723" s="8">
        <v>10575.53</v>
      </c>
      <c r="BL1723" s="2" t="s">
        <v>1028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147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5716</v>
      </c>
      <c r="B1724" s="2" t="s">
        <v>87</v>
      </c>
      <c r="C1724" s="2" t="s">
        <v>5585</v>
      </c>
      <c r="D1724" s="2" t="s">
        <v>89</v>
      </c>
      <c r="E1724" s="2" t="s">
        <v>90</v>
      </c>
      <c r="F1724" s="2" t="s">
        <v>452</v>
      </c>
      <c r="G1724" s="2" t="s">
        <v>452</v>
      </c>
      <c r="H1724" s="2" t="s">
        <v>452</v>
      </c>
      <c r="I1724" s="2" t="s">
        <v>5717</v>
      </c>
      <c r="J1724" s="2" t="s">
        <v>487</v>
      </c>
      <c r="K1724" s="2" t="s">
        <v>158</v>
      </c>
      <c r="L1724" s="3">
        <v>72.79</v>
      </c>
      <c r="M1724" s="3">
        <v>76.43</v>
      </c>
      <c r="N1724" s="3">
        <v>154.99</v>
      </c>
      <c r="O1724" s="2" t="s">
        <v>97</v>
      </c>
      <c r="P1724" s="2" t="s">
        <v>124</v>
      </c>
      <c r="Q1724" s="2" t="s">
        <v>99</v>
      </c>
      <c r="R1724" s="2" t="s">
        <v>100</v>
      </c>
      <c r="S1724" s="2" t="s">
        <v>5718</v>
      </c>
      <c r="T1724" s="2" t="s">
        <v>100</v>
      </c>
      <c r="U1724" s="2" t="s">
        <v>100</v>
      </c>
      <c r="V1724" s="2" t="s">
        <v>601</v>
      </c>
      <c r="W1724" s="2" t="s">
        <v>759</v>
      </c>
      <c r="X1724" s="2" t="s">
        <v>5719</v>
      </c>
      <c r="Y1724" s="2" t="s">
        <v>5720</v>
      </c>
      <c r="Z1724" s="4">
        <v>247</v>
      </c>
      <c r="AA1724" s="4">
        <f>=ROUNDDOWN(16.4666666666667,0)</f>
      </c>
      <c r="AB1724" s="5">
        <v>15</v>
      </c>
      <c r="AC1724" s="2" t="s">
        <v>2152</v>
      </c>
      <c r="AD1724" s="4">
        <v>50</v>
      </c>
      <c r="AE1724" s="4">
        <v>840</v>
      </c>
      <c r="AF1724" s="6">
        <v>67</v>
      </c>
      <c r="AG1724" s="6">
        <v>75</v>
      </c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>
        <v>1</v>
      </c>
      <c r="AW1724" s="8">
        <v>103.73</v>
      </c>
      <c r="AX1724" s="4">
        <v>1</v>
      </c>
      <c r="AY1724" s="8">
        <v>92.81</v>
      </c>
      <c r="AZ1724" s="7" t="s">
        <v>100</v>
      </c>
      <c r="BA1724" s="7">
        <v>0.1177</v>
      </c>
      <c r="BB1724" s="7"/>
      <c r="BC1724" s="4">
        <v>1</v>
      </c>
      <c r="BD1724" s="8">
        <v>103.73</v>
      </c>
      <c r="BE1724" s="4">
        <v>1</v>
      </c>
      <c r="BF1724" s="8">
        <v>92.81</v>
      </c>
      <c r="BG1724" s="7" t="s">
        <v>100</v>
      </c>
      <c r="BH1724" s="7">
        <v>0.1177</v>
      </c>
      <c r="BI1724" s="7">
        <v>1</v>
      </c>
      <c r="BJ1724" s="4">
        <v>276</v>
      </c>
      <c r="BK1724" s="8">
        <v>21825.74</v>
      </c>
      <c r="BL1724" s="2" t="s">
        <v>5721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109</v>
      </c>
      <c r="BV1724" s="2" t="s">
        <v>97</v>
      </c>
      <c r="BW1724" s="2" t="s">
        <v>737</v>
      </c>
      <c r="BX1724" s="2" t="s">
        <v>100</v>
      </c>
      <c r="BY1724" s="2" t="s">
        <v>112</v>
      </c>
      <c r="BZ1724" s="2" t="s">
        <v>100</v>
      </c>
    </row>
    <row r="1725">
      <c r="A1725" s="2" t="s">
        <v>5722</v>
      </c>
      <c r="B1725" s="2" t="s">
        <v>87</v>
      </c>
      <c r="C1725" s="2" t="s">
        <v>5585</v>
      </c>
      <c r="D1725" s="2" t="s">
        <v>89</v>
      </c>
      <c r="E1725" s="2" t="s">
        <v>90</v>
      </c>
      <c r="F1725" s="2" t="s">
        <v>452</v>
      </c>
      <c r="G1725" s="2" t="s">
        <v>452</v>
      </c>
      <c r="H1725" s="2" t="s">
        <v>452</v>
      </c>
      <c r="I1725" s="2" t="s">
        <v>5717</v>
      </c>
      <c r="J1725" s="2" t="s">
        <v>122</v>
      </c>
      <c r="K1725" s="2" t="s">
        <v>158</v>
      </c>
      <c r="L1725" s="3">
        <v>83.19</v>
      </c>
      <c r="M1725" s="3">
        <v>87.35</v>
      </c>
      <c r="N1725" s="3">
        <v>179.99</v>
      </c>
      <c r="O1725" s="2" t="s">
        <v>97</v>
      </c>
      <c r="P1725" s="2" t="s">
        <v>124</v>
      </c>
      <c r="Q1725" s="2" t="s">
        <v>99</v>
      </c>
      <c r="R1725" s="2" t="s">
        <v>100</v>
      </c>
      <c r="S1725" s="2" t="s">
        <v>5718</v>
      </c>
      <c r="T1725" s="2" t="s">
        <v>100</v>
      </c>
      <c r="U1725" s="2" t="s">
        <v>100</v>
      </c>
      <c r="V1725" s="2" t="s">
        <v>601</v>
      </c>
      <c r="W1725" s="2" t="s">
        <v>759</v>
      </c>
      <c r="X1725" s="2" t="s">
        <v>5719</v>
      </c>
      <c r="Y1725" s="2" t="s">
        <v>5720</v>
      </c>
      <c r="Z1725" s="4">
        <v>119</v>
      </c>
      <c r="AA1725" s="4">
        <f>=ROUNDDOWN(13.2222222222222,0)</f>
      </c>
      <c r="AB1725" s="5">
        <v>9</v>
      </c>
      <c r="AC1725" s="2" t="s">
        <v>746</v>
      </c>
      <c r="AD1725" s="4">
        <v>80</v>
      </c>
      <c r="AE1725" s="4">
        <v>510</v>
      </c>
      <c r="AF1725" s="6">
        <v>67</v>
      </c>
      <c r="AG1725" s="6">
        <v>75</v>
      </c>
      <c r="AH1725" s="7">
        <v>0.9879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 t="s">
        <v>100</v>
      </c>
      <c r="BJ1725" s="4">
        <v>160</v>
      </c>
      <c r="BK1725" s="8">
        <v>14819.9</v>
      </c>
      <c r="BL1725" s="2" t="s">
        <v>5723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109</v>
      </c>
      <c r="BV1725" s="2" t="s">
        <v>97</v>
      </c>
      <c r="BW1725" s="2" t="s">
        <v>737</v>
      </c>
      <c r="BX1725" s="2" t="s">
        <v>100</v>
      </c>
      <c r="BY1725" s="2" t="s">
        <v>112</v>
      </c>
      <c r="BZ1725" s="2" t="s">
        <v>100</v>
      </c>
    </row>
    <row r="1726">
      <c r="A1726" s="2" t="s">
        <v>5724</v>
      </c>
      <c r="B1726" s="2" t="s">
        <v>87</v>
      </c>
      <c r="C1726" s="2" t="s">
        <v>5585</v>
      </c>
      <c r="D1726" s="2" t="s">
        <v>89</v>
      </c>
      <c r="E1726" s="2" t="s">
        <v>90</v>
      </c>
      <c r="F1726" s="2" t="s">
        <v>452</v>
      </c>
      <c r="G1726" s="2" t="s">
        <v>452</v>
      </c>
      <c r="H1726" s="2" t="s">
        <v>452</v>
      </c>
      <c r="I1726" s="2" t="s">
        <v>5717</v>
      </c>
      <c r="J1726" s="2" t="s">
        <v>95</v>
      </c>
      <c r="K1726" s="2" t="s">
        <v>158</v>
      </c>
      <c r="L1726" s="3">
        <v>88.39</v>
      </c>
      <c r="M1726" s="3">
        <v>92.81</v>
      </c>
      <c r="N1726" s="3">
        <v>189.99</v>
      </c>
      <c r="O1726" s="2" t="s">
        <v>97</v>
      </c>
      <c r="P1726" s="2" t="s">
        <v>124</v>
      </c>
      <c r="Q1726" s="2" t="s">
        <v>99</v>
      </c>
      <c r="R1726" s="2" t="s">
        <v>100</v>
      </c>
      <c r="S1726" s="2" t="s">
        <v>5718</v>
      </c>
      <c r="T1726" s="2" t="s">
        <v>100</v>
      </c>
      <c r="U1726" s="2" t="s">
        <v>100</v>
      </c>
      <c r="V1726" s="2" t="s">
        <v>601</v>
      </c>
      <c r="W1726" s="2" t="s">
        <v>759</v>
      </c>
      <c r="X1726" s="2" t="s">
        <v>5719</v>
      </c>
      <c r="Y1726" s="2" t="s">
        <v>5720</v>
      </c>
      <c r="Z1726" s="4">
        <v>242</v>
      </c>
      <c r="AA1726" s="4">
        <f>=ROUNDDOWN(8.06666666666667,0)</f>
      </c>
      <c r="AB1726" s="5">
        <v>30</v>
      </c>
      <c r="AC1726" s="2" t="s">
        <v>130</v>
      </c>
      <c r="AD1726" s="4">
        <v>46</v>
      </c>
      <c r="AE1726" s="4">
        <v>1660</v>
      </c>
      <c r="AF1726" s="6">
        <v>67</v>
      </c>
      <c r="AG1726" s="6">
        <v>75</v>
      </c>
      <c r="AH1726" s="7">
        <v>0.8242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>
        <v>0</v>
      </c>
      <c r="AP1726" s="4"/>
      <c r="AQ1726" s="8"/>
      <c r="AR1726" s="4">
        <v>1</v>
      </c>
      <c r="AS1726" s="8">
        <v>92.81</v>
      </c>
      <c r="AT1726" s="7">
        <v>-1</v>
      </c>
      <c r="AU1726" s="7">
        <v>-1</v>
      </c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 t="s">
        <v>100</v>
      </c>
      <c r="BJ1726" s="4">
        <v>716</v>
      </c>
      <c r="BK1726" s="8">
        <v>69423.08</v>
      </c>
      <c r="BL1726" s="2" t="s">
        <v>5725</v>
      </c>
      <c r="BM1726" s="7"/>
      <c r="BN1726" s="7"/>
      <c r="BO1726" s="4"/>
      <c r="BP1726" s="8"/>
      <c r="BQ1726" s="4">
        <v>1</v>
      </c>
      <c r="BR1726" s="8">
        <v>92.81</v>
      </c>
      <c r="BS1726" s="7">
        <v>-1</v>
      </c>
      <c r="BT1726" s="7">
        <v>-1</v>
      </c>
      <c r="BU1726" s="2" t="s">
        <v>109</v>
      </c>
      <c r="BV1726" s="2" t="s">
        <v>97</v>
      </c>
      <c r="BW1726" s="2" t="s">
        <v>737</v>
      </c>
      <c r="BX1726" s="2" t="s">
        <v>5726</v>
      </c>
      <c r="BY1726" s="2" t="s">
        <v>112</v>
      </c>
      <c r="BZ1726" s="2" t="s">
        <v>100</v>
      </c>
    </row>
    <row r="1727">
      <c r="A1727" s="2" t="s">
        <v>5727</v>
      </c>
      <c r="B1727" s="2" t="s">
        <v>87</v>
      </c>
      <c r="C1727" s="2" t="s">
        <v>5585</v>
      </c>
      <c r="D1727" s="2" t="s">
        <v>89</v>
      </c>
      <c r="E1727" s="2" t="s">
        <v>90</v>
      </c>
      <c r="F1727" s="2" t="s">
        <v>452</v>
      </c>
      <c r="G1727" s="2" t="s">
        <v>452</v>
      </c>
      <c r="H1727" s="2" t="s">
        <v>452</v>
      </c>
      <c r="I1727" s="2" t="s">
        <v>5717</v>
      </c>
      <c r="J1727" s="2" t="s">
        <v>850</v>
      </c>
      <c r="K1727" s="2" t="s">
        <v>158</v>
      </c>
      <c r="L1727" s="3">
        <v>98.79</v>
      </c>
      <c r="M1727" s="3">
        <v>103.73</v>
      </c>
      <c r="N1727" s="3">
        <v>209.99</v>
      </c>
      <c r="O1727" s="2" t="s">
        <v>97</v>
      </c>
      <c r="P1727" s="2" t="s">
        <v>124</v>
      </c>
      <c r="Q1727" s="2" t="s">
        <v>99</v>
      </c>
      <c r="R1727" s="2" t="s">
        <v>100</v>
      </c>
      <c r="S1727" s="2" t="s">
        <v>5718</v>
      </c>
      <c r="T1727" s="2" t="s">
        <v>100</v>
      </c>
      <c r="U1727" s="2" t="s">
        <v>100</v>
      </c>
      <c r="V1727" s="2" t="s">
        <v>601</v>
      </c>
      <c r="W1727" s="2" t="s">
        <v>759</v>
      </c>
      <c r="X1727" s="2" t="s">
        <v>5719</v>
      </c>
      <c r="Y1727" s="2" t="s">
        <v>5720</v>
      </c>
      <c r="Z1727" s="4">
        <v>366</v>
      </c>
      <c r="AA1727" s="4">
        <f>=ROUNDDOWN(12.2,0)</f>
      </c>
      <c r="AB1727" s="5">
        <v>30</v>
      </c>
      <c r="AC1727" s="2" t="s">
        <v>746</v>
      </c>
      <c r="AD1727" s="4">
        <v>300</v>
      </c>
      <c r="AE1727" s="4">
        <v>1310</v>
      </c>
      <c r="AF1727" s="6">
        <v>67</v>
      </c>
      <c r="AG1727" s="6">
        <v>75</v>
      </c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>
        <v>0</v>
      </c>
      <c r="AP1727" s="4">
        <v>1</v>
      </c>
      <c r="AQ1727" s="8">
        <v>103.73</v>
      </c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>
        <v>1</v>
      </c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 t="s">
        <v>100</v>
      </c>
      <c r="BJ1727" s="4">
        <v>671</v>
      </c>
      <c r="BK1727" s="8">
        <v>73035.3</v>
      </c>
      <c r="BL1727" s="2" t="s">
        <v>5728</v>
      </c>
      <c r="BM1727" s="7">
        <v>0.0015</v>
      </c>
      <c r="BN1727" s="7">
        <v>0.0014</v>
      </c>
      <c r="BO1727" s="4">
        <v>1</v>
      </c>
      <c r="BP1727" s="8">
        <v>103.73</v>
      </c>
      <c r="BQ1727" s="4"/>
      <c r="BR1727" s="8"/>
      <c r="BS1727" s="7"/>
      <c r="BT1727" s="7"/>
      <c r="BU1727" s="2" t="s">
        <v>109</v>
      </c>
      <c r="BV1727" s="2" t="s">
        <v>97</v>
      </c>
      <c r="BW1727" s="2" t="s">
        <v>737</v>
      </c>
      <c r="BX1727" s="2" t="s">
        <v>5729</v>
      </c>
      <c r="BY1727" s="2" t="s">
        <v>112</v>
      </c>
      <c r="BZ1727" s="2" t="s">
        <v>100</v>
      </c>
    </row>
    <row r="1728">
      <c r="A1728" s="2" t="s">
        <v>5730</v>
      </c>
      <c r="B1728" s="2" t="s">
        <v>87</v>
      </c>
      <c r="C1728" s="2" t="s">
        <v>5585</v>
      </c>
      <c r="D1728" s="2" t="s">
        <v>89</v>
      </c>
      <c r="E1728" s="2" t="s">
        <v>90</v>
      </c>
      <c r="F1728" s="2" t="s">
        <v>5731</v>
      </c>
      <c r="G1728" s="2" t="s">
        <v>5731</v>
      </c>
      <c r="H1728" s="2" t="s">
        <v>5731</v>
      </c>
      <c r="I1728" s="2" t="s">
        <v>5732</v>
      </c>
      <c r="J1728" s="2" t="s">
        <v>122</v>
      </c>
      <c r="K1728" s="2" t="s">
        <v>5733</v>
      </c>
      <c r="L1728" s="3">
        <v>77.99</v>
      </c>
      <c r="M1728" s="3">
        <v>81.89</v>
      </c>
      <c r="N1728" s="3">
        <v>149.99</v>
      </c>
      <c r="O1728" s="2" t="s">
        <v>97</v>
      </c>
      <c r="P1728" s="2" t="s">
        <v>124</v>
      </c>
      <c r="Q1728" s="2" t="s">
        <v>99</v>
      </c>
      <c r="R1728" s="2" t="s">
        <v>100</v>
      </c>
      <c r="S1728" s="2" t="s">
        <v>5734</v>
      </c>
      <c r="T1728" s="2" t="s">
        <v>100</v>
      </c>
      <c r="U1728" s="2" t="s">
        <v>100</v>
      </c>
      <c r="V1728" s="2" t="s">
        <v>1741</v>
      </c>
      <c r="W1728" s="2" t="s">
        <v>312</v>
      </c>
      <c r="X1728" s="2" t="s">
        <v>3109</v>
      </c>
      <c r="Y1728" s="2" t="s">
        <v>5720</v>
      </c>
      <c r="Z1728" s="4">
        <v>133</v>
      </c>
      <c r="AA1728" s="4">
        <f>=ROUNDDOWN(19,0)</f>
      </c>
      <c r="AB1728" s="5">
        <v>7</v>
      </c>
      <c r="AC1728" s="2" t="s">
        <v>936</v>
      </c>
      <c r="AD1728" s="4">
        <v>110</v>
      </c>
      <c r="AE1728" s="4">
        <v>220</v>
      </c>
      <c r="AF1728" s="6">
        <v>66</v>
      </c>
      <c r="AG1728" s="6">
        <v>49</v>
      </c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>
        <v>144</v>
      </c>
      <c r="BK1728" s="8">
        <v>11791.69</v>
      </c>
      <c r="BL1728" s="2" t="s">
        <v>5735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147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5736</v>
      </c>
      <c r="B1729" s="2" t="s">
        <v>87</v>
      </c>
      <c r="C1729" s="2" t="s">
        <v>5585</v>
      </c>
      <c r="D1729" s="2" t="s">
        <v>89</v>
      </c>
      <c r="E1729" s="2" t="s">
        <v>90</v>
      </c>
      <c r="F1729" s="2" t="s">
        <v>5731</v>
      </c>
      <c r="G1729" s="2" t="s">
        <v>5731</v>
      </c>
      <c r="H1729" s="2" t="s">
        <v>5731</v>
      </c>
      <c r="I1729" s="2" t="s">
        <v>5732</v>
      </c>
      <c r="J1729" s="2" t="s">
        <v>95</v>
      </c>
      <c r="K1729" s="2" t="s">
        <v>5733</v>
      </c>
      <c r="L1729" s="3">
        <v>83.19</v>
      </c>
      <c r="M1729" s="3">
        <v>87.35</v>
      </c>
      <c r="N1729" s="3">
        <v>159.99</v>
      </c>
      <c r="O1729" s="2" t="s">
        <v>97</v>
      </c>
      <c r="P1729" s="2" t="s">
        <v>124</v>
      </c>
      <c r="Q1729" s="2" t="s">
        <v>99</v>
      </c>
      <c r="R1729" s="2" t="s">
        <v>100</v>
      </c>
      <c r="S1729" s="2" t="s">
        <v>5734</v>
      </c>
      <c r="T1729" s="2" t="s">
        <v>100</v>
      </c>
      <c r="U1729" s="2" t="s">
        <v>100</v>
      </c>
      <c r="V1729" s="2" t="s">
        <v>1741</v>
      </c>
      <c r="W1729" s="2" t="s">
        <v>312</v>
      </c>
      <c r="X1729" s="2" t="s">
        <v>3109</v>
      </c>
      <c r="Y1729" s="2" t="s">
        <v>5737</v>
      </c>
      <c r="Z1729" s="4">
        <v>119</v>
      </c>
      <c r="AA1729" s="4">
        <f>=ROUNDDOWN(3.60606060606061,0)</f>
      </c>
      <c r="AB1729" s="5">
        <v>33</v>
      </c>
      <c r="AC1729" s="2" t="s">
        <v>936</v>
      </c>
      <c r="AD1729" s="4">
        <v>250</v>
      </c>
      <c r="AE1729" s="4">
        <v>1550</v>
      </c>
      <c r="AF1729" s="6">
        <v>66</v>
      </c>
      <c r="AG1729" s="6">
        <v>49</v>
      </c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>
        <v>722</v>
      </c>
      <c r="BK1729" s="8">
        <v>62246.59</v>
      </c>
      <c r="BL1729" s="2" t="s">
        <v>5738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109</v>
      </c>
      <c r="BV1729" s="2" t="s">
        <v>97</v>
      </c>
      <c r="BW1729" s="2" t="s">
        <v>737</v>
      </c>
      <c r="BX1729" s="2" t="s">
        <v>100</v>
      </c>
      <c r="BY1729" s="2" t="s">
        <v>112</v>
      </c>
      <c r="BZ1729" s="2" t="s">
        <v>100</v>
      </c>
    </row>
    <row r="1730">
      <c r="A1730" s="2" t="s">
        <v>5739</v>
      </c>
      <c r="B1730" s="2" t="s">
        <v>87</v>
      </c>
      <c r="C1730" s="2" t="s">
        <v>5585</v>
      </c>
      <c r="D1730" s="2" t="s">
        <v>89</v>
      </c>
      <c r="E1730" s="2" t="s">
        <v>90</v>
      </c>
      <c r="F1730" s="2" t="s">
        <v>5731</v>
      </c>
      <c r="G1730" s="2" t="s">
        <v>5731</v>
      </c>
      <c r="H1730" s="2" t="s">
        <v>5731</v>
      </c>
      <c r="I1730" s="2" t="s">
        <v>5732</v>
      </c>
      <c r="J1730" s="2" t="s">
        <v>114</v>
      </c>
      <c r="K1730" s="2" t="s">
        <v>5733</v>
      </c>
      <c r="L1730" s="3">
        <v>93.59</v>
      </c>
      <c r="M1730" s="3">
        <v>98.27</v>
      </c>
      <c r="N1730" s="3">
        <v>179.99</v>
      </c>
      <c r="O1730" s="2" t="s">
        <v>97</v>
      </c>
      <c r="P1730" s="2" t="s">
        <v>124</v>
      </c>
      <c r="Q1730" s="2" t="s">
        <v>99</v>
      </c>
      <c r="R1730" s="2" t="s">
        <v>100</v>
      </c>
      <c r="S1730" s="2" t="s">
        <v>5734</v>
      </c>
      <c r="T1730" s="2" t="s">
        <v>100</v>
      </c>
      <c r="U1730" s="2" t="s">
        <v>100</v>
      </c>
      <c r="V1730" s="2" t="s">
        <v>1741</v>
      </c>
      <c r="W1730" s="2" t="s">
        <v>312</v>
      </c>
      <c r="X1730" s="2" t="s">
        <v>3109</v>
      </c>
      <c r="Y1730" s="2" t="s">
        <v>5737</v>
      </c>
      <c r="Z1730" s="4">
        <v>295</v>
      </c>
      <c r="AA1730" s="4">
        <f>=ROUNDDOWN(12.2916666666667,0)</f>
      </c>
      <c r="AB1730" s="5">
        <v>24</v>
      </c>
      <c r="AC1730" s="2" t="s">
        <v>936</v>
      </c>
      <c r="AD1730" s="4">
        <v>50</v>
      </c>
      <c r="AE1730" s="4">
        <v>800</v>
      </c>
      <c r="AF1730" s="6">
        <v>66</v>
      </c>
      <c r="AG1730" s="6">
        <v>49</v>
      </c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>
        <v>529</v>
      </c>
      <c r="BK1730" s="8">
        <v>52502.95</v>
      </c>
      <c r="BL1730" s="2" t="s">
        <v>5740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109</v>
      </c>
      <c r="BV1730" s="2" t="s">
        <v>97</v>
      </c>
      <c r="BW1730" s="2" t="s">
        <v>737</v>
      </c>
      <c r="BX1730" s="2" t="s">
        <v>100</v>
      </c>
      <c r="BY1730" s="2" t="s">
        <v>112</v>
      </c>
      <c r="BZ1730" s="2" t="s">
        <v>100</v>
      </c>
    </row>
    <row r="1731">
      <c r="A1731" s="2" t="s">
        <v>5741</v>
      </c>
      <c r="B1731" s="2" t="s">
        <v>87</v>
      </c>
      <c r="C1731" s="2" t="s">
        <v>5585</v>
      </c>
      <c r="D1731" s="2" t="s">
        <v>89</v>
      </c>
      <c r="E1731" s="2" t="s">
        <v>90</v>
      </c>
      <c r="F1731" s="2" t="s">
        <v>5731</v>
      </c>
      <c r="G1731" s="2" t="s">
        <v>5731</v>
      </c>
      <c r="H1731" s="2" t="s">
        <v>5731</v>
      </c>
      <c r="I1731" s="2" t="s">
        <v>5732</v>
      </c>
      <c r="J1731" s="2" t="s">
        <v>118</v>
      </c>
      <c r="K1731" s="2" t="s">
        <v>5733</v>
      </c>
      <c r="L1731" s="3">
        <v>93.59</v>
      </c>
      <c r="M1731" s="3">
        <v>98.27</v>
      </c>
      <c r="N1731" s="3">
        <v>179.99</v>
      </c>
      <c r="O1731" s="2" t="s">
        <v>97</v>
      </c>
      <c r="P1731" s="2" t="s">
        <v>124</v>
      </c>
      <c r="Q1731" s="2" t="s">
        <v>99</v>
      </c>
      <c r="R1731" s="2" t="s">
        <v>100</v>
      </c>
      <c r="S1731" s="2" t="s">
        <v>5734</v>
      </c>
      <c r="T1731" s="2" t="s">
        <v>100</v>
      </c>
      <c r="U1731" s="2" t="s">
        <v>100</v>
      </c>
      <c r="V1731" s="2" t="s">
        <v>1741</v>
      </c>
      <c r="W1731" s="2" t="s">
        <v>312</v>
      </c>
      <c r="X1731" s="2" t="s">
        <v>3109</v>
      </c>
      <c r="Y1731" s="2" t="s">
        <v>5737</v>
      </c>
      <c r="Z1731" s="4">
        <v>138</v>
      </c>
      <c r="AA1731" s="4">
        <f>=ROUNDDOWN(9.85714285714286,0)</f>
      </c>
      <c r="AB1731" s="5">
        <v>14</v>
      </c>
      <c r="AC1731" s="2" t="s">
        <v>936</v>
      </c>
      <c r="AD1731" s="4">
        <v>80</v>
      </c>
      <c r="AE1731" s="4">
        <v>520</v>
      </c>
      <c r="AF1731" s="6">
        <v>66</v>
      </c>
      <c r="AG1731" s="6">
        <v>49</v>
      </c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>
        <v>282</v>
      </c>
      <c r="BK1731" s="8">
        <v>28067.48</v>
      </c>
      <c r="BL1731" s="2" t="s">
        <v>5742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109</v>
      </c>
      <c r="BV1731" s="2" t="s">
        <v>97</v>
      </c>
      <c r="BW1731" s="2" t="s">
        <v>737</v>
      </c>
      <c r="BX1731" s="2" t="s">
        <v>100</v>
      </c>
      <c r="BY1731" s="2" t="s">
        <v>112</v>
      </c>
      <c r="BZ1731" s="2" t="s">
        <v>100</v>
      </c>
    </row>
    <row r="1732">
      <c r="A1732" s="2" t="s">
        <v>5743</v>
      </c>
      <c r="B1732" s="2" t="s">
        <v>87</v>
      </c>
      <c r="C1732" s="2" t="s">
        <v>5585</v>
      </c>
      <c r="D1732" s="2" t="s">
        <v>89</v>
      </c>
      <c r="E1732" s="2" t="s">
        <v>90</v>
      </c>
      <c r="F1732" s="2" t="s">
        <v>5744</v>
      </c>
      <c r="G1732" s="2" t="s">
        <v>5744</v>
      </c>
      <c r="H1732" s="2" t="s">
        <v>5744</v>
      </c>
      <c r="I1732" s="2" t="s">
        <v>5745</v>
      </c>
      <c r="J1732" s="2" t="s">
        <v>3012</v>
      </c>
      <c r="K1732" s="2" t="s">
        <v>1767</v>
      </c>
      <c r="L1732" s="3">
        <v>56.09</v>
      </c>
      <c r="M1732" s="3">
        <v>58.9</v>
      </c>
      <c r="N1732" s="3">
        <v>109.99</v>
      </c>
      <c r="O1732" s="2" t="s">
        <v>97</v>
      </c>
      <c r="P1732" s="2" t="s">
        <v>143</v>
      </c>
      <c r="Q1732" s="2" t="s">
        <v>99</v>
      </c>
      <c r="R1732" s="2" t="s">
        <v>100</v>
      </c>
      <c r="S1732" s="2" t="s">
        <v>5746</v>
      </c>
      <c r="T1732" s="2" t="s">
        <v>100</v>
      </c>
      <c r="U1732" s="2" t="s">
        <v>100</v>
      </c>
      <c r="V1732" s="2" t="s">
        <v>1287</v>
      </c>
      <c r="W1732" s="2" t="s">
        <v>312</v>
      </c>
      <c r="X1732" s="2" t="s">
        <v>185</v>
      </c>
      <c r="Y1732" s="2" t="s">
        <v>106</v>
      </c>
      <c r="Z1732" s="4">
        <v>132</v>
      </c>
      <c r="AA1732" s="4">
        <f>=ROUNDDOWN(22,0)</f>
      </c>
      <c r="AB1732" s="5">
        <v>6</v>
      </c>
      <c r="AC1732" s="2" t="s">
        <v>1193</v>
      </c>
      <c r="AD1732" s="4">
        <v>50</v>
      </c>
      <c r="AE1732" s="4">
        <v>200</v>
      </c>
      <c r="AF1732" s="6">
        <v>66</v>
      </c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>
        <v>124</v>
      </c>
      <c r="BK1732" s="8">
        <v>7442.59</v>
      </c>
      <c r="BL1732" s="2" t="s">
        <v>5747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147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5748</v>
      </c>
      <c r="B1733" s="2" t="s">
        <v>87</v>
      </c>
      <c r="C1733" s="2" t="s">
        <v>5585</v>
      </c>
      <c r="D1733" s="2" t="s">
        <v>89</v>
      </c>
      <c r="E1733" s="2" t="s">
        <v>90</v>
      </c>
      <c r="F1733" s="2" t="s">
        <v>5744</v>
      </c>
      <c r="G1733" s="2" t="s">
        <v>5744</v>
      </c>
      <c r="H1733" s="2" t="s">
        <v>5744</v>
      </c>
      <c r="I1733" s="2" t="s">
        <v>5745</v>
      </c>
      <c r="J1733" s="2" t="s">
        <v>95</v>
      </c>
      <c r="K1733" s="2" t="s">
        <v>1767</v>
      </c>
      <c r="L1733" s="3">
        <v>72.79</v>
      </c>
      <c r="M1733" s="3">
        <v>76.43</v>
      </c>
      <c r="N1733" s="3">
        <v>139.99</v>
      </c>
      <c r="O1733" s="2" t="s">
        <v>97</v>
      </c>
      <c r="P1733" s="2" t="s">
        <v>143</v>
      </c>
      <c r="Q1733" s="2" t="s">
        <v>99</v>
      </c>
      <c r="R1733" s="2" t="s">
        <v>100</v>
      </c>
      <c r="S1733" s="2" t="s">
        <v>5746</v>
      </c>
      <c r="T1733" s="2" t="s">
        <v>100</v>
      </c>
      <c r="U1733" s="2" t="s">
        <v>100</v>
      </c>
      <c r="V1733" s="2" t="s">
        <v>1287</v>
      </c>
      <c r="W1733" s="2" t="s">
        <v>312</v>
      </c>
      <c r="X1733" s="2" t="s">
        <v>185</v>
      </c>
      <c r="Y1733" s="2" t="s">
        <v>106</v>
      </c>
      <c r="Z1733" s="4">
        <v>299</v>
      </c>
      <c r="AA1733" s="4">
        <f>=ROUNDDOWN(19.9333333333333,0)</f>
      </c>
      <c r="AB1733" s="5">
        <v>15</v>
      </c>
      <c r="AC1733" s="2" t="s">
        <v>1193</v>
      </c>
      <c r="AD1733" s="4">
        <v>90</v>
      </c>
      <c r="AE1733" s="4">
        <v>600</v>
      </c>
      <c r="AF1733" s="6">
        <v>66</v>
      </c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>
        <v>322</v>
      </c>
      <c r="BK1733" s="8">
        <v>25422.56</v>
      </c>
      <c r="BL1733" s="2" t="s">
        <v>5749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147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5750</v>
      </c>
      <c r="B1734" s="2" t="s">
        <v>87</v>
      </c>
      <c r="C1734" s="2" t="s">
        <v>5585</v>
      </c>
      <c r="D1734" s="2" t="s">
        <v>89</v>
      </c>
      <c r="E1734" s="2" t="s">
        <v>90</v>
      </c>
      <c r="F1734" s="2" t="s">
        <v>5744</v>
      </c>
      <c r="G1734" s="2" t="s">
        <v>5744</v>
      </c>
      <c r="H1734" s="2" t="s">
        <v>5744</v>
      </c>
      <c r="I1734" s="2" t="s">
        <v>5745</v>
      </c>
      <c r="J1734" s="2" t="s">
        <v>114</v>
      </c>
      <c r="K1734" s="2" t="s">
        <v>1767</v>
      </c>
      <c r="L1734" s="3">
        <v>83.19</v>
      </c>
      <c r="M1734" s="3">
        <v>87.35</v>
      </c>
      <c r="N1734" s="3">
        <v>159.99</v>
      </c>
      <c r="O1734" s="2" t="s">
        <v>97</v>
      </c>
      <c r="P1734" s="2" t="s">
        <v>143</v>
      </c>
      <c r="Q1734" s="2" t="s">
        <v>99</v>
      </c>
      <c r="R1734" s="2" t="s">
        <v>100</v>
      </c>
      <c r="S1734" s="2" t="s">
        <v>5746</v>
      </c>
      <c r="T1734" s="2" t="s">
        <v>100</v>
      </c>
      <c r="U1734" s="2" t="s">
        <v>100</v>
      </c>
      <c r="V1734" s="2" t="s">
        <v>1287</v>
      </c>
      <c r="W1734" s="2" t="s">
        <v>312</v>
      </c>
      <c r="X1734" s="2" t="s">
        <v>185</v>
      </c>
      <c r="Y1734" s="2" t="s">
        <v>162</v>
      </c>
      <c r="Z1734" s="4">
        <v>363</v>
      </c>
      <c r="AA1734" s="4">
        <f>=ROUNDDOWN(30.25,0)</f>
      </c>
      <c r="AB1734" s="5">
        <v>12</v>
      </c>
      <c r="AC1734" s="2" t="s">
        <v>4093</v>
      </c>
      <c r="AD1734" s="4">
        <v>30</v>
      </c>
      <c r="AE1734" s="4">
        <v>270</v>
      </c>
      <c r="AF1734" s="6">
        <v>66</v>
      </c>
      <c r="AG1734" s="6"/>
      <c r="AH1734" s="7">
        <v>0.9152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>
        <v>273</v>
      </c>
      <c r="BK1734" s="8">
        <v>23921.96</v>
      </c>
      <c r="BL1734" s="2" t="s">
        <v>5751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147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5752</v>
      </c>
      <c r="B1735" s="2" t="s">
        <v>87</v>
      </c>
      <c r="C1735" s="2" t="s">
        <v>5585</v>
      </c>
      <c r="D1735" s="2" t="s">
        <v>89</v>
      </c>
      <c r="E1735" s="2" t="s">
        <v>2098</v>
      </c>
      <c r="F1735" s="2" t="s">
        <v>5753</v>
      </c>
      <c r="G1735" s="2" t="s">
        <v>5753</v>
      </c>
      <c r="H1735" s="2" t="s">
        <v>5753</v>
      </c>
      <c r="I1735" s="2" t="s">
        <v>5754</v>
      </c>
      <c r="J1735" s="2" t="s">
        <v>487</v>
      </c>
      <c r="K1735" s="2" t="s">
        <v>310</v>
      </c>
      <c r="L1735" s="3">
        <v>45.71</v>
      </c>
      <c r="M1735" s="3">
        <v>48</v>
      </c>
      <c r="N1735" s="3">
        <v>99.99</v>
      </c>
      <c r="O1735" s="2" t="s">
        <v>97</v>
      </c>
      <c r="P1735" s="2" t="s">
        <v>1166</v>
      </c>
      <c r="Q1735" s="2" t="s">
        <v>99</v>
      </c>
      <c r="R1735" s="2" t="s">
        <v>100</v>
      </c>
      <c r="S1735" s="2" t="s">
        <v>5755</v>
      </c>
      <c r="T1735" s="2" t="s">
        <v>1168</v>
      </c>
      <c r="U1735" s="2" t="s">
        <v>2104</v>
      </c>
      <c r="V1735" s="2" t="s">
        <v>1741</v>
      </c>
      <c r="W1735" s="2" t="s">
        <v>1742</v>
      </c>
      <c r="X1735" s="2" t="s">
        <v>104</v>
      </c>
      <c r="Y1735" s="2" t="s">
        <v>5756</v>
      </c>
      <c r="Z1735" s="4">
        <v>150</v>
      </c>
      <c r="AA1735" s="4">
        <f>=ROUNDDOWN(30,0)</f>
      </c>
      <c r="AB1735" s="5">
        <v>5</v>
      </c>
      <c r="AC1735" s="2" t="s">
        <v>100</v>
      </c>
      <c r="AD1735" s="4"/>
      <c r="AE1735" s="4"/>
      <c r="AF1735" s="6">
        <v>65</v>
      </c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>
        <v>10</v>
      </c>
      <c r="BK1735" s="8">
        <v>433.44</v>
      </c>
      <c r="BL1735" s="2" t="s">
        <v>5757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1171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5758</v>
      </c>
      <c r="B1736" s="2" t="s">
        <v>87</v>
      </c>
      <c r="C1736" s="2" t="s">
        <v>5585</v>
      </c>
      <c r="D1736" s="2" t="s">
        <v>89</v>
      </c>
      <c r="E1736" s="2" t="s">
        <v>2098</v>
      </c>
      <c r="F1736" s="2" t="s">
        <v>5753</v>
      </c>
      <c r="G1736" s="2" t="s">
        <v>5753</v>
      </c>
      <c r="H1736" s="2" t="s">
        <v>5753</v>
      </c>
      <c r="I1736" s="2" t="s">
        <v>5754</v>
      </c>
      <c r="J1736" s="2" t="s">
        <v>844</v>
      </c>
      <c r="K1736" s="2" t="s">
        <v>310</v>
      </c>
      <c r="L1736" s="3">
        <v>59.42</v>
      </c>
      <c r="M1736" s="3">
        <v>62.39</v>
      </c>
      <c r="N1736" s="3">
        <v>129.99</v>
      </c>
      <c r="O1736" s="2" t="s">
        <v>97</v>
      </c>
      <c r="P1736" s="2" t="s">
        <v>1166</v>
      </c>
      <c r="Q1736" s="2" t="s">
        <v>99</v>
      </c>
      <c r="R1736" s="2" t="s">
        <v>100</v>
      </c>
      <c r="S1736" s="2" t="s">
        <v>5755</v>
      </c>
      <c r="T1736" s="2" t="s">
        <v>1168</v>
      </c>
      <c r="U1736" s="2" t="s">
        <v>1610</v>
      </c>
      <c r="V1736" s="2" t="s">
        <v>1741</v>
      </c>
      <c r="W1736" s="2" t="s">
        <v>1742</v>
      </c>
      <c r="X1736" s="2" t="s">
        <v>104</v>
      </c>
      <c r="Y1736" s="2" t="s">
        <v>5759</v>
      </c>
      <c r="Z1736" s="4">
        <v>349</v>
      </c>
      <c r="AA1736" s="4">
        <f>=ROUNDDOWN(34.9,0)</f>
      </c>
      <c r="AB1736" s="5">
        <v>10</v>
      </c>
      <c r="AC1736" s="2" t="s">
        <v>100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24</v>
      </c>
      <c r="BK1736" s="8">
        <v>1489.89</v>
      </c>
      <c r="BL1736" s="2" t="s">
        <v>5760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1171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5761</v>
      </c>
      <c r="B1737" s="2" t="s">
        <v>87</v>
      </c>
      <c r="C1737" s="2" t="s">
        <v>5585</v>
      </c>
      <c r="D1737" s="2" t="s">
        <v>89</v>
      </c>
      <c r="E1737" s="2" t="s">
        <v>2098</v>
      </c>
      <c r="F1737" s="2" t="s">
        <v>5753</v>
      </c>
      <c r="G1737" s="2" t="s">
        <v>5753</v>
      </c>
      <c r="H1737" s="2" t="s">
        <v>5753</v>
      </c>
      <c r="I1737" s="2" t="s">
        <v>5754</v>
      </c>
      <c r="J1737" s="2" t="s">
        <v>850</v>
      </c>
      <c r="K1737" s="2" t="s">
        <v>310</v>
      </c>
      <c r="L1737" s="3">
        <v>68.57</v>
      </c>
      <c r="M1737" s="3">
        <v>72</v>
      </c>
      <c r="N1737" s="3">
        <v>149.99</v>
      </c>
      <c r="O1737" s="2" t="s">
        <v>97</v>
      </c>
      <c r="P1737" s="2" t="s">
        <v>1166</v>
      </c>
      <c r="Q1737" s="2" t="s">
        <v>99</v>
      </c>
      <c r="R1737" s="2" t="s">
        <v>100</v>
      </c>
      <c r="S1737" s="2" t="s">
        <v>5755</v>
      </c>
      <c r="T1737" s="2" t="s">
        <v>1168</v>
      </c>
      <c r="U1737" s="2" t="s">
        <v>1610</v>
      </c>
      <c r="V1737" s="2" t="s">
        <v>1741</v>
      </c>
      <c r="W1737" s="2" t="s">
        <v>1742</v>
      </c>
      <c r="X1737" s="2" t="s">
        <v>104</v>
      </c>
      <c r="Y1737" s="2" t="s">
        <v>5756</v>
      </c>
      <c r="Z1737" s="4">
        <v>225</v>
      </c>
      <c r="AA1737" s="4">
        <f>=ROUNDDOWN(28.125,0)</f>
      </c>
      <c r="AB1737" s="5">
        <v>8</v>
      </c>
      <c r="AC1737" s="2" t="s">
        <v>100</v>
      </c>
      <c r="AD1737" s="4"/>
      <c r="AE1737" s="4"/>
      <c r="AF1737" s="6">
        <v>65</v>
      </c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>
        <v>29</v>
      </c>
      <c r="BK1737" s="8">
        <v>2248.54</v>
      </c>
      <c r="BL1737" s="2" t="s">
        <v>5762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1171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5763</v>
      </c>
      <c r="B1738" s="2" t="s">
        <v>87</v>
      </c>
      <c r="C1738" s="2" t="s">
        <v>5585</v>
      </c>
      <c r="D1738" s="2" t="s">
        <v>3569</v>
      </c>
      <c r="E1738" s="2" t="s">
        <v>5169</v>
      </c>
      <c r="F1738" s="2" t="s">
        <v>5744</v>
      </c>
      <c r="G1738" s="2" t="s">
        <v>5744</v>
      </c>
      <c r="H1738" s="2" t="s">
        <v>5744</v>
      </c>
      <c r="I1738" s="2" t="s">
        <v>5764</v>
      </c>
      <c r="J1738" s="2" t="s">
        <v>5171</v>
      </c>
      <c r="K1738" s="2" t="s">
        <v>1767</v>
      </c>
      <c r="L1738" s="3">
        <v>16</v>
      </c>
      <c r="M1738" s="3">
        <v>16.8</v>
      </c>
      <c r="N1738" s="3">
        <v>39.99</v>
      </c>
      <c r="O1738" s="2" t="s">
        <v>97</v>
      </c>
      <c r="P1738" s="2" t="s">
        <v>182</v>
      </c>
      <c r="Q1738" s="2" t="s">
        <v>99</v>
      </c>
      <c r="R1738" s="2" t="s">
        <v>100</v>
      </c>
      <c r="S1738" s="2" t="s">
        <v>5746</v>
      </c>
      <c r="T1738" s="2" t="s">
        <v>100</v>
      </c>
      <c r="U1738" s="2" t="s">
        <v>100</v>
      </c>
      <c r="V1738" s="2" t="s">
        <v>637</v>
      </c>
      <c r="W1738" s="2" t="s">
        <v>312</v>
      </c>
      <c r="X1738" s="2" t="s">
        <v>759</v>
      </c>
      <c r="Y1738" s="2" t="s">
        <v>106</v>
      </c>
      <c r="Z1738" s="4">
        <v>142</v>
      </c>
      <c r="AA1738" s="4">
        <f>=ROUNDDOWN(17.75,0)</f>
      </c>
      <c r="AB1738" s="5">
        <v>8</v>
      </c>
      <c r="AC1738" s="2" t="s">
        <v>1193</v>
      </c>
      <c r="AD1738" s="4">
        <v>60</v>
      </c>
      <c r="AE1738" s="4">
        <v>380</v>
      </c>
      <c r="AF1738" s="6">
        <v>66</v>
      </c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/>
      <c r="BD1738" s="8"/>
      <c r="BE1738" s="4"/>
      <c r="BF1738" s="8"/>
      <c r="BG1738" s="7"/>
      <c r="BH1738" s="7"/>
      <c r="BI1738" s="7"/>
      <c r="BJ1738" s="4">
        <v>175</v>
      </c>
      <c r="BK1738" s="8">
        <v>2923.24</v>
      </c>
      <c r="BL1738" s="2" t="s">
        <v>5765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147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5766</v>
      </c>
      <c r="B1739" s="2" t="s">
        <v>87</v>
      </c>
      <c r="C1739" s="2" t="s">
        <v>5585</v>
      </c>
      <c r="D1739" s="2" t="s">
        <v>5203</v>
      </c>
      <c r="E1739" s="2" t="s">
        <v>5204</v>
      </c>
      <c r="F1739" s="2" t="s">
        <v>5767</v>
      </c>
      <c r="G1739" s="2" t="s">
        <v>5767</v>
      </c>
      <c r="H1739" s="2" t="s">
        <v>5767</v>
      </c>
      <c r="I1739" s="2" t="s">
        <v>5768</v>
      </c>
      <c r="J1739" s="2" t="s">
        <v>5217</v>
      </c>
      <c r="K1739" s="2" t="s">
        <v>666</v>
      </c>
      <c r="L1739" s="3">
        <v>11.25</v>
      </c>
      <c r="M1739" s="3">
        <v>11.81</v>
      </c>
      <c r="N1739" s="3">
        <v>24.99</v>
      </c>
      <c r="O1739" s="2" t="s">
        <v>97</v>
      </c>
      <c r="P1739" s="2" t="s">
        <v>182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5769</v>
      </c>
      <c r="W1739" s="2" t="s">
        <v>312</v>
      </c>
      <c r="X1739" s="2" t="s">
        <v>759</v>
      </c>
      <c r="Y1739" s="2" t="s">
        <v>5770</v>
      </c>
      <c r="Z1739" s="4">
        <v>314</v>
      </c>
      <c r="AA1739" s="4">
        <f>=ROUNDDOWN(17.4444444444444,0)</f>
      </c>
      <c r="AB1739" s="5">
        <v>18</v>
      </c>
      <c r="AC1739" s="2" t="s">
        <v>356</v>
      </c>
      <c r="AD1739" s="4">
        <v>180</v>
      </c>
      <c r="AE1739" s="4">
        <v>350</v>
      </c>
      <c r="AF1739" s="6">
        <v>66</v>
      </c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/>
      <c r="AW1739" s="8"/>
      <c r="AX1739" s="4"/>
      <c r="AY1739" s="8"/>
      <c r="AZ1739" s="7"/>
      <c r="BA1739" s="7"/>
      <c r="BB1739" s="7"/>
      <c r="BC1739" s="4"/>
      <c r="BD1739" s="8"/>
      <c r="BE1739" s="4"/>
      <c r="BF1739" s="8"/>
      <c r="BG1739" s="7"/>
      <c r="BH1739" s="7"/>
      <c r="BI1739" s="7"/>
      <c r="BJ1739" s="4">
        <v>482</v>
      </c>
      <c r="BK1739" s="8">
        <v>5632.74</v>
      </c>
      <c r="BL1739" s="2" t="s">
        <v>5771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147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5772</v>
      </c>
      <c r="B1740" s="2" t="s">
        <v>87</v>
      </c>
      <c r="C1740" s="2" t="s">
        <v>5585</v>
      </c>
      <c r="D1740" s="2" t="s">
        <v>5203</v>
      </c>
      <c r="E1740" s="2" t="s">
        <v>5204</v>
      </c>
      <c r="F1740" s="2" t="s">
        <v>5744</v>
      </c>
      <c r="G1740" s="2" t="s">
        <v>5744</v>
      </c>
      <c r="H1740" s="2" t="s">
        <v>5744</v>
      </c>
      <c r="I1740" s="2" t="s">
        <v>5773</v>
      </c>
      <c r="J1740" s="2" t="s">
        <v>5269</v>
      </c>
      <c r="K1740" s="2" t="s">
        <v>1767</v>
      </c>
      <c r="L1740" s="3">
        <v>22.5</v>
      </c>
      <c r="M1740" s="3">
        <v>23.62</v>
      </c>
      <c r="N1740" s="3">
        <v>44.99</v>
      </c>
      <c r="O1740" s="2" t="s">
        <v>97</v>
      </c>
      <c r="P1740" s="2" t="s">
        <v>182</v>
      </c>
      <c r="Q1740" s="2" t="s">
        <v>99</v>
      </c>
      <c r="R1740" s="2" t="s">
        <v>100</v>
      </c>
      <c r="S1740" s="2" t="s">
        <v>5746</v>
      </c>
      <c r="T1740" s="2" t="s">
        <v>100</v>
      </c>
      <c r="U1740" s="2" t="s">
        <v>100</v>
      </c>
      <c r="V1740" s="2" t="s">
        <v>103</v>
      </c>
      <c r="W1740" s="2" t="s">
        <v>312</v>
      </c>
      <c r="X1740" s="2" t="s">
        <v>759</v>
      </c>
      <c r="Y1740" s="2" t="s">
        <v>106</v>
      </c>
      <c r="Z1740" s="4">
        <v>159</v>
      </c>
      <c r="AA1740" s="4">
        <f>=ROUNDDOWN(26.5,0)</f>
      </c>
      <c r="AB1740" s="5">
        <v>6</v>
      </c>
      <c r="AC1740" s="2" t="s">
        <v>4093</v>
      </c>
      <c r="AD1740" s="4">
        <v>40</v>
      </c>
      <c r="AE1740" s="4">
        <v>150</v>
      </c>
      <c r="AF1740" s="6">
        <v>66</v>
      </c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/>
      <c r="AW1740" s="8"/>
      <c r="AX1740" s="4"/>
      <c r="AY1740" s="8"/>
      <c r="AZ1740" s="7"/>
      <c r="BA1740" s="7"/>
      <c r="BB1740" s="7"/>
      <c r="BC1740" s="4"/>
      <c r="BD1740" s="8"/>
      <c r="BE1740" s="4"/>
      <c r="BF1740" s="8"/>
      <c r="BG1740" s="7"/>
      <c r="BH1740" s="7"/>
      <c r="BI1740" s="7"/>
      <c r="BJ1740" s="4">
        <v>117</v>
      </c>
      <c r="BK1740" s="8">
        <v>2635.54</v>
      </c>
      <c r="BL1740" s="2" t="s">
        <v>5774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147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5775</v>
      </c>
      <c r="B1741" s="2" t="s">
        <v>87</v>
      </c>
      <c r="C1741" s="2" t="s">
        <v>5585</v>
      </c>
      <c r="D1741" s="2" t="s">
        <v>3527</v>
      </c>
      <c r="E1741" s="2" t="s">
        <v>3528</v>
      </c>
      <c r="F1741" s="2" t="s">
        <v>5605</v>
      </c>
      <c r="G1741" s="2" t="s">
        <v>5605</v>
      </c>
      <c r="H1741" s="2" t="s">
        <v>5605</v>
      </c>
      <c r="I1741" s="2" t="s">
        <v>5776</v>
      </c>
      <c r="J1741" s="2" t="s">
        <v>3555</v>
      </c>
      <c r="K1741" s="2" t="s">
        <v>96</v>
      </c>
      <c r="L1741" s="3">
        <v>22.05</v>
      </c>
      <c r="M1741" s="3">
        <v>23.15</v>
      </c>
      <c r="N1741" s="3">
        <v>44.99</v>
      </c>
      <c r="O1741" s="2" t="s">
        <v>97</v>
      </c>
      <c r="P1741" s="2" t="s">
        <v>182</v>
      </c>
      <c r="Q1741" s="2" t="s">
        <v>99</v>
      </c>
      <c r="R1741" s="2" t="s">
        <v>100</v>
      </c>
      <c r="S1741" s="2" t="s">
        <v>5607</v>
      </c>
      <c r="T1741" s="2" t="s">
        <v>100</v>
      </c>
      <c r="U1741" s="2" t="s">
        <v>100</v>
      </c>
      <c r="V1741" s="2" t="s">
        <v>1287</v>
      </c>
      <c r="W1741" s="2" t="s">
        <v>312</v>
      </c>
      <c r="X1741" s="2" t="s">
        <v>759</v>
      </c>
      <c r="Y1741" s="2" t="s">
        <v>106</v>
      </c>
      <c r="Z1741" s="4">
        <v>364</v>
      </c>
      <c r="AA1741" s="4">
        <f>=ROUNDDOWN(21.4117647058824,0)</f>
      </c>
      <c r="AB1741" s="5">
        <v>17</v>
      </c>
      <c r="AC1741" s="2" t="s">
        <v>145</v>
      </c>
      <c r="AD1741" s="4">
        <v>240</v>
      </c>
      <c r="AE1741" s="4">
        <v>1220</v>
      </c>
      <c r="AF1741" s="6">
        <v>69</v>
      </c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/>
      <c r="AW1741" s="8"/>
      <c r="AX1741" s="4"/>
      <c r="AY1741" s="8"/>
      <c r="AZ1741" s="7"/>
      <c r="BA1741" s="7"/>
      <c r="BB1741" s="7"/>
      <c r="BC1741" s="4"/>
      <c r="BD1741" s="8"/>
      <c r="BE1741" s="4"/>
      <c r="BF1741" s="8"/>
      <c r="BG1741" s="7"/>
      <c r="BH1741" s="7"/>
      <c r="BI1741" s="7"/>
      <c r="BJ1741" s="4">
        <v>326</v>
      </c>
      <c r="BK1741" s="8">
        <v>7641.12</v>
      </c>
      <c r="BL1741" s="2" t="s">
        <v>1414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147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5777</v>
      </c>
      <c r="B1742" s="2" t="s">
        <v>87</v>
      </c>
      <c r="C1742" s="2" t="s">
        <v>5585</v>
      </c>
      <c r="D1742" s="2" t="s">
        <v>3527</v>
      </c>
      <c r="E1742" s="2" t="s">
        <v>3528</v>
      </c>
      <c r="F1742" s="2" t="s">
        <v>5649</v>
      </c>
      <c r="G1742" s="2" t="s">
        <v>5649</v>
      </c>
      <c r="H1742" s="2" t="s">
        <v>5649</v>
      </c>
      <c r="I1742" s="2" t="s">
        <v>5776</v>
      </c>
      <c r="J1742" s="2" t="s">
        <v>3555</v>
      </c>
      <c r="K1742" s="2" t="s">
        <v>96</v>
      </c>
      <c r="L1742" s="3">
        <v>22.05</v>
      </c>
      <c r="M1742" s="3">
        <v>23.15</v>
      </c>
      <c r="N1742" s="3">
        <v>44.99</v>
      </c>
      <c r="O1742" s="2" t="s">
        <v>97</v>
      </c>
      <c r="P1742" s="2" t="s">
        <v>182</v>
      </c>
      <c r="Q1742" s="2" t="s">
        <v>99</v>
      </c>
      <c r="R1742" s="2" t="s">
        <v>100</v>
      </c>
      <c r="S1742" s="2" t="s">
        <v>5607</v>
      </c>
      <c r="T1742" s="2" t="s">
        <v>100</v>
      </c>
      <c r="U1742" s="2" t="s">
        <v>100</v>
      </c>
      <c r="V1742" s="2" t="s">
        <v>1287</v>
      </c>
      <c r="W1742" s="2" t="s">
        <v>312</v>
      </c>
      <c r="X1742" s="2" t="s">
        <v>185</v>
      </c>
      <c r="Y1742" s="2" t="s">
        <v>106</v>
      </c>
      <c r="Z1742" s="4">
        <v>953</v>
      </c>
      <c r="AA1742" s="4">
        <f>=ROUNDDOWN(28.0294117647059,0)</f>
      </c>
      <c r="AB1742" s="5">
        <v>34</v>
      </c>
      <c r="AC1742" s="2" t="s">
        <v>145</v>
      </c>
      <c r="AD1742" s="4">
        <v>50</v>
      </c>
      <c r="AE1742" s="4">
        <v>2270</v>
      </c>
      <c r="AF1742" s="6">
        <v>69</v>
      </c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/>
      <c r="AW1742" s="8"/>
      <c r="AX1742" s="4"/>
      <c r="AY1742" s="8"/>
      <c r="AZ1742" s="7"/>
      <c r="BA1742" s="7"/>
      <c r="BB1742" s="7"/>
      <c r="BC1742" s="4"/>
      <c r="BD1742" s="8"/>
      <c r="BE1742" s="4"/>
      <c r="BF1742" s="8"/>
      <c r="BG1742" s="7"/>
      <c r="BH1742" s="7"/>
      <c r="BI1742" s="7"/>
      <c r="BJ1742" s="4">
        <v>508</v>
      </c>
      <c r="BK1742" s="8">
        <v>11728.4</v>
      </c>
      <c r="BL1742" s="2" t="s">
        <v>5778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147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5779</v>
      </c>
      <c r="B1743" s="2" t="s">
        <v>87</v>
      </c>
      <c r="C1743" s="2" t="s">
        <v>5585</v>
      </c>
      <c r="D1743" s="2" t="s">
        <v>3527</v>
      </c>
      <c r="E1743" s="2" t="s">
        <v>3528</v>
      </c>
      <c r="F1743" s="2" t="s">
        <v>1954</v>
      </c>
      <c r="G1743" s="2" t="s">
        <v>1954</v>
      </c>
      <c r="H1743" s="2" t="s">
        <v>1954</v>
      </c>
      <c r="I1743" s="2" t="s">
        <v>5776</v>
      </c>
      <c r="J1743" s="2" t="s">
        <v>3555</v>
      </c>
      <c r="K1743" s="2" t="s">
        <v>96</v>
      </c>
      <c r="L1743" s="3">
        <v>22.05</v>
      </c>
      <c r="M1743" s="3">
        <v>23.15</v>
      </c>
      <c r="N1743" s="3">
        <v>44.99</v>
      </c>
      <c r="O1743" s="2" t="s">
        <v>97</v>
      </c>
      <c r="P1743" s="2" t="s">
        <v>182</v>
      </c>
      <c r="Q1743" s="2" t="s">
        <v>99</v>
      </c>
      <c r="R1743" s="2" t="s">
        <v>100</v>
      </c>
      <c r="S1743" s="2" t="s">
        <v>5607</v>
      </c>
      <c r="T1743" s="2" t="s">
        <v>100</v>
      </c>
      <c r="U1743" s="2" t="s">
        <v>100</v>
      </c>
      <c r="V1743" s="2" t="s">
        <v>1287</v>
      </c>
      <c r="W1743" s="2" t="s">
        <v>312</v>
      </c>
      <c r="X1743" s="2" t="s">
        <v>185</v>
      </c>
      <c r="Y1743" s="2" t="s">
        <v>106</v>
      </c>
      <c r="Z1743" s="4">
        <v>462</v>
      </c>
      <c r="AA1743" s="4">
        <f>=ROUNDDOWN(57.75,0)</f>
      </c>
      <c r="AB1743" s="5">
        <v>8</v>
      </c>
      <c r="AC1743" s="2" t="s">
        <v>533</v>
      </c>
      <c r="AD1743" s="4">
        <v>40</v>
      </c>
      <c r="AE1743" s="4">
        <v>40</v>
      </c>
      <c r="AF1743" s="6">
        <v>69</v>
      </c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/>
      <c r="AW1743" s="8"/>
      <c r="AX1743" s="4"/>
      <c r="AY1743" s="8"/>
      <c r="AZ1743" s="7"/>
      <c r="BA1743" s="7"/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>
        <v>111</v>
      </c>
      <c r="BK1743" s="8">
        <v>2509.8</v>
      </c>
      <c r="BL1743" s="2" t="s">
        <v>5780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147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5781</v>
      </c>
      <c r="B1744" s="2" t="s">
        <v>87</v>
      </c>
      <c r="C1744" s="2" t="s">
        <v>5585</v>
      </c>
      <c r="D1744" s="2" t="s">
        <v>3527</v>
      </c>
      <c r="E1744" s="2" t="s">
        <v>3528</v>
      </c>
      <c r="F1744" s="2" t="s">
        <v>1954</v>
      </c>
      <c r="G1744" s="2" t="s">
        <v>1954</v>
      </c>
      <c r="H1744" s="2" t="s">
        <v>1954</v>
      </c>
      <c r="I1744" s="2" t="s">
        <v>5776</v>
      </c>
      <c r="J1744" s="2" t="s">
        <v>3555</v>
      </c>
      <c r="K1744" s="2" t="s">
        <v>310</v>
      </c>
      <c r="L1744" s="3">
        <v>22.05</v>
      </c>
      <c r="M1744" s="3">
        <v>23.15</v>
      </c>
      <c r="N1744" s="3">
        <v>44.99</v>
      </c>
      <c r="O1744" s="2" t="s">
        <v>97</v>
      </c>
      <c r="P1744" s="2" t="s">
        <v>182</v>
      </c>
      <c r="Q1744" s="2" t="s">
        <v>99</v>
      </c>
      <c r="R1744" s="2" t="s">
        <v>100</v>
      </c>
      <c r="S1744" s="2" t="s">
        <v>5607</v>
      </c>
      <c r="T1744" s="2" t="s">
        <v>100</v>
      </c>
      <c r="U1744" s="2" t="s">
        <v>100</v>
      </c>
      <c r="V1744" s="2" t="s">
        <v>1287</v>
      </c>
      <c r="W1744" s="2" t="s">
        <v>312</v>
      </c>
      <c r="X1744" s="2" t="s">
        <v>185</v>
      </c>
      <c r="Y1744" s="2" t="s">
        <v>106</v>
      </c>
      <c r="Z1744" s="4">
        <v>409</v>
      </c>
      <c r="AA1744" s="4">
        <f>=ROUNDDOWN(19.4761904761905,0)</f>
      </c>
      <c r="AB1744" s="5">
        <v>21</v>
      </c>
      <c r="AC1744" s="2" t="s">
        <v>130</v>
      </c>
      <c r="AD1744" s="4">
        <v>260</v>
      </c>
      <c r="AE1744" s="4">
        <v>1280</v>
      </c>
      <c r="AF1744" s="6">
        <v>69</v>
      </c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/>
      <c r="AW1744" s="8"/>
      <c r="AX1744" s="4"/>
      <c r="AY1744" s="8"/>
      <c r="AZ1744" s="7"/>
      <c r="BA1744" s="7"/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>
        <v>525</v>
      </c>
      <c r="BK1744" s="8">
        <v>12270.09</v>
      </c>
      <c r="BL1744" s="2" t="s">
        <v>5782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147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5783</v>
      </c>
      <c r="B1745" s="2" t="s">
        <v>87</v>
      </c>
      <c r="C1745" s="2" t="s">
        <v>5585</v>
      </c>
      <c r="D1745" s="2" t="s">
        <v>3527</v>
      </c>
      <c r="E1745" s="2" t="s">
        <v>3528</v>
      </c>
      <c r="F1745" s="2" t="s">
        <v>5680</v>
      </c>
      <c r="G1745" s="2" t="s">
        <v>5680</v>
      </c>
      <c r="H1745" s="2" t="s">
        <v>5680</v>
      </c>
      <c r="I1745" s="2" t="s">
        <v>5776</v>
      </c>
      <c r="J1745" s="2" t="s">
        <v>3555</v>
      </c>
      <c r="K1745" s="2" t="s">
        <v>310</v>
      </c>
      <c r="L1745" s="3">
        <v>22.05</v>
      </c>
      <c r="M1745" s="3">
        <v>23.15</v>
      </c>
      <c r="N1745" s="3">
        <v>44.99</v>
      </c>
      <c r="O1745" s="2" t="s">
        <v>97</v>
      </c>
      <c r="P1745" s="2" t="s">
        <v>182</v>
      </c>
      <c r="Q1745" s="2" t="s">
        <v>99</v>
      </c>
      <c r="R1745" s="2" t="s">
        <v>100</v>
      </c>
      <c r="S1745" s="2" t="s">
        <v>5607</v>
      </c>
      <c r="T1745" s="2" t="s">
        <v>100</v>
      </c>
      <c r="U1745" s="2" t="s">
        <v>100</v>
      </c>
      <c r="V1745" s="2" t="s">
        <v>1287</v>
      </c>
      <c r="W1745" s="2" t="s">
        <v>312</v>
      </c>
      <c r="X1745" s="2" t="s">
        <v>185</v>
      </c>
      <c r="Y1745" s="2" t="s">
        <v>106</v>
      </c>
      <c r="Z1745" s="4">
        <v>718</v>
      </c>
      <c r="AA1745" s="4">
        <f>=ROUNDDOWN(31.2173913043478,0)</f>
      </c>
      <c r="AB1745" s="5">
        <v>23</v>
      </c>
      <c r="AC1745" s="2" t="s">
        <v>518</v>
      </c>
      <c r="AD1745" s="4">
        <v>50</v>
      </c>
      <c r="AE1745" s="4">
        <v>900</v>
      </c>
      <c r="AF1745" s="6">
        <v>69</v>
      </c>
      <c r="AG1745" s="6"/>
      <c r="AH1745" s="7">
        <v>0.6545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/>
      <c r="BD1745" s="8"/>
      <c r="BE1745" s="4"/>
      <c r="BF1745" s="8"/>
      <c r="BG1745" s="7"/>
      <c r="BH1745" s="7"/>
      <c r="BI1745" s="7"/>
      <c r="BJ1745" s="4">
        <v>182</v>
      </c>
      <c r="BK1745" s="8">
        <v>4245.1</v>
      </c>
      <c r="BL1745" s="2" t="s">
        <v>5784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147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5785</v>
      </c>
      <c r="B1746" s="2" t="s">
        <v>87</v>
      </c>
      <c r="C1746" s="2" t="s">
        <v>5585</v>
      </c>
      <c r="D1746" s="2" t="s">
        <v>3527</v>
      </c>
      <c r="E1746" s="2" t="s">
        <v>3528</v>
      </c>
      <c r="F1746" s="2" t="s">
        <v>5686</v>
      </c>
      <c r="G1746" s="2" t="s">
        <v>5686</v>
      </c>
      <c r="H1746" s="2" t="s">
        <v>5686</v>
      </c>
      <c r="I1746" s="2" t="s">
        <v>5776</v>
      </c>
      <c r="J1746" s="2" t="s">
        <v>3555</v>
      </c>
      <c r="K1746" s="2" t="s">
        <v>622</v>
      </c>
      <c r="L1746" s="3">
        <v>22.05</v>
      </c>
      <c r="M1746" s="3">
        <v>23.15</v>
      </c>
      <c r="N1746" s="3">
        <v>44.99</v>
      </c>
      <c r="O1746" s="2" t="s">
        <v>97</v>
      </c>
      <c r="P1746" s="2" t="s">
        <v>182</v>
      </c>
      <c r="Q1746" s="2" t="s">
        <v>99</v>
      </c>
      <c r="R1746" s="2" t="s">
        <v>100</v>
      </c>
      <c r="S1746" s="2" t="s">
        <v>5607</v>
      </c>
      <c r="T1746" s="2" t="s">
        <v>100</v>
      </c>
      <c r="U1746" s="2" t="s">
        <v>100</v>
      </c>
      <c r="V1746" s="2" t="s">
        <v>1287</v>
      </c>
      <c r="W1746" s="2" t="s">
        <v>312</v>
      </c>
      <c r="X1746" s="2" t="s">
        <v>185</v>
      </c>
      <c r="Y1746" s="2" t="s">
        <v>106</v>
      </c>
      <c r="Z1746" s="4">
        <v>216</v>
      </c>
      <c r="AA1746" s="4">
        <f>=ROUNDDOWN(9.81818181818182,0)</f>
      </c>
      <c r="AB1746" s="5">
        <v>22</v>
      </c>
      <c r="AC1746" s="2" t="s">
        <v>145</v>
      </c>
      <c r="AD1746" s="4">
        <v>370</v>
      </c>
      <c r="AE1746" s="4">
        <v>930</v>
      </c>
      <c r="AF1746" s="6">
        <v>69</v>
      </c>
      <c r="AG1746" s="6"/>
      <c r="AH1746" s="7">
        <v>0.8545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/>
      <c r="BD1746" s="8"/>
      <c r="BE1746" s="4"/>
      <c r="BF1746" s="8"/>
      <c r="BG1746" s="7"/>
      <c r="BH1746" s="7"/>
      <c r="BI1746" s="7"/>
      <c r="BJ1746" s="4">
        <v>374</v>
      </c>
      <c r="BK1746" s="8">
        <v>8682.52</v>
      </c>
      <c r="BL1746" s="2" t="s">
        <v>5786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147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5787</v>
      </c>
      <c r="B1747" s="2" t="s">
        <v>87</v>
      </c>
      <c r="C1747" s="2" t="s">
        <v>5585</v>
      </c>
      <c r="D1747" s="2" t="s">
        <v>3527</v>
      </c>
      <c r="E1747" s="2" t="s">
        <v>3528</v>
      </c>
      <c r="F1747" s="2" t="s">
        <v>5692</v>
      </c>
      <c r="G1747" s="2" t="s">
        <v>5692</v>
      </c>
      <c r="H1747" s="2" t="s">
        <v>5692</v>
      </c>
      <c r="I1747" s="2" t="s">
        <v>5776</v>
      </c>
      <c r="J1747" s="2" t="s">
        <v>3555</v>
      </c>
      <c r="K1747" s="2" t="s">
        <v>96</v>
      </c>
      <c r="L1747" s="3">
        <v>22.05</v>
      </c>
      <c r="M1747" s="3">
        <v>23.15</v>
      </c>
      <c r="N1747" s="3">
        <v>44.99</v>
      </c>
      <c r="O1747" s="2" t="s">
        <v>97</v>
      </c>
      <c r="P1747" s="2" t="s">
        <v>182</v>
      </c>
      <c r="Q1747" s="2" t="s">
        <v>99</v>
      </c>
      <c r="R1747" s="2" t="s">
        <v>100</v>
      </c>
      <c r="S1747" s="2" t="s">
        <v>5607</v>
      </c>
      <c r="T1747" s="2" t="s">
        <v>100</v>
      </c>
      <c r="U1747" s="2" t="s">
        <v>100</v>
      </c>
      <c r="V1747" s="2" t="s">
        <v>5693</v>
      </c>
      <c r="W1747" s="2" t="s">
        <v>312</v>
      </c>
      <c r="X1747" s="2" t="s">
        <v>185</v>
      </c>
      <c r="Y1747" s="2" t="s">
        <v>162</v>
      </c>
      <c r="Z1747" s="4">
        <v>786</v>
      </c>
      <c r="AA1747" s="4">
        <f>=ROUNDDOWN(87.3333333333333,0)</f>
      </c>
      <c r="AB1747" s="5">
        <v>9</v>
      </c>
      <c r="AC1747" s="2" t="s">
        <v>100</v>
      </c>
      <c r="AD1747" s="4"/>
      <c r="AE1747" s="4"/>
      <c r="AF1747" s="6">
        <v>65</v>
      </c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/>
      <c r="BD1747" s="8"/>
      <c r="BE1747" s="4"/>
      <c r="BF1747" s="8"/>
      <c r="BG1747" s="7"/>
      <c r="BH1747" s="7"/>
      <c r="BI1747" s="7"/>
      <c r="BJ1747" s="4">
        <v>113</v>
      </c>
      <c r="BK1747" s="8">
        <v>2627.68</v>
      </c>
      <c r="BL1747" s="2" t="s">
        <v>5788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147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5789</v>
      </c>
      <c r="B1748" s="2" t="s">
        <v>87</v>
      </c>
      <c r="C1748" s="2" t="s">
        <v>5790</v>
      </c>
      <c r="D1748" s="2" t="s">
        <v>2308</v>
      </c>
      <c r="E1748" s="2" t="s">
        <v>2641</v>
      </c>
      <c r="F1748" s="2" t="s">
        <v>5791</v>
      </c>
      <c r="G1748" s="2" t="s">
        <v>5792</v>
      </c>
      <c r="H1748" s="2" t="s">
        <v>5793</v>
      </c>
      <c r="I1748" s="2" t="s">
        <v>5794</v>
      </c>
      <c r="J1748" s="2" t="s">
        <v>844</v>
      </c>
      <c r="K1748" s="2" t="s">
        <v>158</v>
      </c>
      <c r="L1748" s="3">
        <v>54.99</v>
      </c>
      <c r="M1748" s="3">
        <v>57.74</v>
      </c>
      <c r="N1748" s="3">
        <v>109.99</v>
      </c>
      <c r="O1748" s="2" t="s">
        <v>97</v>
      </c>
      <c r="P1748" s="2" t="s">
        <v>182</v>
      </c>
      <c r="Q1748" s="2" t="s">
        <v>99</v>
      </c>
      <c r="R1748" s="2" t="s">
        <v>100</v>
      </c>
      <c r="S1748" s="2" t="s">
        <v>5795</v>
      </c>
      <c r="T1748" s="2" t="s">
        <v>100</v>
      </c>
      <c r="U1748" s="2" t="s">
        <v>1482</v>
      </c>
      <c r="V1748" s="2" t="s">
        <v>1364</v>
      </c>
      <c r="W1748" s="2" t="s">
        <v>104</v>
      </c>
      <c r="X1748" s="2" t="s">
        <v>4204</v>
      </c>
      <c r="Y1748" s="2" t="s">
        <v>106</v>
      </c>
      <c r="Z1748" s="4">
        <v>282</v>
      </c>
      <c r="AA1748" s="4">
        <f>=ROUNDDOWN(21.6923076923077,0)</f>
      </c>
      <c r="AB1748" s="5">
        <v>13</v>
      </c>
      <c r="AC1748" s="2" t="s">
        <v>2305</v>
      </c>
      <c r="AD1748" s="4">
        <v>110</v>
      </c>
      <c r="AE1748" s="4">
        <v>220</v>
      </c>
      <c r="AF1748" s="6">
        <v>65</v>
      </c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>
        <v>1</v>
      </c>
      <c r="AW1748" s="8">
        <v>63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>
        <v>1</v>
      </c>
      <c r="BD1748" s="8">
        <v>63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>
        <v>1</v>
      </c>
      <c r="BJ1748" s="4">
        <v>265</v>
      </c>
      <c r="BK1748" s="8">
        <v>14922.17</v>
      </c>
      <c r="BL1748" s="2" t="s">
        <v>5796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147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5797</v>
      </c>
      <c r="B1749" s="2" t="s">
        <v>87</v>
      </c>
      <c r="C1749" s="2" t="s">
        <v>5790</v>
      </c>
      <c r="D1749" s="2" t="s">
        <v>2308</v>
      </c>
      <c r="E1749" s="2" t="s">
        <v>2641</v>
      </c>
      <c r="F1749" s="2" t="s">
        <v>5791</v>
      </c>
      <c r="G1749" s="2" t="s">
        <v>5792</v>
      </c>
      <c r="H1749" s="2" t="s">
        <v>5793</v>
      </c>
      <c r="I1749" s="2" t="s">
        <v>5798</v>
      </c>
      <c r="J1749" s="2" t="s">
        <v>850</v>
      </c>
      <c r="K1749" s="2" t="s">
        <v>158</v>
      </c>
      <c r="L1749" s="3">
        <v>59.99</v>
      </c>
      <c r="M1749" s="3">
        <v>62.99</v>
      </c>
      <c r="N1749" s="3">
        <v>119.99</v>
      </c>
      <c r="O1749" s="2" t="s">
        <v>97</v>
      </c>
      <c r="P1749" s="2" t="s">
        <v>182</v>
      </c>
      <c r="Q1749" s="2" t="s">
        <v>99</v>
      </c>
      <c r="R1749" s="2" t="s">
        <v>100</v>
      </c>
      <c r="S1749" s="2" t="s">
        <v>5795</v>
      </c>
      <c r="T1749" s="2" t="s">
        <v>100</v>
      </c>
      <c r="U1749" s="2" t="s">
        <v>1482</v>
      </c>
      <c r="V1749" s="2" t="s">
        <v>1364</v>
      </c>
      <c r="W1749" s="2" t="s">
        <v>104</v>
      </c>
      <c r="X1749" s="2" t="s">
        <v>4204</v>
      </c>
      <c r="Y1749" s="2" t="s">
        <v>106</v>
      </c>
      <c r="Z1749" s="4">
        <v>510</v>
      </c>
      <c r="AA1749" s="4">
        <f>=ROUNDDOWN(22.1739130434783,0)</f>
      </c>
      <c r="AB1749" s="5">
        <v>23</v>
      </c>
      <c r="AC1749" s="2" t="s">
        <v>2305</v>
      </c>
      <c r="AD1749" s="4">
        <v>160</v>
      </c>
      <c r="AE1749" s="4">
        <v>360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>
        <v>0</v>
      </c>
      <c r="AP1749" s="4">
        <v>1</v>
      </c>
      <c r="AQ1749" s="8">
        <v>63</v>
      </c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>
        <v>1</v>
      </c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 t="s">
        <v>100</v>
      </c>
      <c r="BJ1749" s="4">
        <v>543</v>
      </c>
      <c r="BK1749" s="8">
        <v>33091.64</v>
      </c>
      <c r="BL1749" s="2" t="s">
        <v>3984</v>
      </c>
      <c r="BM1749" s="7">
        <v>0.0018</v>
      </c>
      <c r="BN1749" s="7">
        <v>0.0019</v>
      </c>
      <c r="BO1749" s="4">
        <v>1</v>
      </c>
      <c r="BP1749" s="8">
        <v>63</v>
      </c>
      <c r="BQ1749" s="4"/>
      <c r="BR1749" s="8"/>
      <c r="BS1749" s="7"/>
      <c r="BT1749" s="7"/>
      <c r="BU1749" s="2" t="s">
        <v>109</v>
      </c>
      <c r="BV1749" s="2" t="s">
        <v>97</v>
      </c>
      <c r="BW1749" s="2" t="s">
        <v>737</v>
      </c>
      <c r="BX1749" s="2" t="s">
        <v>4236</v>
      </c>
      <c r="BY1749" s="2" t="s">
        <v>112</v>
      </c>
      <c r="BZ1749" s="2" t="s">
        <v>100</v>
      </c>
    </row>
    <row r="1750">
      <c r="A1750" s="2" t="s">
        <v>5799</v>
      </c>
      <c r="B1750" s="2" t="s">
        <v>87</v>
      </c>
      <c r="C1750" s="2" t="s">
        <v>5790</v>
      </c>
      <c r="D1750" s="2" t="s">
        <v>2308</v>
      </c>
      <c r="E1750" s="2" t="s">
        <v>2641</v>
      </c>
      <c r="F1750" s="2" t="s">
        <v>5800</v>
      </c>
      <c r="G1750" s="2" t="s">
        <v>1108</v>
      </c>
      <c r="H1750" s="2" t="s">
        <v>5801</v>
      </c>
      <c r="I1750" s="2" t="s">
        <v>5802</v>
      </c>
      <c r="J1750" s="2" t="s">
        <v>844</v>
      </c>
      <c r="K1750" s="2" t="s">
        <v>267</v>
      </c>
      <c r="L1750" s="3">
        <v>50</v>
      </c>
      <c r="M1750" s="3">
        <v>52.49</v>
      </c>
      <c r="N1750" s="3">
        <v>99.99</v>
      </c>
      <c r="O1750" s="2" t="s">
        <v>229</v>
      </c>
      <c r="P1750" s="2" t="s">
        <v>198</v>
      </c>
      <c r="Q1750" s="2" t="s">
        <v>99</v>
      </c>
      <c r="R1750" s="2" t="s">
        <v>100</v>
      </c>
      <c r="S1750" s="2" t="s">
        <v>5803</v>
      </c>
      <c r="T1750" s="2" t="s">
        <v>100</v>
      </c>
      <c r="U1750" s="2" t="s">
        <v>1482</v>
      </c>
      <c r="V1750" s="2" t="s">
        <v>991</v>
      </c>
      <c r="W1750" s="2" t="s">
        <v>759</v>
      </c>
      <c r="X1750" s="2" t="s">
        <v>3303</v>
      </c>
      <c r="Y1750" s="2" t="s">
        <v>106</v>
      </c>
      <c r="Z1750" s="4"/>
      <c r="AA1750" s="4">
        <f>=ROUNDDOWN({0},0)</f>
      </c>
      <c r="AB1750" s="5"/>
      <c r="AC1750" s="2" t="s">
        <v>100</v>
      </c>
      <c r="AD1750" s="4"/>
      <c r="AE1750" s="4"/>
      <c r="AF1750" s="6"/>
      <c r="AG1750" s="6"/>
      <c r="AH1750" s="7">
        <v>0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/>
      <c r="BK1750" s="8"/>
      <c r="BL1750" s="2" t="s">
        <v>100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147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5804</v>
      </c>
      <c r="B1751" s="2" t="s">
        <v>87</v>
      </c>
      <c r="C1751" s="2" t="s">
        <v>5790</v>
      </c>
      <c r="D1751" s="2" t="s">
        <v>2308</v>
      </c>
      <c r="E1751" s="2" t="s">
        <v>2641</v>
      </c>
      <c r="F1751" s="2" t="s">
        <v>5800</v>
      </c>
      <c r="G1751" s="2" t="s">
        <v>5805</v>
      </c>
      <c r="H1751" s="2" t="s">
        <v>5806</v>
      </c>
      <c r="I1751" s="2" t="s">
        <v>5802</v>
      </c>
      <c r="J1751" s="2" t="s">
        <v>850</v>
      </c>
      <c r="K1751" s="2" t="s">
        <v>333</v>
      </c>
      <c r="L1751" s="3">
        <v>55</v>
      </c>
      <c r="M1751" s="3">
        <v>57.74</v>
      </c>
      <c r="N1751" s="3">
        <v>109.99</v>
      </c>
      <c r="O1751" s="2" t="s">
        <v>550</v>
      </c>
      <c r="P1751" s="2" t="s">
        <v>198</v>
      </c>
      <c r="Q1751" s="2" t="s">
        <v>99</v>
      </c>
      <c r="R1751" s="2" t="s">
        <v>100</v>
      </c>
      <c r="S1751" s="2" t="s">
        <v>5807</v>
      </c>
      <c r="T1751" s="2" t="s">
        <v>100</v>
      </c>
      <c r="U1751" s="2" t="s">
        <v>1482</v>
      </c>
      <c r="V1751" s="2" t="s">
        <v>991</v>
      </c>
      <c r="W1751" s="2" t="s">
        <v>759</v>
      </c>
      <c r="X1751" s="2" t="s">
        <v>3303</v>
      </c>
      <c r="Y1751" s="2" t="s">
        <v>106</v>
      </c>
      <c r="Z1751" s="4"/>
      <c r="AA1751" s="4">
        <f>=ROUNDDOWN({0},0)</f>
      </c>
      <c r="AB1751" s="5"/>
      <c r="AC1751" s="2" t="s">
        <v>100</v>
      </c>
      <c r="AD1751" s="4"/>
      <c r="AE1751" s="4"/>
      <c r="AF1751" s="6"/>
      <c r="AG1751" s="6"/>
      <c r="AH1751" s="7">
        <v>0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147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5808</v>
      </c>
      <c r="B1752" s="2" t="s">
        <v>87</v>
      </c>
      <c r="C1752" s="2" t="s">
        <v>5790</v>
      </c>
      <c r="D1752" s="2" t="s">
        <v>89</v>
      </c>
      <c r="E1752" s="2" t="s">
        <v>90</v>
      </c>
      <c r="F1752" s="2" t="s">
        <v>5791</v>
      </c>
      <c r="G1752" s="2" t="s">
        <v>5792</v>
      </c>
      <c r="H1752" s="2" t="s">
        <v>5793</v>
      </c>
      <c r="I1752" s="2" t="s">
        <v>5397</v>
      </c>
      <c r="J1752" s="2" t="s">
        <v>844</v>
      </c>
      <c r="K1752" s="2" t="s">
        <v>158</v>
      </c>
      <c r="L1752" s="3">
        <v>54.99</v>
      </c>
      <c r="M1752" s="3">
        <v>57.74</v>
      </c>
      <c r="N1752" s="3">
        <v>109.99</v>
      </c>
      <c r="O1752" s="2" t="s">
        <v>97</v>
      </c>
      <c r="P1752" s="2" t="s">
        <v>182</v>
      </c>
      <c r="Q1752" s="2" t="s">
        <v>99</v>
      </c>
      <c r="R1752" s="2" t="s">
        <v>100</v>
      </c>
      <c r="S1752" s="2" t="s">
        <v>5795</v>
      </c>
      <c r="T1752" s="2" t="s">
        <v>100</v>
      </c>
      <c r="U1752" s="2" t="s">
        <v>790</v>
      </c>
      <c r="V1752" s="2" t="s">
        <v>1364</v>
      </c>
      <c r="W1752" s="2" t="s">
        <v>104</v>
      </c>
      <c r="X1752" s="2" t="s">
        <v>4204</v>
      </c>
      <c r="Y1752" s="2" t="s">
        <v>106</v>
      </c>
      <c r="Z1752" s="4">
        <v>131</v>
      </c>
      <c r="AA1752" s="4">
        <f>=ROUNDDOWN(21.8333333333333,0)</f>
      </c>
      <c r="AB1752" s="5">
        <v>6</v>
      </c>
      <c r="AC1752" s="2" t="s">
        <v>2305</v>
      </c>
      <c r="AD1752" s="4">
        <v>40</v>
      </c>
      <c r="AE1752" s="4">
        <v>100</v>
      </c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112</v>
      </c>
      <c r="BK1752" s="8">
        <v>6335.6</v>
      </c>
      <c r="BL1752" s="2" t="s">
        <v>272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147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5809</v>
      </c>
      <c r="B1753" s="2" t="s">
        <v>87</v>
      </c>
      <c r="C1753" s="2" t="s">
        <v>5810</v>
      </c>
      <c r="D1753" s="2" t="s">
        <v>89</v>
      </c>
      <c r="E1753" s="2" t="s">
        <v>2098</v>
      </c>
      <c r="F1753" s="2" t="s">
        <v>5811</v>
      </c>
      <c r="G1753" s="2" t="s">
        <v>5811</v>
      </c>
      <c r="H1753" s="2" t="s">
        <v>5811</v>
      </c>
      <c r="I1753" s="2" t="s">
        <v>5812</v>
      </c>
      <c r="J1753" s="2" t="s">
        <v>844</v>
      </c>
      <c r="K1753" s="2" t="s">
        <v>1204</v>
      </c>
      <c r="L1753" s="3">
        <v>45.71</v>
      </c>
      <c r="M1753" s="3">
        <v>48</v>
      </c>
      <c r="N1753" s="3">
        <v>99.99</v>
      </c>
      <c r="O1753" s="2" t="s">
        <v>97</v>
      </c>
      <c r="P1753" s="2" t="s">
        <v>198</v>
      </c>
      <c r="Q1753" s="2" t="s">
        <v>99</v>
      </c>
      <c r="R1753" s="2" t="s">
        <v>100</v>
      </c>
      <c r="S1753" s="2" t="s">
        <v>5813</v>
      </c>
      <c r="T1753" s="2" t="s">
        <v>100</v>
      </c>
      <c r="U1753" s="2" t="s">
        <v>1610</v>
      </c>
      <c r="V1753" s="2" t="s">
        <v>561</v>
      </c>
      <c r="W1753" s="2" t="s">
        <v>759</v>
      </c>
      <c r="X1753" s="2" t="s">
        <v>100</v>
      </c>
      <c r="Y1753" s="2" t="s">
        <v>1180</v>
      </c>
      <c r="Z1753" s="4">
        <v>125</v>
      </c>
      <c r="AA1753" s="4">
        <f>=ROUNDDOWN(25,0)</f>
      </c>
      <c r="AB1753" s="5">
        <v>5</v>
      </c>
      <c r="AC1753" s="2" t="s">
        <v>100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>
        <v>211</v>
      </c>
      <c r="BK1753" s="8">
        <v>8012</v>
      </c>
      <c r="BL1753" s="2" t="s">
        <v>5814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147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5815</v>
      </c>
      <c r="B1754" s="2" t="s">
        <v>87</v>
      </c>
      <c r="C1754" s="2" t="s">
        <v>5810</v>
      </c>
      <c r="D1754" s="2" t="s">
        <v>89</v>
      </c>
      <c r="E1754" s="2" t="s">
        <v>2098</v>
      </c>
      <c r="F1754" s="2" t="s">
        <v>5811</v>
      </c>
      <c r="G1754" s="2" t="s">
        <v>5811</v>
      </c>
      <c r="H1754" s="2" t="s">
        <v>5811</v>
      </c>
      <c r="I1754" s="2" t="s">
        <v>5812</v>
      </c>
      <c r="J1754" s="2" t="s">
        <v>844</v>
      </c>
      <c r="K1754" s="2" t="s">
        <v>635</v>
      </c>
      <c r="L1754" s="3">
        <v>45.71</v>
      </c>
      <c r="M1754" s="3">
        <v>48</v>
      </c>
      <c r="N1754" s="3">
        <v>99.99</v>
      </c>
      <c r="O1754" s="2" t="s">
        <v>97</v>
      </c>
      <c r="P1754" s="2" t="s">
        <v>198</v>
      </c>
      <c r="Q1754" s="2" t="s">
        <v>99</v>
      </c>
      <c r="R1754" s="2" t="s">
        <v>100</v>
      </c>
      <c r="S1754" s="2" t="s">
        <v>5816</v>
      </c>
      <c r="T1754" s="2" t="s">
        <v>100</v>
      </c>
      <c r="U1754" s="2" t="s">
        <v>1610</v>
      </c>
      <c r="V1754" s="2" t="s">
        <v>561</v>
      </c>
      <c r="W1754" s="2" t="s">
        <v>759</v>
      </c>
      <c r="X1754" s="2" t="s">
        <v>100</v>
      </c>
      <c r="Y1754" s="2" t="s">
        <v>1180</v>
      </c>
      <c r="Z1754" s="4">
        <v>299</v>
      </c>
      <c r="AA1754" s="4">
        <f>=ROUNDDOWN(27.1818181818182,0)</f>
      </c>
      <c r="AB1754" s="5">
        <v>11</v>
      </c>
      <c r="AC1754" s="2" t="s">
        <v>145</v>
      </c>
      <c r="AD1754" s="4">
        <v>180</v>
      </c>
      <c r="AE1754" s="4">
        <v>180</v>
      </c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>
        <v>246</v>
      </c>
      <c r="BK1754" s="8">
        <v>10555.76</v>
      </c>
      <c r="BL1754" s="2" t="s">
        <v>5817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147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5818</v>
      </c>
      <c r="B1755" s="2" t="s">
        <v>87</v>
      </c>
      <c r="C1755" s="2" t="s">
        <v>5810</v>
      </c>
      <c r="D1755" s="2" t="s">
        <v>89</v>
      </c>
      <c r="E1755" s="2" t="s">
        <v>2098</v>
      </c>
      <c r="F1755" s="2" t="s">
        <v>5811</v>
      </c>
      <c r="G1755" s="2" t="s">
        <v>5811</v>
      </c>
      <c r="H1755" s="2" t="s">
        <v>5811</v>
      </c>
      <c r="I1755" s="2" t="s">
        <v>5812</v>
      </c>
      <c r="J1755" s="2" t="s">
        <v>850</v>
      </c>
      <c r="K1755" s="2" t="s">
        <v>635</v>
      </c>
      <c r="L1755" s="3">
        <v>50.28</v>
      </c>
      <c r="M1755" s="3">
        <v>52.79</v>
      </c>
      <c r="N1755" s="3">
        <v>109.99</v>
      </c>
      <c r="O1755" s="2" t="s">
        <v>97</v>
      </c>
      <c r="P1755" s="2" t="s">
        <v>198</v>
      </c>
      <c r="Q1755" s="2" t="s">
        <v>99</v>
      </c>
      <c r="R1755" s="2" t="s">
        <v>100</v>
      </c>
      <c r="S1755" s="2" t="s">
        <v>5816</v>
      </c>
      <c r="T1755" s="2" t="s">
        <v>100</v>
      </c>
      <c r="U1755" s="2" t="s">
        <v>1610</v>
      </c>
      <c r="V1755" s="2" t="s">
        <v>561</v>
      </c>
      <c r="W1755" s="2" t="s">
        <v>759</v>
      </c>
      <c r="X1755" s="2" t="s">
        <v>100</v>
      </c>
      <c r="Y1755" s="2" t="s">
        <v>1180</v>
      </c>
      <c r="Z1755" s="4">
        <v>147</v>
      </c>
      <c r="AA1755" s="4">
        <f>=ROUNDDOWN(14.7,0)</f>
      </c>
      <c r="AB1755" s="5">
        <v>10</v>
      </c>
      <c r="AC1755" s="2" t="s">
        <v>145</v>
      </c>
      <c r="AD1755" s="4">
        <v>150</v>
      </c>
      <c r="AE1755" s="4">
        <v>150</v>
      </c>
      <c r="AF1755" s="6">
        <v>65</v>
      </c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>
        <v>314</v>
      </c>
      <c r="BK1755" s="8">
        <v>14382.43</v>
      </c>
      <c r="BL1755" s="2" t="s">
        <v>5819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147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5820</v>
      </c>
      <c r="B1756" s="2" t="s">
        <v>87</v>
      </c>
      <c r="C1756" s="2" t="s">
        <v>5810</v>
      </c>
      <c r="D1756" s="2" t="s">
        <v>89</v>
      </c>
      <c r="E1756" s="2" t="s">
        <v>2098</v>
      </c>
      <c r="F1756" s="2" t="s">
        <v>5821</v>
      </c>
      <c r="G1756" s="2" t="s">
        <v>5821</v>
      </c>
      <c r="H1756" s="2" t="s">
        <v>5821</v>
      </c>
      <c r="I1756" s="2" t="s">
        <v>5822</v>
      </c>
      <c r="J1756" s="2" t="s">
        <v>844</v>
      </c>
      <c r="K1756" s="2" t="s">
        <v>158</v>
      </c>
      <c r="L1756" s="3">
        <v>45.71</v>
      </c>
      <c r="M1756" s="3">
        <v>48</v>
      </c>
      <c r="N1756" s="3">
        <v>99.99</v>
      </c>
      <c r="O1756" s="2" t="s">
        <v>229</v>
      </c>
      <c r="P1756" s="2" t="s">
        <v>198</v>
      </c>
      <c r="Q1756" s="2" t="s">
        <v>99</v>
      </c>
      <c r="R1756" s="2" t="s">
        <v>100</v>
      </c>
      <c r="S1756" s="2" t="s">
        <v>5823</v>
      </c>
      <c r="T1756" s="2" t="s">
        <v>100</v>
      </c>
      <c r="U1756" s="2" t="s">
        <v>1610</v>
      </c>
      <c r="V1756" s="2" t="s">
        <v>561</v>
      </c>
      <c r="W1756" s="2" t="s">
        <v>759</v>
      </c>
      <c r="X1756" s="2" t="s">
        <v>100</v>
      </c>
      <c r="Y1756" s="2" t="s">
        <v>1180</v>
      </c>
      <c r="Z1756" s="4"/>
      <c r="AA1756" s="4">
        <f>=ROUNDDOWN({0},0)</f>
      </c>
      <c r="AB1756" s="5">
        <v>3</v>
      </c>
      <c r="AC1756" s="2" t="s">
        <v>100</v>
      </c>
      <c r="AD1756" s="4"/>
      <c r="AE1756" s="4"/>
      <c r="AF1756" s="6">
        <v>65</v>
      </c>
      <c r="AG1756" s="6"/>
      <c r="AH1756" s="7">
        <v>0.9576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>
        <v>79</v>
      </c>
      <c r="BK1756" s="8">
        <v>3507.32</v>
      </c>
      <c r="BL1756" s="2" t="s">
        <v>5824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147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5825</v>
      </c>
      <c r="B1757" s="2" t="s">
        <v>87</v>
      </c>
      <c r="C1757" s="2" t="s">
        <v>5810</v>
      </c>
      <c r="D1757" s="2" t="s">
        <v>89</v>
      </c>
      <c r="E1757" s="2" t="s">
        <v>2098</v>
      </c>
      <c r="F1757" s="2" t="s">
        <v>5821</v>
      </c>
      <c r="G1757" s="2" t="s">
        <v>5821</v>
      </c>
      <c r="H1757" s="2" t="s">
        <v>5821</v>
      </c>
      <c r="I1757" s="2" t="s">
        <v>5822</v>
      </c>
      <c r="J1757" s="2" t="s">
        <v>844</v>
      </c>
      <c r="K1757" s="2" t="s">
        <v>622</v>
      </c>
      <c r="L1757" s="3">
        <v>45.71</v>
      </c>
      <c r="M1757" s="3">
        <v>48</v>
      </c>
      <c r="N1757" s="3">
        <v>99.99</v>
      </c>
      <c r="O1757" s="2" t="s">
        <v>229</v>
      </c>
      <c r="P1757" s="2" t="s">
        <v>198</v>
      </c>
      <c r="Q1757" s="2" t="s">
        <v>99</v>
      </c>
      <c r="R1757" s="2" t="s">
        <v>100</v>
      </c>
      <c r="S1757" s="2" t="s">
        <v>5826</v>
      </c>
      <c r="T1757" s="2" t="s">
        <v>100</v>
      </c>
      <c r="U1757" s="2" t="s">
        <v>1610</v>
      </c>
      <c r="V1757" s="2" t="s">
        <v>561</v>
      </c>
      <c r="W1757" s="2" t="s">
        <v>759</v>
      </c>
      <c r="X1757" s="2" t="s">
        <v>100</v>
      </c>
      <c r="Y1757" s="2" t="s">
        <v>1180</v>
      </c>
      <c r="Z1757" s="4">
        <v>47</v>
      </c>
      <c r="AA1757" s="4">
        <f>=ROUNDDOWN(39.1666666666667,0)</f>
      </c>
      <c r="AB1757" s="5">
        <v>1.2</v>
      </c>
      <c r="AC1757" s="2" t="s">
        <v>100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/>
      <c r="AW1757" s="8"/>
      <c r="AX1757" s="4"/>
      <c r="AY1757" s="8"/>
      <c r="AZ1757" s="7"/>
      <c r="BA1757" s="7"/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>
        <v>57</v>
      </c>
      <c r="BK1757" s="8">
        <v>2722.59</v>
      </c>
      <c r="BL1757" s="2" t="s">
        <v>5827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147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5828</v>
      </c>
      <c r="B1758" s="2" t="s">
        <v>87</v>
      </c>
      <c r="C1758" s="2" t="s">
        <v>5810</v>
      </c>
      <c r="D1758" s="2" t="s">
        <v>89</v>
      </c>
      <c r="E1758" s="2" t="s">
        <v>2098</v>
      </c>
      <c r="F1758" s="2" t="s">
        <v>1560</v>
      </c>
      <c r="G1758" s="2" t="s">
        <v>1560</v>
      </c>
      <c r="H1758" s="2" t="s">
        <v>1560</v>
      </c>
      <c r="I1758" s="2" t="s">
        <v>5829</v>
      </c>
      <c r="J1758" s="2" t="s">
        <v>844</v>
      </c>
      <c r="K1758" s="2" t="s">
        <v>158</v>
      </c>
      <c r="L1758" s="3">
        <v>45.71</v>
      </c>
      <c r="M1758" s="3">
        <v>48</v>
      </c>
      <c r="N1758" s="3">
        <v>99.99</v>
      </c>
      <c r="O1758" s="2" t="s">
        <v>97</v>
      </c>
      <c r="P1758" s="2" t="s">
        <v>198</v>
      </c>
      <c r="Q1758" s="2" t="s">
        <v>99</v>
      </c>
      <c r="R1758" s="2" t="s">
        <v>100</v>
      </c>
      <c r="S1758" s="2" t="s">
        <v>5830</v>
      </c>
      <c r="T1758" s="2" t="s">
        <v>100</v>
      </c>
      <c r="U1758" s="2" t="s">
        <v>1610</v>
      </c>
      <c r="V1758" s="2" t="s">
        <v>601</v>
      </c>
      <c r="W1758" s="2" t="s">
        <v>759</v>
      </c>
      <c r="X1758" s="2" t="s">
        <v>100</v>
      </c>
      <c r="Y1758" s="2" t="s">
        <v>1180</v>
      </c>
      <c r="Z1758" s="4">
        <v>278</v>
      </c>
      <c r="AA1758" s="4">
        <f>=ROUNDDOWN(46.3333333333333,0)</f>
      </c>
      <c r="AB1758" s="5">
        <v>6</v>
      </c>
      <c r="AC1758" s="2" t="s">
        <v>100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>
        <v>91</v>
      </c>
      <c r="BK1758" s="8">
        <v>3377.33</v>
      </c>
      <c r="BL1758" s="2" t="s">
        <v>5831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147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5832</v>
      </c>
      <c r="B1759" s="2" t="s">
        <v>87</v>
      </c>
      <c r="C1759" s="2" t="s">
        <v>5810</v>
      </c>
      <c r="D1759" s="2" t="s">
        <v>89</v>
      </c>
      <c r="E1759" s="2" t="s">
        <v>2098</v>
      </c>
      <c r="F1759" s="2" t="s">
        <v>1560</v>
      </c>
      <c r="G1759" s="2" t="s">
        <v>1560</v>
      </c>
      <c r="H1759" s="2" t="s">
        <v>1560</v>
      </c>
      <c r="I1759" s="2" t="s">
        <v>5829</v>
      </c>
      <c r="J1759" s="2" t="s">
        <v>850</v>
      </c>
      <c r="K1759" s="2" t="s">
        <v>158</v>
      </c>
      <c r="L1759" s="3">
        <v>50.28</v>
      </c>
      <c r="M1759" s="3">
        <v>52.79</v>
      </c>
      <c r="N1759" s="3">
        <v>109.99</v>
      </c>
      <c r="O1759" s="2" t="s">
        <v>97</v>
      </c>
      <c r="P1759" s="2" t="s">
        <v>198</v>
      </c>
      <c r="Q1759" s="2" t="s">
        <v>99</v>
      </c>
      <c r="R1759" s="2" t="s">
        <v>100</v>
      </c>
      <c r="S1759" s="2" t="s">
        <v>5830</v>
      </c>
      <c r="T1759" s="2" t="s">
        <v>100</v>
      </c>
      <c r="U1759" s="2" t="s">
        <v>1610</v>
      </c>
      <c r="V1759" s="2" t="s">
        <v>601</v>
      </c>
      <c r="W1759" s="2" t="s">
        <v>759</v>
      </c>
      <c r="X1759" s="2" t="s">
        <v>100</v>
      </c>
      <c r="Y1759" s="2" t="s">
        <v>1180</v>
      </c>
      <c r="Z1759" s="4">
        <v>181</v>
      </c>
      <c r="AA1759" s="4">
        <f>=ROUNDDOWN(30.1666666666667,0)</f>
      </c>
      <c r="AB1759" s="5">
        <v>6</v>
      </c>
      <c r="AC1759" s="2" t="s">
        <v>100</v>
      </c>
      <c r="AD1759" s="4"/>
      <c r="AE1759" s="4"/>
      <c r="AF1759" s="6">
        <v>65</v>
      </c>
      <c r="AG1759" s="6"/>
      <c r="AH1759" s="7">
        <v>0.7212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>
        <v>87</v>
      </c>
      <c r="BK1759" s="8">
        <v>4105.41</v>
      </c>
      <c r="BL1759" s="2" t="s">
        <v>5833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147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5834</v>
      </c>
      <c r="B1760" s="2" t="s">
        <v>87</v>
      </c>
      <c r="C1760" s="2" t="s">
        <v>5810</v>
      </c>
      <c r="D1760" s="2" t="s">
        <v>89</v>
      </c>
      <c r="E1760" s="2" t="s">
        <v>2098</v>
      </c>
      <c r="F1760" s="2" t="s">
        <v>1560</v>
      </c>
      <c r="G1760" s="2" t="s">
        <v>1560</v>
      </c>
      <c r="H1760" s="2" t="s">
        <v>1560</v>
      </c>
      <c r="I1760" s="2" t="s">
        <v>5835</v>
      </c>
      <c r="J1760" s="2" t="s">
        <v>844</v>
      </c>
      <c r="K1760" s="2" t="s">
        <v>123</v>
      </c>
      <c r="L1760" s="3">
        <v>45.71</v>
      </c>
      <c r="M1760" s="3">
        <v>48</v>
      </c>
      <c r="N1760" s="3">
        <v>99.99</v>
      </c>
      <c r="O1760" s="2" t="s">
        <v>97</v>
      </c>
      <c r="P1760" s="2" t="s">
        <v>198</v>
      </c>
      <c r="Q1760" s="2" t="s">
        <v>99</v>
      </c>
      <c r="R1760" s="2" t="s">
        <v>100</v>
      </c>
      <c r="S1760" s="2" t="s">
        <v>5836</v>
      </c>
      <c r="T1760" s="2" t="s">
        <v>100</v>
      </c>
      <c r="U1760" s="2" t="s">
        <v>1610</v>
      </c>
      <c r="V1760" s="2" t="s">
        <v>601</v>
      </c>
      <c r="W1760" s="2" t="s">
        <v>759</v>
      </c>
      <c r="X1760" s="2" t="s">
        <v>100</v>
      </c>
      <c r="Y1760" s="2" t="s">
        <v>1180</v>
      </c>
      <c r="Z1760" s="4">
        <v>289</v>
      </c>
      <c r="AA1760" s="4">
        <f>=ROUNDDOWN(36.125,0)</f>
      </c>
      <c r="AB1760" s="5">
        <v>8</v>
      </c>
      <c r="AC1760" s="2" t="s">
        <v>100</v>
      </c>
      <c r="AD1760" s="4"/>
      <c r="AE1760" s="4"/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>
        <v>112</v>
      </c>
      <c r="BK1760" s="8">
        <v>4274.88</v>
      </c>
      <c r="BL1760" s="2" t="s">
        <v>5837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147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5838</v>
      </c>
      <c r="B1761" s="2" t="s">
        <v>87</v>
      </c>
      <c r="C1761" s="2" t="s">
        <v>5810</v>
      </c>
      <c r="D1761" s="2" t="s">
        <v>89</v>
      </c>
      <c r="E1761" s="2" t="s">
        <v>2098</v>
      </c>
      <c r="F1761" s="2" t="s">
        <v>1560</v>
      </c>
      <c r="G1761" s="2" t="s">
        <v>1560</v>
      </c>
      <c r="H1761" s="2" t="s">
        <v>1560</v>
      </c>
      <c r="I1761" s="2" t="s">
        <v>5835</v>
      </c>
      <c r="J1761" s="2" t="s">
        <v>850</v>
      </c>
      <c r="K1761" s="2" t="s">
        <v>123</v>
      </c>
      <c r="L1761" s="3">
        <v>50.28</v>
      </c>
      <c r="M1761" s="3">
        <v>52.79</v>
      </c>
      <c r="N1761" s="3">
        <v>109.99</v>
      </c>
      <c r="O1761" s="2" t="s">
        <v>97</v>
      </c>
      <c r="P1761" s="2" t="s">
        <v>198</v>
      </c>
      <c r="Q1761" s="2" t="s">
        <v>99</v>
      </c>
      <c r="R1761" s="2" t="s">
        <v>100</v>
      </c>
      <c r="S1761" s="2" t="s">
        <v>5836</v>
      </c>
      <c r="T1761" s="2" t="s">
        <v>100</v>
      </c>
      <c r="U1761" s="2" t="s">
        <v>1610</v>
      </c>
      <c r="V1761" s="2" t="s">
        <v>601</v>
      </c>
      <c r="W1761" s="2" t="s">
        <v>759</v>
      </c>
      <c r="X1761" s="2" t="s">
        <v>100</v>
      </c>
      <c r="Y1761" s="2" t="s">
        <v>1180</v>
      </c>
      <c r="Z1761" s="4">
        <v>83</v>
      </c>
      <c r="AA1761" s="4">
        <f>=ROUNDDOWN(4.63687150837989,0)</f>
      </c>
      <c r="AB1761" s="5">
        <v>17.9</v>
      </c>
      <c r="AC1761" s="2" t="s">
        <v>100</v>
      </c>
      <c r="AD1761" s="4"/>
      <c r="AE1761" s="4"/>
      <c r="AF1761" s="6">
        <v>65</v>
      </c>
      <c r="AG1761" s="6"/>
      <c r="AH1761" s="7">
        <v>0.8061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>
        <v>223</v>
      </c>
      <c r="BK1761" s="8">
        <v>9389.56</v>
      </c>
      <c r="BL1761" s="2" t="s">
        <v>5839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147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5840</v>
      </c>
      <c r="B1762" s="2" t="s">
        <v>87</v>
      </c>
      <c r="C1762" s="2" t="s">
        <v>5810</v>
      </c>
      <c r="D1762" s="2" t="s">
        <v>89</v>
      </c>
      <c r="E1762" s="2" t="s">
        <v>2098</v>
      </c>
      <c r="F1762" s="2" t="s">
        <v>5841</v>
      </c>
      <c r="G1762" s="2" t="s">
        <v>5841</v>
      </c>
      <c r="H1762" s="2" t="s">
        <v>5841</v>
      </c>
      <c r="I1762" s="2" t="s">
        <v>5842</v>
      </c>
      <c r="J1762" s="2" t="s">
        <v>844</v>
      </c>
      <c r="K1762" s="2" t="s">
        <v>1204</v>
      </c>
      <c r="L1762" s="3">
        <v>45.71</v>
      </c>
      <c r="M1762" s="3">
        <v>48</v>
      </c>
      <c r="N1762" s="3">
        <v>99</v>
      </c>
      <c r="O1762" s="2" t="s">
        <v>229</v>
      </c>
      <c r="P1762" s="2" t="s">
        <v>198</v>
      </c>
      <c r="Q1762" s="2" t="s">
        <v>99</v>
      </c>
      <c r="R1762" s="2" t="s">
        <v>100</v>
      </c>
      <c r="S1762" s="2" t="s">
        <v>5843</v>
      </c>
      <c r="T1762" s="2" t="s">
        <v>100</v>
      </c>
      <c r="U1762" s="2" t="s">
        <v>1610</v>
      </c>
      <c r="V1762" s="2" t="s">
        <v>601</v>
      </c>
      <c r="W1762" s="2" t="s">
        <v>759</v>
      </c>
      <c r="X1762" s="2" t="s">
        <v>100</v>
      </c>
      <c r="Y1762" s="2" t="s">
        <v>5844</v>
      </c>
      <c r="Z1762" s="4">
        <v>65</v>
      </c>
      <c r="AA1762" s="4">
        <f>=ROUNDDOWN(30.952380952381,0)</f>
      </c>
      <c r="AB1762" s="5">
        <v>2.1</v>
      </c>
      <c r="AC1762" s="2" t="s">
        <v>100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>
        <v>53</v>
      </c>
      <c r="BK1762" s="8">
        <v>2442.48</v>
      </c>
      <c r="BL1762" s="2" t="s">
        <v>5845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147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5846</v>
      </c>
      <c r="B1763" s="2" t="s">
        <v>87</v>
      </c>
      <c r="C1763" s="2" t="s">
        <v>5810</v>
      </c>
      <c r="D1763" s="2" t="s">
        <v>89</v>
      </c>
      <c r="E1763" s="2" t="s">
        <v>2098</v>
      </c>
      <c r="F1763" s="2" t="s">
        <v>5841</v>
      </c>
      <c r="G1763" s="2" t="s">
        <v>5841</v>
      </c>
      <c r="H1763" s="2" t="s">
        <v>5841</v>
      </c>
      <c r="I1763" s="2" t="s">
        <v>5842</v>
      </c>
      <c r="J1763" s="2" t="s">
        <v>850</v>
      </c>
      <c r="K1763" s="2" t="s">
        <v>1204</v>
      </c>
      <c r="L1763" s="3">
        <v>50.28</v>
      </c>
      <c r="M1763" s="3">
        <v>52.79</v>
      </c>
      <c r="N1763" s="3">
        <v>109.99</v>
      </c>
      <c r="O1763" s="2" t="s">
        <v>229</v>
      </c>
      <c r="P1763" s="2" t="s">
        <v>198</v>
      </c>
      <c r="Q1763" s="2" t="s">
        <v>99</v>
      </c>
      <c r="R1763" s="2" t="s">
        <v>100</v>
      </c>
      <c r="S1763" s="2" t="s">
        <v>5843</v>
      </c>
      <c r="T1763" s="2" t="s">
        <v>100</v>
      </c>
      <c r="U1763" s="2" t="s">
        <v>1610</v>
      </c>
      <c r="V1763" s="2" t="s">
        <v>601</v>
      </c>
      <c r="W1763" s="2" t="s">
        <v>759</v>
      </c>
      <c r="X1763" s="2" t="s">
        <v>100</v>
      </c>
      <c r="Y1763" s="2" t="s">
        <v>5844</v>
      </c>
      <c r="Z1763" s="4">
        <v>75</v>
      </c>
      <c r="AA1763" s="4">
        <f>=ROUNDDOWN(37.5,0)</f>
      </c>
      <c r="AB1763" s="5">
        <v>2</v>
      </c>
      <c r="AC1763" s="2" t="s">
        <v>100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>
        <v>84</v>
      </c>
      <c r="BK1763" s="8">
        <v>3355.11</v>
      </c>
      <c r="BL1763" s="2" t="s">
        <v>5847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147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5848</v>
      </c>
      <c r="B1764" s="2" t="s">
        <v>87</v>
      </c>
      <c r="C1764" s="2" t="s">
        <v>5810</v>
      </c>
      <c r="D1764" s="2" t="s">
        <v>89</v>
      </c>
      <c r="E1764" s="2" t="s">
        <v>2098</v>
      </c>
      <c r="F1764" s="2" t="s">
        <v>5841</v>
      </c>
      <c r="G1764" s="2" t="s">
        <v>5841</v>
      </c>
      <c r="H1764" s="2" t="s">
        <v>5841</v>
      </c>
      <c r="I1764" s="2" t="s">
        <v>5842</v>
      </c>
      <c r="J1764" s="2" t="s">
        <v>844</v>
      </c>
      <c r="K1764" s="2" t="s">
        <v>123</v>
      </c>
      <c r="L1764" s="3">
        <v>45.71</v>
      </c>
      <c r="M1764" s="3">
        <v>48</v>
      </c>
      <c r="N1764" s="3">
        <v>99.99</v>
      </c>
      <c r="O1764" s="2" t="s">
        <v>229</v>
      </c>
      <c r="P1764" s="2" t="s">
        <v>198</v>
      </c>
      <c r="Q1764" s="2" t="s">
        <v>99</v>
      </c>
      <c r="R1764" s="2" t="s">
        <v>100</v>
      </c>
      <c r="S1764" s="2" t="s">
        <v>5849</v>
      </c>
      <c r="T1764" s="2" t="s">
        <v>100</v>
      </c>
      <c r="U1764" s="2" t="s">
        <v>1610</v>
      </c>
      <c r="V1764" s="2" t="s">
        <v>601</v>
      </c>
      <c r="W1764" s="2" t="s">
        <v>759</v>
      </c>
      <c r="X1764" s="2" t="s">
        <v>100</v>
      </c>
      <c r="Y1764" s="2" t="s">
        <v>5844</v>
      </c>
      <c r="Z1764" s="4">
        <v>116</v>
      </c>
      <c r="AA1764" s="4">
        <f>=ROUNDDOWN(58,0)</f>
      </c>
      <c r="AB1764" s="5">
        <v>2</v>
      </c>
      <c r="AC1764" s="2" t="s">
        <v>100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>
        <v>36</v>
      </c>
      <c r="BK1764" s="8">
        <v>1623.34</v>
      </c>
      <c r="BL1764" s="2" t="s">
        <v>5850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147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5851</v>
      </c>
      <c r="B1765" s="2" t="s">
        <v>87</v>
      </c>
      <c r="C1765" s="2" t="s">
        <v>5810</v>
      </c>
      <c r="D1765" s="2" t="s">
        <v>89</v>
      </c>
      <c r="E1765" s="2" t="s">
        <v>2098</v>
      </c>
      <c r="F1765" s="2" t="s">
        <v>5841</v>
      </c>
      <c r="G1765" s="2" t="s">
        <v>5841</v>
      </c>
      <c r="H1765" s="2" t="s">
        <v>5841</v>
      </c>
      <c r="I1765" s="2" t="s">
        <v>5842</v>
      </c>
      <c r="J1765" s="2" t="s">
        <v>850</v>
      </c>
      <c r="K1765" s="2" t="s">
        <v>123</v>
      </c>
      <c r="L1765" s="3">
        <v>50.28</v>
      </c>
      <c r="M1765" s="3">
        <v>52.79</v>
      </c>
      <c r="N1765" s="3">
        <v>109.99</v>
      </c>
      <c r="O1765" s="2" t="s">
        <v>229</v>
      </c>
      <c r="P1765" s="2" t="s">
        <v>198</v>
      </c>
      <c r="Q1765" s="2" t="s">
        <v>99</v>
      </c>
      <c r="R1765" s="2" t="s">
        <v>100</v>
      </c>
      <c r="S1765" s="2" t="s">
        <v>5849</v>
      </c>
      <c r="T1765" s="2" t="s">
        <v>100</v>
      </c>
      <c r="U1765" s="2" t="s">
        <v>1610</v>
      </c>
      <c r="V1765" s="2" t="s">
        <v>601</v>
      </c>
      <c r="W1765" s="2" t="s">
        <v>759</v>
      </c>
      <c r="X1765" s="2" t="s">
        <v>100</v>
      </c>
      <c r="Y1765" s="2" t="s">
        <v>5844</v>
      </c>
      <c r="Z1765" s="4">
        <v>130</v>
      </c>
      <c r="AA1765" s="4">
        <f>=ROUNDDOWN(65,0)</f>
      </c>
      <c r="AB1765" s="5">
        <v>2</v>
      </c>
      <c r="AC1765" s="2" t="s">
        <v>100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>
        <v>62</v>
      </c>
      <c r="BK1765" s="8">
        <v>2599.06</v>
      </c>
      <c r="BL1765" s="2" t="s">
        <v>5847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147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5852</v>
      </c>
      <c r="B1766" s="2" t="s">
        <v>87</v>
      </c>
      <c r="C1766" s="2" t="s">
        <v>5810</v>
      </c>
      <c r="D1766" s="2" t="s">
        <v>2308</v>
      </c>
      <c r="E1766" s="2" t="s">
        <v>2309</v>
      </c>
      <c r="F1766" s="2" t="s">
        <v>5853</v>
      </c>
      <c r="G1766" s="2" t="s">
        <v>5853</v>
      </c>
      <c r="H1766" s="2" t="s">
        <v>5853</v>
      </c>
      <c r="I1766" s="2" t="s">
        <v>5854</v>
      </c>
      <c r="J1766" s="2" t="s">
        <v>844</v>
      </c>
      <c r="K1766" s="2" t="s">
        <v>158</v>
      </c>
      <c r="L1766" s="3">
        <v>41.14</v>
      </c>
      <c r="M1766" s="3">
        <v>43.2</v>
      </c>
      <c r="N1766" s="3">
        <v>89.99</v>
      </c>
      <c r="O1766" s="2" t="s">
        <v>229</v>
      </c>
      <c r="P1766" s="2" t="s">
        <v>198</v>
      </c>
      <c r="Q1766" s="2" t="s">
        <v>99</v>
      </c>
      <c r="R1766" s="2" t="s">
        <v>100</v>
      </c>
      <c r="S1766" s="2" t="s">
        <v>5855</v>
      </c>
      <c r="T1766" s="2" t="s">
        <v>100</v>
      </c>
      <c r="U1766" s="2" t="s">
        <v>1610</v>
      </c>
      <c r="V1766" s="2" t="s">
        <v>601</v>
      </c>
      <c r="W1766" s="2" t="s">
        <v>759</v>
      </c>
      <c r="X1766" s="2" t="s">
        <v>100</v>
      </c>
      <c r="Y1766" s="2" t="s">
        <v>1180</v>
      </c>
      <c r="Z1766" s="4">
        <v>214</v>
      </c>
      <c r="AA1766" s="4">
        <f>=ROUNDDOWN(53.5,0)</f>
      </c>
      <c r="AB1766" s="5">
        <v>4</v>
      </c>
      <c r="AC1766" s="2" t="s">
        <v>100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>
        <v>43</v>
      </c>
      <c r="BK1766" s="8">
        <v>1916.13</v>
      </c>
      <c r="BL1766" s="2" t="s">
        <v>5824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147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5856</v>
      </c>
      <c r="B1767" s="2" t="s">
        <v>87</v>
      </c>
      <c r="C1767" s="2" t="s">
        <v>5810</v>
      </c>
      <c r="D1767" s="2" t="s">
        <v>2308</v>
      </c>
      <c r="E1767" s="2" t="s">
        <v>2309</v>
      </c>
      <c r="F1767" s="2" t="s">
        <v>5853</v>
      </c>
      <c r="G1767" s="2" t="s">
        <v>5853</v>
      </c>
      <c r="H1767" s="2" t="s">
        <v>5853</v>
      </c>
      <c r="I1767" s="2" t="s">
        <v>5854</v>
      </c>
      <c r="J1767" s="2" t="s">
        <v>850</v>
      </c>
      <c r="K1767" s="2" t="s">
        <v>158</v>
      </c>
      <c r="L1767" s="3">
        <v>45.71</v>
      </c>
      <c r="M1767" s="3">
        <v>48</v>
      </c>
      <c r="N1767" s="3">
        <v>99.99</v>
      </c>
      <c r="O1767" s="2" t="s">
        <v>97</v>
      </c>
      <c r="P1767" s="2" t="s">
        <v>198</v>
      </c>
      <c r="Q1767" s="2" t="s">
        <v>99</v>
      </c>
      <c r="R1767" s="2" t="s">
        <v>100</v>
      </c>
      <c r="S1767" s="2" t="s">
        <v>5855</v>
      </c>
      <c r="T1767" s="2" t="s">
        <v>100</v>
      </c>
      <c r="U1767" s="2" t="s">
        <v>1610</v>
      </c>
      <c r="V1767" s="2" t="s">
        <v>601</v>
      </c>
      <c r="W1767" s="2" t="s">
        <v>759</v>
      </c>
      <c r="X1767" s="2" t="s">
        <v>100</v>
      </c>
      <c r="Y1767" s="2" t="s">
        <v>1180</v>
      </c>
      <c r="Z1767" s="4">
        <v>147</v>
      </c>
      <c r="AA1767" s="4">
        <f>=ROUNDDOWN(36.75,0)</f>
      </c>
      <c r="AB1767" s="5">
        <v>4</v>
      </c>
      <c r="AC1767" s="2" t="s">
        <v>100</v>
      </c>
      <c r="AD1767" s="4"/>
      <c r="AE1767" s="4"/>
      <c r="AF1767" s="6">
        <v>65</v>
      </c>
      <c r="AG1767" s="6"/>
      <c r="AH1767" s="7">
        <v>0.8545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>
        <v>58</v>
      </c>
      <c r="BK1767" s="8">
        <v>2788</v>
      </c>
      <c r="BL1767" s="2" t="s">
        <v>5857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147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5858</v>
      </c>
      <c r="B1768" s="2" t="s">
        <v>87</v>
      </c>
      <c r="C1768" s="2" t="s">
        <v>5810</v>
      </c>
      <c r="D1768" s="2" t="s">
        <v>2308</v>
      </c>
      <c r="E1768" s="2" t="s">
        <v>2309</v>
      </c>
      <c r="F1768" s="2" t="s">
        <v>5853</v>
      </c>
      <c r="G1768" s="2" t="s">
        <v>5853</v>
      </c>
      <c r="H1768" s="2" t="s">
        <v>5853</v>
      </c>
      <c r="I1768" s="2" t="s">
        <v>5854</v>
      </c>
      <c r="J1768" s="2" t="s">
        <v>844</v>
      </c>
      <c r="K1768" s="2" t="s">
        <v>123</v>
      </c>
      <c r="L1768" s="3">
        <v>41.14</v>
      </c>
      <c r="M1768" s="3">
        <v>43.2</v>
      </c>
      <c r="N1768" s="3">
        <v>89.99</v>
      </c>
      <c r="O1768" s="2" t="s">
        <v>229</v>
      </c>
      <c r="P1768" s="2" t="s">
        <v>198</v>
      </c>
      <c r="Q1768" s="2" t="s">
        <v>99</v>
      </c>
      <c r="R1768" s="2" t="s">
        <v>100</v>
      </c>
      <c r="S1768" s="2" t="s">
        <v>5859</v>
      </c>
      <c r="T1768" s="2" t="s">
        <v>100</v>
      </c>
      <c r="U1768" s="2" t="s">
        <v>1610</v>
      </c>
      <c r="V1768" s="2" t="s">
        <v>601</v>
      </c>
      <c r="W1768" s="2" t="s">
        <v>759</v>
      </c>
      <c r="X1768" s="2" t="s">
        <v>100</v>
      </c>
      <c r="Y1768" s="2" t="s">
        <v>1180</v>
      </c>
      <c r="Z1768" s="4">
        <v>96</v>
      </c>
      <c r="AA1768" s="4">
        <f>=ROUNDDOWN(48,0)</f>
      </c>
      <c r="AB1768" s="5">
        <v>2</v>
      </c>
      <c r="AC1768" s="2" t="s">
        <v>100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>
        <v>18</v>
      </c>
      <c r="BK1768" s="8">
        <v>768.06</v>
      </c>
      <c r="BL1768" s="2" t="s">
        <v>5860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147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5861</v>
      </c>
      <c r="B1769" s="2" t="s">
        <v>87</v>
      </c>
      <c r="C1769" s="2" t="s">
        <v>5810</v>
      </c>
      <c r="D1769" s="2" t="s">
        <v>2308</v>
      </c>
      <c r="E1769" s="2" t="s">
        <v>2309</v>
      </c>
      <c r="F1769" s="2" t="s">
        <v>5853</v>
      </c>
      <c r="G1769" s="2" t="s">
        <v>5853</v>
      </c>
      <c r="H1769" s="2" t="s">
        <v>5853</v>
      </c>
      <c r="I1769" s="2" t="s">
        <v>5854</v>
      </c>
      <c r="J1769" s="2" t="s">
        <v>850</v>
      </c>
      <c r="K1769" s="2" t="s">
        <v>123</v>
      </c>
      <c r="L1769" s="3">
        <v>45.71</v>
      </c>
      <c r="M1769" s="3">
        <v>48</v>
      </c>
      <c r="N1769" s="3">
        <v>99.99</v>
      </c>
      <c r="O1769" s="2" t="s">
        <v>229</v>
      </c>
      <c r="P1769" s="2" t="s">
        <v>198</v>
      </c>
      <c r="Q1769" s="2" t="s">
        <v>99</v>
      </c>
      <c r="R1769" s="2" t="s">
        <v>100</v>
      </c>
      <c r="S1769" s="2" t="s">
        <v>5859</v>
      </c>
      <c r="T1769" s="2" t="s">
        <v>100</v>
      </c>
      <c r="U1769" s="2" t="s">
        <v>1610</v>
      </c>
      <c r="V1769" s="2" t="s">
        <v>601</v>
      </c>
      <c r="W1769" s="2" t="s">
        <v>759</v>
      </c>
      <c r="X1769" s="2" t="s">
        <v>100</v>
      </c>
      <c r="Y1769" s="2" t="s">
        <v>1180</v>
      </c>
      <c r="Z1769" s="4">
        <v>31</v>
      </c>
      <c r="AA1769" s="4">
        <f>=ROUNDDOWN(10.3333333333333,0)</f>
      </c>
      <c r="AB1769" s="5">
        <v>3</v>
      </c>
      <c r="AC1769" s="2" t="s">
        <v>100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>
        <v>62</v>
      </c>
      <c r="BK1769" s="8">
        <v>3030.03</v>
      </c>
      <c r="BL1769" s="2" t="s">
        <v>5862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147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5863</v>
      </c>
      <c r="B1770" s="2" t="s">
        <v>87</v>
      </c>
      <c r="C1770" s="2" t="s">
        <v>5810</v>
      </c>
      <c r="D1770" s="2" t="s">
        <v>3234</v>
      </c>
      <c r="E1770" s="2" t="s">
        <v>3360</v>
      </c>
      <c r="F1770" s="2" t="s">
        <v>5811</v>
      </c>
      <c r="G1770" s="2" t="s">
        <v>5811</v>
      </c>
      <c r="H1770" s="2" t="s">
        <v>5811</v>
      </c>
      <c r="I1770" s="2" t="s">
        <v>5864</v>
      </c>
      <c r="J1770" s="2" t="s">
        <v>844</v>
      </c>
      <c r="K1770" s="2" t="s">
        <v>1204</v>
      </c>
      <c r="L1770" s="3">
        <v>32</v>
      </c>
      <c r="M1770" s="3">
        <v>33.6</v>
      </c>
      <c r="N1770" s="3">
        <v>69.99</v>
      </c>
      <c r="O1770" s="2" t="s">
        <v>229</v>
      </c>
      <c r="P1770" s="2" t="s">
        <v>198</v>
      </c>
      <c r="Q1770" s="2" t="s">
        <v>99</v>
      </c>
      <c r="R1770" s="2" t="s">
        <v>100</v>
      </c>
      <c r="S1770" s="2" t="s">
        <v>5813</v>
      </c>
      <c r="T1770" s="2" t="s">
        <v>100</v>
      </c>
      <c r="U1770" s="2" t="s">
        <v>1610</v>
      </c>
      <c r="V1770" s="2" t="s">
        <v>561</v>
      </c>
      <c r="W1770" s="2" t="s">
        <v>759</v>
      </c>
      <c r="X1770" s="2" t="s">
        <v>100</v>
      </c>
      <c r="Y1770" s="2" t="s">
        <v>1180</v>
      </c>
      <c r="Z1770" s="4">
        <v>56</v>
      </c>
      <c r="AA1770" s="4">
        <f>=ROUNDDOWN(18.6666666666667,0)</f>
      </c>
      <c r="AB1770" s="5">
        <v>3</v>
      </c>
      <c r="AC1770" s="2" t="s">
        <v>100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>
        <v>69</v>
      </c>
      <c r="BK1770" s="8">
        <v>1755.4</v>
      </c>
      <c r="BL1770" s="2" t="s">
        <v>5845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147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5865</v>
      </c>
      <c r="B1771" s="2" t="s">
        <v>87</v>
      </c>
      <c r="C1771" s="2" t="s">
        <v>5810</v>
      </c>
      <c r="D1771" s="2" t="s">
        <v>3234</v>
      </c>
      <c r="E1771" s="2" t="s">
        <v>3360</v>
      </c>
      <c r="F1771" s="2" t="s">
        <v>5811</v>
      </c>
      <c r="G1771" s="2" t="s">
        <v>5811</v>
      </c>
      <c r="H1771" s="2" t="s">
        <v>5811</v>
      </c>
      <c r="I1771" s="2" t="s">
        <v>5864</v>
      </c>
      <c r="J1771" s="2" t="s">
        <v>844</v>
      </c>
      <c r="K1771" s="2" t="s">
        <v>635</v>
      </c>
      <c r="L1771" s="3">
        <v>32</v>
      </c>
      <c r="M1771" s="3">
        <v>33.6</v>
      </c>
      <c r="N1771" s="3">
        <v>69.99</v>
      </c>
      <c r="O1771" s="2" t="s">
        <v>97</v>
      </c>
      <c r="P1771" s="2" t="s">
        <v>198</v>
      </c>
      <c r="Q1771" s="2" t="s">
        <v>99</v>
      </c>
      <c r="R1771" s="2" t="s">
        <v>100</v>
      </c>
      <c r="S1771" s="2" t="s">
        <v>5816</v>
      </c>
      <c r="T1771" s="2" t="s">
        <v>100</v>
      </c>
      <c r="U1771" s="2" t="s">
        <v>1610</v>
      </c>
      <c r="V1771" s="2" t="s">
        <v>561</v>
      </c>
      <c r="W1771" s="2" t="s">
        <v>759</v>
      </c>
      <c r="X1771" s="2" t="s">
        <v>100</v>
      </c>
      <c r="Y1771" s="2" t="s">
        <v>1180</v>
      </c>
      <c r="Z1771" s="4">
        <v>71</v>
      </c>
      <c r="AA1771" s="4">
        <f>=ROUNDDOWN(14.2,0)</f>
      </c>
      <c r="AB1771" s="5">
        <v>5</v>
      </c>
      <c r="AC1771" s="2" t="s">
        <v>145</v>
      </c>
      <c r="AD1771" s="4">
        <v>60</v>
      </c>
      <c r="AE1771" s="4">
        <v>60</v>
      </c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>
        <v>191</v>
      </c>
      <c r="BK1771" s="8">
        <v>5298.54</v>
      </c>
      <c r="BL1771" s="2" t="s">
        <v>5845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147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5866</v>
      </c>
      <c r="B1772" s="2" t="s">
        <v>87</v>
      </c>
      <c r="C1772" s="2" t="s">
        <v>5810</v>
      </c>
      <c r="D1772" s="2" t="s">
        <v>3234</v>
      </c>
      <c r="E1772" s="2" t="s">
        <v>3360</v>
      </c>
      <c r="F1772" s="2" t="s">
        <v>5811</v>
      </c>
      <c r="G1772" s="2" t="s">
        <v>5811</v>
      </c>
      <c r="H1772" s="2" t="s">
        <v>5811</v>
      </c>
      <c r="I1772" s="2" t="s">
        <v>5864</v>
      </c>
      <c r="J1772" s="2" t="s">
        <v>850</v>
      </c>
      <c r="K1772" s="2" t="s">
        <v>635</v>
      </c>
      <c r="L1772" s="3">
        <v>36.57</v>
      </c>
      <c r="M1772" s="3">
        <v>38.4</v>
      </c>
      <c r="N1772" s="3">
        <v>79.99</v>
      </c>
      <c r="O1772" s="2" t="s">
        <v>97</v>
      </c>
      <c r="P1772" s="2" t="s">
        <v>198</v>
      </c>
      <c r="Q1772" s="2" t="s">
        <v>99</v>
      </c>
      <c r="R1772" s="2" t="s">
        <v>100</v>
      </c>
      <c r="S1772" s="2" t="s">
        <v>5816</v>
      </c>
      <c r="T1772" s="2" t="s">
        <v>100</v>
      </c>
      <c r="U1772" s="2" t="s">
        <v>1610</v>
      </c>
      <c r="V1772" s="2" t="s">
        <v>561</v>
      </c>
      <c r="W1772" s="2" t="s">
        <v>759</v>
      </c>
      <c r="X1772" s="2" t="s">
        <v>100</v>
      </c>
      <c r="Y1772" s="2" t="s">
        <v>1180</v>
      </c>
      <c r="Z1772" s="4">
        <v>85</v>
      </c>
      <c r="AA1772" s="4">
        <f>=ROUNDDOWN(14.1666666666667,0)</f>
      </c>
      <c r="AB1772" s="5">
        <v>6</v>
      </c>
      <c r="AC1772" s="2" t="s">
        <v>145</v>
      </c>
      <c r="AD1772" s="4">
        <v>100</v>
      </c>
      <c r="AE1772" s="4">
        <v>100</v>
      </c>
      <c r="AF1772" s="6">
        <v>65</v>
      </c>
      <c r="AG1772" s="6"/>
      <c r="AH1772" s="7">
        <v>0.9455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>
        <v>137</v>
      </c>
      <c r="BK1772" s="8">
        <v>4492.86</v>
      </c>
      <c r="BL1772" s="2" t="s">
        <v>5867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147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5868</v>
      </c>
      <c r="B1773" s="2" t="s">
        <v>87</v>
      </c>
      <c r="C1773" s="2" t="s">
        <v>5810</v>
      </c>
      <c r="D1773" s="2" t="s">
        <v>3234</v>
      </c>
      <c r="E1773" s="2" t="s">
        <v>3360</v>
      </c>
      <c r="F1773" s="2" t="s">
        <v>5821</v>
      </c>
      <c r="G1773" s="2" t="s">
        <v>5821</v>
      </c>
      <c r="H1773" s="2" t="s">
        <v>5821</v>
      </c>
      <c r="I1773" s="2" t="s">
        <v>5869</v>
      </c>
      <c r="J1773" s="2" t="s">
        <v>844</v>
      </c>
      <c r="K1773" s="2" t="s">
        <v>158</v>
      </c>
      <c r="L1773" s="3">
        <v>32</v>
      </c>
      <c r="M1773" s="3">
        <v>33.6</v>
      </c>
      <c r="N1773" s="3">
        <v>69.99</v>
      </c>
      <c r="O1773" s="2" t="s">
        <v>229</v>
      </c>
      <c r="P1773" s="2" t="s">
        <v>198</v>
      </c>
      <c r="Q1773" s="2" t="s">
        <v>99</v>
      </c>
      <c r="R1773" s="2" t="s">
        <v>100</v>
      </c>
      <c r="S1773" s="2" t="s">
        <v>5823</v>
      </c>
      <c r="T1773" s="2" t="s">
        <v>100</v>
      </c>
      <c r="U1773" s="2" t="s">
        <v>1610</v>
      </c>
      <c r="V1773" s="2" t="s">
        <v>561</v>
      </c>
      <c r="W1773" s="2" t="s">
        <v>759</v>
      </c>
      <c r="X1773" s="2" t="s">
        <v>100</v>
      </c>
      <c r="Y1773" s="2" t="s">
        <v>1180</v>
      </c>
      <c r="Z1773" s="4">
        <v>90</v>
      </c>
      <c r="AA1773" s="4">
        <f>=ROUNDDOWN(45,0)</f>
      </c>
      <c r="AB1773" s="5">
        <v>2</v>
      </c>
      <c r="AC1773" s="2" t="s">
        <v>100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100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100</v>
      </c>
      <c r="AW1773" s="8" t="s">
        <v>100</v>
      </c>
      <c r="AX1773" s="4" t="s">
        <v>100</v>
      </c>
      <c r="AY1773" s="8" t="s">
        <v>100</v>
      </c>
      <c r="AZ1773" s="7" t="s">
        <v>100</v>
      </c>
      <c r="BA1773" s="7" t="s">
        <v>100</v>
      </c>
      <c r="BB1773" s="7"/>
      <c r="BC1773" s="4" t="s">
        <v>100</v>
      </c>
      <c r="BD1773" s="8" t="s">
        <v>100</v>
      </c>
      <c r="BE1773" s="4" t="s">
        <v>100</v>
      </c>
      <c r="BF1773" s="8" t="s">
        <v>100</v>
      </c>
      <c r="BG1773" s="7" t="s">
        <v>100</v>
      </c>
      <c r="BH1773" s="7" t="s">
        <v>100</v>
      </c>
      <c r="BI1773" s="7"/>
      <c r="BJ1773" s="4">
        <v>22</v>
      </c>
      <c r="BK1773" s="8">
        <v>766.44</v>
      </c>
      <c r="BL1773" s="2" t="s">
        <v>5870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147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5871</v>
      </c>
      <c r="B1774" s="2" t="s">
        <v>87</v>
      </c>
      <c r="C1774" s="2" t="s">
        <v>5810</v>
      </c>
      <c r="D1774" s="2" t="s">
        <v>3234</v>
      </c>
      <c r="E1774" s="2" t="s">
        <v>3360</v>
      </c>
      <c r="F1774" s="2" t="s">
        <v>5821</v>
      </c>
      <c r="G1774" s="2" t="s">
        <v>5821</v>
      </c>
      <c r="H1774" s="2" t="s">
        <v>5821</v>
      </c>
      <c r="I1774" s="2" t="s">
        <v>5869</v>
      </c>
      <c r="J1774" s="2" t="s">
        <v>850</v>
      </c>
      <c r="K1774" s="2" t="s">
        <v>158</v>
      </c>
      <c r="L1774" s="3">
        <v>36.57</v>
      </c>
      <c r="M1774" s="3">
        <v>38.4</v>
      </c>
      <c r="N1774" s="3">
        <v>79.99</v>
      </c>
      <c r="O1774" s="2" t="s">
        <v>229</v>
      </c>
      <c r="P1774" s="2" t="s">
        <v>198</v>
      </c>
      <c r="Q1774" s="2" t="s">
        <v>99</v>
      </c>
      <c r="R1774" s="2" t="s">
        <v>100</v>
      </c>
      <c r="S1774" s="2" t="s">
        <v>5823</v>
      </c>
      <c r="T1774" s="2" t="s">
        <v>100</v>
      </c>
      <c r="U1774" s="2" t="s">
        <v>1610</v>
      </c>
      <c r="V1774" s="2" t="s">
        <v>561</v>
      </c>
      <c r="W1774" s="2" t="s">
        <v>759</v>
      </c>
      <c r="X1774" s="2" t="s">
        <v>100</v>
      </c>
      <c r="Y1774" s="2" t="s">
        <v>1180</v>
      </c>
      <c r="Z1774" s="4">
        <v>33</v>
      </c>
      <c r="AA1774" s="4">
        <f>=ROUNDDOWN(16.5,0)</f>
      </c>
      <c r="AB1774" s="5">
        <v>2</v>
      </c>
      <c r="AC1774" s="2" t="s">
        <v>100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100</v>
      </c>
      <c r="AW1774" s="8" t="s">
        <v>100</v>
      </c>
      <c r="AX1774" s="4" t="s">
        <v>100</v>
      </c>
      <c r="AY1774" s="8" t="s">
        <v>100</v>
      </c>
      <c r="AZ1774" s="7" t="s">
        <v>100</v>
      </c>
      <c r="BA1774" s="7" t="s">
        <v>100</v>
      </c>
      <c r="BB1774" s="7"/>
      <c r="BC1774" s="4" t="s">
        <v>100</v>
      </c>
      <c r="BD1774" s="8" t="s">
        <v>100</v>
      </c>
      <c r="BE1774" s="4" t="s">
        <v>100</v>
      </c>
      <c r="BF1774" s="8" t="s">
        <v>100</v>
      </c>
      <c r="BG1774" s="7" t="s">
        <v>100</v>
      </c>
      <c r="BH1774" s="7" t="s">
        <v>100</v>
      </c>
      <c r="BI1774" s="7"/>
      <c r="BJ1774" s="4">
        <v>38</v>
      </c>
      <c r="BK1774" s="8">
        <v>1412.71</v>
      </c>
      <c r="BL1774" s="2" t="s">
        <v>5827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147</v>
      </c>
      <c r="BV1774" s="2" t="s">
        <v>97</v>
      </c>
      <c r="BW1774" s="2" t="s">
        <v>100</v>
      </c>
      <c r="BX1774" s="2" t="s">
        <v>100</v>
      </c>
      <c r="BY1774" s="2" t="s">
        <v>112</v>
      </c>
      <c r="BZ1774" s="2" t="s">
        <v>100</v>
      </c>
    </row>
    <row r="1775">
      <c r="A1775" s="2" t="s">
        <v>5872</v>
      </c>
      <c r="B1775" s="2" t="s">
        <v>87</v>
      </c>
      <c r="C1775" s="2" t="s">
        <v>5810</v>
      </c>
      <c r="D1775" s="2" t="s">
        <v>3234</v>
      </c>
      <c r="E1775" s="2" t="s">
        <v>3360</v>
      </c>
      <c r="F1775" s="2" t="s">
        <v>5821</v>
      </c>
      <c r="G1775" s="2" t="s">
        <v>5821</v>
      </c>
      <c r="H1775" s="2" t="s">
        <v>5821</v>
      </c>
      <c r="I1775" s="2" t="s">
        <v>5869</v>
      </c>
      <c r="J1775" s="2" t="s">
        <v>844</v>
      </c>
      <c r="K1775" s="2" t="s">
        <v>622</v>
      </c>
      <c r="L1775" s="3">
        <v>32</v>
      </c>
      <c r="M1775" s="3">
        <v>33.6</v>
      </c>
      <c r="N1775" s="3">
        <v>69.99</v>
      </c>
      <c r="O1775" s="2" t="s">
        <v>229</v>
      </c>
      <c r="P1775" s="2" t="s">
        <v>198</v>
      </c>
      <c r="Q1775" s="2" t="s">
        <v>99</v>
      </c>
      <c r="R1775" s="2" t="s">
        <v>100</v>
      </c>
      <c r="S1775" s="2" t="s">
        <v>5826</v>
      </c>
      <c r="T1775" s="2" t="s">
        <v>100</v>
      </c>
      <c r="U1775" s="2" t="s">
        <v>1610</v>
      </c>
      <c r="V1775" s="2" t="s">
        <v>561</v>
      </c>
      <c r="W1775" s="2" t="s">
        <v>759</v>
      </c>
      <c r="X1775" s="2" t="s">
        <v>100</v>
      </c>
      <c r="Y1775" s="2" t="s">
        <v>1180</v>
      </c>
      <c r="Z1775" s="4">
        <v>78</v>
      </c>
      <c r="AA1775" s="4">
        <f>=ROUNDDOWN(26,0)</f>
      </c>
      <c r="AB1775" s="5">
        <v>3</v>
      </c>
      <c r="AC1775" s="2" t="s">
        <v>100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100</v>
      </c>
      <c r="AW1775" s="8" t="s">
        <v>100</v>
      </c>
      <c r="AX1775" s="4" t="s">
        <v>100</v>
      </c>
      <c r="AY1775" s="8" t="s">
        <v>100</v>
      </c>
      <c r="AZ1775" s="7" t="s">
        <v>100</v>
      </c>
      <c r="BA1775" s="7" t="s">
        <v>100</v>
      </c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>
        <v>31</v>
      </c>
      <c r="BK1775" s="8">
        <v>1018.22</v>
      </c>
      <c r="BL1775" s="2" t="s">
        <v>5845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147</v>
      </c>
      <c r="BV1775" s="2" t="s">
        <v>97</v>
      </c>
      <c r="BW1775" s="2" t="s">
        <v>100</v>
      </c>
      <c r="BX1775" s="2" t="s">
        <v>100</v>
      </c>
      <c r="BY1775" s="2" t="s">
        <v>112</v>
      </c>
      <c r="BZ1775" s="2" t="s">
        <v>100</v>
      </c>
    </row>
    <row r="1776">
      <c r="A1776" s="2" t="s">
        <v>5873</v>
      </c>
      <c r="B1776" s="2" t="s">
        <v>87</v>
      </c>
      <c r="C1776" s="2" t="s">
        <v>5810</v>
      </c>
      <c r="D1776" s="2" t="s">
        <v>3234</v>
      </c>
      <c r="E1776" s="2" t="s">
        <v>3360</v>
      </c>
      <c r="F1776" s="2" t="s">
        <v>5821</v>
      </c>
      <c r="G1776" s="2" t="s">
        <v>5821</v>
      </c>
      <c r="H1776" s="2" t="s">
        <v>5821</v>
      </c>
      <c r="I1776" s="2" t="s">
        <v>5869</v>
      </c>
      <c r="J1776" s="2" t="s">
        <v>850</v>
      </c>
      <c r="K1776" s="2" t="s">
        <v>622</v>
      </c>
      <c r="L1776" s="3">
        <v>36.57</v>
      </c>
      <c r="M1776" s="3">
        <v>38.4</v>
      </c>
      <c r="N1776" s="3">
        <v>79.99</v>
      </c>
      <c r="O1776" s="2" t="s">
        <v>229</v>
      </c>
      <c r="P1776" s="2" t="s">
        <v>198</v>
      </c>
      <c r="Q1776" s="2" t="s">
        <v>99</v>
      </c>
      <c r="R1776" s="2" t="s">
        <v>100</v>
      </c>
      <c r="S1776" s="2" t="s">
        <v>5826</v>
      </c>
      <c r="T1776" s="2" t="s">
        <v>100</v>
      </c>
      <c r="U1776" s="2" t="s">
        <v>1610</v>
      </c>
      <c r="V1776" s="2" t="s">
        <v>561</v>
      </c>
      <c r="W1776" s="2" t="s">
        <v>759</v>
      </c>
      <c r="X1776" s="2" t="s">
        <v>100</v>
      </c>
      <c r="Y1776" s="2" t="s">
        <v>1180</v>
      </c>
      <c r="Z1776" s="4">
        <v>6</v>
      </c>
      <c r="AA1776" s="4">
        <f>=ROUNDDOWN(3,0)</f>
      </c>
      <c r="AB1776" s="5">
        <v>2</v>
      </c>
      <c r="AC1776" s="2" t="s">
        <v>100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100</v>
      </c>
      <c r="AW1776" s="8" t="s">
        <v>100</v>
      </c>
      <c r="AX1776" s="4" t="s">
        <v>100</v>
      </c>
      <c r="AY1776" s="8" t="s">
        <v>100</v>
      </c>
      <c r="AZ1776" s="7" t="s">
        <v>100</v>
      </c>
      <c r="BA1776" s="7" t="s">
        <v>100</v>
      </c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>
        <v>44</v>
      </c>
      <c r="BK1776" s="8">
        <v>1393.52</v>
      </c>
      <c r="BL1776" s="2" t="s">
        <v>5874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147</v>
      </c>
      <c r="BV1776" s="2" t="s">
        <v>97</v>
      </c>
      <c r="BW1776" s="2" t="s">
        <v>100</v>
      </c>
      <c r="BX1776" s="2" t="s">
        <v>100</v>
      </c>
      <c r="BY1776" s="2" t="s">
        <v>112</v>
      </c>
      <c r="BZ1776" s="2" t="s">
        <v>100</v>
      </c>
    </row>
    <row r="1777">
      <c r="A1777" s="2" t="s">
        <v>5875</v>
      </c>
      <c r="B1777" s="2" t="s">
        <v>87</v>
      </c>
      <c r="C1777" s="2" t="s">
        <v>5810</v>
      </c>
      <c r="D1777" s="2" t="s">
        <v>3234</v>
      </c>
      <c r="E1777" s="2" t="s">
        <v>3360</v>
      </c>
      <c r="F1777" s="2" t="s">
        <v>1560</v>
      </c>
      <c r="G1777" s="2" t="s">
        <v>1560</v>
      </c>
      <c r="H1777" s="2" t="s">
        <v>1560</v>
      </c>
      <c r="I1777" s="2" t="s">
        <v>5876</v>
      </c>
      <c r="J1777" s="2" t="s">
        <v>844</v>
      </c>
      <c r="K1777" s="2" t="s">
        <v>158</v>
      </c>
      <c r="L1777" s="3">
        <v>32</v>
      </c>
      <c r="M1777" s="3">
        <v>33.6</v>
      </c>
      <c r="N1777" s="3">
        <v>69.99</v>
      </c>
      <c r="O1777" s="2" t="s">
        <v>97</v>
      </c>
      <c r="P1777" s="2" t="s">
        <v>198</v>
      </c>
      <c r="Q1777" s="2" t="s">
        <v>99</v>
      </c>
      <c r="R1777" s="2" t="s">
        <v>100</v>
      </c>
      <c r="S1777" s="2" t="s">
        <v>5830</v>
      </c>
      <c r="T1777" s="2" t="s">
        <v>100</v>
      </c>
      <c r="U1777" s="2" t="s">
        <v>1610</v>
      </c>
      <c r="V1777" s="2" t="s">
        <v>601</v>
      </c>
      <c r="W1777" s="2" t="s">
        <v>759</v>
      </c>
      <c r="X1777" s="2" t="s">
        <v>100</v>
      </c>
      <c r="Y1777" s="2" t="s">
        <v>1180</v>
      </c>
      <c r="Z1777" s="4">
        <v>164</v>
      </c>
      <c r="AA1777" s="4">
        <f>=ROUNDDOWN(41,0)</f>
      </c>
      <c r="AB1777" s="5">
        <v>4</v>
      </c>
      <c r="AC1777" s="2" t="s">
        <v>100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100</v>
      </c>
      <c r="AW1777" s="8" t="s">
        <v>100</v>
      </c>
      <c r="AX1777" s="4" t="s">
        <v>100</v>
      </c>
      <c r="AY1777" s="8" t="s">
        <v>100</v>
      </c>
      <c r="AZ1777" s="7" t="s">
        <v>100</v>
      </c>
      <c r="BA1777" s="7" t="s">
        <v>100</v>
      </c>
      <c r="BB1777" s="7"/>
      <c r="BC1777" s="4" t="s">
        <v>100</v>
      </c>
      <c r="BD1777" s="8" t="s">
        <v>100</v>
      </c>
      <c r="BE1777" s="4" t="s">
        <v>100</v>
      </c>
      <c r="BF1777" s="8" t="s">
        <v>100</v>
      </c>
      <c r="BG1777" s="7" t="s">
        <v>100</v>
      </c>
      <c r="BH1777" s="7" t="s">
        <v>100</v>
      </c>
      <c r="BI1777" s="7"/>
      <c r="BJ1777" s="4">
        <v>88</v>
      </c>
      <c r="BK1777" s="8">
        <v>2151.44</v>
      </c>
      <c r="BL1777" s="2" t="s">
        <v>5877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147</v>
      </c>
      <c r="BV1777" s="2" t="s">
        <v>97</v>
      </c>
      <c r="BW1777" s="2" t="s">
        <v>100</v>
      </c>
      <c r="BX1777" s="2" t="s">
        <v>100</v>
      </c>
      <c r="BY1777" s="2" t="s">
        <v>112</v>
      </c>
      <c r="BZ1777" s="2" t="s">
        <v>100</v>
      </c>
    </row>
    <row r="1778">
      <c r="A1778" s="2" t="s">
        <v>5878</v>
      </c>
      <c r="B1778" s="2" t="s">
        <v>87</v>
      </c>
      <c r="C1778" s="2" t="s">
        <v>5810</v>
      </c>
      <c r="D1778" s="2" t="s">
        <v>3234</v>
      </c>
      <c r="E1778" s="2" t="s">
        <v>3360</v>
      </c>
      <c r="F1778" s="2" t="s">
        <v>1560</v>
      </c>
      <c r="G1778" s="2" t="s">
        <v>1560</v>
      </c>
      <c r="H1778" s="2" t="s">
        <v>1560</v>
      </c>
      <c r="I1778" s="2" t="s">
        <v>5876</v>
      </c>
      <c r="J1778" s="2" t="s">
        <v>850</v>
      </c>
      <c r="K1778" s="2" t="s">
        <v>158</v>
      </c>
      <c r="L1778" s="3">
        <v>36.57</v>
      </c>
      <c r="M1778" s="3">
        <v>38.4</v>
      </c>
      <c r="N1778" s="3">
        <v>79.99</v>
      </c>
      <c r="O1778" s="2" t="s">
        <v>97</v>
      </c>
      <c r="P1778" s="2" t="s">
        <v>198</v>
      </c>
      <c r="Q1778" s="2" t="s">
        <v>99</v>
      </c>
      <c r="R1778" s="2" t="s">
        <v>100</v>
      </c>
      <c r="S1778" s="2" t="s">
        <v>5830</v>
      </c>
      <c r="T1778" s="2" t="s">
        <v>100</v>
      </c>
      <c r="U1778" s="2" t="s">
        <v>1610</v>
      </c>
      <c r="V1778" s="2" t="s">
        <v>601</v>
      </c>
      <c r="W1778" s="2" t="s">
        <v>759</v>
      </c>
      <c r="X1778" s="2" t="s">
        <v>100</v>
      </c>
      <c r="Y1778" s="2" t="s">
        <v>1180</v>
      </c>
      <c r="Z1778" s="4">
        <v>113</v>
      </c>
      <c r="AA1778" s="4">
        <f>=ROUNDDOWN(28.25,0)</f>
      </c>
      <c r="AB1778" s="5">
        <v>4</v>
      </c>
      <c r="AC1778" s="2" t="s">
        <v>100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100</v>
      </c>
      <c r="AW1778" s="8" t="s">
        <v>100</v>
      </c>
      <c r="AX1778" s="4" t="s">
        <v>100</v>
      </c>
      <c r="AY1778" s="8" t="s">
        <v>100</v>
      </c>
      <c r="AZ1778" s="7" t="s">
        <v>100</v>
      </c>
      <c r="BA1778" s="7" t="s">
        <v>100</v>
      </c>
      <c r="BB1778" s="7"/>
      <c r="BC1778" s="4" t="s">
        <v>100</v>
      </c>
      <c r="BD1778" s="8" t="s">
        <v>100</v>
      </c>
      <c r="BE1778" s="4" t="s">
        <v>100</v>
      </c>
      <c r="BF1778" s="8" t="s">
        <v>100</v>
      </c>
      <c r="BG1778" s="7" t="s">
        <v>100</v>
      </c>
      <c r="BH1778" s="7" t="s">
        <v>100</v>
      </c>
      <c r="BI1778" s="7"/>
      <c r="BJ1778" s="4">
        <v>109</v>
      </c>
      <c r="BK1778" s="8">
        <v>3548.1</v>
      </c>
      <c r="BL1778" s="2" t="s">
        <v>5879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147</v>
      </c>
      <c r="BV1778" s="2" t="s">
        <v>97</v>
      </c>
      <c r="BW1778" s="2" t="s">
        <v>100</v>
      </c>
      <c r="BX1778" s="2" t="s">
        <v>100</v>
      </c>
      <c r="BY1778" s="2" t="s">
        <v>112</v>
      </c>
      <c r="BZ1778" s="2" t="s">
        <v>100</v>
      </c>
    </row>
    <row r="1779">
      <c r="A1779" s="2" t="s">
        <v>5880</v>
      </c>
      <c r="B1779" s="2" t="s">
        <v>87</v>
      </c>
      <c r="C1779" s="2" t="s">
        <v>5810</v>
      </c>
      <c r="D1779" s="2" t="s">
        <v>3234</v>
      </c>
      <c r="E1779" s="2" t="s">
        <v>3360</v>
      </c>
      <c r="F1779" s="2" t="s">
        <v>1560</v>
      </c>
      <c r="G1779" s="2" t="s">
        <v>1560</v>
      </c>
      <c r="H1779" s="2" t="s">
        <v>1560</v>
      </c>
      <c r="I1779" s="2" t="s">
        <v>5876</v>
      </c>
      <c r="J1779" s="2" t="s">
        <v>844</v>
      </c>
      <c r="K1779" s="2" t="s">
        <v>123</v>
      </c>
      <c r="L1779" s="3">
        <v>32</v>
      </c>
      <c r="M1779" s="3">
        <v>33.6</v>
      </c>
      <c r="N1779" s="3">
        <v>69.99</v>
      </c>
      <c r="O1779" s="2" t="s">
        <v>97</v>
      </c>
      <c r="P1779" s="2" t="s">
        <v>198</v>
      </c>
      <c r="Q1779" s="2" t="s">
        <v>99</v>
      </c>
      <c r="R1779" s="2" t="s">
        <v>100</v>
      </c>
      <c r="S1779" s="2" t="s">
        <v>5836</v>
      </c>
      <c r="T1779" s="2" t="s">
        <v>100</v>
      </c>
      <c r="U1779" s="2" t="s">
        <v>1610</v>
      </c>
      <c r="V1779" s="2" t="s">
        <v>601</v>
      </c>
      <c r="W1779" s="2" t="s">
        <v>759</v>
      </c>
      <c r="X1779" s="2" t="s">
        <v>100</v>
      </c>
      <c r="Y1779" s="2" t="s">
        <v>1180</v>
      </c>
      <c r="Z1779" s="4">
        <v>187</v>
      </c>
      <c r="AA1779" s="4">
        <f>=ROUNDDOWN(31.1666666666667,0)</f>
      </c>
      <c r="AB1779" s="5">
        <v>6</v>
      </c>
      <c r="AC1779" s="2" t="s">
        <v>100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>
        <v>0</v>
      </c>
      <c r="AP1779" s="4"/>
      <c r="AQ1779" s="8"/>
      <c r="AR1779" s="4"/>
      <c r="AS1779" s="8"/>
      <c r="AT1779" s="7"/>
      <c r="AU1779" s="7"/>
      <c r="AV1779" s="4" t="s">
        <v>100</v>
      </c>
      <c r="AW1779" s="8" t="s">
        <v>100</v>
      </c>
      <c r="AX1779" s="4" t="s">
        <v>100</v>
      </c>
      <c r="AY1779" s="8" t="s">
        <v>100</v>
      </c>
      <c r="AZ1779" s="7" t="s">
        <v>100</v>
      </c>
      <c r="BA1779" s="7" t="s">
        <v>100</v>
      </c>
      <c r="BB1779" s="7"/>
      <c r="BC1779" s="4" t="s">
        <v>100</v>
      </c>
      <c r="BD1779" s="8" t="s">
        <v>100</v>
      </c>
      <c r="BE1779" s="4" t="s">
        <v>100</v>
      </c>
      <c r="BF1779" s="8" t="s">
        <v>100</v>
      </c>
      <c r="BG1779" s="7" t="s">
        <v>100</v>
      </c>
      <c r="BH1779" s="7" t="s">
        <v>100</v>
      </c>
      <c r="BI1779" s="7"/>
      <c r="BJ1779" s="4">
        <v>86</v>
      </c>
      <c r="BK1779" s="8">
        <v>2242.5</v>
      </c>
      <c r="BL1779" s="2" t="s">
        <v>5881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147</v>
      </c>
      <c r="BV1779" s="2" t="s">
        <v>97</v>
      </c>
      <c r="BW1779" s="2" t="s">
        <v>100</v>
      </c>
      <c r="BX1779" s="2" t="s">
        <v>100</v>
      </c>
      <c r="BY1779" s="2" t="s">
        <v>112</v>
      </c>
      <c r="BZ1779" s="2" t="s">
        <v>100</v>
      </c>
    </row>
    <row r="1780">
      <c r="A1780" s="2" t="s">
        <v>5882</v>
      </c>
      <c r="B1780" s="2" t="s">
        <v>87</v>
      </c>
      <c r="C1780" s="2" t="s">
        <v>5810</v>
      </c>
      <c r="D1780" s="2" t="s">
        <v>3234</v>
      </c>
      <c r="E1780" s="2" t="s">
        <v>3360</v>
      </c>
      <c r="F1780" s="2" t="s">
        <v>1560</v>
      </c>
      <c r="G1780" s="2" t="s">
        <v>1560</v>
      </c>
      <c r="H1780" s="2" t="s">
        <v>1560</v>
      </c>
      <c r="I1780" s="2" t="s">
        <v>5876</v>
      </c>
      <c r="J1780" s="2" t="s">
        <v>850</v>
      </c>
      <c r="K1780" s="2" t="s">
        <v>123</v>
      </c>
      <c r="L1780" s="3">
        <v>36.57</v>
      </c>
      <c r="M1780" s="3">
        <v>38.4</v>
      </c>
      <c r="N1780" s="3">
        <v>79.99</v>
      </c>
      <c r="O1780" s="2" t="s">
        <v>97</v>
      </c>
      <c r="P1780" s="2" t="s">
        <v>198</v>
      </c>
      <c r="Q1780" s="2" t="s">
        <v>99</v>
      </c>
      <c r="R1780" s="2" t="s">
        <v>100</v>
      </c>
      <c r="S1780" s="2" t="s">
        <v>5836</v>
      </c>
      <c r="T1780" s="2" t="s">
        <v>100</v>
      </c>
      <c r="U1780" s="2" t="s">
        <v>1610</v>
      </c>
      <c r="V1780" s="2" t="s">
        <v>601</v>
      </c>
      <c r="W1780" s="2" t="s">
        <v>759</v>
      </c>
      <c r="X1780" s="2" t="s">
        <v>100</v>
      </c>
      <c r="Y1780" s="2" t="s">
        <v>1180</v>
      </c>
      <c r="Z1780" s="4">
        <v>23</v>
      </c>
      <c r="AA1780" s="4">
        <f>=ROUNDDOWN(3.83333333333333,0)</f>
      </c>
      <c r="AB1780" s="5">
        <v>6</v>
      </c>
      <c r="AC1780" s="2" t="s">
        <v>100</v>
      </c>
      <c r="AD1780" s="4"/>
      <c r="AE1780" s="4"/>
      <c r="AF1780" s="6">
        <v>65</v>
      </c>
      <c r="AG1780" s="6"/>
      <c r="AH1780" s="7">
        <v>0.9515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 t="s">
        <v>100</v>
      </c>
      <c r="AW1780" s="8" t="s">
        <v>100</v>
      </c>
      <c r="AX1780" s="4" t="s">
        <v>100</v>
      </c>
      <c r="AY1780" s="8" t="s">
        <v>100</v>
      </c>
      <c r="AZ1780" s="7" t="s">
        <v>100</v>
      </c>
      <c r="BA1780" s="7" t="s">
        <v>100</v>
      </c>
      <c r="BB1780" s="7"/>
      <c r="BC1780" s="4" t="s">
        <v>100</v>
      </c>
      <c r="BD1780" s="8" t="s">
        <v>100</v>
      </c>
      <c r="BE1780" s="4" t="s">
        <v>100</v>
      </c>
      <c r="BF1780" s="8" t="s">
        <v>100</v>
      </c>
      <c r="BG1780" s="7" t="s">
        <v>100</v>
      </c>
      <c r="BH1780" s="7" t="s">
        <v>100</v>
      </c>
      <c r="BI1780" s="7"/>
      <c r="BJ1780" s="4">
        <v>156</v>
      </c>
      <c r="BK1780" s="8">
        <v>4979.99</v>
      </c>
      <c r="BL1780" s="2" t="s">
        <v>5827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147</v>
      </c>
      <c r="BV1780" s="2" t="s">
        <v>97</v>
      </c>
      <c r="BW1780" s="2" t="s">
        <v>100</v>
      </c>
      <c r="BX1780" s="2" t="s">
        <v>100</v>
      </c>
      <c r="BY1780" s="2" t="s">
        <v>112</v>
      </c>
      <c r="BZ1780" s="2" t="s">
        <v>100</v>
      </c>
    </row>
    <row r="1781">
      <c r="A1781" s="2" t="s">
        <v>5883</v>
      </c>
      <c r="B1781" s="2" t="s">
        <v>87</v>
      </c>
      <c r="C1781" s="2" t="s">
        <v>5810</v>
      </c>
      <c r="D1781" s="2" t="s">
        <v>3234</v>
      </c>
      <c r="E1781" s="2" t="s">
        <v>3360</v>
      </c>
      <c r="F1781" s="2" t="s">
        <v>5841</v>
      </c>
      <c r="G1781" s="2" t="s">
        <v>5841</v>
      </c>
      <c r="H1781" s="2" t="s">
        <v>5841</v>
      </c>
      <c r="I1781" s="2" t="s">
        <v>5884</v>
      </c>
      <c r="J1781" s="2" t="s">
        <v>844</v>
      </c>
      <c r="K1781" s="2" t="s">
        <v>1204</v>
      </c>
      <c r="L1781" s="3">
        <v>32</v>
      </c>
      <c r="M1781" s="3">
        <v>33.6</v>
      </c>
      <c r="N1781" s="3">
        <v>69.99</v>
      </c>
      <c r="O1781" s="2" t="s">
        <v>229</v>
      </c>
      <c r="P1781" s="2" t="s">
        <v>198</v>
      </c>
      <c r="Q1781" s="2" t="s">
        <v>99</v>
      </c>
      <c r="R1781" s="2" t="s">
        <v>100</v>
      </c>
      <c r="S1781" s="2" t="s">
        <v>5843</v>
      </c>
      <c r="T1781" s="2" t="s">
        <v>100</v>
      </c>
      <c r="U1781" s="2" t="s">
        <v>1610</v>
      </c>
      <c r="V1781" s="2" t="s">
        <v>601</v>
      </c>
      <c r="W1781" s="2" t="s">
        <v>759</v>
      </c>
      <c r="X1781" s="2" t="s">
        <v>100</v>
      </c>
      <c r="Y1781" s="2" t="s">
        <v>5844</v>
      </c>
      <c r="Z1781" s="4">
        <v>69</v>
      </c>
      <c r="AA1781" s="4">
        <f>=ROUNDDOWN(34.5,0)</f>
      </c>
      <c r="AB1781" s="5">
        <v>2</v>
      </c>
      <c r="AC1781" s="2" t="s">
        <v>100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 t="s">
        <v>100</v>
      </c>
      <c r="AW1781" s="8" t="s">
        <v>100</v>
      </c>
      <c r="AX1781" s="4" t="s">
        <v>100</v>
      </c>
      <c r="AY1781" s="8" t="s">
        <v>100</v>
      </c>
      <c r="AZ1781" s="7" t="s">
        <v>100</v>
      </c>
      <c r="BA1781" s="7" t="s">
        <v>100</v>
      </c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>
        <v>17</v>
      </c>
      <c r="BK1781" s="8">
        <v>511.25</v>
      </c>
      <c r="BL1781" s="2" t="s">
        <v>5845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147</v>
      </c>
      <c r="BV1781" s="2" t="s">
        <v>97</v>
      </c>
      <c r="BW1781" s="2" t="s">
        <v>100</v>
      </c>
      <c r="BX1781" s="2" t="s">
        <v>100</v>
      </c>
      <c r="BY1781" s="2" t="s">
        <v>112</v>
      </c>
      <c r="BZ1781" s="2" t="s">
        <v>100</v>
      </c>
    </row>
    <row r="1782">
      <c r="A1782" s="2" t="s">
        <v>5885</v>
      </c>
      <c r="B1782" s="2" t="s">
        <v>87</v>
      </c>
      <c r="C1782" s="2" t="s">
        <v>5810</v>
      </c>
      <c r="D1782" s="2" t="s">
        <v>3234</v>
      </c>
      <c r="E1782" s="2" t="s">
        <v>3360</v>
      </c>
      <c r="F1782" s="2" t="s">
        <v>5841</v>
      </c>
      <c r="G1782" s="2" t="s">
        <v>5841</v>
      </c>
      <c r="H1782" s="2" t="s">
        <v>5841</v>
      </c>
      <c r="I1782" s="2" t="s">
        <v>5884</v>
      </c>
      <c r="J1782" s="2" t="s">
        <v>850</v>
      </c>
      <c r="K1782" s="2" t="s">
        <v>1204</v>
      </c>
      <c r="L1782" s="3">
        <v>36.57</v>
      </c>
      <c r="M1782" s="3">
        <v>38.4</v>
      </c>
      <c r="N1782" s="3">
        <v>79.99</v>
      </c>
      <c r="O1782" s="2" t="s">
        <v>229</v>
      </c>
      <c r="P1782" s="2" t="s">
        <v>198</v>
      </c>
      <c r="Q1782" s="2" t="s">
        <v>99</v>
      </c>
      <c r="R1782" s="2" t="s">
        <v>100</v>
      </c>
      <c r="S1782" s="2" t="s">
        <v>5843</v>
      </c>
      <c r="T1782" s="2" t="s">
        <v>100</v>
      </c>
      <c r="U1782" s="2" t="s">
        <v>1610</v>
      </c>
      <c r="V1782" s="2" t="s">
        <v>601</v>
      </c>
      <c r="W1782" s="2" t="s">
        <v>759</v>
      </c>
      <c r="X1782" s="2" t="s">
        <v>100</v>
      </c>
      <c r="Y1782" s="2" t="s">
        <v>5844</v>
      </c>
      <c r="Z1782" s="4">
        <v>104</v>
      </c>
      <c r="AA1782" s="4">
        <f>=ROUNDDOWN(52,0)</f>
      </c>
      <c r="AB1782" s="5">
        <v>2</v>
      </c>
      <c r="AC1782" s="2" t="s">
        <v>100</v>
      </c>
      <c r="AD1782" s="4"/>
      <c r="AE1782" s="4"/>
      <c r="AF1782" s="6">
        <v>65</v>
      </c>
      <c r="AG1782" s="6"/>
      <c r="AH1782" s="7">
        <v>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 t="s">
        <v>100</v>
      </c>
      <c r="AW1782" s="8" t="s">
        <v>100</v>
      </c>
      <c r="AX1782" s="4" t="s">
        <v>100</v>
      </c>
      <c r="AY1782" s="8" t="s">
        <v>100</v>
      </c>
      <c r="AZ1782" s="7" t="s">
        <v>100</v>
      </c>
      <c r="BA1782" s="7" t="s">
        <v>100</v>
      </c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>
        <v>22</v>
      </c>
      <c r="BK1782" s="8">
        <v>810.75</v>
      </c>
      <c r="BL1782" s="2" t="s">
        <v>5886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147</v>
      </c>
      <c r="BV1782" s="2" t="s">
        <v>97</v>
      </c>
      <c r="BW1782" s="2" t="s">
        <v>100</v>
      </c>
      <c r="BX1782" s="2" t="s">
        <v>100</v>
      </c>
      <c r="BY1782" s="2" t="s">
        <v>112</v>
      </c>
      <c r="BZ1782" s="2" t="s">
        <v>100</v>
      </c>
    </row>
    <row r="1783">
      <c r="A1783" s="2" t="s">
        <v>5887</v>
      </c>
      <c r="B1783" s="2" t="s">
        <v>87</v>
      </c>
      <c r="C1783" s="2" t="s">
        <v>5810</v>
      </c>
      <c r="D1783" s="2" t="s">
        <v>3234</v>
      </c>
      <c r="E1783" s="2" t="s">
        <v>3360</v>
      </c>
      <c r="F1783" s="2" t="s">
        <v>5841</v>
      </c>
      <c r="G1783" s="2" t="s">
        <v>5841</v>
      </c>
      <c r="H1783" s="2" t="s">
        <v>5841</v>
      </c>
      <c r="I1783" s="2" t="s">
        <v>5884</v>
      </c>
      <c r="J1783" s="2" t="s">
        <v>844</v>
      </c>
      <c r="K1783" s="2" t="s">
        <v>123</v>
      </c>
      <c r="L1783" s="3">
        <v>32</v>
      </c>
      <c r="M1783" s="3">
        <v>33.6</v>
      </c>
      <c r="N1783" s="3">
        <v>69.99</v>
      </c>
      <c r="O1783" s="2" t="s">
        <v>229</v>
      </c>
      <c r="P1783" s="2" t="s">
        <v>198</v>
      </c>
      <c r="Q1783" s="2" t="s">
        <v>99</v>
      </c>
      <c r="R1783" s="2" t="s">
        <v>100</v>
      </c>
      <c r="S1783" s="2" t="s">
        <v>5849</v>
      </c>
      <c r="T1783" s="2" t="s">
        <v>100</v>
      </c>
      <c r="U1783" s="2" t="s">
        <v>1610</v>
      </c>
      <c r="V1783" s="2" t="s">
        <v>601</v>
      </c>
      <c r="W1783" s="2" t="s">
        <v>759</v>
      </c>
      <c r="X1783" s="2" t="s">
        <v>100</v>
      </c>
      <c r="Y1783" s="2" t="s">
        <v>5844</v>
      </c>
      <c r="Z1783" s="4">
        <v>81</v>
      </c>
      <c r="AA1783" s="4">
        <f>=ROUNDDOWN(40.5,0)</f>
      </c>
      <c r="AB1783" s="5">
        <v>2</v>
      </c>
      <c r="AC1783" s="2" t="s">
        <v>100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 t="s">
        <v>100</v>
      </c>
      <c r="AW1783" s="8" t="s">
        <v>100</v>
      </c>
      <c r="AX1783" s="4" t="s">
        <v>100</v>
      </c>
      <c r="AY1783" s="8" t="s">
        <v>100</v>
      </c>
      <c r="AZ1783" s="7" t="s">
        <v>100</v>
      </c>
      <c r="BA1783" s="7" t="s">
        <v>100</v>
      </c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/>
      <c r="BJ1783" s="4">
        <v>16</v>
      </c>
      <c r="BK1783" s="8">
        <v>504.85</v>
      </c>
      <c r="BL1783" s="2" t="s">
        <v>5845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147</v>
      </c>
      <c r="BV1783" s="2" t="s">
        <v>97</v>
      </c>
      <c r="BW1783" s="2" t="s">
        <v>100</v>
      </c>
      <c r="BX1783" s="2" t="s">
        <v>100</v>
      </c>
      <c r="BY1783" s="2" t="s">
        <v>112</v>
      </c>
      <c r="BZ1783" s="2" t="s">
        <v>100</v>
      </c>
    </row>
    <row r="1784">
      <c r="A1784" s="2" t="s">
        <v>5888</v>
      </c>
      <c r="B1784" s="2" t="s">
        <v>87</v>
      </c>
      <c r="C1784" s="2" t="s">
        <v>5810</v>
      </c>
      <c r="D1784" s="2" t="s">
        <v>3234</v>
      </c>
      <c r="E1784" s="2" t="s">
        <v>3360</v>
      </c>
      <c r="F1784" s="2" t="s">
        <v>5841</v>
      </c>
      <c r="G1784" s="2" t="s">
        <v>5841</v>
      </c>
      <c r="H1784" s="2" t="s">
        <v>5841</v>
      </c>
      <c r="I1784" s="2" t="s">
        <v>5884</v>
      </c>
      <c r="J1784" s="2" t="s">
        <v>850</v>
      </c>
      <c r="K1784" s="2" t="s">
        <v>123</v>
      </c>
      <c r="L1784" s="3">
        <v>36.57</v>
      </c>
      <c r="M1784" s="3">
        <v>38.4</v>
      </c>
      <c r="N1784" s="3">
        <v>79.99</v>
      </c>
      <c r="O1784" s="2" t="s">
        <v>229</v>
      </c>
      <c r="P1784" s="2" t="s">
        <v>198</v>
      </c>
      <c r="Q1784" s="2" t="s">
        <v>99</v>
      </c>
      <c r="R1784" s="2" t="s">
        <v>100</v>
      </c>
      <c r="S1784" s="2" t="s">
        <v>5849</v>
      </c>
      <c r="T1784" s="2" t="s">
        <v>100</v>
      </c>
      <c r="U1784" s="2" t="s">
        <v>1610</v>
      </c>
      <c r="V1784" s="2" t="s">
        <v>601</v>
      </c>
      <c r="W1784" s="2" t="s">
        <v>759</v>
      </c>
      <c r="X1784" s="2" t="s">
        <v>100</v>
      </c>
      <c r="Y1784" s="2" t="s">
        <v>5844</v>
      </c>
      <c r="Z1784" s="4">
        <v>111</v>
      </c>
      <c r="AA1784" s="4">
        <f>=ROUNDDOWN(55.5,0)</f>
      </c>
      <c r="AB1784" s="5">
        <v>2</v>
      </c>
      <c r="AC1784" s="2" t="s">
        <v>100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 t="s">
        <v>100</v>
      </c>
      <c r="AW1784" s="8" t="s">
        <v>100</v>
      </c>
      <c r="AX1784" s="4" t="s">
        <v>100</v>
      </c>
      <c r="AY1784" s="8" t="s">
        <v>100</v>
      </c>
      <c r="AZ1784" s="7" t="s">
        <v>100</v>
      </c>
      <c r="BA1784" s="7" t="s">
        <v>100</v>
      </c>
      <c r="BB1784" s="7"/>
      <c r="BC1784" s="4" t="s">
        <v>100</v>
      </c>
      <c r="BD1784" s="8" t="s">
        <v>100</v>
      </c>
      <c r="BE1784" s="4" t="s">
        <v>100</v>
      </c>
      <c r="BF1784" s="8" t="s">
        <v>100</v>
      </c>
      <c r="BG1784" s="7" t="s">
        <v>100</v>
      </c>
      <c r="BH1784" s="7" t="s">
        <v>100</v>
      </c>
      <c r="BI1784" s="7"/>
      <c r="BJ1784" s="4">
        <v>24</v>
      </c>
      <c r="BK1784" s="8">
        <v>817.04</v>
      </c>
      <c r="BL1784" s="2" t="s">
        <v>3518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147</v>
      </c>
      <c r="BV1784" s="2" t="s">
        <v>97</v>
      </c>
      <c r="BW1784" s="2" t="s">
        <v>100</v>
      </c>
      <c r="BX1784" s="2" t="s">
        <v>100</v>
      </c>
      <c r="BY1784" s="2" t="s">
        <v>112</v>
      </c>
      <c r="BZ1784" s="2" t="s">
        <v>100</v>
      </c>
    </row>
    <row r="1785">
      <c r="A1785" s="2" t="s">
        <v>5889</v>
      </c>
      <c r="B1785" s="2" t="s">
        <v>87</v>
      </c>
      <c r="C1785" s="2" t="s">
        <v>5890</v>
      </c>
      <c r="D1785" s="2" t="s">
        <v>89</v>
      </c>
      <c r="E1785" s="2" t="s">
        <v>2098</v>
      </c>
      <c r="F1785" s="2" t="s">
        <v>5891</v>
      </c>
      <c r="G1785" s="2" t="s">
        <v>5891</v>
      </c>
      <c r="H1785" s="2" t="s">
        <v>5891</v>
      </c>
      <c r="I1785" s="2" t="s">
        <v>5732</v>
      </c>
      <c r="J1785" s="2" t="s">
        <v>844</v>
      </c>
      <c r="K1785" s="2" t="s">
        <v>2553</v>
      </c>
      <c r="L1785" s="3">
        <v>102.14</v>
      </c>
      <c r="M1785" s="3">
        <v>107.25</v>
      </c>
      <c r="N1785" s="3">
        <v>299.99</v>
      </c>
      <c r="O1785" s="2" t="s">
        <v>97</v>
      </c>
      <c r="P1785" s="2" t="s">
        <v>1166</v>
      </c>
      <c r="Q1785" s="2" t="s">
        <v>99</v>
      </c>
      <c r="R1785" s="2" t="s">
        <v>100</v>
      </c>
      <c r="S1785" s="2" t="s">
        <v>5892</v>
      </c>
      <c r="T1785" s="2" t="s">
        <v>100</v>
      </c>
      <c r="U1785" s="2" t="s">
        <v>1610</v>
      </c>
      <c r="V1785" s="2" t="s">
        <v>1122</v>
      </c>
      <c r="W1785" s="2" t="s">
        <v>602</v>
      </c>
      <c r="X1785" s="2" t="s">
        <v>759</v>
      </c>
      <c r="Y1785" s="2" t="s">
        <v>100</v>
      </c>
      <c r="Z1785" s="4"/>
      <c r="AA1785" s="4">
        <f>=ROUNDDOWN({0},0)</f>
      </c>
      <c r="AB1785" s="5"/>
      <c r="AC1785" s="2" t="s">
        <v>2152</v>
      </c>
      <c r="AD1785" s="4">
        <v>130</v>
      </c>
      <c r="AE1785" s="4">
        <v>260</v>
      </c>
      <c r="AF1785" s="6">
        <v>69</v>
      </c>
      <c r="AG1785" s="6"/>
      <c r="AH1785" s="7">
        <v>0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 t="s">
        <v>100</v>
      </c>
      <c r="AW1785" s="8" t="s">
        <v>100</v>
      </c>
      <c r="AX1785" s="4" t="s">
        <v>100</v>
      </c>
      <c r="AY1785" s="8" t="s">
        <v>100</v>
      </c>
      <c r="AZ1785" s="7" t="s">
        <v>100</v>
      </c>
      <c r="BA1785" s="7" t="s">
        <v>100</v>
      </c>
      <c r="BB1785" s="7"/>
      <c r="BC1785" s="4" t="s">
        <v>100</v>
      </c>
      <c r="BD1785" s="8" t="s">
        <v>100</v>
      </c>
      <c r="BE1785" s="4" t="s">
        <v>100</v>
      </c>
      <c r="BF1785" s="8" t="s">
        <v>100</v>
      </c>
      <c r="BG1785" s="7" t="s">
        <v>100</v>
      </c>
      <c r="BH1785" s="7" t="s">
        <v>100</v>
      </c>
      <c r="BI1785" s="7"/>
      <c r="BJ1785" s="4"/>
      <c r="BK1785" s="8"/>
      <c r="BL1785" s="2" t="s">
        <v>100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1171</v>
      </c>
      <c r="BV1785" s="2" t="s">
        <v>97</v>
      </c>
      <c r="BW1785" s="2" t="s">
        <v>100</v>
      </c>
      <c r="BX1785" s="2" t="s">
        <v>100</v>
      </c>
      <c r="BY1785" s="2" t="s">
        <v>112</v>
      </c>
      <c r="BZ1785" s="2" t="s">
        <v>100</v>
      </c>
    </row>
    <row r="1786">
      <c r="A1786" s="2" t="s">
        <v>5893</v>
      </c>
      <c r="B1786" s="2" t="s">
        <v>87</v>
      </c>
      <c r="C1786" s="2" t="s">
        <v>5890</v>
      </c>
      <c r="D1786" s="2" t="s">
        <v>89</v>
      </c>
      <c r="E1786" s="2" t="s">
        <v>2098</v>
      </c>
      <c r="F1786" s="2" t="s">
        <v>5891</v>
      </c>
      <c r="G1786" s="2" t="s">
        <v>5891</v>
      </c>
      <c r="H1786" s="2" t="s">
        <v>5891</v>
      </c>
      <c r="I1786" s="2" t="s">
        <v>5732</v>
      </c>
      <c r="J1786" s="2" t="s">
        <v>850</v>
      </c>
      <c r="K1786" s="2" t="s">
        <v>2553</v>
      </c>
      <c r="L1786" s="3">
        <v>119.16</v>
      </c>
      <c r="M1786" s="3">
        <v>125.12</v>
      </c>
      <c r="N1786" s="3">
        <v>349.99</v>
      </c>
      <c r="O1786" s="2" t="s">
        <v>97</v>
      </c>
      <c r="P1786" s="2" t="s">
        <v>1166</v>
      </c>
      <c r="Q1786" s="2" t="s">
        <v>99</v>
      </c>
      <c r="R1786" s="2" t="s">
        <v>100</v>
      </c>
      <c r="S1786" s="2" t="s">
        <v>5892</v>
      </c>
      <c r="T1786" s="2" t="s">
        <v>100</v>
      </c>
      <c r="U1786" s="2" t="s">
        <v>1610</v>
      </c>
      <c r="V1786" s="2" t="s">
        <v>1122</v>
      </c>
      <c r="W1786" s="2" t="s">
        <v>602</v>
      </c>
      <c r="X1786" s="2" t="s">
        <v>759</v>
      </c>
      <c r="Y1786" s="2" t="s">
        <v>100</v>
      </c>
      <c r="Z1786" s="4"/>
      <c r="AA1786" s="4">
        <f>=ROUNDDOWN({0},0)</f>
      </c>
      <c r="AB1786" s="5"/>
      <c r="AC1786" s="2" t="s">
        <v>2152</v>
      </c>
      <c r="AD1786" s="4">
        <v>118</v>
      </c>
      <c r="AE1786" s="4">
        <v>238</v>
      </c>
      <c r="AF1786" s="6">
        <v>69</v>
      </c>
      <c r="AG1786" s="6"/>
      <c r="AH1786" s="7">
        <v>0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 t="s">
        <v>100</v>
      </c>
      <c r="AW1786" s="8" t="s">
        <v>100</v>
      </c>
      <c r="AX1786" s="4" t="s">
        <v>100</v>
      </c>
      <c r="AY1786" s="8" t="s">
        <v>100</v>
      </c>
      <c r="AZ1786" s="7" t="s">
        <v>100</v>
      </c>
      <c r="BA1786" s="7" t="s">
        <v>100</v>
      </c>
      <c r="BB1786" s="7"/>
      <c r="BC1786" s="4" t="s">
        <v>100</v>
      </c>
      <c r="BD1786" s="8" t="s">
        <v>100</v>
      </c>
      <c r="BE1786" s="4" t="s">
        <v>100</v>
      </c>
      <c r="BF1786" s="8" t="s">
        <v>100</v>
      </c>
      <c r="BG1786" s="7" t="s">
        <v>100</v>
      </c>
      <c r="BH1786" s="7" t="s">
        <v>100</v>
      </c>
      <c r="BI1786" s="7"/>
      <c r="BJ1786" s="4"/>
      <c r="BK1786" s="8"/>
      <c r="BL1786" s="2" t="s">
        <v>100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1171</v>
      </c>
      <c r="BV1786" s="2" t="s">
        <v>97</v>
      </c>
      <c r="BW1786" s="2" t="s">
        <v>100</v>
      </c>
      <c r="BX1786" s="2" t="s">
        <v>100</v>
      </c>
      <c r="BY1786" s="2" t="s">
        <v>112</v>
      </c>
      <c r="BZ1786" s="2" t="s">
        <v>100</v>
      </c>
    </row>
    <row r="1787">
      <c r="A1787" s="2" t="s">
        <v>5894</v>
      </c>
      <c r="B1787" s="2" t="s">
        <v>87</v>
      </c>
      <c r="C1787" s="2" t="s">
        <v>5890</v>
      </c>
      <c r="D1787" s="2" t="s">
        <v>89</v>
      </c>
      <c r="E1787" s="2" t="s">
        <v>2098</v>
      </c>
      <c r="F1787" s="2" t="s">
        <v>2310</v>
      </c>
      <c r="G1787" s="2" t="s">
        <v>2310</v>
      </c>
      <c r="H1787" s="2" t="s">
        <v>2310</v>
      </c>
      <c r="I1787" s="2" t="s">
        <v>5895</v>
      </c>
      <c r="J1787" s="2" t="s">
        <v>844</v>
      </c>
      <c r="K1787" s="2" t="s">
        <v>123</v>
      </c>
      <c r="L1787" s="3">
        <v>102.14</v>
      </c>
      <c r="M1787" s="3">
        <v>107.25</v>
      </c>
      <c r="N1787" s="3">
        <v>299.99</v>
      </c>
      <c r="O1787" s="2" t="s">
        <v>97</v>
      </c>
      <c r="P1787" s="2" t="s">
        <v>1166</v>
      </c>
      <c r="Q1787" s="2" t="s">
        <v>99</v>
      </c>
      <c r="R1787" s="2" t="s">
        <v>100</v>
      </c>
      <c r="S1787" s="2" t="s">
        <v>5896</v>
      </c>
      <c r="T1787" s="2" t="s">
        <v>732</v>
      </c>
      <c r="U1787" s="2" t="s">
        <v>1610</v>
      </c>
      <c r="V1787" s="2" t="s">
        <v>991</v>
      </c>
      <c r="W1787" s="2" t="s">
        <v>602</v>
      </c>
      <c r="X1787" s="2" t="s">
        <v>759</v>
      </c>
      <c r="Y1787" s="2" t="s">
        <v>100</v>
      </c>
      <c r="Z1787" s="4"/>
      <c r="AA1787" s="4">
        <f>=ROUNDDOWN({0},0)</f>
      </c>
      <c r="AB1787" s="5"/>
      <c r="AC1787" s="2" t="s">
        <v>3131</v>
      </c>
      <c r="AD1787" s="4">
        <v>130</v>
      </c>
      <c r="AE1787" s="4">
        <v>130</v>
      </c>
      <c r="AF1787" s="6">
        <v>69</v>
      </c>
      <c r="AG1787" s="6"/>
      <c r="AH1787" s="7">
        <v>0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 t="s">
        <v>100</v>
      </c>
      <c r="AW1787" s="8" t="s">
        <v>100</v>
      </c>
      <c r="AX1787" s="4" t="s">
        <v>100</v>
      </c>
      <c r="AY1787" s="8" t="s">
        <v>100</v>
      </c>
      <c r="AZ1787" s="7" t="s">
        <v>100</v>
      </c>
      <c r="BA1787" s="7" t="s">
        <v>100</v>
      </c>
      <c r="BB1787" s="7"/>
      <c r="BC1787" s="4" t="s">
        <v>100</v>
      </c>
      <c r="BD1787" s="8" t="s">
        <v>100</v>
      </c>
      <c r="BE1787" s="4" t="s">
        <v>100</v>
      </c>
      <c r="BF1787" s="8" t="s">
        <v>100</v>
      </c>
      <c r="BG1787" s="7" t="s">
        <v>100</v>
      </c>
      <c r="BH1787" s="7" t="s">
        <v>100</v>
      </c>
      <c r="BI1787" s="7"/>
      <c r="BJ1787" s="4"/>
      <c r="BK1787" s="8"/>
      <c r="BL1787" s="2" t="s">
        <v>100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1171</v>
      </c>
      <c r="BV1787" s="2" t="s">
        <v>97</v>
      </c>
      <c r="BW1787" s="2" t="s">
        <v>100</v>
      </c>
      <c r="BX1787" s="2" t="s">
        <v>100</v>
      </c>
      <c r="BY1787" s="2" t="s">
        <v>112</v>
      </c>
      <c r="BZ1787" s="2" t="s">
        <v>100</v>
      </c>
    </row>
    <row r="1788">
      <c r="A1788" s="2" t="s">
        <v>5897</v>
      </c>
      <c r="B1788" s="2" t="s">
        <v>87</v>
      </c>
      <c r="C1788" s="2" t="s">
        <v>5890</v>
      </c>
      <c r="D1788" s="2" t="s">
        <v>89</v>
      </c>
      <c r="E1788" s="2" t="s">
        <v>2098</v>
      </c>
      <c r="F1788" s="2" t="s">
        <v>2310</v>
      </c>
      <c r="G1788" s="2" t="s">
        <v>2310</v>
      </c>
      <c r="H1788" s="2" t="s">
        <v>2310</v>
      </c>
      <c r="I1788" s="2" t="s">
        <v>5895</v>
      </c>
      <c r="J1788" s="2" t="s">
        <v>850</v>
      </c>
      <c r="K1788" s="2" t="s">
        <v>123</v>
      </c>
      <c r="L1788" s="3">
        <v>119.16</v>
      </c>
      <c r="M1788" s="3">
        <v>125.12</v>
      </c>
      <c r="N1788" s="3">
        <v>349.99</v>
      </c>
      <c r="O1788" s="2" t="s">
        <v>97</v>
      </c>
      <c r="P1788" s="2" t="s">
        <v>1166</v>
      </c>
      <c r="Q1788" s="2" t="s">
        <v>99</v>
      </c>
      <c r="R1788" s="2" t="s">
        <v>100</v>
      </c>
      <c r="S1788" s="2" t="s">
        <v>5896</v>
      </c>
      <c r="T1788" s="2" t="s">
        <v>732</v>
      </c>
      <c r="U1788" s="2" t="s">
        <v>1610</v>
      </c>
      <c r="V1788" s="2" t="s">
        <v>991</v>
      </c>
      <c r="W1788" s="2" t="s">
        <v>104</v>
      </c>
      <c r="X1788" s="2" t="s">
        <v>759</v>
      </c>
      <c r="Y1788" s="2" t="s">
        <v>100</v>
      </c>
      <c r="Z1788" s="4"/>
      <c r="AA1788" s="4">
        <f>=ROUNDDOWN({0},0)</f>
      </c>
      <c r="AB1788" s="5"/>
      <c r="AC1788" s="2" t="s">
        <v>3131</v>
      </c>
      <c r="AD1788" s="4">
        <v>120</v>
      </c>
      <c r="AE1788" s="4">
        <v>120</v>
      </c>
      <c r="AF1788" s="6">
        <v>69</v>
      </c>
      <c r="AG1788" s="6"/>
      <c r="AH1788" s="7">
        <v>0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100</v>
      </c>
      <c r="AW1788" s="8" t="s">
        <v>100</v>
      </c>
      <c r="AX1788" s="4" t="s">
        <v>100</v>
      </c>
      <c r="AY1788" s="8" t="s">
        <v>100</v>
      </c>
      <c r="AZ1788" s="7" t="s">
        <v>100</v>
      </c>
      <c r="BA1788" s="7" t="s">
        <v>100</v>
      </c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/>
      <c r="BJ1788" s="4"/>
      <c r="BK1788" s="8"/>
      <c r="BL1788" s="2" t="s">
        <v>100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1171</v>
      </c>
      <c r="BV1788" s="2" t="s">
        <v>97</v>
      </c>
      <c r="BW1788" s="2" t="s">
        <v>100</v>
      </c>
      <c r="BX1788" s="2" t="s">
        <v>100</v>
      </c>
      <c r="BY1788" s="2" t="s">
        <v>112</v>
      </c>
      <c r="BZ1788" s="2" t="s">
        <v>100</v>
      </c>
    </row>
    <row r="1789">
      <c r="A1789" s="2" t="s">
        <v>5898</v>
      </c>
      <c r="B1789" s="2" t="s">
        <v>87</v>
      </c>
      <c r="C1789" s="2" t="s">
        <v>5899</v>
      </c>
      <c r="D1789" s="2" t="s">
        <v>89</v>
      </c>
      <c r="E1789" s="2" t="s">
        <v>90</v>
      </c>
      <c r="F1789" s="2" t="s">
        <v>5900</v>
      </c>
      <c r="G1789" s="2" t="s">
        <v>5901</v>
      </c>
      <c r="H1789" s="2" t="s">
        <v>5902</v>
      </c>
      <c r="I1789" s="2" t="s">
        <v>5903</v>
      </c>
      <c r="J1789" s="2" t="s">
        <v>844</v>
      </c>
      <c r="K1789" s="2" t="s">
        <v>123</v>
      </c>
      <c r="L1789" s="3">
        <v>72.33</v>
      </c>
      <c r="M1789" s="3">
        <v>75.94</v>
      </c>
      <c r="N1789" s="3">
        <v>159.99</v>
      </c>
      <c r="O1789" s="2" t="s">
        <v>97</v>
      </c>
      <c r="P1789" s="2" t="s">
        <v>182</v>
      </c>
      <c r="Q1789" s="2" t="s">
        <v>99</v>
      </c>
      <c r="R1789" s="2" t="s">
        <v>100</v>
      </c>
      <c r="S1789" s="2" t="s">
        <v>5904</v>
      </c>
      <c r="T1789" s="2" t="s">
        <v>732</v>
      </c>
      <c r="U1789" s="2" t="s">
        <v>790</v>
      </c>
      <c r="V1789" s="2" t="s">
        <v>601</v>
      </c>
      <c r="W1789" s="2" t="s">
        <v>759</v>
      </c>
      <c r="X1789" s="2" t="s">
        <v>3896</v>
      </c>
      <c r="Y1789" s="2" t="s">
        <v>2331</v>
      </c>
      <c r="Z1789" s="4">
        <v>193</v>
      </c>
      <c r="AA1789" s="4">
        <f>=ROUNDDOWN(19.3,0)</f>
      </c>
      <c r="AB1789" s="5">
        <v>10</v>
      </c>
      <c r="AC1789" s="2" t="s">
        <v>1248</v>
      </c>
      <c r="AD1789" s="4">
        <v>460</v>
      </c>
      <c r="AE1789" s="4">
        <v>460</v>
      </c>
      <c r="AF1789" s="6">
        <v>67</v>
      </c>
      <c r="AG1789" s="6"/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100</v>
      </c>
      <c r="AW1789" s="8" t="s">
        <v>100</v>
      </c>
      <c r="AX1789" s="4" t="s">
        <v>100</v>
      </c>
      <c r="AY1789" s="8" t="s">
        <v>100</v>
      </c>
      <c r="AZ1789" s="7" t="s">
        <v>100</v>
      </c>
      <c r="BA1789" s="7" t="s">
        <v>100</v>
      </c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>
        <v>251</v>
      </c>
      <c r="BK1789" s="8">
        <v>19496.4</v>
      </c>
      <c r="BL1789" s="2" t="s">
        <v>5905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147</v>
      </c>
      <c r="BV1789" s="2" t="s">
        <v>97</v>
      </c>
      <c r="BW1789" s="2" t="s">
        <v>100</v>
      </c>
      <c r="BX1789" s="2" t="s">
        <v>100</v>
      </c>
      <c r="BY1789" s="2" t="s">
        <v>112</v>
      </c>
      <c r="BZ1789" s="2" t="s">
        <v>100</v>
      </c>
    </row>
    <row r="1790">
      <c r="A1790" s="2" t="s">
        <v>5906</v>
      </c>
      <c r="B1790" s="2" t="s">
        <v>87</v>
      </c>
      <c r="C1790" s="2" t="s">
        <v>5899</v>
      </c>
      <c r="D1790" s="2" t="s">
        <v>89</v>
      </c>
      <c r="E1790" s="2" t="s">
        <v>90</v>
      </c>
      <c r="F1790" s="2" t="s">
        <v>5900</v>
      </c>
      <c r="G1790" s="2" t="s">
        <v>5901</v>
      </c>
      <c r="H1790" s="2" t="s">
        <v>5902</v>
      </c>
      <c r="I1790" s="2" t="s">
        <v>5903</v>
      </c>
      <c r="J1790" s="2" t="s">
        <v>850</v>
      </c>
      <c r="K1790" s="2" t="s">
        <v>123</v>
      </c>
      <c r="L1790" s="3">
        <v>82.67</v>
      </c>
      <c r="M1790" s="3">
        <v>86.8</v>
      </c>
      <c r="N1790" s="3">
        <v>179.99</v>
      </c>
      <c r="O1790" s="2" t="s">
        <v>97</v>
      </c>
      <c r="P1790" s="2" t="s">
        <v>182</v>
      </c>
      <c r="Q1790" s="2" t="s">
        <v>99</v>
      </c>
      <c r="R1790" s="2" t="s">
        <v>100</v>
      </c>
      <c r="S1790" s="2" t="s">
        <v>5904</v>
      </c>
      <c r="T1790" s="2" t="s">
        <v>732</v>
      </c>
      <c r="U1790" s="2" t="s">
        <v>790</v>
      </c>
      <c r="V1790" s="2" t="s">
        <v>601</v>
      </c>
      <c r="W1790" s="2" t="s">
        <v>759</v>
      </c>
      <c r="X1790" s="2" t="s">
        <v>3896</v>
      </c>
      <c r="Y1790" s="2" t="s">
        <v>2331</v>
      </c>
      <c r="Z1790" s="4">
        <v>393</v>
      </c>
      <c r="AA1790" s="4">
        <f>=ROUNDDOWN(23.1176470588235,0)</f>
      </c>
      <c r="AB1790" s="5">
        <v>17</v>
      </c>
      <c r="AC1790" s="2" t="s">
        <v>1248</v>
      </c>
      <c r="AD1790" s="4">
        <v>540</v>
      </c>
      <c r="AE1790" s="4">
        <v>540</v>
      </c>
      <c r="AF1790" s="6">
        <v>67</v>
      </c>
      <c r="AG1790" s="6"/>
      <c r="AH1790" s="7">
        <v>0.9455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100</v>
      </c>
      <c r="AW1790" s="8" t="s">
        <v>100</v>
      </c>
      <c r="AX1790" s="4" t="s">
        <v>100</v>
      </c>
      <c r="AY1790" s="8" t="s">
        <v>100</v>
      </c>
      <c r="AZ1790" s="7" t="s">
        <v>100</v>
      </c>
      <c r="BA1790" s="7" t="s">
        <v>100</v>
      </c>
      <c r="BB1790" s="7"/>
      <c r="BC1790" s="4" t="s">
        <v>100</v>
      </c>
      <c r="BD1790" s="8" t="s">
        <v>100</v>
      </c>
      <c r="BE1790" s="4" t="s">
        <v>100</v>
      </c>
      <c r="BF1790" s="8" t="s">
        <v>100</v>
      </c>
      <c r="BG1790" s="7" t="s">
        <v>100</v>
      </c>
      <c r="BH1790" s="7" t="s">
        <v>100</v>
      </c>
      <c r="BI1790" s="7"/>
      <c r="BJ1790" s="4">
        <v>360</v>
      </c>
      <c r="BK1790" s="8">
        <v>32037.4</v>
      </c>
      <c r="BL1790" s="2" t="s">
        <v>5907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147</v>
      </c>
      <c r="BV1790" s="2" t="s">
        <v>97</v>
      </c>
      <c r="BW1790" s="2" t="s">
        <v>100</v>
      </c>
      <c r="BX1790" s="2" t="s">
        <v>100</v>
      </c>
      <c r="BY1790" s="2" t="s">
        <v>112</v>
      </c>
      <c r="BZ1790" s="2" t="s">
        <v>100</v>
      </c>
    </row>
    <row r="1791">
      <c r="A1791" s="2" t="s">
        <v>5908</v>
      </c>
      <c r="B1791" s="2" t="s">
        <v>87</v>
      </c>
      <c r="C1791" s="2" t="s">
        <v>5899</v>
      </c>
      <c r="D1791" s="2" t="s">
        <v>89</v>
      </c>
      <c r="E1791" s="2" t="s">
        <v>2098</v>
      </c>
      <c r="F1791" s="2" t="s">
        <v>1748</v>
      </c>
      <c r="G1791" s="2" t="s">
        <v>5909</v>
      </c>
      <c r="H1791" s="2" t="s">
        <v>1346</v>
      </c>
      <c r="I1791" s="2" t="s">
        <v>5910</v>
      </c>
      <c r="J1791" s="2" t="s">
        <v>844</v>
      </c>
      <c r="K1791" s="2" t="s">
        <v>622</v>
      </c>
      <c r="L1791" s="3">
        <v>80.95</v>
      </c>
      <c r="M1791" s="3">
        <v>85</v>
      </c>
      <c r="N1791" s="3">
        <v>169.99</v>
      </c>
      <c r="O1791" s="2" t="s">
        <v>97</v>
      </c>
      <c r="P1791" s="2" t="s">
        <v>3737</v>
      </c>
      <c r="Q1791" s="2" t="s">
        <v>99</v>
      </c>
      <c r="R1791" s="2" t="s">
        <v>100</v>
      </c>
      <c r="S1791" s="2" t="s">
        <v>5911</v>
      </c>
      <c r="T1791" s="2" t="s">
        <v>100</v>
      </c>
      <c r="U1791" s="2" t="s">
        <v>1482</v>
      </c>
      <c r="V1791" s="2" t="s">
        <v>601</v>
      </c>
      <c r="W1791" s="2" t="s">
        <v>759</v>
      </c>
      <c r="X1791" s="2" t="s">
        <v>3896</v>
      </c>
      <c r="Y1791" s="2" t="s">
        <v>415</v>
      </c>
      <c r="Z1791" s="4">
        <v>256</v>
      </c>
      <c r="AA1791" s="4">
        <f>=ROUNDDOWN(25.6,0)</f>
      </c>
      <c r="AB1791" s="5">
        <v>10</v>
      </c>
      <c r="AC1791" s="2" t="s">
        <v>100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100</v>
      </c>
      <c r="AW1791" s="8" t="s">
        <v>100</v>
      </c>
      <c r="AX1791" s="4" t="s">
        <v>100</v>
      </c>
      <c r="AY1791" s="8" t="s">
        <v>100</v>
      </c>
      <c r="AZ1791" s="7" t="s">
        <v>100</v>
      </c>
      <c r="BA1791" s="7" t="s">
        <v>100</v>
      </c>
      <c r="BB1791" s="7"/>
      <c r="BC1791" s="4" t="s">
        <v>100</v>
      </c>
      <c r="BD1791" s="8" t="s">
        <v>100</v>
      </c>
      <c r="BE1791" s="4" t="s">
        <v>100</v>
      </c>
      <c r="BF1791" s="8" t="s">
        <v>100</v>
      </c>
      <c r="BG1791" s="7" t="s">
        <v>100</v>
      </c>
      <c r="BH1791" s="7" t="s">
        <v>100</v>
      </c>
      <c r="BI1791" s="7"/>
      <c r="BJ1791" s="4">
        <v>132</v>
      </c>
      <c r="BK1791" s="8">
        <v>11607.64</v>
      </c>
      <c r="BL1791" s="2" t="s">
        <v>5912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147</v>
      </c>
      <c r="BV1791" s="2" t="s">
        <v>97</v>
      </c>
      <c r="BW1791" s="2" t="s">
        <v>100</v>
      </c>
      <c r="BX1791" s="2" t="s">
        <v>100</v>
      </c>
      <c r="BY1791" s="2" t="s">
        <v>112</v>
      </c>
      <c r="BZ1791" s="2" t="s">
        <v>100</v>
      </c>
    </row>
    <row r="1792">
      <c r="A1792" s="2" t="s">
        <v>5913</v>
      </c>
      <c r="B1792" s="2" t="s">
        <v>87</v>
      </c>
      <c r="C1792" s="2" t="s">
        <v>5899</v>
      </c>
      <c r="D1792" s="2" t="s">
        <v>89</v>
      </c>
      <c r="E1792" s="2" t="s">
        <v>2098</v>
      </c>
      <c r="F1792" s="2" t="s">
        <v>1748</v>
      </c>
      <c r="G1792" s="2" t="s">
        <v>5909</v>
      </c>
      <c r="H1792" s="2" t="s">
        <v>1346</v>
      </c>
      <c r="I1792" s="2" t="s">
        <v>5910</v>
      </c>
      <c r="J1792" s="2" t="s">
        <v>850</v>
      </c>
      <c r="K1792" s="2" t="s">
        <v>622</v>
      </c>
      <c r="L1792" s="3">
        <v>90.47</v>
      </c>
      <c r="M1792" s="3">
        <v>94.99</v>
      </c>
      <c r="N1792" s="3">
        <v>189.99</v>
      </c>
      <c r="O1792" s="2" t="s">
        <v>97</v>
      </c>
      <c r="P1792" s="2" t="s">
        <v>3737</v>
      </c>
      <c r="Q1792" s="2" t="s">
        <v>99</v>
      </c>
      <c r="R1792" s="2" t="s">
        <v>100</v>
      </c>
      <c r="S1792" s="2" t="s">
        <v>5911</v>
      </c>
      <c r="T1792" s="2" t="s">
        <v>100</v>
      </c>
      <c r="U1792" s="2" t="s">
        <v>1482</v>
      </c>
      <c r="V1792" s="2" t="s">
        <v>601</v>
      </c>
      <c r="W1792" s="2" t="s">
        <v>759</v>
      </c>
      <c r="X1792" s="2" t="s">
        <v>3896</v>
      </c>
      <c r="Y1792" s="2" t="s">
        <v>415</v>
      </c>
      <c r="Z1792" s="4">
        <v>223</v>
      </c>
      <c r="AA1792" s="4">
        <f>=ROUNDDOWN(34.3076923076923,0)</f>
      </c>
      <c r="AB1792" s="5">
        <v>6.5</v>
      </c>
      <c r="AC1792" s="2" t="s">
        <v>100</v>
      </c>
      <c r="AD1792" s="4"/>
      <c r="AE1792" s="4"/>
      <c r="AF1792" s="6">
        <v>65</v>
      </c>
      <c r="AG1792" s="6"/>
      <c r="AH1792" s="7">
        <v>0.9212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100</v>
      </c>
      <c r="AW1792" s="8" t="s">
        <v>100</v>
      </c>
      <c r="AX1792" s="4" t="s">
        <v>100</v>
      </c>
      <c r="AY1792" s="8" t="s">
        <v>100</v>
      </c>
      <c r="AZ1792" s="7" t="s">
        <v>100</v>
      </c>
      <c r="BA1792" s="7" t="s">
        <v>100</v>
      </c>
      <c r="BB1792" s="7"/>
      <c r="BC1792" s="4" t="s">
        <v>100</v>
      </c>
      <c r="BD1792" s="8" t="s">
        <v>100</v>
      </c>
      <c r="BE1792" s="4" t="s">
        <v>100</v>
      </c>
      <c r="BF1792" s="8" t="s">
        <v>100</v>
      </c>
      <c r="BG1792" s="7" t="s">
        <v>100</v>
      </c>
      <c r="BH1792" s="7" t="s">
        <v>100</v>
      </c>
      <c r="BI1792" s="7"/>
      <c r="BJ1792" s="4">
        <v>190</v>
      </c>
      <c r="BK1792" s="8">
        <v>18665.56</v>
      </c>
      <c r="BL1792" s="2" t="s">
        <v>5914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147</v>
      </c>
      <c r="BV1792" s="2" t="s">
        <v>97</v>
      </c>
      <c r="BW1792" s="2" t="s">
        <v>100</v>
      </c>
      <c r="BX1792" s="2" t="s">
        <v>100</v>
      </c>
      <c r="BY1792" s="2" t="s">
        <v>112</v>
      </c>
      <c r="BZ1792" s="2" t="s">
        <v>100</v>
      </c>
    </row>
    <row r="1793">
      <c r="A1793" s="2" t="s">
        <v>5915</v>
      </c>
      <c r="B1793" s="2" t="s">
        <v>87</v>
      </c>
      <c r="C1793" s="2" t="s">
        <v>5899</v>
      </c>
      <c r="D1793" s="2" t="s">
        <v>3234</v>
      </c>
      <c r="E1793" s="2" t="s">
        <v>3360</v>
      </c>
      <c r="F1793" s="2" t="s">
        <v>5900</v>
      </c>
      <c r="G1793" s="2" t="s">
        <v>5901</v>
      </c>
      <c r="H1793" s="2" t="s">
        <v>5902</v>
      </c>
      <c r="I1793" s="2" t="s">
        <v>5916</v>
      </c>
      <c r="J1793" s="2" t="s">
        <v>844</v>
      </c>
      <c r="K1793" s="2" t="s">
        <v>123</v>
      </c>
      <c r="L1793" s="3">
        <v>55.78</v>
      </c>
      <c r="M1793" s="3">
        <v>58.57</v>
      </c>
      <c r="N1793" s="3">
        <v>129.99</v>
      </c>
      <c r="O1793" s="2" t="s">
        <v>97</v>
      </c>
      <c r="P1793" s="2" t="s">
        <v>182</v>
      </c>
      <c r="Q1793" s="2" t="s">
        <v>99</v>
      </c>
      <c r="R1793" s="2" t="s">
        <v>100</v>
      </c>
      <c r="S1793" s="2" t="s">
        <v>5904</v>
      </c>
      <c r="T1793" s="2" t="s">
        <v>732</v>
      </c>
      <c r="U1793" s="2" t="s">
        <v>1610</v>
      </c>
      <c r="V1793" s="2" t="s">
        <v>601</v>
      </c>
      <c r="W1793" s="2" t="s">
        <v>759</v>
      </c>
      <c r="X1793" s="2" t="s">
        <v>5917</v>
      </c>
      <c r="Y1793" s="2" t="s">
        <v>2331</v>
      </c>
      <c r="Z1793" s="4">
        <v>263</v>
      </c>
      <c r="AA1793" s="4">
        <f>=ROUNDDOWN(52.6,0)</f>
      </c>
      <c r="AB1793" s="5">
        <v>5</v>
      </c>
      <c r="AC1793" s="2" t="s">
        <v>100</v>
      </c>
      <c r="AD1793" s="4"/>
      <c r="AE1793" s="4"/>
      <c r="AF1793" s="6">
        <v>67</v>
      </c>
      <c r="AG1793" s="6"/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100</v>
      </c>
      <c r="AW1793" s="8" t="s">
        <v>100</v>
      </c>
      <c r="AX1793" s="4" t="s">
        <v>100</v>
      </c>
      <c r="AY1793" s="8" t="s">
        <v>100</v>
      </c>
      <c r="AZ1793" s="7" t="s">
        <v>100</v>
      </c>
      <c r="BA1793" s="7" t="s">
        <v>100</v>
      </c>
      <c r="BB1793" s="7"/>
      <c r="BC1793" s="4" t="s">
        <v>100</v>
      </c>
      <c r="BD1793" s="8" t="s">
        <v>100</v>
      </c>
      <c r="BE1793" s="4" t="s">
        <v>100</v>
      </c>
      <c r="BF1793" s="8" t="s">
        <v>100</v>
      </c>
      <c r="BG1793" s="7" t="s">
        <v>100</v>
      </c>
      <c r="BH1793" s="7" t="s">
        <v>100</v>
      </c>
      <c r="BI1793" s="7"/>
      <c r="BJ1793" s="4">
        <v>99</v>
      </c>
      <c r="BK1793" s="8">
        <v>5916.55</v>
      </c>
      <c r="BL1793" s="2" t="s">
        <v>5918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147</v>
      </c>
      <c r="BV1793" s="2" t="s">
        <v>97</v>
      </c>
      <c r="BW1793" s="2" t="s">
        <v>100</v>
      </c>
      <c r="BX1793" s="2" t="s">
        <v>100</v>
      </c>
      <c r="BY1793" s="2" t="s">
        <v>112</v>
      </c>
      <c r="BZ1793" s="2" t="s">
        <v>100</v>
      </c>
    </row>
    <row r="1794">
      <c r="A1794" s="2" t="s">
        <v>5919</v>
      </c>
      <c r="B1794" s="2" t="s">
        <v>87</v>
      </c>
      <c r="C1794" s="2" t="s">
        <v>5899</v>
      </c>
      <c r="D1794" s="2" t="s">
        <v>3234</v>
      </c>
      <c r="E1794" s="2" t="s">
        <v>3360</v>
      </c>
      <c r="F1794" s="2" t="s">
        <v>5900</v>
      </c>
      <c r="G1794" s="2" t="s">
        <v>5901</v>
      </c>
      <c r="H1794" s="2" t="s">
        <v>5902</v>
      </c>
      <c r="I1794" s="2" t="s">
        <v>5916</v>
      </c>
      <c r="J1794" s="2" t="s">
        <v>850</v>
      </c>
      <c r="K1794" s="2" t="s">
        <v>123</v>
      </c>
      <c r="L1794" s="3">
        <v>60.85</v>
      </c>
      <c r="M1794" s="3">
        <v>63.9</v>
      </c>
      <c r="N1794" s="3">
        <v>139.99</v>
      </c>
      <c r="O1794" s="2" t="s">
        <v>97</v>
      </c>
      <c r="P1794" s="2" t="s">
        <v>182</v>
      </c>
      <c r="Q1794" s="2" t="s">
        <v>99</v>
      </c>
      <c r="R1794" s="2" t="s">
        <v>100</v>
      </c>
      <c r="S1794" s="2" t="s">
        <v>5904</v>
      </c>
      <c r="T1794" s="2" t="s">
        <v>732</v>
      </c>
      <c r="U1794" s="2" t="s">
        <v>1610</v>
      </c>
      <c r="V1794" s="2" t="s">
        <v>601</v>
      </c>
      <c r="W1794" s="2" t="s">
        <v>759</v>
      </c>
      <c r="X1794" s="2" t="s">
        <v>5917</v>
      </c>
      <c r="Y1794" s="2" t="s">
        <v>2331</v>
      </c>
      <c r="Z1794" s="4">
        <v>511</v>
      </c>
      <c r="AA1794" s="4">
        <f>=ROUNDDOWN(51.1,0)</f>
      </c>
      <c r="AB1794" s="5">
        <v>10</v>
      </c>
      <c r="AC1794" s="2" t="s">
        <v>100</v>
      </c>
      <c r="AD1794" s="4"/>
      <c r="AE1794" s="4"/>
      <c r="AF1794" s="6">
        <v>67</v>
      </c>
      <c r="AG1794" s="6"/>
      <c r="AH1794" s="7">
        <v>0.8727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100</v>
      </c>
      <c r="AW1794" s="8" t="s">
        <v>100</v>
      </c>
      <c r="AX1794" s="4" t="s">
        <v>100</v>
      </c>
      <c r="AY1794" s="8" t="s">
        <v>100</v>
      </c>
      <c r="AZ1794" s="7" t="s">
        <v>100</v>
      </c>
      <c r="BA1794" s="7" t="s">
        <v>100</v>
      </c>
      <c r="BB1794" s="7"/>
      <c r="BC1794" s="4" t="s">
        <v>100</v>
      </c>
      <c r="BD1794" s="8" t="s">
        <v>100</v>
      </c>
      <c r="BE1794" s="4" t="s">
        <v>100</v>
      </c>
      <c r="BF1794" s="8" t="s">
        <v>100</v>
      </c>
      <c r="BG1794" s="7" t="s">
        <v>100</v>
      </c>
      <c r="BH1794" s="7" t="s">
        <v>100</v>
      </c>
      <c r="BI1794" s="7"/>
      <c r="BJ1794" s="4">
        <v>148</v>
      </c>
      <c r="BK1794" s="8">
        <v>9647.23</v>
      </c>
      <c r="BL1794" s="2" t="s">
        <v>5920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147</v>
      </c>
      <c r="BV1794" s="2" t="s">
        <v>97</v>
      </c>
      <c r="BW1794" s="2" t="s">
        <v>100</v>
      </c>
      <c r="BX1794" s="2" t="s">
        <v>100</v>
      </c>
      <c r="BY1794" s="2" t="s">
        <v>112</v>
      </c>
      <c r="BZ1794" s="2" t="s">
        <v>100</v>
      </c>
    </row>
    <row r="1795">
      <c r="A1795" s="2" t="s">
        <v>5921</v>
      </c>
      <c r="B1795" s="2" t="s">
        <v>87</v>
      </c>
      <c r="C1795" s="2" t="s">
        <v>5899</v>
      </c>
      <c r="D1795" s="2" t="s">
        <v>3234</v>
      </c>
      <c r="E1795" s="2" t="s">
        <v>3360</v>
      </c>
      <c r="F1795" s="2" t="s">
        <v>1748</v>
      </c>
      <c r="G1795" s="2" t="s">
        <v>5909</v>
      </c>
      <c r="H1795" s="2" t="s">
        <v>1346</v>
      </c>
      <c r="I1795" s="2" t="s">
        <v>5922</v>
      </c>
      <c r="J1795" s="2" t="s">
        <v>844</v>
      </c>
      <c r="K1795" s="2" t="s">
        <v>622</v>
      </c>
      <c r="L1795" s="3">
        <v>61.9</v>
      </c>
      <c r="M1795" s="3">
        <v>65</v>
      </c>
      <c r="N1795" s="3">
        <v>129.99</v>
      </c>
      <c r="O1795" s="2" t="s">
        <v>97</v>
      </c>
      <c r="P1795" s="2" t="s">
        <v>3737</v>
      </c>
      <c r="Q1795" s="2" t="s">
        <v>99</v>
      </c>
      <c r="R1795" s="2" t="s">
        <v>100</v>
      </c>
      <c r="S1795" s="2" t="s">
        <v>5911</v>
      </c>
      <c r="T1795" s="2" t="s">
        <v>100</v>
      </c>
      <c r="U1795" s="2" t="s">
        <v>1610</v>
      </c>
      <c r="V1795" s="2" t="s">
        <v>601</v>
      </c>
      <c r="W1795" s="2" t="s">
        <v>759</v>
      </c>
      <c r="X1795" s="2" t="s">
        <v>3896</v>
      </c>
      <c r="Y1795" s="2" t="s">
        <v>415</v>
      </c>
      <c r="Z1795" s="4">
        <v>358</v>
      </c>
      <c r="AA1795" s="4">
        <f>=ROUNDDOWN(44.75,0)</f>
      </c>
      <c r="AB1795" s="5">
        <v>8</v>
      </c>
      <c r="AC1795" s="2" t="s">
        <v>100</v>
      </c>
      <c r="AD1795" s="4"/>
      <c r="AE1795" s="4"/>
      <c r="AF1795" s="6">
        <v>65</v>
      </c>
      <c r="AG1795" s="6"/>
      <c r="AH1795" s="7">
        <v>0.8848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100</v>
      </c>
      <c r="AW1795" s="8" t="s">
        <v>100</v>
      </c>
      <c r="AX1795" s="4" t="s">
        <v>100</v>
      </c>
      <c r="AY1795" s="8" t="s">
        <v>100</v>
      </c>
      <c r="AZ1795" s="7" t="s">
        <v>100</v>
      </c>
      <c r="BA1795" s="7" t="s">
        <v>100</v>
      </c>
      <c r="BB1795" s="7"/>
      <c r="BC1795" s="4" t="s">
        <v>100</v>
      </c>
      <c r="BD1795" s="8" t="s">
        <v>100</v>
      </c>
      <c r="BE1795" s="4" t="s">
        <v>100</v>
      </c>
      <c r="BF1795" s="8" t="s">
        <v>100</v>
      </c>
      <c r="BG1795" s="7" t="s">
        <v>100</v>
      </c>
      <c r="BH1795" s="7" t="s">
        <v>100</v>
      </c>
      <c r="BI1795" s="7"/>
      <c r="BJ1795" s="4">
        <v>114</v>
      </c>
      <c r="BK1795" s="8">
        <v>7784.49</v>
      </c>
      <c r="BL1795" s="2" t="s">
        <v>5923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147</v>
      </c>
      <c r="BV1795" s="2" t="s">
        <v>97</v>
      </c>
      <c r="BW1795" s="2" t="s">
        <v>100</v>
      </c>
      <c r="BX1795" s="2" t="s">
        <v>100</v>
      </c>
      <c r="BY1795" s="2" t="s">
        <v>112</v>
      </c>
      <c r="BZ1795" s="2" t="s">
        <v>100</v>
      </c>
    </row>
    <row r="1796">
      <c r="A1796" s="2" t="s">
        <v>5924</v>
      </c>
      <c r="B1796" s="2" t="s">
        <v>87</v>
      </c>
      <c r="C1796" s="2" t="s">
        <v>5899</v>
      </c>
      <c r="D1796" s="2" t="s">
        <v>3234</v>
      </c>
      <c r="E1796" s="2" t="s">
        <v>3360</v>
      </c>
      <c r="F1796" s="2" t="s">
        <v>1748</v>
      </c>
      <c r="G1796" s="2" t="s">
        <v>5909</v>
      </c>
      <c r="H1796" s="2" t="s">
        <v>1346</v>
      </c>
      <c r="I1796" s="2" t="s">
        <v>5922</v>
      </c>
      <c r="J1796" s="2" t="s">
        <v>850</v>
      </c>
      <c r="K1796" s="2" t="s">
        <v>622</v>
      </c>
      <c r="L1796" s="3">
        <v>66.66</v>
      </c>
      <c r="M1796" s="3">
        <v>69.99</v>
      </c>
      <c r="N1796" s="3">
        <v>139.99</v>
      </c>
      <c r="O1796" s="2" t="s">
        <v>97</v>
      </c>
      <c r="P1796" s="2" t="s">
        <v>3737</v>
      </c>
      <c r="Q1796" s="2" t="s">
        <v>99</v>
      </c>
      <c r="R1796" s="2" t="s">
        <v>100</v>
      </c>
      <c r="S1796" s="2" t="s">
        <v>5911</v>
      </c>
      <c r="T1796" s="2" t="s">
        <v>100</v>
      </c>
      <c r="U1796" s="2" t="s">
        <v>1610</v>
      </c>
      <c r="V1796" s="2" t="s">
        <v>601</v>
      </c>
      <c r="W1796" s="2" t="s">
        <v>759</v>
      </c>
      <c r="X1796" s="2" t="s">
        <v>3896</v>
      </c>
      <c r="Y1796" s="2" t="s">
        <v>415</v>
      </c>
      <c r="Z1796" s="4">
        <v>228</v>
      </c>
      <c r="AA1796" s="4">
        <f>=ROUNDDOWN(29.2307692307692,0)</f>
      </c>
      <c r="AB1796" s="5">
        <v>7.8</v>
      </c>
      <c r="AC1796" s="2" t="s">
        <v>100</v>
      </c>
      <c r="AD1796" s="4"/>
      <c r="AE1796" s="4"/>
      <c r="AF1796" s="6">
        <v>65</v>
      </c>
      <c r="AG1796" s="6"/>
      <c r="AH1796" s="7">
        <v>0.8121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100</v>
      </c>
      <c r="AW1796" s="8" t="s">
        <v>100</v>
      </c>
      <c r="AX1796" s="4" t="s">
        <v>100</v>
      </c>
      <c r="AY1796" s="8" t="s">
        <v>100</v>
      </c>
      <c r="AZ1796" s="7" t="s">
        <v>100</v>
      </c>
      <c r="BA1796" s="7" t="s">
        <v>100</v>
      </c>
      <c r="BB1796" s="7"/>
      <c r="BC1796" s="4" t="s">
        <v>100</v>
      </c>
      <c r="BD1796" s="8" t="s">
        <v>100</v>
      </c>
      <c r="BE1796" s="4" t="s">
        <v>100</v>
      </c>
      <c r="BF1796" s="8" t="s">
        <v>100</v>
      </c>
      <c r="BG1796" s="7" t="s">
        <v>100</v>
      </c>
      <c r="BH1796" s="7" t="s">
        <v>100</v>
      </c>
      <c r="BI1796" s="7"/>
      <c r="BJ1796" s="4">
        <v>154</v>
      </c>
      <c r="BK1796" s="8">
        <v>11173.72</v>
      </c>
      <c r="BL1796" s="2" t="s">
        <v>5920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147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5925</v>
      </c>
      <c r="B1797" s="2" t="s">
        <v>87</v>
      </c>
      <c r="C1797" s="2" t="s">
        <v>5926</v>
      </c>
      <c r="D1797" s="2" t="s">
        <v>3234</v>
      </c>
      <c r="E1797" s="2" t="s">
        <v>3235</v>
      </c>
      <c r="F1797" s="2" t="s">
        <v>5927</v>
      </c>
      <c r="G1797" s="2" t="s">
        <v>100</v>
      </c>
      <c r="H1797" s="2" t="s">
        <v>100</v>
      </c>
      <c r="I1797" s="2" t="s">
        <v>5110</v>
      </c>
      <c r="J1797" s="2" t="s">
        <v>844</v>
      </c>
      <c r="K1797" s="2" t="s">
        <v>871</v>
      </c>
      <c r="L1797" s="3">
        <v>80</v>
      </c>
      <c r="M1797" s="3">
        <v>84</v>
      </c>
      <c r="N1797" s="3">
        <v>159.99</v>
      </c>
      <c r="O1797" s="2" t="s">
        <v>1148</v>
      </c>
      <c r="P1797" s="2" t="s">
        <v>198</v>
      </c>
      <c r="Q1797" s="2" t="s">
        <v>99</v>
      </c>
      <c r="R1797" s="2" t="s">
        <v>100</v>
      </c>
      <c r="S1797" s="2" t="s">
        <v>100</v>
      </c>
      <c r="T1797" s="2" t="s">
        <v>100</v>
      </c>
      <c r="U1797" s="2" t="s">
        <v>100</v>
      </c>
      <c r="V1797" s="2" t="s">
        <v>601</v>
      </c>
      <c r="W1797" s="2" t="s">
        <v>759</v>
      </c>
      <c r="X1797" s="2" t="s">
        <v>100</v>
      </c>
      <c r="Y1797" s="2" t="s">
        <v>106</v>
      </c>
      <c r="Z1797" s="4"/>
      <c r="AA1797" s="4">
        <f>=ROUNDDOWN({0},0)</f>
      </c>
      <c r="AB1797" s="5"/>
      <c r="AC1797" s="2" t="s">
        <v>100</v>
      </c>
      <c r="AD1797" s="4"/>
      <c r="AE1797" s="4"/>
      <c r="AF1797" s="6"/>
      <c r="AG1797" s="6"/>
      <c r="AH1797" s="7">
        <v>0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100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147</v>
      </c>
      <c r="BV1797" s="2" t="s">
        <v>97</v>
      </c>
      <c r="BW1797" s="2" t="s">
        <v>100</v>
      </c>
      <c r="BX1797" s="2" t="s">
        <v>100</v>
      </c>
      <c r="BY1797" s="2" t="s">
        <v>112</v>
      </c>
      <c r="BZ1797" s="2" t="s">
        <v>100</v>
      </c>
    </row>
    <row r="1798">
      <c r="A1798" s="2" t="s">
        <v>5928</v>
      </c>
      <c r="B1798" s="2" t="s">
        <v>87</v>
      </c>
      <c r="C1798" s="2" t="s">
        <v>5926</v>
      </c>
      <c r="D1798" s="2" t="s">
        <v>5203</v>
      </c>
      <c r="E1798" s="2" t="s">
        <v>5204</v>
      </c>
      <c r="F1798" s="2" t="s">
        <v>5929</v>
      </c>
      <c r="G1798" s="2" t="s">
        <v>5929</v>
      </c>
      <c r="H1798" s="2" t="s">
        <v>100</v>
      </c>
      <c r="I1798" s="2" t="s">
        <v>5930</v>
      </c>
      <c r="J1798" s="2" t="s">
        <v>5217</v>
      </c>
      <c r="K1798" s="2" t="s">
        <v>158</v>
      </c>
      <c r="L1798" s="3">
        <v>14.4</v>
      </c>
      <c r="M1798" s="3">
        <v>15.12</v>
      </c>
      <c r="N1798" s="3">
        <v>29.99</v>
      </c>
      <c r="O1798" s="2" t="s">
        <v>550</v>
      </c>
      <c r="P1798" s="2" t="s">
        <v>198</v>
      </c>
      <c r="Q1798" s="2" t="s">
        <v>99</v>
      </c>
      <c r="R1798" s="2" t="s">
        <v>100</v>
      </c>
      <c r="S1798" s="2" t="s">
        <v>5931</v>
      </c>
      <c r="T1798" s="2" t="s">
        <v>100</v>
      </c>
      <c r="U1798" s="2" t="s">
        <v>100</v>
      </c>
      <c r="V1798" s="2" t="s">
        <v>4714</v>
      </c>
      <c r="W1798" s="2" t="s">
        <v>1530</v>
      </c>
      <c r="X1798" s="2" t="s">
        <v>100</v>
      </c>
      <c r="Y1798" s="2" t="s">
        <v>106</v>
      </c>
      <c r="Z1798" s="4"/>
      <c r="AA1798" s="4">
        <f>=ROUNDDOWN({0},0)</f>
      </c>
      <c r="AB1798" s="5"/>
      <c r="AC1798" s="2" t="s">
        <v>100</v>
      </c>
      <c r="AD1798" s="4"/>
      <c r="AE1798" s="4"/>
      <c r="AF1798" s="6"/>
      <c r="AG1798" s="6"/>
      <c r="AH1798" s="7">
        <v>0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 t="s">
        <v>100</v>
      </c>
      <c r="BD1798" s="8" t="s">
        <v>100</v>
      </c>
      <c r="BE1798" s="4" t="s">
        <v>100</v>
      </c>
      <c r="BF1798" s="8" t="s">
        <v>100</v>
      </c>
      <c r="BG1798" s="7" t="s">
        <v>100</v>
      </c>
      <c r="BH1798" s="7" t="s">
        <v>100</v>
      </c>
      <c r="BI1798" s="7"/>
      <c r="BJ1798" s="4"/>
      <c r="BK1798" s="8"/>
      <c r="BL1798" s="2" t="s">
        <v>100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147</v>
      </c>
      <c r="BV1798" s="2" t="s">
        <v>97</v>
      </c>
      <c r="BW1798" s="2" t="s">
        <v>100</v>
      </c>
      <c r="BX1798" s="2" t="s">
        <v>100</v>
      </c>
      <c r="BY1798" s="2" t="s">
        <v>112</v>
      </c>
      <c r="BZ1798" s="2" t="s">
        <v>100</v>
      </c>
    </row>
    <row r="1799">
      <c r="A1799" s="2" t="s">
        <v>5932</v>
      </c>
      <c r="B1799" s="2" t="s">
        <v>87</v>
      </c>
      <c r="C1799" s="2" t="s">
        <v>5926</v>
      </c>
      <c r="D1799" s="2" t="s">
        <v>5203</v>
      </c>
      <c r="E1799" s="2" t="s">
        <v>5204</v>
      </c>
      <c r="F1799" s="2" t="s">
        <v>5929</v>
      </c>
      <c r="G1799" s="2" t="s">
        <v>5929</v>
      </c>
      <c r="H1799" s="2" t="s">
        <v>100</v>
      </c>
      <c r="I1799" s="2" t="s">
        <v>5933</v>
      </c>
      <c r="J1799" s="2" t="s">
        <v>5934</v>
      </c>
      <c r="K1799" s="2" t="s">
        <v>5935</v>
      </c>
      <c r="L1799" s="3">
        <v>14.4</v>
      </c>
      <c r="M1799" s="3">
        <v>15.12</v>
      </c>
      <c r="N1799" s="3">
        <v>29.99</v>
      </c>
      <c r="O1799" s="2" t="s">
        <v>550</v>
      </c>
      <c r="P1799" s="2" t="s">
        <v>198</v>
      </c>
      <c r="Q1799" s="2" t="s">
        <v>99</v>
      </c>
      <c r="R1799" s="2" t="s">
        <v>100</v>
      </c>
      <c r="S1799" s="2" t="s">
        <v>5936</v>
      </c>
      <c r="T1799" s="2" t="s">
        <v>100</v>
      </c>
      <c r="U1799" s="2" t="s">
        <v>100</v>
      </c>
      <c r="V1799" s="2" t="s">
        <v>4714</v>
      </c>
      <c r="W1799" s="2" t="s">
        <v>1530</v>
      </c>
      <c r="X1799" s="2" t="s">
        <v>100</v>
      </c>
      <c r="Y1799" s="2" t="s">
        <v>106</v>
      </c>
      <c r="Z1799" s="4"/>
      <c r="AA1799" s="4">
        <f>=ROUNDDOWN({0},0)</f>
      </c>
      <c r="AB1799" s="5"/>
      <c r="AC1799" s="2" t="s">
        <v>100</v>
      </c>
      <c r="AD1799" s="4"/>
      <c r="AE1799" s="4"/>
      <c r="AF1799" s="6"/>
      <c r="AG1799" s="6"/>
      <c r="AH1799" s="7">
        <v>0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 t="s">
        <v>100</v>
      </c>
      <c r="BD1799" s="8" t="s">
        <v>100</v>
      </c>
      <c r="BE1799" s="4" t="s">
        <v>100</v>
      </c>
      <c r="BF1799" s="8" t="s">
        <v>100</v>
      </c>
      <c r="BG1799" s="7" t="s">
        <v>100</v>
      </c>
      <c r="BH1799" s="7" t="s">
        <v>100</v>
      </c>
      <c r="BI1799" s="7"/>
      <c r="BJ1799" s="4"/>
      <c r="BK1799" s="8"/>
      <c r="BL1799" s="2" t="s">
        <v>100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147</v>
      </c>
      <c r="BV1799" s="2" t="s">
        <v>97</v>
      </c>
      <c r="BW1799" s="2" t="s">
        <v>100</v>
      </c>
      <c r="BX1799" s="2" t="s">
        <v>100</v>
      </c>
      <c r="BY1799" s="2" t="s">
        <v>112</v>
      </c>
      <c r="BZ1799" s="2" t="s">
        <v>100</v>
      </c>
    </row>
    <row r="1800">
      <c r="A1800" s="2" t="s">
        <v>5937</v>
      </c>
      <c r="B1800" s="2" t="s">
        <v>87</v>
      </c>
      <c r="C1800" s="2" t="s">
        <v>5938</v>
      </c>
      <c r="D1800" s="2" t="s">
        <v>89</v>
      </c>
      <c r="E1800" s="2" t="s">
        <v>90</v>
      </c>
      <c r="F1800" s="2" t="s">
        <v>5939</v>
      </c>
      <c r="G1800" s="2" t="s">
        <v>100</v>
      </c>
      <c r="H1800" s="2" t="s">
        <v>100</v>
      </c>
      <c r="I1800" s="2" t="s">
        <v>5940</v>
      </c>
      <c r="J1800" s="2" t="s">
        <v>95</v>
      </c>
      <c r="K1800" s="2" t="s">
        <v>323</v>
      </c>
      <c r="L1800" s="3">
        <v>186.9</v>
      </c>
      <c r="M1800" s="3">
        <v>196.24</v>
      </c>
      <c r="N1800" s="3">
        <v>534</v>
      </c>
      <c r="O1800" s="2" t="s">
        <v>97</v>
      </c>
      <c r="P1800" s="2" t="s">
        <v>98</v>
      </c>
      <c r="Q1800" s="2" t="s">
        <v>99</v>
      </c>
      <c r="R1800" s="2" t="s">
        <v>100</v>
      </c>
      <c r="S1800" s="2" t="s">
        <v>5941</v>
      </c>
      <c r="T1800" s="2" t="s">
        <v>100</v>
      </c>
      <c r="U1800" s="2" t="s">
        <v>807</v>
      </c>
      <c r="V1800" s="2" t="s">
        <v>404</v>
      </c>
      <c r="W1800" s="2" t="s">
        <v>405</v>
      </c>
      <c r="X1800" s="2" t="s">
        <v>3695</v>
      </c>
      <c r="Y1800" s="2" t="s">
        <v>106</v>
      </c>
      <c r="Z1800" s="4">
        <v>203</v>
      </c>
      <c r="AA1800" s="4">
        <f>=ROUNDDOWN(33.8333333333333,0)</f>
      </c>
      <c r="AB1800" s="5">
        <v>6</v>
      </c>
      <c r="AC1800" s="2" t="s">
        <v>1248</v>
      </c>
      <c r="AD1800" s="4">
        <v>40</v>
      </c>
      <c r="AE1800" s="4">
        <v>40</v>
      </c>
      <c r="AF1800" s="6">
        <v>67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100</v>
      </c>
      <c r="AW1800" s="8" t="s">
        <v>100</v>
      </c>
      <c r="AX1800" s="4" t="s">
        <v>100</v>
      </c>
      <c r="AY1800" s="8" t="s">
        <v>100</v>
      </c>
      <c r="AZ1800" s="7" t="s">
        <v>100</v>
      </c>
      <c r="BA1800" s="7" t="s">
        <v>100</v>
      </c>
      <c r="BB1800" s="7"/>
      <c r="BC1800" s="4" t="s">
        <v>100</v>
      </c>
      <c r="BD1800" s="8" t="s">
        <v>100</v>
      </c>
      <c r="BE1800" s="4" t="s">
        <v>100</v>
      </c>
      <c r="BF1800" s="8" t="s">
        <v>100</v>
      </c>
      <c r="BG1800" s="7" t="s">
        <v>100</v>
      </c>
      <c r="BH1800" s="7" t="s">
        <v>100</v>
      </c>
      <c r="BI1800" s="7"/>
      <c r="BJ1800" s="4">
        <v>99</v>
      </c>
      <c r="BK1800" s="8">
        <v>16864.92</v>
      </c>
      <c r="BL1800" s="2" t="s">
        <v>5942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580</v>
      </c>
      <c r="BX1800" s="2" t="s">
        <v>100</v>
      </c>
      <c r="BY1800" s="2" t="s">
        <v>112</v>
      </c>
      <c r="BZ1800" s="2" t="s">
        <v>100</v>
      </c>
    </row>
    <row r="1801">
      <c r="A1801" s="2" t="s">
        <v>5943</v>
      </c>
      <c r="B1801" s="2" t="s">
        <v>87</v>
      </c>
      <c r="C1801" s="2" t="s">
        <v>5938</v>
      </c>
      <c r="D1801" s="2" t="s">
        <v>89</v>
      </c>
      <c r="E1801" s="2" t="s">
        <v>90</v>
      </c>
      <c r="F1801" s="2" t="s">
        <v>5939</v>
      </c>
      <c r="G1801" s="2" t="s">
        <v>100</v>
      </c>
      <c r="H1801" s="2" t="s">
        <v>100</v>
      </c>
      <c r="I1801" s="2" t="s">
        <v>5944</v>
      </c>
      <c r="J1801" s="2" t="s">
        <v>114</v>
      </c>
      <c r="K1801" s="2" t="s">
        <v>323</v>
      </c>
      <c r="L1801" s="3">
        <v>210</v>
      </c>
      <c r="M1801" s="3">
        <v>220.5</v>
      </c>
      <c r="N1801" s="3">
        <v>600</v>
      </c>
      <c r="O1801" s="2" t="s">
        <v>97</v>
      </c>
      <c r="P1801" s="2" t="s">
        <v>98</v>
      </c>
      <c r="Q1801" s="2" t="s">
        <v>99</v>
      </c>
      <c r="R1801" s="2" t="s">
        <v>100</v>
      </c>
      <c r="S1801" s="2" t="s">
        <v>5941</v>
      </c>
      <c r="T1801" s="2" t="s">
        <v>100</v>
      </c>
      <c r="U1801" s="2" t="s">
        <v>5945</v>
      </c>
      <c r="V1801" s="2" t="s">
        <v>404</v>
      </c>
      <c r="W1801" s="2" t="s">
        <v>405</v>
      </c>
      <c r="X1801" s="2" t="s">
        <v>3695</v>
      </c>
      <c r="Y1801" s="2" t="s">
        <v>363</v>
      </c>
      <c r="Z1801" s="4">
        <v>216</v>
      </c>
      <c r="AA1801" s="4">
        <f>=ROUNDDOWN(30.8571428571429,0)</f>
      </c>
      <c r="AB1801" s="5">
        <v>7</v>
      </c>
      <c r="AC1801" s="2" t="s">
        <v>1248</v>
      </c>
      <c r="AD1801" s="4">
        <v>30</v>
      </c>
      <c r="AE1801" s="4">
        <v>30</v>
      </c>
      <c r="AF1801" s="6">
        <v>67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 t="s">
        <v>100</v>
      </c>
      <c r="AW1801" s="8" t="s">
        <v>100</v>
      </c>
      <c r="AX1801" s="4" t="s">
        <v>100</v>
      </c>
      <c r="AY1801" s="8" t="s">
        <v>100</v>
      </c>
      <c r="AZ1801" s="7" t="s">
        <v>100</v>
      </c>
      <c r="BA1801" s="7" t="s">
        <v>100</v>
      </c>
      <c r="BB1801" s="7"/>
      <c r="BC1801" s="4" t="s">
        <v>100</v>
      </c>
      <c r="BD1801" s="8" t="s">
        <v>100</v>
      </c>
      <c r="BE1801" s="4" t="s">
        <v>100</v>
      </c>
      <c r="BF1801" s="8" t="s">
        <v>100</v>
      </c>
      <c r="BG1801" s="7" t="s">
        <v>100</v>
      </c>
      <c r="BH1801" s="7" t="s">
        <v>100</v>
      </c>
      <c r="BI1801" s="7"/>
      <c r="BJ1801" s="4">
        <v>127</v>
      </c>
      <c r="BK1801" s="8">
        <v>26937.46</v>
      </c>
      <c r="BL1801" s="2" t="s">
        <v>5946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580</v>
      </c>
      <c r="BX1801" s="2" t="s">
        <v>100</v>
      </c>
      <c r="BY1801" s="2" t="s">
        <v>112</v>
      </c>
      <c r="BZ1801" s="2" t="s">
        <v>100</v>
      </c>
    </row>
    <row r="1802">
      <c r="A1802" s="2" t="s">
        <v>5947</v>
      </c>
      <c r="B1802" s="2" t="s">
        <v>87</v>
      </c>
      <c r="C1802" s="2" t="s">
        <v>5938</v>
      </c>
      <c r="D1802" s="2" t="s">
        <v>2308</v>
      </c>
      <c r="E1802" s="2" t="s">
        <v>3080</v>
      </c>
      <c r="F1802" s="2" t="s">
        <v>5948</v>
      </c>
      <c r="G1802" s="2" t="s">
        <v>5948</v>
      </c>
      <c r="H1802" s="2" t="s">
        <v>100</v>
      </c>
      <c r="I1802" s="2" t="s">
        <v>5949</v>
      </c>
      <c r="J1802" s="2" t="s">
        <v>95</v>
      </c>
      <c r="K1802" s="2" t="s">
        <v>4481</v>
      </c>
      <c r="L1802" s="3">
        <v>73.15</v>
      </c>
      <c r="M1802" s="3">
        <v>76.81</v>
      </c>
      <c r="N1802" s="3">
        <v>209</v>
      </c>
      <c r="O1802" s="2" t="s">
        <v>97</v>
      </c>
      <c r="P1802" s="2" t="s">
        <v>182</v>
      </c>
      <c r="Q1802" s="2" t="s">
        <v>99</v>
      </c>
      <c r="R1802" s="2" t="s">
        <v>100</v>
      </c>
      <c r="S1802" s="2" t="s">
        <v>5950</v>
      </c>
      <c r="T1802" s="2" t="s">
        <v>100</v>
      </c>
      <c r="U1802" s="2" t="s">
        <v>1610</v>
      </c>
      <c r="V1802" s="2" t="s">
        <v>601</v>
      </c>
      <c r="W1802" s="2" t="s">
        <v>104</v>
      </c>
      <c r="X1802" s="2" t="s">
        <v>284</v>
      </c>
      <c r="Y1802" s="2" t="s">
        <v>5951</v>
      </c>
      <c r="Z1802" s="4">
        <v>79</v>
      </c>
      <c r="AA1802" s="4">
        <f>=ROUNDDOWN(19.75,0)</f>
      </c>
      <c r="AB1802" s="5">
        <v>4</v>
      </c>
      <c r="AC1802" s="2" t="s">
        <v>100</v>
      </c>
      <c r="AD1802" s="4"/>
      <c r="AE1802" s="4"/>
      <c r="AF1802" s="6">
        <v>67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 t="s">
        <v>100</v>
      </c>
      <c r="AW1802" s="8" t="s">
        <v>100</v>
      </c>
      <c r="AX1802" s="4" t="s">
        <v>100</v>
      </c>
      <c r="AY1802" s="8" t="s">
        <v>100</v>
      </c>
      <c r="AZ1802" s="7" t="s">
        <v>100</v>
      </c>
      <c r="BA1802" s="7" t="s">
        <v>100</v>
      </c>
      <c r="BB1802" s="7"/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/>
      <c r="BJ1802" s="4">
        <v>84</v>
      </c>
      <c r="BK1802" s="8">
        <v>6223.49</v>
      </c>
      <c r="BL1802" s="2" t="s">
        <v>5952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147</v>
      </c>
      <c r="BV1802" s="2" t="s">
        <v>97</v>
      </c>
      <c r="BW1802" s="2" t="s">
        <v>100</v>
      </c>
      <c r="BX1802" s="2" t="s">
        <v>100</v>
      </c>
      <c r="BY1802" s="2" t="s">
        <v>112</v>
      </c>
      <c r="BZ1802" s="2" t="s">
        <v>100</v>
      </c>
    </row>
    <row r="1803">
      <c r="A1803" s="2" t="s">
        <v>5953</v>
      </c>
      <c r="B1803" s="2" t="s">
        <v>87</v>
      </c>
      <c r="C1803" s="2" t="s">
        <v>5938</v>
      </c>
      <c r="D1803" s="2" t="s">
        <v>2308</v>
      </c>
      <c r="E1803" s="2" t="s">
        <v>3080</v>
      </c>
      <c r="F1803" s="2" t="s">
        <v>5948</v>
      </c>
      <c r="G1803" s="2" t="s">
        <v>5948</v>
      </c>
      <c r="H1803" s="2" t="s">
        <v>100</v>
      </c>
      <c r="I1803" s="2" t="s">
        <v>5949</v>
      </c>
      <c r="J1803" s="2" t="s">
        <v>114</v>
      </c>
      <c r="K1803" s="2" t="s">
        <v>4481</v>
      </c>
      <c r="L1803" s="3">
        <v>90.65</v>
      </c>
      <c r="M1803" s="3">
        <v>95.18</v>
      </c>
      <c r="N1803" s="3">
        <v>259</v>
      </c>
      <c r="O1803" s="2" t="s">
        <v>97</v>
      </c>
      <c r="P1803" s="2" t="s">
        <v>182</v>
      </c>
      <c r="Q1803" s="2" t="s">
        <v>99</v>
      </c>
      <c r="R1803" s="2" t="s">
        <v>100</v>
      </c>
      <c r="S1803" s="2" t="s">
        <v>5950</v>
      </c>
      <c r="T1803" s="2" t="s">
        <v>100</v>
      </c>
      <c r="U1803" s="2" t="s">
        <v>1610</v>
      </c>
      <c r="V1803" s="2" t="s">
        <v>601</v>
      </c>
      <c r="W1803" s="2" t="s">
        <v>104</v>
      </c>
      <c r="X1803" s="2" t="s">
        <v>284</v>
      </c>
      <c r="Y1803" s="2" t="s">
        <v>106</v>
      </c>
      <c r="Z1803" s="4">
        <v>126</v>
      </c>
      <c r="AA1803" s="4">
        <f>=ROUNDDOWN(42,0)</f>
      </c>
      <c r="AB1803" s="5">
        <v>3</v>
      </c>
      <c r="AC1803" s="2" t="s">
        <v>100</v>
      </c>
      <c r="AD1803" s="4"/>
      <c r="AE1803" s="4"/>
      <c r="AF1803" s="6">
        <v>67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100</v>
      </c>
      <c r="AW1803" s="8" t="s">
        <v>100</v>
      </c>
      <c r="AX1803" s="4" t="s">
        <v>100</v>
      </c>
      <c r="AY1803" s="8" t="s">
        <v>100</v>
      </c>
      <c r="AZ1803" s="7" t="s">
        <v>100</v>
      </c>
      <c r="BA1803" s="7" t="s">
        <v>100</v>
      </c>
      <c r="BB1803" s="7"/>
      <c r="BC1803" s="4" t="s">
        <v>100</v>
      </c>
      <c r="BD1803" s="8" t="s">
        <v>100</v>
      </c>
      <c r="BE1803" s="4" t="s">
        <v>100</v>
      </c>
      <c r="BF1803" s="8" t="s">
        <v>100</v>
      </c>
      <c r="BG1803" s="7" t="s">
        <v>100</v>
      </c>
      <c r="BH1803" s="7" t="s">
        <v>100</v>
      </c>
      <c r="BI1803" s="7"/>
      <c r="BJ1803" s="4">
        <v>64</v>
      </c>
      <c r="BK1803" s="8">
        <v>6110.32</v>
      </c>
      <c r="BL1803" s="2" t="s">
        <v>5954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147</v>
      </c>
      <c r="BV1803" s="2" t="s">
        <v>97</v>
      </c>
      <c r="BW1803" s="2" t="s">
        <v>100</v>
      </c>
      <c r="BX1803" s="2" t="s">
        <v>100</v>
      </c>
      <c r="BY1803" s="2" t="s">
        <v>112</v>
      </c>
      <c r="BZ1803" s="2" t="s">
        <v>100</v>
      </c>
    </row>
    <row r="1804">
      <c r="A1804" s="2" t="s">
        <v>5955</v>
      </c>
      <c r="B1804" s="2" t="s">
        <v>87</v>
      </c>
      <c r="C1804" s="2" t="s">
        <v>5938</v>
      </c>
      <c r="D1804" s="2" t="s">
        <v>2308</v>
      </c>
      <c r="E1804" s="2" t="s">
        <v>3080</v>
      </c>
      <c r="F1804" s="2" t="s">
        <v>5948</v>
      </c>
      <c r="G1804" s="2" t="s">
        <v>5948</v>
      </c>
      <c r="H1804" s="2" t="s">
        <v>100</v>
      </c>
      <c r="I1804" s="2" t="s">
        <v>5949</v>
      </c>
      <c r="J1804" s="2" t="s">
        <v>95</v>
      </c>
      <c r="K1804" s="2" t="s">
        <v>5956</v>
      </c>
      <c r="L1804" s="3">
        <v>73.15</v>
      </c>
      <c r="M1804" s="3">
        <v>76.81</v>
      </c>
      <c r="N1804" s="3">
        <v>209</v>
      </c>
      <c r="O1804" s="2" t="s">
        <v>97</v>
      </c>
      <c r="P1804" s="2" t="s">
        <v>1265</v>
      </c>
      <c r="Q1804" s="2" t="s">
        <v>99</v>
      </c>
      <c r="R1804" s="2" t="s">
        <v>100</v>
      </c>
      <c r="S1804" s="2" t="s">
        <v>5957</v>
      </c>
      <c r="T1804" s="2" t="s">
        <v>100</v>
      </c>
      <c r="U1804" s="2" t="s">
        <v>1610</v>
      </c>
      <c r="V1804" s="2" t="s">
        <v>601</v>
      </c>
      <c r="W1804" s="2" t="s">
        <v>104</v>
      </c>
      <c r="X1804" s="2" t="s">
        <v>284</v>
      </c>
      <c r="Y1804" s="2" t="s">
        <v>106</v>
      </c>
      <c r="Z1804" s="4">
        <v>115</v>
      </c>
      <c r="AA1804" s="4">
        <f>=ROUNDDOWN(38.3333333333333,0)</f>
      </c>
      <c r="AB1804" s="5">
        <v>3</v>
      </c>
      <c r="AC1804" s="2" t="s">
        <v>100</v>
      </c>
      <c r="AD1804" s="4"/>
      <c r="AE1804" s="4"/>
      <c r="AF1804" s="6">
        <v>67</v>
      </c>
      <c r="AG1804" s="6"/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 t="s">
        <v>100</v>
      </c>
      <c r="AW1804" s="8" t="s">
        <v>100</v>
      </c>
      <c r="AX1804" s="4" t="s">
        <v>100</v>
      </c>
      <c r="AY1804" s="8" t="s">
        <v>100</v>
      </c>
      <c r="AZ1804" s="7" t="s">
        <v>100</v>
      </c>
      <c r="BA1804" s="7" t="s">
        <v>100</v>
      </c>
      <c r="BB1804" s="7"/>
      <c r="BC1804" s="4" t="s">
        <v>100</v>
      </c>
      <c r="BD1804" s="8" t="s">
        <v>100</v>
      </c>
      <c r="BE1804" s="4" t="s">
        <v>100</v>
      </c>
      <c r="BF1804" s="8" t="s">
        <v>100</v>
      </c>
      <c r="BG1804" s="7" t="s">
        <v>100</v>
      </c>
      <c r="BH1804" s="7" t="s">
        <v>100</v>
      </c>
      <c r="BI1804" s="7"/>
      <c r="BJ1804" s="4">
        <v>22</v>
      </c>
      <c r="BK1804" s="8">
        <v>1661.82</v>
      </c>
      <c r="BL1804" s="2" t="s">
        <v>5958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147</v>
      </c>
      <c r="BV1804" s="2" t="s">
        <v>97</v>
      </c>
      <c r="BW1804" s="2" t="s">
        <v>100</v>
      </c>
      <c r="BX1804" s="2" t="s">
        <v>100</v>
      </c>
      <c r="BY1804" s="2" t="s">
        <v>112</v>
      </c>
      <c r="BZ1804" s="2" t="s">
        <v>100</v>
      </c>
    </row>
    <row r="1805">
      <c r="A1805" s="2" t="s">
        <v>5959</v>
      </c>
      <c r="B1805" s="2" t="s">
        <v>87</v>
      </c>
      <c r="C1805" s="2" t="s">
        <v>5938</v>
      </c>
      <c r="D1805" s="2" t="s">
        <v>2308</v>
      </c>
      <c r="E1805" s="2" t="s">
        <v>3080</v>
      </c>
      <c r="F1805" s="2" t="s">
        <v>5948</v>
      </c>
      <c r="G1805" s="2" t="s">
        <v>5948</v>
      </c>
      <c r="H1805" s="2" t="s">
        <v>100</v>
      </c>
      <c r="I1805" s="2" t="s">
        <v>5949</v>
      </c>
      <c r="J1805" s="2" t="s">
        <v>114</v>
      </c>
      <c r="K1805" s="2" t="s">
        <v>5956</v>
      </c>
      <c r="L1805" s="3">
        <v>90.65</v>
      </c>
      <c r="M1805" s="3">
        <v>95.18</v>
      </c>
      <c r="N1805" s="3">
        <v>259</v>
      </c>
      <c r="O1805" s="2" t="s">
        <v>97</v>
      </c>
      <c r="P1805" s="2" t="s">
        <v>1265</v>
      </c>
      <c r="Q1805" s="2" t="s">
        <v>99</v>
      </c>
      <c r="R1805" s="2" t="s">
        <v>100</v>
      </c>
      <c r="S1805" s="2" t="s">
        <v>5957</v>
      </c>
      <c r="T1805" s="2" t="s">
        <v>100</v>
      </c>
      <c r="U1805" s="2" t="s">
        <v>1610</v>
      </c>
      <c r="V1805" s="2" t="s">
        <v>601</v>
      </c>
      <c r="W1805" s="2" t="s">
        <v>104</v>
      </c>
      <c r="X1805" s="2" t="s">
        <v>284</v>
      </c>
      <c r="Y1805" s="2" t="s">
        <v>106</v>
      </c>
      <c r="Z1805" s="4">
        <v>91</v>
      </c>
      <c r="AA1805" s="4">
        <f>=ROUNDDOWN(22.75,0)</f>
      </c>
      <c r="AB1805" s="5">
        <v>4</v>
      </c>
      <c r="AC1805" s="2" t="s">
        <v>100</v>
      </c>
      <c r="AD1805" s="4"/>
      <c r="AE1805" s="4"/>
      <c r="AF1805" s="6">
        <v>67</v>
      </c>
      <c r="AG1805" s="6"/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100</v>
      </c>
      <c r="AW1805" s="8" t="s">
        <v>100</v>
      </c>
      <c r="AX1805" s="4" t="s">
        <v>100</v>
      </c>
      <c r="AY1805" s="8" t="s">
        <v>100</v>
      </c>
      <c r="AZ1805" s="7" t="s">
        <v>100</v>
      </c>
      <c r="BA1805" s="7" t="s">
        <v>100</v>
      </c>
      <c r="BB1805" s="7"/>
      <c r="BC1805" s="4" t="s">
        <v>100</v>
      </c>
      <c r="BD1805" s="8" t="s">
        <v>100</v>
      </c>
      <c r="BE1805" s="4" t="s">
        <v>100</v>
      </c>
      <c r="BF1805" s="8" t="s">
        <v>100</v>
      </c>
      <c r="BG1805" s="7" t="s">
        <v>100</v>
      </c>
      <c r="BH1805" s="7" t="s">
        <v>100</v>
      </c>
      <c r="BI1805" s="7"/>
      <c r="BJ1805" s="4">
        <v>52</v>
      </c>
      <c r="BK1805" s="8">
        <v>4751.22</v>
      </c>
      <c r="BL1805" s="2" t="s">
        <v>5960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147</v>
      </c>
      <c r="BV1805" s="2" t="s">
        <v>97</v>
      </c>
      <c r="BW1805" s="2" t="s">
        <v>100</v>
      </c>
      <c r="BX1805" s="2" t="s">
        <v>100</v>
      </c>
      <c r="BY1805" s="2" t="s">
        <v>112</v>
      </c>
      <c r="BZ1805" s="2" t="s">
        <v>100</v>
      </c>
    </row>
    <row r="1806">
      <c r="A1806" s="2" t="s">
        <v>5961</v>
      </c>
      <c r="B1806" s="2" t="s">
        <v>87</v>
      </c>
      <c r="C1806" s="2" t="s">
        <v>5938</v>
      </c>
      <c r="D1806" s="2" t="s">
        <v>2308</v>
      </c>
      <c r="E1806" s="2" t="s">
        <v>3080</v>
      </c>
      <c r="F1806" s="2" t="s">
        <v>5948</v>
      </c>
      <c r="G1806" s="2" t="s">
        <v>5948</v>
      </c>
      <c r="H1806" s="2" t="s">
        <v>5948</v>
      </c>
      <c r="I1806" s="2" t="s">
        <v>5949</v>
      </c>
      <c r="J1806" s="2" t="s">
        <v>95</v>
      </c>
      <c r="K1806" s="2" t="s">
        <v>622</v>
      </c>
      <c r="L1806" s="3">
        <v>73.15</v>
      </c>
      <c r="M1806" s="3">
        <v>76.81</v>
      </c>
      <c r="N1806" s="3">
        <v>209</v>
      </c>
      <c r="O1806" s="2" t="s">
        <v>97</v>
      </c>
      <c r="P1806" s="2" t="s">
        <v>182</v>
      </c>
      <c r="Q1806" s="2" t="s">
        <v>99</v>
      </c>
      <c r="R1806" s="2" t="s">
        <v>100</v>
      </c>
      <c r="S1806" s="2" t="s">
        <v>5962</v>
      </c>
      <c r="T1806" s="2" t="s">
        <v>100</v>
      </c>
      <c r="U1806" s="2" t="s">
        <v>1610</v>
      </c>
      <c r="V1806" s="2" t="s">
        <v>601</v>
      </c>
      <c r="W1806" s="2" t="s">
        <v>104</v>
      </c>
      <c r="X1806" s="2" t="s">
        <v>284</v>
      </c>
      <c r="Y1806" s="2" t="s">
        <v>106</v>
      </c>
      <c r="Z1806" s="4">
        <v>68</v>
      </c>
      <c r="AA1806" s="4">
        <f>=ROUNDDOWN(34,0)</f>
      </c>
      <c r="AB1806" s="5">
        <v>2</v>
      </c>
      <c r="AC1806" s="2" t="s">
        <v>2403</v>
      </c>
      <c r="AD1806" s="4">
        <v>45</v>
      </c>
      <c r="AE1806" s="4">
        <v>45</v>
      </c>
      <c r="AF1806" s="6">
        <v>67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100</v>
      </c>
      <c r="AW1806" s="8" t="s">
        <v>100</v>
      </c>
      <c r="AX1806" s="4" t="s">
        <v>100</v>
      </c>
      <c r="AY1806" s="8" t="s">
        <v>100</v>
      </c>
      <c r="AZ1806" s="7" t="s">
        <v>100</v>
      </c>
      <c r="BA1806" s="7" t="s">
        <v>100</v>
      </c>
      <c r="BB1806" s="7"/>
      <c r="BC1806" s="4" t="s">
        <v>100</v>
      </c>
      <c r="BD1806" s="8" t="s">
        <v>100</v>
      </c>
      <c r="BE1806" s="4" t="s">
        <v>100</v>
      </c>
      <c r="BF1806" s="8" t="s">
        <v>100</v>
      </c>
      <c r="BG1806" s="7" t="s">
        <v>100</v>
      </c>
      <c r="BH1806" s="7" t="s">
        <v>100</v>
      </c>
      <c r="BI1806" s="7"/>
      <c r="BJ1806" s="4">
        <v>73</v>
      </c>
      <c r="BK1806" s="8">
        <v>5545.57</v>
      </c>
      <c r="BL1806" s="2" t="s">
        <v>5963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147</v>
      </c>
      <c r="BV1806" s="2" t="s">
        <v>97</v>
      </c>
      <c r="BW1806" s="2" t="s">
        <v>100</v>
      </c>
      <c r="BX1806" s="2" t="s">
        <v>100</v>
      </c>
      <c r="BY1806" s="2" t="s">
        <v>112</v>
      </c>
      <c r="BZ1806" s="2" t="s">
        <v>100</v>
      </c>
    </row>
    <row r="1807">
      <c r="A1807" s="2" t="s">
        <v>5964</v>
      </c>
      <c r="B1807" s="2" t="s">
        <v>87</v>
      </c>
      <c r="C1807" s="2" t="s">
        <v>5938</v>
      </c>
      <c r="D1807" s="2" t="s">
        <v>2308</v>
      </c>
      <c r="E1807" s="2" t="s">
        <v>3080</v>
      </c>
      <c r="F1807" s="2" t="s">
        <v>5948</v>
      </c>
      <c r="G1807" s="2" t="s">
        <v>5948</v>
      </c>
      <c r="H1807" s="2" t="s">
        <v>5948</v>
      </c>
      <c r="I1807" s="2" t="s">
        <v>5949</v>
      </c>
      <c r="J1807" s="2" t="s">
        <v>114</v>
      </c>
      <c r="K1807" s="2" t="s">
        <v>622</v>
      </c>
      <c r="L1807" s="3">
        <v>90.65</v>
      </c>
      <c r="M1807" s="3">
        <v>95.18</v>
      </c>
      <c r="N1807" s="3">
        <v>259</v>
      </c>
      <c r="O1807" s="2" t="s">
        <v>97</v>
      </c>
      <c r="P1807" s="2" t="s">
        <v>182</v>
      </c>
      <c r="Q1807" s="2" t="s">
        <v>99</v>
      </c>
      <c r="R1807" s="2" t="s">
        <v>100</v>
      </c>
      <c r="S1807" s="2" t="s">
        <v>5962</v>
      </c>
      <c r="T1807" s="2" t="s">
        <v>100</v>
      </c>
      <c r="U1807" s="2" t="s">
        <v>1610</v>
      </c>
      <c r="V1807" s="2" t="s">
        <v>601</v>
      </c>
      <c r="W1807" s="2" t="s">
        <v>104</v>
      </c>
      <c r="X1807" s="2" t="s">
        <v>284</v>
      </c>
      <c r="Y1807" s="2" t="s">
        <v>106</v>
      </c>
      <c r="Z1807" s="4">
        <v>53</v>
      </c>
      <c r="AA1807" s="4">
        <f>=ROUNDDOWN(10.6,0)</f>
      </c>
      <c r="AB1807" s="5">
        <v>5</v>
      </c>
      <c r="AC1807" s="2" t="s">
        <v>2403</v>
      </c>
      <c r="AD1807" s="4">
        <v>206</v>
      </c>
      <c r="AE1807" s="4">
        <v>206</v>
      </c>
      <c r="AF1807" s="6">
        <v>67</v>
      </c>
      <c r="AG1807" s="6"/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100</v>
      </c>
      <c r="AW1807" s="8" t="s">
        <v>100</v>
      </c>
      <c r="AX1807" s="4" t="s">
        <v>100</v>
      </c>
      <c r="AY1807" s="8" t="s">
        <v>100</v>
      </c>
      <c r="AZ1807" s="7" t="s">
        <v>100</v>
      </c>
      <c r="BA1807" s="7" t="s">
        <v>100</v>
      </c>
      <c r="BB1807" s="7"/>
      <c r="BC1807" s="4" t="s">
        <v>100</v>
      </c>
      <c r="BD1807" s="8" t="s">
        <v>100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/>
      <c r="BJ1807" s="4">
        <v>110</v>
      </c>
      <c r="BK1807" s="8">
        <v>10281.05</v>
      </c>
      <c r="BL1807" s="2" t="s">
        <v>5965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147</v>
      </c>
      <c r="BV1807" s="2" t="s">
        <v>97</v>
      </c>
      <c r="BW1807" s="2" t="s">
        <v>100</v>
      </c>
      <c r="BX1807" s="2" t="s">
        <v>100</v>
      </c>
      <c r="BY1807" s="2" t="s">
        <v>112</v>
      </c>
      <c r="BZ1807" s="2" t="s">
        <v>100</v>
      </c>
    </row>
    <row r="1808">
      <c r="A1808" s="2" t="s">
        <v>5966</v>
      </c>
      <c r="B1808" s="2" t="s">
        <v>87</v>
      </c>
      <c r="C1808" s="2" t="s">
        <v>5938</v>
      </c>
      <c r="D1808" s="2" t="s">
        <v>5967</v>
      </c>
      <c r="E1808" s="2" t="s">
        <v>5968</v>
      </c>
      <c r="F1808" s="2" t="s">
        <v>5939</v>
      </c>
      <c r="G1808" s="2" t="s">
        <v>5939</v>
      </c>
      <c r="H1808" s="2" t="s">
        <v>5939</v>
      </c>
      <c r="I1808" s="2" t="s">
        <v>5969</v>
      </c>
      <c r="J1808" s="2" t="s">
        <v>5970</v>
      </c>
      <c r="K1808" s="2" t="s">
        <v>323</v>
      </c>
      <c r="L1808" s="3">
        <v>19.25</v>
      </c>
      <c r="M1808" s="3">
        <v>20.21</v>
      </c>
      <c r="N1808" s="3">
        <v>54.99</v>
      </c>
      <c r="O1808" s="2" t="s">
        <v>97</v>
      </c>
      <c r="P1808" s="2" t="s">
        <v>182</v>
      </c>
      <c r="Q1808" s="2" t="s">
        <v>99</v>
      </c>
      <c r="R1808" s="2" t="s">
        <v>100</v>
      </c>
      <c r="S1808" s="2" t="s">
        <v>5941</v>
      </c>
      <c r="T1808" s="2" t="s">
        <v>100</v>
      </c>
      <c r="U1808" s="2" t="s">
        <v>100</v>
      </c>
      <c r="V1808" s="2" t="s">
        <v>404</v>
      </c>
      <c r="W1808" s="2" t="s">
        <v>405</v>
      </c>
      <c r="X1808" s="2" t="s">
        <v>100</v>
      </c>
      <c r="Y1808" s="2" t="s">
        <v>5971</v>
      </c>
      <c r="Z1808" s="4">
        <v>435</v>
      </c>
      <c r="AA1808" s="4">
        <f>=ROUNDDOWN(67.96875,0)</f>
      </c>
      <c r="AB1808" s="5">
        <v>6.4</v>
      </c>
      <c r="AC1808" s="2" t="s">
        <v>100</v>
      </c>
      <c r="AD1808" s="4"/>
      <c r="AE1808" s="4"/>
      <c r="AF1808" s="6">
        <v>67</v>
      </c>
      <c r="AG1808" s="6"/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124</v>
      </c>
      <c r="BK1808" s="8">
        <v>2304.2</v>
      </c>
      <c r="BL1808" s="2" t="s">
        <v>4557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147</v>
      </c>
      <c r="BV1808" s="2" t="s">
        <v>97</v>
      </c>
      <c r="BW1808" s="2" t="s">
        <v>100</v>
      </c>
      <c r="BX1808" s="2" t="s">
        <v>100</v>
      </c>
      <c r="BY1808" s="2" t="s">
        <v>112</v>
      </c>
      <c r="BZ1808" s="2" t="s">
        <v>100</v>
      </c>
    </row>
    <row r="1809">
      <c r="A1809" s="2" t="s">
        <v>5972</v>
      </c>
      <c r="B1809" s="2" t="s">
        <v>87</v>
      </c>
      <c r="C1809" s="2" t="s">
        <v>5938</v>
      </c>
      <c r="D1809" s="2" t="s">
        <v>5973</v>
      </c>
      <c r="E1809" s="2" t="s">
        <v>5974</v>
      </c>
      <c r="F1809" s="2" t="s">
        <v>5939</v>
      </c>
      <c r="G1809" s="2" t="s">
        <v>5939</v>
      </c>
      <c r="H1809" s="2" t="s">
        <v>5939</v>
      </c>
      <c r="I1809" s="2" t="s">
        <v>5975</v>
      </c>
      <c r="J1809" s="2" t="s">
        <v>5976</v>
      </c>
      <c r="K1809" s="2" t="s">
        <v>323</v>
      </c>
      <c r="L1809" s="3">
        <v>43.75</v>
      </c>
      <c r="M1809" s="3">
        <v>45.93</v>
      </c>
      <c r="N1809" s="3">
        <v>124.99</v>
      </c>
      <c r="O1809" s="2" t="s">
        <v>97</v>
      </c>
      <c r="P1809" s="2" t="s">
        <v>182</v>
      </c>
      <c r="Q1809" s="2" t="s">
        <v>99</v>
      </c>
      <c r="R1809" s="2" t="s">
        <v>100</v>
      </c>
      <c r="S1809" s="2" t="s">
        <v>5941</v>
      </c>
      <c r="T1809" s="2" t="s">
        <v>100</v>
      </c>
      <c r="U1809" s="2" t="s">
        <v>100</v>
      </c>
      <c r="V1809" s="2" t="s">
        <v>404</v>
      </c>
      <c r="W1809" s="2" t="s">
        <v>405</v>
      </c>
      <c r="X1809" s="2" t="s">
        <v>100</v>
      </c>
      <c r="Y1809" s="2" t="s">
        <v>5971</v>
      </c>
      <c r="Z1809" s="4">
        <v>164</v>
      </c>
      <c r="AA1809" s="4">
        <f>=ROUNDDOWN(54.6666666666667,0)</f>
      </c>
      <c r="AB1809" s="5">
        <v>3</v>
      </c>
      <c r="AC1809" s="2" t="s">
        <v>100</v>
      </c>
      <c r="AD1809" s="4"/>
      <c r="AE1809" s="4"/>
      <c r="AF1809" s="6">
        <v>67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100</v>
      </c>
      <c r="AW1809" s="8" t="s">
        <v>100</v>
      </c>
      <c r="AX1809" s="4" t="s">
        <v>100</v>
      </c>
      <c r="AY1809" s="8" t="s">
        <v>100</v>
      </c>
      <c r="AZ1809" s="7" t="s">
        <v>100</v>
      </c>
      <c r="BA1809" s="7" t="s">
        <v>100</v>
      </c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79</v>
      </c>
      <c r="BK1809" s="8">
        <v>3308.63</v>
      </c>
      <c r="BL1809" s="2" t="s">
        <v>5977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147</v>
      </c>
      <c r="BV1809" s="2" t="s">
        <v>97</v>
      </c>
      <c r="BW1809" s="2" t="s">
        <v>100</v>
      </c>
      <c r="BX1809" s="2" t="s">
        <v>100</v>
      </c>
      <c r="BY1809" s="2" t="s">
        <v>112</v>
      </c>
      <c r="BZ1809" s="2" t="s">
        <v>100</v>
      </c>
    </row>
    <row r="1810">
      <c r="A1810" s="2" t="s">
        <v>5978</v>
      </c>
      <c r="B1810" s="2" t="s">
        <v>87</v>
      </c>
      <c r="C1810" s="2" t="s">
        <v>5938</v>
      </c>
      <c r="D1810" s="2" t="s">
        <v>5973</v>
      </c>
      <c r="E1810" s="2" t="s">
        <v>5974</v>
      </c>
      <c r="F1810" s="2" t="s">
        <v>5939</v>
      </c>
      <c r="G1810" s="2" t="s">
        <v>5939</v>
      </c>
      <c r="H1810" s="2" t="s">
        <v>5939</v>
      </c>
      <c r="I1810" s="2" t="s">
        <v>5975</v>
      </c>
      <c r="J1810" s="2" t="s">
        <v>5979</v>
      </c>
      <c r="K1810" s="2" t="s">
        <v>323</v>
      </c>
      <c r="L1810" s="3">
        <v>47.25</v>
      </c>
      <c r="M1810" s="3">
        <v>49.61</v>
      </c>
      <c r="N1810" s="3">
        <v>134.99</v>
      </c>
      <c r="O1810" s="2" t="s">
        <v>229</v>
      </c>
      <c r="P1810" s="2" t="s">
        <v>198</v>
      </c>
      <c r="Q1810" s="2" t="s">
        <v>99</v>
      </c>
      <c r="R1810" s="2" t="s">
        <v>100</v>
      </c>
      <c r="S1810" s="2" t="s">
        <v>5941</v>
      </c>
      <c r="T1810" s="2" t="s">
        <v>100</v>
      </c>
      <c r="U1810" s="2" t="s">
        <v>100</v>
      </c>
      <c r="V1810" s="2" t="s">
        <v>404</v>
      </c>
      <c r="W1810" s="2" t="s">
        <v>405</v>
      </c>
      <c r="X1810" s="2" t="s">
        <v>100</v>
      </c>
      <c r="Y1810" s="2" t="s">
        <v>106</v>
      </c>
      <c r="Z1810" s="4">
        <v>40</v>
      </c>
      <c r="AA1810" s="4">
        <f>=ROUNDDOWN(13.3333333333333,0)</f>
      </c>
      <c r="AB1810" s="5">
        <v>3</v>
      </c>
      <c r="AC1810" s="2" t="s">
        <v>100</v>
      </c>
      <c r="AD1810" s="4"/>
      <c r="AE1810" s="4"/>
      <c r="AF1810" s="6">
        <v>67</v>
      </c>
      <c r="AG1810" s="6"/>
      <c r="AH1810" s="7">
        <v>0.3636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100</v>
      </c>
      <c r="AW1810" s="8" t="s">
        <v>100</v>
      </c>
      <c r="AX1810" s="4" t="s">
        <v>100</v>
      </c>
      <c r="AY1810" s="8" t="s">
        <v>100</v>
      </c>
      <c r="AZ1810" s="7" t="s">
        <v>100</v>
      </c>
      <c r="BA1810" s="7" t="s">
        <v>100</v>
      </c>
      <c r="BB1810" s="7"/>
      <c r="BC1810" s="4" t="s">
        <v>100</v>
      </c>
      <c r="BD1810" s="8" t="s">
        <v>100</v>
      </c>
      <c r="BE1810" s="4" t="s">
        <v>100</v>
      </c>
      <c r="BF1810" s="8" t="s">
        <v>100</v>
      </c>
      <c r="BG1810" s="7" t="s">
        <v>100</v>
      </c>
      <c r="BH1810" s="7" t="s">
        <v>100</v>
      </c>
      <c r="BI1810" s="7"/>
      <c r="BJ1810" s="4">
        <v>2</v>
      </c>
      <c r="BK1810" s="8">
        <v>90.84</v>
      </c>
      <c r="BL1810" s="2" t="s">
        <v>5980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147</v>
      </c>
      <c r="BV1810" s="2" t="s">
        <v>97</v>
      </c>
      <c r="BW1810" s="2" t="s">
        <v>100</v>
      </c>
      <c r="BX1810" s="2" t="s">
        <v>100</v>
      </c>
      <c r="BY1810" s="2" t="s">
        <v>112</v>
      </c>
      <c r="BZ1810" s="2" t="s">
        <v>100</v>
      </c>
    </row>
    <row r="1811">
      <c r="A1811" s="2" t="s">
        <v>5981</v>
      </c>
      <c r="B1811" s="2" t="s">
        <v>87</v>
      </c>
      <c r="C1811" s="2" t="s">
        <v>5982</v>
      </c>
      <c r="D1811" s="2" t="s">
        <v>89</v>
      </c>
      <c r="E1811" s="2" t="s">
        <v>90</v>
      </c>
      <c r="F1811" s="2" t="s">
        <v>5983</v>
      </c>
      <c r="G1811" s="2" t="s">
        <v>100</v>
      </c>
      <c r="H1811" s="2" t="s">
        <v>100</v>
      </c>
      <c r="I1811" s="2" t="s">
        <v>549</v>
      </c>
      <c r="J1811" s="2" t="s">
        <v>3779</v>
      </c>
      <c r="K1811" s="2" t="s">
        <v>158</v>
      </c>
      <c r="L1811" s="3">
        <v>24</v>
      </c>
      <c r="M1811" s="3">
        <v>25.2</v>
      </c>
      <c r="N1811" s="3">
        <v>49.99</v>
      </c>
      <c r="O1811" s="2" t="s">
        <v>229</v>
      </c>
      <c r="P1811" s="2" t="s">
        <v>5984</v>
      </c>
      <c r="Q1811" s="2" t="s">
        <v>99</v>
      </c>
      <c r="R1811" s="2" t="s">
        <v>100</v>
      </c>
      <c r="S1811" s="2" t="s">
        <v>100</v>
      </c>
      <c r="T1811" s="2" t="s">
        <v>100</v>
      </c>
      <c r="U1811" s="2" t="s">
        <v>1482</v>
      </c>
      <c r="V1811" s="2" t="s">
        <v>491</v>
      </c>
      <c r="W1811" s="2" t="s">
        <v>759</v>
      </c>
      <c r="X1811" s="2" t="s">
        <v>100</v>
      </c>
      <c r="Y1811" s="2" t="s">
        <v>1322</v>
      </c>
      <c r="Z1811" s="4"/>
      <c r="AA1811" s="4">
        <f>=ROUNDDOWN({0},0)</f>
      </c>
      <c r="AB1811" s="5"/>
      <c r="AC1811" s="2" t="s">
        <v>100</v>
      </c>
      <c r="AD1811" s="4"/>
      <c r="AE1811" s="4"/>
      <c r="AF1811" s="6"/>
      <c r="AG1811" s="6"/>
      <c r="AH1811" s="7">
        <v>0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/>
      <c r="BK1811" s="8"/>
      <c r="BL1811" s="2" t="s">
        <v>100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147</v>
      </c>
      <c r="BV1811" s="2" t="s">
        <v>97</v>
      </c>
      <c r="BW1811" s="2" t="s">
        <v>100</v>
      </c>
      <c r="BX1811" s="2" t="s">
        <v>100</v>
      </c>
      <c r="BY1811" s="2" t="s">
        <v>112</v>
      </c>
      <c r="BZ1811" s="2" t="s">
        <v>100</v>
      </c>
    </row>
    <row r="1812">
      <c r="A1812" s="2" t="s">
        <v>5985</v>
      </c>
      <c r="B1812" s="2" t="s">
        <v>87</v>
      </c>
      <c r="C1812" s="2" t="s">
        <v>5986</v>
      </c>
      <c r="D1812" s="2" t="s">
        <v>3569</v>
      </c>
      <c r="E1812" s="2" t="s">
        <v>5987</v>
      </c>
      <c r="F1812" s="2" t="s">
        <v>5988</v>
      </c>
      <c r="G1812" s="2" t="s">
        <v>5988</v>
      </c>
      <c r="H1812" s="2" t="s">
        <v>5988</v>
      </c>
      <c r="I1812" s="2" t="s">
        <v>5989</v>
      </c>
      <c r="J1812" s="2" t="s">
        <v>5171</v>
      </c>
      <c r="K1812" s="2" t="s">
        <v>333</v>
      </c>
      <c r="L1812" s="3">
        <v>18</v>
      </c>
      <c r="M1812" s="3">
        <v>18.9</v>
      </c>
      <c r="N1812" s="3">
        <v>39.99</v>
      </c>
      <c r="O1812" s="2" t="s">
        <v>229</v>
      </c>
      <c r="P1812" s="2" t="s">
        <v>198</v>
      </c>
      <c r="Q1812" s="2" t="s">
        <v>99</v>
      </c>
      <c r="R1812" s="2" t="s">
        <v>100</v>
      </c>
      <c r="S1812" s="2" t="s">
        <v>5990</v>
      </c>
      <c r="T1812" s="2" t="s">
        <v>184</v>
      </c>
      <c r="U1812" s="2" t="s">
        <v>3531</v>
      </c>
      <c r="V1812" s="2" t="s">
        <v>601</v>
      </c>
      <c r="W1812" s="2" t="s">
        <v>759</v>
      </c>
      <c r="X1812" s="2" t="s">
        <v>602</v>
      </c>
      <c r="Y1812" s="2" t="s">
        <v>5991</v>
      </c>
      <c r="Z1812" s="4">
        <v>287</v>
      </c>
      <c r="AA1812" s="4">
        <f>=ROUNDDOWN(287,0)</f>
      </c>
      <c r="AB1812" s="5">
        <v>1</v>
      </c>
      <c r="AC1812" s="2" t="s">
        <v>100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100</v>
      </c>
      <c r="BD1812" s="8" t="s">
        <v>100</v>
      </c>
      <c r="BE1812" s="4" t="s">
        <v>100</v>
      </c>
      <c r="BF1812" s="8" t="s">
        <v>100</v>
      </c>
      <c r="BG1812" s="7" t="s">
        <v>100</v>
      </c>
      <c r="BH1812" s="7" t="s">
        <v>100</v>
      </c>
      <c r="BI1812" s="7"/>
      <c r="BJ1812" s="4">
        <v>41</v>
      </c>
      <c r="BK1812" s="8">
        <v>781.23</v>
      </c>
      <c r="BL1812" s="2" t="s">
        <v>5992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5993</v>
      </c>
      <c r="BV1812" s="2" t="s">
        <v>97</v>
      </c>
      <c r="BW1812" s="2" t="s">
        <v>100</v>
      </c>
      <c r="BX1812" s="2" t="s">
        <v>100</v>
      </c>
      <c r="BY1812" s="2" t="s">
        <v>112</v>
      </c>
      <c r="BZ1812" s="2" t="s">
        <v>100</v>
      </c>
    </row>
    <row r="1813">
      <c r="A1813" s="2" t="s">
        <v>5994</v>
      </c>
      <c r="B1813" s="2" t="s">
        <v>87</v>
      </c>
      <c r="C1813" s="2" t="s">
        <v>5986</v>
      </c>
      <c r="D1813" s="2" t="s">
        <v>3569</v>
      </c>
      <c r="E1813" s="2" t="s">
        <v>5987</v>
      </c>
      <c r="F1813" s="2" t="s">
        <v>5988</v>
      </c>
      <c r="G1813" s="2" t="s">
        <v>5988</v>
      </c>
      <c r="H1813" s="2" t="s">
        <v>5988</v>
      </c>
      <c r="I1813" s="2" t="s">
        <v>5989</v>
      </c>
      <c r="J1813" s="2" t="s">
        <v>5171</v>
      </c>
      <c r="K1813" s="2" t="s">
        <v>666</v>
      </c>
      <c r="L1813" s="3">
        <v>18</v>
      </c>
      <c r="M1813" s="3">
        <v>18.9</v>
      </c>
      <c r="N1813" s="3">
        <v>39.99</v>
      </c>
      <c r="O1813" s="2" t="s">
        <v>97</v>
      </c>
      <c r="P1813" s="2" t="s">
        <v>182</v>
      </c>
      <c r="Q1813" s="2" t="s">
        <v>99</v>
      </c>
      <c r="R1813" s="2" t="s">
        <v>100</v>
      </c>
      <c r="S1813" s="2" t="s">
        <v>5995</v>
      </c>
      <c r="T1813" s="2" t="s">
        <v>184</v>
      </c>
      <c r="U1813" s="2" t="s">
        <v>3531</v>
      </c>
      <c r="V1813" s="2" t="s">
        <v>601</v>
      </c>
      <c r="W1813" s="2" t="s">
        <v>759</v>
      </c>
      <c r="X1813" s="2" t="s">
        <v>602</v>
      </c>
      <c r="Y1813" s="2" t="s">
        <v>5991</v>
      </c>
      <c r="Z1813" s="4">
        <v>115</v>
      </c>
      <c r="AA1813" s="4">
        <f>=ROUNDDOWN(16.4285714285714,0)</f>
      </c>
      <c r="AB1813" s="5">
        <v>7</v>
      </c>
      <c r="AC1813" s="2" t="s">
        <v>533</v>
      </c>
      <c r="AD1813" s="4">
        <v>152</v>
      </c>
      <c r="AE1813" s="4">
        <v>152</v>
      </c>
      <c r="AF1813" s="6">
        <v>65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/>
      <c r="BJ1813" s="4">
        <v>86</v>
      </c>
      <c r="BK1813" s="8">
        <v>1745.04</v>
      </c>
      <c r="BL1813" s="2" t="s">
        <v>5996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5993</v>
      </c>
      <c r="BV1813" s="2" t="s">
        <v>97</v>
      </c>
      <c r="BW1813" s="2" t="s">
        <v>100</v>
      </c>
      <c r="BX1813" s="2" t="s">
        <v>100</v>
      </c>
      <c r="BY1813" s="2" t="s">
        <v>112</v>
      </c>
      <c r="BZ1813" s="2" t="s">
        <v>100</v>
      </c>
    </row>
    <row r="1814">
      <c r="A1814" s="2" t="s">
        <v>5997</v>
      </c>
      <c r="B1814" s="2" t="s">
        <v>87</v>
      </c>
      <c r="C1814" s="2" t="s">
        <v>5986</v>
      </c>
      <c r="D1814" s="2" t="s">
        <v>3569</v>
      </c>
      <c r="E1814" s="2" t="s">
        <v>5169</v>
      </c>
      <c r="F1814" s="2" t="s">
        <v>5998</v>
      </c>
      <c r="G1814" s="2" t="s">
        <v>100</v>
      </c>
      <c r="H1814" s="2" t="s">
        <v>100</v>
      </c>
      <c r="I1814" s="2" t="s">
        <v>5171</v>
      </c>
      <c r="J1814" s="2" t="s">
        <v>5171</v>
      </c>
      <c r="K1814" s="2" t="s">
        <v>333</v>
      </c>
      <c r="L1814" s="3">
        <v>27</v>
      </c>
      <c r="M1814" s="3">
        <v>28.35</v>
      </c>
      <c r="N1814" s="3">
        <v>59.99</v>
      </c>
      <c r="O1814" s="2" t="s">
        <v>97</v>
      </c>
      <c r="P1814" s="2" t="s">
        <v>182</v>
      </c>
      <c r="Q1814" s="2" t="s">
        <v>99</v>
      </c>
      <c r="R1814" s="2" t="s">
        <v>100</v>
      </c>
      <c r="S1814" s="2" t="s">
        <v>5999</v>
      </c>
      <c r="T1814" s="2" t="s">
        <v>100</v>
      </c>
      <c r="U1814" s="2" t="s">
        <v>100</v>
      </c>
      <c r="V1814" s="2" t="s">
        <v>561</v>
      </c>
      <c r="W1814" s="2" t="s">
        <v>1530</v>
      </c>
      <c r="X1814" s="2" t="s">
        <v>759</v>
      </c>
      <c r="Y1814" s="2" t="s">
        <v>106</v>
      </c>
      <c r="Z1814" s="4">
        <v>225</v>
      </c>
      <c r="AA1814" s="4">
        <f>=ROUNDDOWN(45,0)</f>
      </c>
      <c r="AB1814" s="5">
        <v>5</v>
      </c>
      <c r="AC1814" s="2" t="s">
        <v>100</v>
      </c>
      <c r="AD1814" s="4"/>
      <c r="AE1814" s="4"/>
      <c r="AF1814" s="6">
        <v>68</v>
      </c>
      <c r="AG1814" s="6"/>
      <c r="AH1814" s="7">
        <v>1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36</v>
      </c>
      <c r="BK1814" s="8">
        <v>989.25</v>
      </c>
      <c r="BL1814" s="2" t="s">
        <v>6000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5993</v>
      </c>
      <c r="BV1814" s="2" t="s">
        <v>97</v>
      </c>
      <c r="BW1814" s="2" t="s">
        <v>100</v>
      </c>
      <c r="BX1814" s="2" t="s">
        <v>100</v>
      </c>
      <c r="BY1814" s="2" t="s">
        <v>112</v>
      </c>
      <c r="BZ1814" s="2" t="s">
        <v>100</v>
      </c>
    </row>
    <row r="1815">
      <c r="A1815" s="2" t="s">
        <v>6001</v>
      </c>
      <c r="B1815" s="2" t="s">
        <v>87</v>
      </c>
      <c r="C1815" s="2" t="s">
        <v>5986</v>
      </c>
      <c r="D1815" s="2" t="s">
        <v>3569</v>
      </c>
      <c r="E1815" s="2" t="s">
        <v>5169</v>
      </c>
      <c r="F1815" s="2" t="s">
        <v>6002</v>
      </c>
      <c r="G1815" s="2" t="s">
        <v>6002</v>
      </c>
      <c r="H1815" s="2" t="s">
        <v>6002</v>
      </c>
      <c r="I1815" s="2" t="s">
        <v>6003</v>
      </c>
      <c r="J1815" s="2" t="s">
        <v>6004</v>
      </c>
      <c r="K1815" s="2" t="s">
        <v>333</v>
      </c>
      <c r="L1815" s="3">
        <v>17.2</v>
      </c>
      <c r="M1815" s="3">
        <v>18.06</v>
      </c>
      <c r="N1815" s="3">
        <v>42.99</v>
      </c>
      <c r="O1815" s="2" t="s">
        <v>97</v>
      </c>
      <c r="P1815" s="2" t="s">
        <v>143</v>
      </c>
      <c r="Q1815" s="2" t="s">
        <v>99</v>
      </c>
      <c r="R1815" s="2" t="s">
        <v>100</v>
      </c>
      <c r="S1815" s="2" t="s">
        <v>6005</v>
      </c>
      <c r="T1815" s="2" t="s">
        <v>732</v>
      </c>
      <c r="U1815" s="2" t="s">
        <v>3531</v>
      </c>
      <c r="V1815" s="2" t="s">
        <v>601</v>
      </c>
      <c r="W1815" s="2" t="s">
        <v>104</v>
      </c>
      <c r="X1815" s="2" t="s">
        <v>602</v>
      </c>
      <c r="Y1815" s="2" t="s">
        <v>6006</v>
      </c>
      <c r="Z1815" s="4">
        <v>327</v>
      </c>
      <c r="AA1815" s="4">
        <f>=ROUNDDOWN(65.4,0)</f>
      </c>
      <c r="AB1815" s="5">
        <v>5</v>
      </c>
      <c r="AC1815" s="2" t="s">
        <v>100</v>
      </c>
      <c r="AD1815" s="4"/>
      <c r="AE1815" s="4"/>
      <c r="AF1815" s="6">
        <v>65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/>
      <c r="BJ1815" s="4">
        <v>108</v>
      </c>
      <c r="BK1815" s="8">
        <v>2028.81</v>
      </c>
      <c r="BL1815" s="2" t="s">
        <v>6007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5993</v>
      </c>
      <c r="BV1815" s="2" t="s">
        <v>97</v>
      </c>
      <c r="BW1815" s="2" t="s">
        <v>100</v>
      </c>
      <c r="BX1815" s="2" t="s">
        <v>100</v>
      </c>
      <c r="BY1815" s="2" t="s">
        <v>112</v>
      </c>
      <c r="BZ1815" s="2" t="s">
        <v>100</v>
      </c>
    </row>
    <row r="1816">
      <c r="A1816" s="2" t="s">
        <v>6008</v>
      </c>
      <c r="B1816" s="2" t="s">
        <v>87</v>
      </c>
      <c r="C1816" s="2" t="s">
        <v>5986</v>
      </c>
      <c r="D1816" s="2" t="s">
        <v>3569</v>
      </c>
      <c r="E1816" s="2" t="s">
        <v>5169</v>
      </c>
      <c r="F1816" s="2" t="s">
        <v>6002</v>
      </c>
      <c r="G1816" s="2" t="s">
        <v>6002</v>
      </c>
      <c r="H1816" s="2" t="s">
        <v>6002</v>
      </c>
      <c r="I1816" s="2" t="s">
        <v>6003</v>
      </c>
      <c r="J1816" s="2" t="s">
        <v>6004</v>
      </c>
      <c r="K1816" s="2" t="s">
        <v>666</v>
      </c>
      <c r="L1816" s="3">
        <v>17.2</v>
      </c>
      <c r="M1816" s="3">
        <v>18.06</v>
      </c>
      <c r="N1816" s="3">
        <v>42.99</v>
      </c>
      <c r="O1816" s="2" t="s">
        <v>97</v>
      </c>
      <c r="P1816" s="2" t="s">
        <v>143</v>
      </c>
      <c r="Q1816" s="2" t="s">
        <v>99</v>
      </c>
      <c r="R1816" s="2" t="s">
        <v>100</v>
      </c>
      <c r="S1816" s="2" t="s">
        <v>6009</v>
      </c>
      <c r="T1816" s="2" t="s">
        <v>732</v>
      </c>
      <c r="U1816" s="2" t="s">
        <v>3531</v>
      </c>
      <c r="V1816" s="2" t="s">
        <v>601</v>
      </c>
      <c r="W1816" s="2" t="s">
        <v>104</v>
      </c>
      <c r="X1816" s="2" t="s">
        <v>602</v>
      </c>
      <c r="Y1816" s="2" t="s">
        <v>6006</v>
      </c>
      <c r="Z1816" s="4">
        <v>158</v>
      </c>
      <c r="AA1816" s="4">
        <f>=ROUNDDOWN(19.75,0)</f>
      </c>
      <c r="AB1816" s="5">
        <v>8</v>
      </c>
      <c r="AC1816" s="2" t="s">
        <v>659</v>
      </c>
      <c r="AD1816" s="4">
        <v>96</v>
      </c>
      <c r="AE1816" s="4">
        <v>160</v>
      </c>
      <c r="AF1816" s="6">
        <v>65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/>
      <c r="BJ1816" s="4">
        <v>167</v>
      </c>
      <c r="BK1816" s="8">
        <v>3194.89</v>
      </c>
      <c r="BL1816" s="2" t="s">
        <v>6010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5993</v>
      </c>
      <c r="BV1816" s="2" t="s">
        <v>97</v>
      </c>
      <c r="BW1816" s="2" t="s">
        <v>100</v>
      </c>
      <c r="BX1816" s="2" t="s">
        <v>100</v>
      </c>
      <c r="BY1816" s="2" t="s">
        <v>112</v>
      </c>
      <c r="BZ1816" s="2" t="s">
        <v>100</v>
      </c>
    </row>
    <row r="1817">
      <c r="A1817" s="2" t="s">
        <v>6011</v>
      </c>
      <c r="B1817" s="2" t="s">
        <v>87</v>
      </c>
      <c r="C1817" s="2" t="s">
        <v>5986</v>
      </c>
      <c r="D1817" s="2" t="s">
        <v>89</v>
      </c>
      <c r="E1817" s="2" t="s">
        <v>90</v>
      </c>
      <c r="F1817" s="2" t="s">
        <v>6012</v>
      </c>
      <c r="G1817" s="2" t="s">
        <v>6012</v>
      </c>
      <c r="H1817" s="2" t="s">
        <v>6012</v>
      </c>
      <c r="I1817" s="2" t="s">
        <v>6013</v>
      </c>
      <c r="J1817" s="2" t="s">
        <v>844</v>
      </c>
      <c r="K1817" s="2" t="s">
        <v>158</v>
      </c>
      <c r="L1817" s="3">
        <v>67.5</v>
      </c>
      <c r="M1817" s="3">
        <v>70.88</v>
      </c>
      <c r="N1817" s="3">
        <v>149.99</v>
      </c>
      <c r="O1817" s="2" t="s">
        <v>97</v>
      </c>
      <c r="P1817" s="2" t="s">
        <v>182</v>
      </c>
      <c r="Q1817" s="2" t="s">
        <v>99</v>
      </c>
      <c r="R1817" s="2" t="s">
        <v>100</v>
      </c>
      <c r="S1817" s="2" t="s">
        <v>6014</v>
      </c>
      <c r="T1817" s="2" t="s">
        <v>184</v>
      </c>
      <c r="U1817" s="2" t="s">
        <v>1482</v>
      </c>
      <c r="V1817" s="2" t="s">
        <v>1122</v>
      </c>
      <c r="W1817" s="2" t="s">
        <v>759</v>
      </c>
      <c r="X1817" s="2" t="s">
        <v>104</v>
      </c>
      <c r="Y1817" s="2" t="s">
        <v>6015</v>
      </c>
      <c r="Z1817" s="4">
        <v>82</v>
      </c>
      <c r="AA1817" s="4">
        <f>=ROUNDDOWN(13.8983050847458,0)</f>
      </c>
      <c r="AB1817" s="5">
        <v>5.9</v>
      </c>
      <c r="AC1817" s="2" t="s">
        <v>6016</v>
      </c>
      <c r="AD1817" s="4">
        <v>70</v>
      </c>
      <c r="AE1817" s="4">
        <v>135</v>
      </c>
      <c r="AF1817" s="6">
        <v>64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100</v>
      </c>
      <c r="AW1817" s="8" t="s">
        <v>100</v>
      </c>
      <c r="AX1817" s="4" t="s">
        <v>100</v>
      </c>
      <c r="AY1817" s="8" t="s">
        <v>100</v>
      </c>
      <c r="AZ1817" s="7" t="s">
        <v>100</v>
      </c>
      <c r="BA1817" s="7" t="s">
        <v>100</v>
      </c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/>
      <c r="BJ1817" s="4">
        <v>116</v>
      </c>
      <c r="BK1817" s="8">
        <v>8473.8</v>
      </c>
      <c r="BL1817" s="2" t="s">
        <v>5210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5993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6017</v>
      </c>
      <c r="B1818" s="2" t="s">
        <v>87</v>
      </c>
      <c r="C1818" s="2" t="s">
        <v>5986</v>
      </c>
      <c r="D1818" s="2" t="s">
        <v>89</v>
      </c>
      <c r="E1818" s="2" t="s">
        <v>90</v>
      </c>
      <c r="F1818" s="2" t="s">
        <v>6012</v>
      </c>
      <c r="G1818" s="2" t="s">
        <v>6012</v>
      </c>
      <c r="H1818" s="2" t="s">
        <v>6012</v>
      </c>
      <c r="I1818" s="2" t="s">
        <v>6013</v>
      </c>
      <c r="J1818" s="2" t="s">
        <v>114</v>
      </c>
      <c r="K1818" s="2" t="s">
        <v>158</v>
      </c>
      <c r="L1818" s="3">
        <v>76.5</v>
      </c>
      <c r="M1818" s="3">
        <v>80.33</v>
      </c>
      <c r="N1818" s="3">
        <v>169.99</v>
      </c>
      <c r="O1818" s="2" t="s">
        <v>97</v>
      </c>
      <c r="P1818" s="2" t="s">
        <v>182</v>
      </c>
      <c r="Q1818" s="2" t="s">
        <v>99</v>
      </c>
      <c r="R1818" s="2" t="s">
        <v>100</v>
      </c>
      <c r="S1818" s="2" t="s">
        <v>6014</v>
      </c>
      <c r="T1818" s="2" t="s">
        <v>184</v>
      </c>
      <c r="U1818" s="2" t="s">
        <v>1482</v>
      </c>
      <c r="V1818" s="2" t="s">
        <v>1122</v>
      </c>
      <c r="W1818" s="2" t="s">
        <v>759</v>
      </c>
      <c r="X1818" s="2" t="s">
        <v>104</v>
      </c>
      <c r="Y1818" s="2" t="s">
        <v>6015</v>
      </c>
      <c r="Z1818" s="4">
        <v>41</v>
      </c>
      <c r="AA1818" s="4">
        <f>=ROUNDDOWN(5.125,0)</f>
      </c>
      <c r="AB1818" s="5">
        <v>8</v>
      </c>
      <c r="AC1818" s="2" t="s">
        <v>4396</v>
      </c>
      <c r="AD1818" s="4">
        <v>60</v>
      </c>
      <c r="AE1818" s="4">
        <v>240</v>
      </c>
      <c r="AF1818" s="6">
        <v>64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100</v>
      </c>
      <c r="AW1818" s="8" t="s">
        <v>100</v>
      </c>
      <c r="AX1818" s="4" t="s">
        <v>100</v>
      </c>
      <c r="AY1818" s="8" t="s">
        <v>100</v>
      </c>
      <c r="AZ1818" s="7" t="s">
        <v>100</v>
      </c>
      <c r="BA1818" s="7" t="s">
        <v>100</v>
      </c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138</v>
      </c>
      <c r="BK1818" s="8">
        <v>11731.37</v>
      </c>
      <c r="BL1818" s="2" t="s">
        <v>6018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5993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6019</v>
      </c>
      <c r="B1819" s="2" t="s">
        <v>87</v>
      </c>
      <c r="C1819" s="2" t="s">
        <v>5986</v>
      </c>
      <c r="D1819" s="2" t="s">
        <v>89</v>
      </c>
      <c r="E1819" s="2" t="s">
        <v>90</v>
      </c>
      <c r="F1819" s="2" t="s">
        <v>5998</v>
      </c>
      <c r="G1819" s="2" t="s">
        <v>100</v>
      </c>
      <c r="H1819" s="2" t="s">
        <v>100</v>
      </c>
      <c r="I1819" s="2" t="s">
        <v>2098</v>
      </c>
      <c r="J1819" s="2" t="s">
        <v>95</v>
      </c>
      <c r="K1819" s="2" t="s">
        <v>1767</v>
      </c>
      <c r="L1819" s="3">
        <v>89.3</v>
      </c>
      <c r="M1819" s="3">
        <v>93.76</v>
      </c>
      <c r="N1819" s="3">
        <v>189.99</v>
      </c>
      <c r="O1819" s="2" t="s">
        <v>97</v>
      </c>
      <c r="P1819" s="2" t="s">
        <v>182</v>
      </c>
      <c r="Q1819" s="2" t="s">
        <v>99</v>
      </c>
      <c r="R1819" s="2" t="s">
        <v>100</v>
      </c>
      <c r="S1819" s="2" t="s">
        <v>6020</v>
      </c>
      <c r="T1819" s="2" t="s">
        <v>100</v>
      </c>
      <c r="U1819" s="2" t="s">
        <v>1610</v>
      </c>
      <c r="V1819" s="2" t="s">
        <v>491</v>
      </c>
      <c r="W1819" s="2" t="s">
        <v>1530</v>
      </c>
      <c r="X1819" s="2" t="s">
        <v>759</v>
      </c>
      <c r="Y1819" s="2" t="s">
        <v>106</v>
      </c>
      <c r="Z1819" s="4">
        <v>38</v>
      </c>
      <c r="AA1819" s="4">
        <f>=ROUNDDOWN(12.6666666666667,0)</f>
      </c>
      <c r="AB1819" s="5">
        <v>3</v>
      </c>
      <c r="AC1819" s="2" t="s">
        <v>1328</v>
      </c>
      <c r="AD1819" s="4">
        <v>55</v>
      </c>
      <c r="AE1819" s="4">
        <v>55</v>
      </c>
      <c r="AF1819" s="6">
        <v>63</v>
      </c>
      <c r="AG1819" s="6"/>
      <c r="AH1819" s="7">
        <v>0.3697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100</v>
      </c>
      <c r="AW1819" s="8" t="s">
        <v>100</v>
      </c>
      <c r="AX1819" s="4" t="s">
        <v>100</v>
      </c>
      <c r="AY1819" s="8" t="s">
        <v>100</v>
      </c>
      <c r="AZ1819" s="7" t="s">
        <v>100</v>
      </c>
      <c r="BA1819" s="7" t="s">
        <v>100</v>
      </c>
      <c r="BB1819" s="7"/>
      <c r="BC1819" s="4" t="s">
        <v>100</v>
      </c>
      <c r="BD1819" s="8" t="s">
        <v>100</v>
      </c>
      <c r="BE1819" s="4" t="s">
        <v>100</v>
      </c>
      <c r="BF1819" s="8" t="s">
        <v>100</v>
      </c>
      <c r="BG1819" s="7" t="s">
        <v>100</v>
      </c>
      <c r="BH1819" s="7" t="s">
        <v>100</v>
      </c>
      <c r="BI1819" s="7"/>
      <c r="BJ1819" s="4">
        <v>23</v>
      </c>
      <c r="BK1819" s="8">
        <v>2103.02</v>
      </c>
      <c r="BL1819" s="2" t="s">
        <v>6021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5993</v>
      </c>
      <c r="BV1819" s="2" t="s">
        <v>97</v>
      </c>
      <c r="BW1819" s="2" t="s">
        <v>100</v>
      </c>
      <c r="BX1819" s="2" t="s">
        <v>100</v>
      </c>
      <c r="BY1819" s="2" t="s">
        <v>112</v>
      </c>
      <c r="BZ1819" s="2" t="s">
        <v>100</v>
      </c>
    </row>
    <row r="1820">
      <c r="A1820" s="2" t="s">
        <v>6022</v>
      </c>
      <c r="B1820" s="2" t="s">
        <v>87</v>
      </c>
      <c r="C1820" s="2" t="s">
        <v>5986</v>
      </c>
      <c r="D1820" s="2" t="s">
        <v>89</v>
      </c>
      <c r="E1820" s="2" t="s">
        <v>90</v>
      </c>
      <c r="F1820" s="2" t="s">
        <v>5998</v>
      </c>
      <c r="G1820" s="2" t="s">
        <v>100</v>
      </c>
      <c r="H1820" s="2" t="s">
        <v>100</v>
      </c>
      <c r="I1820" s="2" t="s">
        <v>2098</v>
      </c>
      <c r="J1820" s="2" t="s">
        <v>114</v>
      </c>
      <c r="K1820" s="2" t="s">
        <v>1767</v>
      </c>
      <c r="L1820" s="3">
        <v>98.7</v>
      </c>
      <c r="M1820" s="3">
        <v>103.63</v>
      </c>
      <c r="N1820" s="3">
        <v>209.99</v>
      </c>
      <c r="O1820" s="2" t="s">
        <v>97</v>
      </c>
      <c r="P1820" s="2" t="s">
        <v>182</v>
      </c>
      <c r="Q1820" s="2" t="s">
        <v>99</v>
      </c>
      <c r="R1820" s="2" t="s">
        <v>100</v>
      </c>
      <c r="S1820" s="2" t="s">
        <v>6020</v>
      </c>
      <c r="T1820" s="2" t="s">
        <v>100</v>
      </c>
      <c r="U1820" s="2" t="s">
        <v>1610</v>
      </c>
      <c r="V1820" s="2" t="s">
        <v>491</v>
      </c>
      <c r="W1820" s="2" t="s">
        <v>1530</v>
      </c>
      <c r="X1820" s="2" t="s">
        <v>759</v>
      </c>
      <c r="Y1820" s="2" t="s">
        <v>106</v>
      </c>
      <c r="Z1820" s="4">
        <v>24</v>
      </c>
      <c r="AA1820" s="4">
        <f>=ROUNDDOWN(12,0)</f>
      </c>
      <c r="AB1820" s="5">
        <v>2</v>
      </c>
      <c r="AC1820" s="2" t="s">
        <v>1328</v>
      </c>
      <c r="AD1820" s="4">
        <v>65</v>
      </c>
      <c r="AE1820" s="4">
        <v>65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100</v>
      </c>
      <c r="AW1820" s="8" t="s">
        <v>100</v>
      </c>
      <c r="AX1820" s="4" t="s">
        <v>100</v>
      </c>
      <c r="AY1820" s="8" t="s">
        <v>100</v>
      </c>
      <c r="AZ1820" s="7" t="s">
        <v>100</v>
      </c>
      <c r="BA1820" s="7" t="s">
        <v>100</v>
      </c>
      <c r="BB1820" s="7"/>
      <c r="BC1820" s="4" t="s">
        <v>100</v>
      </c>
      <c r="BD1820" s="8" t="s">
        <v>100</v>
      </c>
      <c r="BE1820" s="4" t="s">
        <v>100</v>
      </c>
      <c r="BF1820" s="8" t="s">
        <v>100</v>
      </c>
      <c r="BG1820" s="7" t="s">
        <v>100</v>
      </c>
      <c r="BH1820" s="7" t="s">
        <v>100</v>
      </c>
      <c r="BI1820" s="7"/>
      <c r="BJ1820" s="4">
        <v>54</v>
      </c>
      <c r="BK1820" s="8">
        <v>5616.55</v>
      </c>
      <c r="BL1820" s="2" t="s">
        <v>6021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5993</v>
      </c>
      <c r="BV1820" s="2" t="s">
        <v>97</v>
      </c>
      <c r="BW1820" s="2" t="s">
        <v>100</v>
      </c>
      <c r="BX1820" s="2" t="s">
        <v>100</v>
      </c>
      <c r="BY1820" s="2" t="s">
        <v>112</v>
      </c>
      <c r="BZ1820" s="2" t="s">
        <v>100</v>
      </c>
    </row>
    <row r="1821">
      <c r="A1821" s="2" t="s">
        <v>6023</v>
      </c>
      <c r="B1821" s="2" t="s">
        <v>87</v>
      </c>
      <c r="C1821" s="2" t="s">
        <v>5986</v>
      </c>
      <c r="D1821" s="2" t="s">
        <v>89</v>
      </c>
      <c r="E1821" s="2" t="s">
        <v>90</v>
      </c>
      <c r="F1821" s="2" t="s">
        <v>6002</v>
      </c>
      <c r="G1821" s="2" t="s">
        <v>6002</v>
      </c>
      <c r="H1821" s="2" t="s">
        <v>6002</v>
      </c>
      <c r="I1821" s="2" t="s">
        <v>6024</v>
      </c>
      <c r="J1821" s="2" t="s">
        <v>844</v>
      </c>
      <c r="K1821" s="2" t="s">
        <v>333</v>
      </c>
      <c r="L1821" s="3">
        <v>89.3</v>
      </c>
      <c r="M1821" s="3">
        <v>93.76</v>
      </c>
      <c r="N1821" s="3">
        <v>189.99</v>
      </c>
      <c r="O1821" s="2" t="s">
        <v>97</v>
      </c>
      <c r="P1821" s="2" t="s">
        <v>143</v>
      </c>
      <c r="Q1821" s="2" t="s">
        <v>99</v>
      </c>
      <c r="R1821" s="2" t="s">
        <v>100</v>
      </c>
      <c r="S1821" s="2" t="s">
        <v>6005</v>
      </c>
      <c r="T1821" s="2" t="s">
        <v>732</v>
      </c>
      <c r="U1821" s="2" t="s">
        <v>1610</v>
      </c>
      <c r="V1821" s="2" t="s">
        <v>601</v>
      </c>
      <c r="W1821" s="2" t="s">
        <v>104</v>
      </c>
      <c r="X1821" s="2" t="s">
        <v>602</v>
      </c>
      <c r="Y1821" s="2" t="s">
        <v>6006</v>
      </c>
      <c r="Z1821" s="4">
        <v>147</v>
      </c>
      <c r="AA1821" s="4">
        <f>=ROUNDDOWN(24.5,0)</f>
      </c>
      <c r="AB1821" s="5">
        <v>6</v>
      </c>
      <c r="AC1821" s="2" t="s">
        <v>130</v>
      </c>
      <c r="AD1821" s="4">
        <v>55</v>
      </c>
      <c r="AE1821" s="4">
        <v>195</v>
      </c>
      <c r="AF1821" s="6">
        <v>65</v>
      </c>
      <c r="AG1821" s="6"/>
      <c r="AH1821" s="7">
        <v>0.8606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100</v>
      </c>
      <c r="AW1821" s="8" t="s">
        <v>100</v>
      </c>
      <c r="AX1821" s="4" t="s">
        <v>100</v>
      </c>
      <c r="AY1821" s="8" t="s">
        <v>100</v>
      </c>
      <c r="AZ1821" s="7" t="s">
        <v>100</v>
      </c>
      <c r="BA1821" s="7" t="s">
        <v>100</v>
      </c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104</v>
      </c>
      <c r="BK1821" s="8">
        <v>9511.3</v>
      </c>
      <c r="BL1821" s="2" t="s">
        <v>6025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5993</v>
      </c>
      <c r="BV1821" s="2" t="s">
        <v>97</v>
      </c>
      <c r="BW1821" s="2" t="s">
        <v>100</v>
      </c>
      <c r="BX1821" s="2" t="s">
        <v>100</v>
      </c>
      <c r="BY1821" s="2" t="s">
        <v>112</v>
      </c>
      <c r="BZ1821" s="2" t="s">
        <v>100</v>
      </c>
    </row>
    <row r="1822">
      <c r="A1822" s="2" t="s">
        <v>6026</v>
      </c>
      <c r="B1822" s="2" t="s">
        <v>87</v>
      </c>
      <c r="C1822" s="2" t="s">
        <v>5986</v>
      </c>
      <c r="D1822" s="2" t="s">
        <v>89</v>
      </c>
      <c r="E1822" s="2" t="s">
        <v>90</v>
      </c>
      <c r="F1822" s="2" t="s">
        <v>6002</v>
      </c>
      <c r="G1822" s="2" t="s">
        <v>6002</v>
      </c>
      <c r="H1822" s="2" t="s">
        <v>6002</v>
      </c>
      <c r="I1822" s="2" t="s">
        <v>6024</v>
      </c>
      <c r="J1822" s="2" t="s">
        <v>850</v>
      </c>
      <c r="K1822" s="2" t="s">
        <v>333</v>
      </c>
      <c r="L1822" s="3">
        <v>98.7</v>
      </c>
      <c r="M1822" s="3">
        <v>103.63</v>
      </c>
      <c r="N1822" s="3">
        <v>209.99</v>
      </c>
      <c r="O1822" s="2" t="s">
        <v>97</v>
      </c>
      <c r="P1822" s="2" t="s">
        <v>143</v>
      </c>
      <c r="Q1822" s="2" t="s">
        <v>99</v>
      </c>
      <c r="R1822" s="2" t="s">
        <v>100</v>
      </c>
      <c r="S1822" s="2" t="s">
        <v>6005</v>
      </c>
      <c r="T1822" s="2" t="s">
        <v>732</v>
      </c>
      <c r="U1822" s="2" t="s">
        <v>1610</v>
      </c>
      <c r="V1822" s="2" t="s">
        <v>601</v>
      </c>
      <c r="W1822" s="2" t="s">
        <v>104</v>
      </c>
      <c r="X1822" s="2" t="s">
        <v>602</v>
      </c>
      <c r="Y1822" s="2" t="s">
        <v>6006</v>
      </c>
      <c r="Z1822" s="4">
        <v>337</v>
      </c>
      <c r="AA1822" s="4">
        <f>=ROUNDDOWN(51.8461538461538,0)</f>
      </c>
      <c r="AB1822" s="5">
        <v>6.5</v>
      </c>
      <c r="AC1822" s="2" t="s">
        <v>130</v>
      </c>
      <c r="AD1822" s="4">
        <v>120</v>
      </c>
      <c r="AE1822" s="4">
        <v>137</v>
      </c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100</v>
      </c>
      <c r="AW1822" s="8" t="s">
        <v>100</v>
      </c>
      <c r="AX1822" s="4" t="s">
        <v>100</v>
      </c>
      <c r="AY1822" s="8" t="s">
        <v>100</v>
      </c>
      <c r="AZ1822" s="7" t="s">
        <v>100</v>
      </c>
      <c r="BA1822" s="7" t="s">
        <v>100</v>
      </c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184</v>
      </c>
      <c r="BK1822" s="8">
        <v>18261.77</v>
      </c>
      <c r="BL1822" s="2" t="s">
        <v>6027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5993</v>
      </c>
      <c r="BV1822" s="2" t="s">
        <v>97</v>
      </c>
      <c r="BW1822" s="2" t="s">
        <v>100</v>
      </c>
      <c r="BX1822" s="2" t="s">
        <v>100</v>
      </c>
      <c r="BY1822" s="2" t="s">
        <v>112</v>
      </c>
      <c r="BZ1822" s="2" t="s">
        <v>100</v>
      </c>
    </row>
    <row r="1823">
      <c r="A1823" s="2" t="s">
        <v>6028</v>
      </c>
      <c r="B1823" s="2" t="s">
        <v>87</v>
      </c>
      <c r="C1823" s="2" t="s">
        <v>5986</v>
      </c>
      <c r="D1823" s="2" t="s">
        <v>89</v>
      </c>
      <c r="E1823" s="2" t="s">
        <v>90</v>
      </c>
      <c r="F1823" s="2" t="s">
        <v>6002</v>
      </c>
      <c r="G1823" s="2" t="s">
        <v>6002</v>
      </c>
      <c r="H1823" s="2" t="s">
        <v>6002</v>
      </c>
      <c r="I1823" s="2" t="s">
        <v>6024</v>
      </c>
      <c r="J1823" s="2" t="s">
        <v>844</v>
      </c>
      <c r="K1823" s="2" t="s">
        <v>666</v>
      </c>
      <c r="L1823" s="3">
        <v>89.3</v>
      </c>
      <c r="M1823" s="3">
        <v>93.76</v>
      </c>
      <c r="N1823" s="3">
        <v>189.99</v>
      </c>
      <c r="O1823" s="2" t="s">
        <v>97</v>
      </c>
      <c r="P1823" s="2" t="s">
        <v>143</v>
      </c>
      <c r="Q1823" s="2" t="s">
        <v>99</v>
      </c>
      <c r="R1823" s="2" t="s">
        <v>100</v>
      </c>
      <c r="S1823" s="2" t="s">
        <v>6029</v>
      </c>
      <c r="T1823" s="2" t="s">
        <v>732</v>
      </c>
      <c r="U1823" s="2" t="s">
        <v>1610</v>
      </c>
      <c r="V1823" s="2" t="s">
        <v>601</v>
      </c>
      <c r="W1823" s="2" t="s">
        <v>104</v>
      </c>
      <c r="X1823" s="2" t="s">
        <v>602</v>
      </c>
      <c r="Y1823" s="2" t="s">
        <v>6006</v>
      </c>
      <c r="Z1823" s="4">
        <v>93</v>
      </c>
      <c r="AA1823" s="4">
        <f>=ROUNDDOWN(12.4,0)</f>
      </c>
      <c r="AB1823" s="5">
        <v>7.5</v>
      </c>
      <c r="AC1823" s="2" t="s">
        <v>659</v>
      </c>
      <c r="AD1823" s="4">
        <v>38</v>
      </c>
      <c r="AE1823" s="4">
        <v>108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 t="s">
        <v>100</v>
      </c>
      <c r="AW1823" s="8" t="s">
        <v>100</v>
      </c>
      <c r="AX1823" s="4" t="s">
        <v>100</v>
      </c>
      <c r="AY1823" s="8" t="s">
        <v>100</v>
      </c>
      <c r="AZ1823" s="7" t="s">
        <v>100</v>
      </c>
      <c r="BA1823" s="7" t="s">
        <v>100</v>
      </c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124</v>
      </c>
      <c r="BK1823" s="8">
        <v>11127.75</v>
      </c>
      <c r="BL1823" s="2" t="s">
        <v>6030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5993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6031</v>
      </c>
      <c r="B1824" s="2" t="s">
        <v>87</v>
      </c>
      <c r="C1824" s="2" t="s">
        <v>5986</v>
      </c>
      <c r="D1824" s="2" t="s">
        <v>89</v>
      </c>
      <c r="E1824" s="2" t="s">
        <v>90</v>
      </c>
      <c r="F1824" s="2" t="s">
        <v>6002</v>
      </c>
      <c r="G1824" s="2" t="s">
        <v>6002</v>
      </c>
      <c r="H1824" s="2" t="s">
        <v>6002</v>
      </c>
      <c r="I1824" s="2" t="s">
        <v>6024</v>
      </c>
      <c r="J1824" s="2" t="s">
        <v>850</v>
      </c>
      <c r="K1824" s="2" t="s">
        <v>666</v>
      </c>
      <c r="L1824" s="3">
        <v>98.7</v>
      </c>
      <c r="M1824" s="3">
        <v>103.63</v>
      </c>
      <c r="N1824" s="3">
        <v>209.99</v>
      </c>
      <c r="O1824" s="2" t="s">
        <v>97</v>
      </c>
      <c r="P1824" s="2" t="s">
        <v>143</v>
      </c>
      <c r="Q1824" s="2" t="s">
        <v>99</v>
      </c>
      <c r="R1824" s="2" t="s">
        <v>100</v>
      </c>
      <c r="S1824" s="2" t="s">
        <v>6029</v>
      </c>
      <c r="T1824" s="2" t="s">
        <v>732</v>
      </c>
      <c r="U1824" s="2" t="s">
        <v>1610</v>
      </c>
      <c r="V1824" s="2" t="s">
        <v>601</v>
      </c>
      <c r="W1824" s="2" t="s">
        <v>104</v>
      </c>
      <c r="X1824" s="2" t="s">
        <v>602</v>
      </c>
      <c r="Y1824" s="2" t="s">
        <v>6006</v>
      </c>
      <c r="Z1824" s="4">
        <v>170</v>
      </c>
      <c r="AA1824" s="4">
        <f>=ROUNDDOWN(17,0)</f>
      </c>
      <c r="AB1824" s="5">
        <v>10</v>
      </c>
      <c r="AC1824" s="2" t="s">
        <v>659</v>
      </c>
      <c r="AD1824" s="4">
        <v>79</v>
      </c>
      <c r="AE1824" s="4">
        <v>139</v>
      </c>
      <c r="AF1824" s="6">
        <v>65</v>
      </c>
      <c r="AG1824" s="6"/>
      <c r="AH1824" s="7">
        <v>0.8545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100</v>
      </c>
      <c r="AW1824" s="8" t="s">
        <v>100</v>
      </c>
      <c r="AX1824" s="4" t="s">
        <v>100</v>
      </c>
      <c r="AY1824" s="8" t="s">
        <v>100</v>
      </c>
      <c r="AZ1824" s="7" t="s">
        <v>100</v>
      </c>
      <c r="BA1824" s="7" t="s">
        <v>100</v>
      </c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>
        <v>180</v>
      </c>
      <c r="BK1824" s="8">
        <v>18460.58</v>
      </c>
      <c r="BL1824" s="2" t="s">
        <v>6032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5993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6033</v>
      </c>
      <c r="B1825" s="2" t="s">
        <v>87</v>
      </c>
      <c r="C1825" s="2" t="s">
        <v>5986</v>
      </c>
      <c r="D1825" s="2" t="s">
        <v>89</v>
      </c>
      <c r="E1825" s="2" t="s">
        <v>90</v>
      </c>
      <c r="F1825" s="2" t="s">
        <v>6034</v>
      </c>
      <c r="G1825" s="2" t="s">
        <v>6034</v>
      </c>
      <c r="H1825" s="2" t="s">
        <v>6034</v>
      </c>
      <c r="I1825" s="2" t="s">
        <v>6035</v>
      </c>
      <c r="J1825" s="2" t="s">
        <v>844</v>
      </c>
      <c r="K1825" s="2" t="s">
        <v>2252</v>
      </c>
      <c r="L1825" s="3">
        <v>89.3</v>
      </c>
      <c r="M1825" s="3">
        <v>93.76</v>
      </c>
      <c r="N1825" s="3">
        <v>189.99</v>
      </c>
      <c r="O1825" s="2" t="s">
        <v>97</v>
      </c>
      <c r="P1825" s="2" t="s">
        <v>143</v>
      </c>
      <c r="Q1825" s="2" t="s">
        <v>99</v>
      </c>
      <c r="R1825" s="2" t="s">
        <v>100</v>
      </c>
      <c r="S1825" s="2" t="s">
        <v>6036</v>
      </c>
      <c r="T1825" s="2" t="s">
        <v>732</v>
      </c>
      <c r="U1825" s="2" t="s">
        <v>1610</v>
      </c>
      <c r="V1825" s="2" t="s">
        <v>491</v>
      </c>
      <c r="W1825" s="2" t="s">
        <v>1530</v>
      </c>
      <c r="X1825" s="2" t="s">
        <v>808</v>
      </c>
      <c r="Y1825" s="2" t="s">
        <v>6037</v>
      </c>
      <c r="Z1825" s="4">
        <v>95</v>
      </c>
      <c r="AA1825" s="4">
        <f>=ROUNDDOWN(15.8333333333333,0)</f>
      </c>
      <c r="AB1825" s="5">
        <v>6</v>
      </c>
      <c r="AC1825" s="2" t="s">
        <v>494</v>
      </c>
      <c r="AD1825" s="4">
        <v>80</v>
      </c>
      <c r="AE1825" s="4">
        <v>140</v>
      </c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100</v>
      </c>
      <c r="AW1825" s="8" t="s">
        <v>100</v>
      </c>
      <c r="AX1825" s="4" t="s">
        <v>100</v>
      </c>
      <c r="AY1825" s="8" t="s">
        <v>100</v>
      </c>
      <c r="AZ1825" s="7" t="s">
        <v>100</v>
      </c>
      <c r="BA1825" s="7" t="s">
        <v>100</v>
      </c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>
        <v>135</v>
      </c>
      <c r="BK1825" s="8">
        <v>12182.78</v>
      </c>
      <c r="BL1825" s="2" t="s">
        <v>6038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97</v>
      </c>
      <c r="BW1825" s="2" t="s">
        <v>580</v>
      </c>
      <c r="BX1825" s="2" t="s">
        <v>100</v>
      </c>
      <c r="BY1825" s="2" t="s">
        <v>112</v>
      </c>
      <c r="BZ1825" s="2" t="s">
        <v>100</v>
      </c>
    </row>
    <row r="1826">
      <c r="A1826" s="2" t="s">
        <v>6039</v>
      </c>
      <c r="B1826" s="2" t="s">
        <v>87</v>
      </c>
      <c r="C1826" s="2" t="s">
        <v>5986</v>
      </c>
      <c r="D1826" s="2" t="s">
        <v>89</v>
      </c>
      <c r="E1826" s="2" t="s">
        <v>90</v>
      </c>
      <c r="F1826" s="2" t="s">
        <v>6034</v>
      </c>
      <c r="G1826" s="2" t="s">
        <v>6034</v>
      </c>
      <c r="H1826" s="2" t="s">
        <v>6034</v>
      </c>
      <c r="I1826" s="2" t="s">
        <v>6035</v>
      </c>
      <c r="J1826" s="2" t="s">
        <v>114</v>
      </c>
      <c r="K1826" s="2" t="s">
        <v>2252</v>
      </c>
      <c r="L1826" s="3">
        <v>98.7</v>
      </c>
      <c r="M1826" s="3">
        <v>103.63</v>
      </c>
      <c r="N1826" s="3">
        <v>209.99</v>
      </c>
      <c r="O1826" s="2" t="s">
        <v>97</v>
      </c>
      <c r="P1826" s="2" t="s">
        <v>143</v>
      </c>
      <c r="Q1826" s="2" t="s">
        <v>99</v>
      </c>
      <c r="R1826" s="2" t="s">
        <v>100</v>
      </c>
      <c r="S1826" s="2" t="s">
        <v>6036</v>
      </c>
      <c r="T1826" s="2" t="s">
        <v>732</v>
      </c>
      <c r="U1826" s="2" t="s">
        <v>1610</v>
      </c>
      <c r="V1826" s="2" t="s">
        <v>491</v>
      </c>
      <c r="W1826" s="2" t="s">
        <v>1530</v>
      </c>
      <c r="X1826" s="2" t="s">
        <v>808</v>
      </c>
      <c r="Y1826" s="2" t="s">
        <v>6037</v>
      </c>
      <c r="Z1826" s="4">
        <v>142</v>
      </c>
      <c r="AA1826" s="4">
        <f>=ROUNDDOWN(35.5,0)</f>
      </c>
      <c r="AB1826" s="5">
        <v>4</v>
      </c>
      <c r="AC1826" s="2" t="s">
        <v>494</v>
      </c>
      <c r="AD1826" s="4">
        <v>30</v>
      </c>
      <c r="AE1826" s="4">
        <v>95</v>
      </c>
      <c r="AF1826" s="6">
        <v>63</v>
      </c>
      <c r="AG1826" s="6"/>
      <c r="AH1826" s="7">
        <v>0.9758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100</v>
      </c>
      <c r="AW1826" s="8" t="s">
        <v>100</v>
      </c>
      <c r="AX1826" s="4" t="s">
        <v>100</v>
      </c>
      <c r="AY1826" s="8" t="s">
        <v>100</v>
      </c>
      <c r="AZ1826" s="7" t="s">
        <v>100</v>
      </c>
      <c r="BA1826" s="7" t="s">
        <v>100</v>
      </c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>
        <v>116</v>
      </c>
      <c r="BK1826" s="8">
        <v>11804.93</v>
      </c>
      <c r="BL1826" s="2" t="s">
        <v>6040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97</v>
      </c>
      <c r="BW1826" s="2" t="s">
        <v>580</v>
      </c>
      <c r="BX1826" s="2" t="s">
        <v>100</v>
      </c>
      <c r="BY1826" s="2" t="s">
        <v>112</v>
      </c>
      <c r="BZ1826" s="2" t="s">
        <v>100</v>
      </c>
    </row>
    <row r="1827">
      <c r="A1827" s="2" t="s">
        <v>6041</v>
      </c>
      <c r="B1827" s="2" t="s">
        <v>87</v>
      </c>
      <c r="C1827" s="2" t="s">
        <v>5986</v>
      </c>
      <c r="D1827" s="2" t="s">
        <v>89</v>
      </c>
      <c r="E1827" s="2" t="s">
        <v>2098</v>
      </c>
      <c r="F1827" s="2" t="s">
        <v>5988</v>
      </c>
      <c r="G1827" s="2" t="s">
        <v>5988</v>
      </c>
      <c r="H1827" s="2" t="s">
        <v>5988</v>
      </c>
      <c r="I1827" s="2" t="s">
        <v>6042</v>
      </c>
      <c r="J1827" s="2" t="s">
        <v>844</v>
      </c>
      <c r="K1827" s="2" t="s">
        <v>666</v>
      </c>
      <c r="L1827" s="3">
        <v>72</v>
      </c>
      <c r="M1827" s="3">
        <v>75.6</v>
      </c>
      <c r="N1827" s="3">
        <v>159.99</v>
      </c>
      <c r="O1827" s="2" t="s">
        <v>97</v>
      </c>
      <c r="P1827" s="2" t="s">
        <v>182</v>
      </c>
      <c r="Q1827" s="2" t="s">
        <v>99</v>
      </c>
      <c r="R1827" s="2" t="s">
        <v>100</v>
      </c>
      <c r="S1827" s="2" t="s">
        <v>5995</v>
      </c>
      <c r="T1827" s="2" t="s">
        <v>184</v>
      </c>
      <c r="U1827" s="2" t="s">
        <v>1610</v>
      </c>
      <c r="V1827" s="2" t="s">
        <v>601</v>
      </c>
      <c r="W1827" s="2" t="s">
        <v>759</v>
      </c>
      <c r="X1827" s="2" t="s">
        <v>602</v>
      </c>
      <c r="Y1827" s="2" t="s">
        <v>5991</v>
      </c>
      <c r="Z1827" s="4">
        <v>28</v>
      </c>
      <c r="AA1827" s="4">
        <f>=ROUNDDOWN(11.2,0)</f>
      </c>
      <c r="AB1827" s="5">
        <v>2.5</v>
      </c>
      <c r="AC1827" s="2" t="s">
        <v>563</v>
      </c>
      <c r="AD1827" s="4">
        <v>38</v>
      </c>
      <c r="AE1827" s="4">
        <v>113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100</v>
      </c>
      <c r="AW1827" s="8" t="s">
        <v>100</v>
      </c>
      <c r="AX1827" s="4" t="s">
        <v>100</v>
      </c>
      <c r="AY1827" s="8" t="s">
        <v>100</v>
      </c>
      <c r="AZ1827" s="7" t="s">
        <v>100</v>
      </c>
      <c r="BA1827" s="7" t="s">
        <v>100</v>
      </c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50</v>
      </c>
      <c r="BK1827" s="8">
        <v>3908.32</v>
      </c>
      <c r="BL1827" s="2" t="s">
        <v>6043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5993</v>
      </c>
      <c r="BV1827" s="2" t="s">
        <v>97</v>
      </c>
      <c r="BW1827" s="2" t="s">
        <v>100</v>
      </c>
      <c r="BX1827" s="2" t="s">
        <v>100</v>
      </c>
      <c r="BY1827" s="2" t="s">
        <v>112</v>
      </c>
      <c r="BZ1827" s="2" t="s">
        <v>100</v>
      </c>
    </row>
    <row r="1828">
      <c r="A1828" s="2" t="s">
        <v>6044</v>
      </c>
      <c r="B1828" s="2" t="s">
        <v>87</v>
      </c>
      <c r="C1828" s="2" t="s">
        <v>5986</v>
      </c>
      <c r="D1828" s="2" t="s">
        <v>89</v>
      </c>
      <c r="E1828" s="2" t="s">
        <v>2098</v>
      </c>
      <c r="F1828" s="2" t="s">
        <v>5988</v>
      </c>
      <c r="G1828" s="2" t="s">
        <v>5988</v>
      </c>
      <c r="H1828" s="2" t="s">
        <v>5988</v>
      </c>
      <c r="I1828" s="2" t="s">
        <v>6042</v>
      </c>
      <c r="J1828" s="2" t="s">
        <v>850</v>
      </c>
      <c r="K1828" s="2" t="s">
        <v>666</v>
      </c>
      <c r="L1828" s="3">
        <v>85.5</v>
      </c>
      <c r="M1828" s="3">
        <v>89.78</v>
      </c>
      <c r="N1828" s="3">
        <v>189.99</v>
      </c>
      <c r="O1828" s="2" t="s">
        <v>97</v>
      </c>
      <c r="P1828" s="2" t="s">
        <v>182</v>
      </c>
      <c r="Q1828" s="2" t="s">
        <v>99</v>
      </c>
      <c r="R1828" s="2" t="s">
        <v>100</v>
      </c>
      <c r="S1828" s="2" t="s">
        <v>5995</v>
      </c>
      <c r="T1828" s="2" t="s">
        <v>184</v>
      </c>
      <c r="U1828" s="2" t="s">
        <v>1610</v>
      </c>
      <c r="V1828" s="2" t="s">
        <v>601</v>
      </c>
      <c r="W1828" s="2" t="s">
        <v>759</v>
      </c>
      <c r="X1828" s="2" t="s">
        <v>602</v>
      </c>
      <c r="Y1828" s="2" t="s">
        <v>5991</v>
      </c>
      <c r="Z1828" s="4">
        <v>103</v>
      </c>
      <c r="AA1828" s="4">
        <f>=ROUNDDOWN(11.4444444444444,0)</f>
      </c>
      <c r="AB1828" s="5">
        <v>9</v>
      </c>
      <c r="AC1828" s="2" t="s">
        <v>325</v>
      </c>
      <c r="AD1828" s="4">
        <v>85</v>
      </c>
      <c r="AE1828" s="4">
        <v>310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100</v>
      </c>
      <c r="AW1828" s="8" t="s">
        <v>100</v>
      </c>
      <c r="AX1828" s="4" t="s">
        <v>100</v>
      </c>
      <c r="AY1828" s="8" t="s">
        <v>100</v>
      </c>
      <c r="AZ1828" s="7" t="s">
        <v>100</v>
      </c>
      <c r="BA1828" s="7" t="s">
        <v>100</v>
      </c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130</v>
      </c>
      <c r="BK1828" s="8">
        <v>12116.65</v>
      </c>
      <c r="BL1828" s="2" t="s">
        <v>6045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5993</v>
      </c>
      <c r="BV1828" s="2" t="s">
        <v>97</v>
      </c>
      <c r="BW1828" s="2" t="s">
        <v>100</v>
      </c>
      <c r="BX1828" s="2" t="s">
        <v>100</v>
      </c>
      <c r="BY1828" s="2" t="s">
        <v>112</v>
      </c>
      <c r="BZ1828" s="2" t="s">
        <v>100</v>
      </c>
    </row>
    <row r="1829">
      <c r="A1829" s="2" t="s">
        <v>6046</v>
      </c>
      <c r="B1829" s="2" t="s">
        <v>87</v>
      </c>
      <c r="C1829" s="2" t="s">
        <v>5986</v>
      </c>
      <c r="D1829" s="2" t="s">
        <v>89</v>
      </c>
      <c r="E1829" s="2" t="s">
        <v>2098</v>
      </c>
      <c r="F1829" s="2" t="s">
        <v>6047</v>
      </c>
      <c r="G1829" s="2" t="s">
        <v>6047</v>
      </c>
      <c r="H1829" s="2" t="s">
        <v>6047</v>
      </c>
      <c r="I1829" s="2" t="s">
        <v>6048</v>
      </c>
      <c r="J1829" s="2" t="s">
        <v>844</v>
      </c>
      <c r="K1829" s="2" t="s">
        <v>333</v>
      </c>
      <c r="L1829" s="3">
        <v>72</v>
      </c>
      <c r="M1829" s="3">
        <v>75.6</v>
      </c>
      <c r="N1829" s="3">
        <v>159.99</v>
      </c>
      <c r="O1829" s="2" t="s">
        <v>550</v>
      </c>
      <c r="P1829" s="2" t="s">
        <v>198</v>
      </c>
      <c r="Q1829" s="2" t="s">
        <v>99</v>
      </c>
      <c r="R1829" s="2" t="s">
        <v>100</v>
      </c>
      <c r="S1829" s="2" t="s">
        <v>6049</v>
      </c>
      <c r="T1829" s="2" t="s">
        <v>100</v>
      </c>
      <c r="U1829" s="2" t="s">
        <v>1610</v>
      </c>
      <c r="V1829" s="2" t="s">
        <v>601</v>
      </c>
      <c r="W1829" s="2" t="s">
        <v>602</v>
      </c>
      <c r="X1829" s="2" t="s">
        <v>4204</v>
      </c>
      <c r="Y1829" s="2" t="s">
        <v>6050</v>
      </c>
      <c r="Z1829" s="4">
        <v>27</v>
      </c>
      <c r="AA1829" s="4">
        <f>=ROUNDDOWN(54,0)</f>
      </c>
      <c r="AB1829" s="5">
        <v>0.5</v>
      </c>
      <c r="AC1829" s="2" t="s">
        <v>100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14</v>
      </c>
      <c r="BK1829" s="8">
        <v>790.46</v>
      </c>
      <c r="BL1829" s="2" t="s">
        <v>3518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5993</v>
      </c>
      <c r="BV1829" s="2" t="s">
        <v>97</v>
      </c>
      <c r="BW1829" s="2" t="s">
        <v>100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6051</v>
      </c>
      <c r="B1830" s="2" t="s">
        <v>87</v>
      </c>
      <c r="C1830" s="2" t="s">
        <v>5986</v>
      </c>
      <c r="D1830" s="2" t="s">
        <v>3234</v>
      </c>
      <c r="E1830" s="2" t="s">
        <v>3360</v>
      </c>
      <c r="F1830" s="2" t="s">
        <v>6012</v>
      </c>
      <c r="G1830" s="2" t="s">
        <v>6012</v>
      </c>
      <c r="H1830" s="2" t="s">
        <v>6012</v>
      </c>
      <c r="I1830" s="2" t="s">
        <v>6052</v>
      </c>
      <c r="J1830" s="2" t="s">
        <v>844</v>
      </c>
      <c r="K1830" s="2" t="s">
        <v>158</v>
      </c>
      <c r="L1830" s="3">
        <v>36</v>
      </c>
      <c r="M1830" s="3">
        <v>37.8</v>
      </c>
      <c r="N1830" s="3">
        <v>79.99</v>
      </c>
      <c r="O1830" s="2" t="s">
        <v>97</v>
      </c>
      <c r="P1830" s="2" t="s">
        <v>182</v>
      </c>
      <c r="Q1830" s="2" t="s">
        <v>99</v>
      </c>
      <c r="R1830" s="2" t="s">
        <v>100</v>
      </c>
      <c r="S1830" s="2" t="s">
        <v>6014</v>
      </c>
      <c r="T1830" s="2" t="s">
        <v>184</v>
      </c>
      <c r="U1830" s="2" t="s">
        <v>1610</v>
      </c>
      <c r="V1830" s="2" t="s">
        <v>1122</v>
      </c>
      <c r="W1830" s="2" t="s">
        <v>759</v>
      </c>
      <c r="X1830" s="2" t="s">
        <v>104</v>
      </c>
      <c r="Y1830" s="2" t="s">
        <v>6015</v>
      </c>
      <c r="Z1830" s="4">
        <v>72</v>
      </c>
      <c r="AA1830" s="4">
        <f>=ROUNDDOWN(12,0)</f>
      </c>
      <c r="AB1830" s="5">
        <v>6</v>
      </c>
      <c r="AC1830" s="2" t="s">
        <v>6016</v>
      </c>
      <c r="AD1830" s="4">
        <v>40</v>
      </c>
      <c r="AE1830" s="4">
        <v>110</v>
      </c>
      <c r="AF1830" s="6">
        <v>64</v>
      </c>
      <c r="AG1830" s="6"/>
      <c r="AH1830" s="7">
        <v>0.9697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100</v>
      </c>
      <c r="AW1830" s="8" t="s">
        <v>100</v>
      </c>
      <c r="AX1830" s="4" t="s">
        <v>100</v>
      </c>
      <c r="AY1830" s="8" t="s">
        <v>100</v>
      </c>
      <c r="AZ1830" s="7" t="s">
        <v>100</v>
      </c>
      <c r="BA1830" s="7" t="s">
        <v>100</v>
      </c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88</v>
      </c>
      <c r="BK1830" s="8">
        <v>3473.36</v>
      </c>
      <c r="BL1830" s="2" t="s">
        <v>5257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5993</v>
      </c>
      <c r="BV1830" s="2" t="s">
        <v>97</v>
      </c>
      <c r="BW1830" s="2" t="s">
        <v>100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6053</v>
      </c>
      <c r="B1831" s="2" t="s">
        <v>87</v>
      </c>
      <c r="C1831" s="2" t="s">
        <v>5986</v>
      </c>
      <c r="D1831" s="2" t="s">
        <v>3234</v>
      </c>
      <c r="E1831" s="2" t="s">
        <v>3360</v>
      </c>
      <c r="F1831" s="2" t="s">
        <v>6012</v>
      </c>
      <c r="G1831" s="2" t="s">
        <v>6012</v>
      </c>
      <c r="H1831" s="2" t="s">
        <v>6012</v>
      </c>
      <c r="I1831" s="2" t="s">
        <v>6052</v>
      </c>
      <c r="J1831" s="2" t="s">
        <v>114</v>
      </c>
      <c r="K1831" s="2" t="s">
        <v>158</v>
      </c>
      <c r="L1831" s="3">
        <v>45</v>
      </c>
      <c r="M1831" s="3">
        <v>47.25</v>
      </c>
      <c r="N1831" s="3">
        <v>99.99</v>
      </c>
      <c r="O1831" s="2" t="s">
        <v>97</v>
      </c>
      <c r="P1831" s="2" t="s">
        <v>182</v>
      </c>
      <c r="Q1831" s="2" t="s">
        <v>99</v>
      </c>
      <c r="R1831" s="2" t="s">
        <v>100</v>
      </c>
      <c r="S1831" s="2" t="s">
        <v>6014</v>
      </c>
      <c r="T1831" s="2" t="s">
        <v>184</v>
      </c>
      <c r="U1831" s="2" t="s">
        <v>1610</v>
      </c>
      <c r="V1831" s="2" t="s">
        <v>1122</v>
      </c>
      <c r="W1831" s="2" t="s">
        <v>759</v>
      </c>
      <c r="X1831" s="2" t="s">
        <v>104</v>
      </c>
      <c r="Y1831" s="2" t="s">
        <v>6015</v>
      </c>
      <c r="Z1831" s="4">
        <v>41</v>
      </c>
      <c r="AA1831" s="4">
        <f>=ROUNDDOWN(8.2,0)</f>
      </c>
      <c r="AB1831" s="5">
        <v>5</v>
      </c>
      <c r="AC1831" s="2" t="s">
        <v>4396</v>
      </c>
      <c r="AD1831" s="4">
        <v>20</v>
      </c>
      <c r="AE1831" s="4">
        <v>115</v>
      </c>
      <c r="AF1831" s="6">
        <v>64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100</v>
      </c>
      <c r="AW1831" s="8" t="s">
        <v>100</v>
      </c>
      <c r="AX1831" s="4" t="s">
        <v>100</v>
      </c>
      <c r="AY1831" s="8" t="s">
        <v>100</v>
      </c>
      <c r="AZ1831" s="7" t="s">
        <v>100</v>
      </c>
      <c r="BA1831" s="7" t="s">
        <v>100</v>
      </c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75</v>
      </c>
      <c r="BK1831" s="8">
        <v>3799.8</v>
      </c>
      <c r="BL1831" s="2" t="s">
        <v>5257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5993</v>
      </c>
      <c r="BV1831" s="2" t="s">
        <v>97</v>
      </c>
      <c r="BW1831" s="2" t="s">
        <v>100</v>
      </c>
      <c r="BX1831" s="2" t="s">
        <v>100</v>
      </c>
      <c r="BY1831" s="2" t="s">
        <v>112</v>
      </c>
      <c r="BZ1831" s="2" t="s">
        <v>100</v>
      </c>
    </row>
    <row r="1832">
      <c r="A1832" s="2" t="s">
        <v>6054</v>
      </c>
      <c r="B1832" s="2" t="s">
        <v>87</v>
      </c>
      <c r="C1832" s="2" t="s">
        <v>5986</v>
      </c>
      <c r="D1832" s="2" t="s">
        <v>3234</v>
      </c>
      <c r="E1832" s="2" t="s">
        <v>3360</v>
      </c>
      <c r="F1832" s="2" t="s">
        <v>5988</v>
      </c>
      <c r="G1832" s="2" t="s">
        <v>5988</v>
      </c>
      <c r="H1832" s="2" t="s">
        <v>5988</v>
      </c>
      <c r="I1832" s="2" t="s">
        <v>6055</v>
      </c>
      <c r="J1832" s="2" t="s">
        <v>844</v>
      </c>
      <c r="K1832" s="2" t="s">
        <v>333</v>
      </c>
      <c r="L1832" s="3">
        <v>67.5</v>
      </c>
      <c r="M1832" s="3">
        <v>70.88</v>
      </c>
      <c r="N1832" s="3">
        <v>149.99</v>
      </c>
      <c r="O1832" s="2" t="s">
        <v>97</v>
      </c>
      <c r="P1832" s="2" t="s">
        <v>198</v>
      </c>
      <c r="Q1832" s="2" t="s">
        <v>99</v>
      </c>
      <c r="R1832" s="2" t="s">
        <v>100</v>
      </c>
      <c r="S1832" s="2" t="s">
        <v>5990</v>
      </c>
      <c r="T1832" s="2" t="s">
        <v>184</v>
      </c>
      <c r="U1832" s="2" t="s">
        <v>1610</v>
      </c>
      <c r="V1832" s="2" t="s">
        <v>601</v>
      </c>
      <c r="W1832" s="2" t="s">
        <v>759</v>
      </c>
      <c r="X1832" s="2" t="s">
        <v>602</v>
      </c>
      <c r="Y1832" s="2" t="s">
        <v>5991</v>
      </c>
      <c r="Z1832" s="4">
        <v>15</v>
      </c>
      <c r="AA1832" s="4">
        <f>=ROUNDDOWN(15,0)</f>
      </c>
      <c r="AB1832" s="5">
        <v>1</v>
      </c>
      <c r="AC1832" s="2" t="s">
        <v>100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24</v>
      </c>
      <c r="BK1832" s="8">
        <v>1713.49</v>
      </c>
      <c r="BL1832" s="2" t="s">
        <v>6056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5993</v>
      </c>
      <c r="BV1832" s="2" t="s">
        <v>97</v>
      </c>
      <c r="BW1832" s="2" t="s">
        <v>100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6057</v>
      </c>
      <c r="B1833" s="2" t="s">
        <v>87</v>
      </c>
      <c r="C1833" s="2" t="s">
        <v>5986</v>
      </c>
      <c r="D1833" s="2" t="s">
        <v>3234</v>
      </c>
      <c r="E1833" s="2" t="s">
        <v>3360</v>
      </c>
      <c r="F1833" s="2" t="s">
        <v>5988</v>
      </c>
      <c r="G1833" s="2" t="s">
        <v>5988</v>
      </c>
      <c r="H1833" s="2" t="s">
        <v>5988</v>
      </c>
      <c r="I1833" s="2" t="s">
        <v>6055</v>
      </c>
      <c r="J1833" s="2" t="s">
        <v>844</v>
      </c>
      <c r="K1833" s="2" t="s">
        <v>666</v>
      </c>
      <c r="L1833" s="3">
        <v>67.5</v>
      </c>
      <c r="M1833" s="3">
        <v>70.88</v>
      </c>
      <c r="N1833" s="3">
        <v>149.99</v>
      </c>
      <c r="O1833" s="2" t="s">
        <v>97</v>
      </c>
      <c r="P1833" s="2" t="s">
        <v>182</v>
      </c>
      <c r="Q1833" s="2" t="s">
        <v>99</v>
      </c>
      <c r="R1833" s="2" t="s">
        <v>100</v>
      </c>
      <c r="S1833" s="2" t="s">
        <v>5995</v>
      </c>
      <c r="T1833" s="2" t="s">
        <v>184</v>
      </c>
      <c r="U1833" s="2" t="s">
        <v>1610</v>
      </c>
      <c r="V1833" s="2" t="s">
        <v>601</v>
      </c>
      <c r="W1833" s="2" t="s">
        <v>759</v>
      </c>
      <c r="X1833" s="2" t="s">
        <v>602</v>
      </c>
      <c r="Y1833" s="2" t="s">
        <v>5991</v>
      </c>
      <c r="Z1833" s="4">
        <v>35</v>
      </c>
      <c r="AA1833" s="4">
        <f>=ROUNDDOWN(17.5,0)</f>
      </c>
      <c r="AB1833" s="5">
        <v>2</v>
      </c>
      <c r="AC1833" s="2" t="s">
        <v>325</v>
      </c>
      <c r="AD1833" s="4">
        <v>37</v>
      </c>
      <c r="AE1833" s="4">
        <v>57</v>
      </c>
      <c r="AF1833" s="6">
        <v>65</v>
      </c>
      <c r="AG1833" s="6"/>
      <c r="AH1833" s="7">
        <v>0.8606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100</v>
      </c>
      <c r="AW1833" s="8" t="s">
        <v>100</v>
      </c>
      <c r="AX1833" s="4" t="s">
        <v>100</v>
      </c>
      <c r="AY1833" s="8" t="s">
        <v>100</v>
      </c>
      <c r="AZ1833" s="7" t="s">
        <v>100</v>
      </c>
      <c r="BA1833" s="7" t="s">
        <v>100</v>
      </c>
      <c r="BB1833" s="7"/>
      <c r="BC1833" s="4" t="s">
        <v>100</v>
      </c>
      <c r="BD1833" s="8" t="s">
        <v>100</v>
      </c>
      <c r="BE1833" s="4" t="s">
        <v>100</v>
      </c>
      <c r="BF1833" s="8" t="s">
        <v>100</v>
      </c>
      <c r="BG1833" s="7" t="s">
        <v>100</v>
      </c>
      <c r="BH1833" s="7" t="s">
        <v>100</v>
      </c>
      <c r="BI1833" s="7"/>
      <c r="BJ1833" s="4">
        <v>34</v>
      </c>
      <c r="BK1833" s="8">
        <v>2589.98</v>
      </c>
      <c r="BL1833" s="2" t="s">
        <v>5289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5993</v>
      </c>
      <c r="BV1833" s="2" t="s">
        <v>97</v>
      </c>
      <c r="BW1833" s="2" t="s">
        <v>100</v>
      </c>
      <c r="BX1833" s="2" t="s">
        <v>100</v>
      </c>
      <c r="BY1833" s="2" t="s">
        <v>112</v>
      </c>
      <c r="BZ1833" s="2" t="s">
        <v>100</v>
      </c>
    </row>
    <row r="1834">
      <c r="A1834" s="2" t="s">
        <v>6058</v>
      </c>
      <c r="B1834" s="2" t="s">
        <v>87</v>
      </c>
      <c r="C1834" s="2" t="s">
        <v>5986</v>
      </c>
      <c r="D1834" s="2" t="s">
        <v>3234</v>
      </c>
      <c r="E1834" s="2" t="s">
        <v>3360</v>
      </c>
      <c r="F1834" s="2" t="s">
        <v>5988</v>
      </c>
      <c r="G1834" s="2" t="s">
        <v>5988</v>
      </c>
      <c r="H1834" s="2" t="s">
        <v>5988</v>
      </c>
      <c r="I1834" s="2" t="s">
        <v>6055</v>
      </c>
      <c r="J1834" s="2" t="s">
        <v>850</v>
      </c>
      <c r="K1834" s="2" t="s">
        <v>666</v>
      </c>
      <c r="L1834" s="3">
        <v>76.5</v>
      </c>
      <c r="M1834" s="3">
        <v>80.33</v>
      </c>
      <c r="N1834" s="3">
        <v>169.99</v>
      </c>
      <c r="O1834" s="2" t="s">
        <v>97</v>
      </c>
      <c r="P1834" s="2" t="s">
        <v>182</v>
      </c>
      <c r="Q1834" s="2" t="s">
        <v>99</v>
      </c>
      <c r="R1834" s="2" t="s">
        <v>100</v>
      </c>
      <c r="S1834" s="2" t="s">
        <v>5995</v>
      </c>
      <c r="T1834" s="2" t="s">
        <v>184</v>
      </c>
      <c r="U1834" s="2" t="s">
        <v>1610</v>
      </c>
      <c r="V1834" s="2" t="s">
        <v>601</v>
      </c>
      <c r="W1834" s="2" t="s">
        <v>759</v>
      </c>
      <c r="X1834" s="2" t="s">
        <v>602</v>
      </c>
      <c r="Y1834" s="2" t="s">
        <v>5991</v>
      </c>
      <c r="Z1834" s="4">
        <v>97</v>
      </c>
      <c r="AA1834" s="4">
        <f>=ROUNDDOWN(48.5,0)</f>
      </c>
      <c r="AB1834" s="5">
        <v>2</v>
      </c>
      <c r="AC1834" s="2" t="s">
        <v>325</v>
      </c>
      <c r="AD1834" s="4">
        <v>55</v>
      </c>
      <c r="AE1834" s="4">
        <v>55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100</v>
      </c>
      <c r="AW1834" s="8" t="s">
        <v>100</v>
      </c>
      <c r="AX1834" s="4" t="s">
        <v>100</v>
      </c>
      <c r="AY1834" s="8" t="s">
        <v>100</v>
      </c>
      <c r="AZ1834" s="7" t="s">
        <v>100</v>
      </c>
      <c r="BA1834" s="7" t="s">
        <v>100</v>
      </c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>
        <v>42</v>
      </c>
      <c r="BK1834" s="8">
        <v>3591.31</v>
      </c>
      <c r="BL1834" s="2" t="s">
        <v>6059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5993</v>
      </c>
      <c r="BV1834" s="2" t="s">
        <v>97</v>
      </c>
      <c r="BW1834" s="2" t="s">
        <v>100</v>
      </c>
      <c r="BX1834" s="2" t="s">
        <v>100</v>
      </c>
      <c r="BY1834" s="2" t="s">
        <v>112</v>
      </c>
      <c r="BZ1834" s="2" t="s">
        <v>100</v>
      </c>
    </row>
    <row r="1835">
      <c r="A1835" s="2" t="s">
        <v>6060</v>
      </c>
      <c r="B1835" s="2" t="s">
        <v>87</v>
      </c>
      <c r="C1835" s="2" t="s">
        <v>5986</v>
      </c>
      <c r="D1835" s="2" t="s">
        <v>3234</v>
      </c>
      <c r="E1835" s="2" t="s">
        <v>3235</v>
      </c>
      <c r="F1835" s="2" t="s">
        <v>5998</v>
      </c>
      <c r="G1835" s="2" t="s">
        <v>100</v>
      </c>
      <c r="H1835" s="2" t="s">
        <v>100</v>
      </c>
      <c r="I1835" s="2" t="s">
        <v>5110</v>
      </c>
      <c r="J1835" s="2" t="s">
        <v>95</v>
      </c>
      <c r="K1835" s="2" t="s">
        <v>1767</v>
      </c>
      <c r="L1835" s="3">
        <v>75.2</v>
      </c>
      <c r="M1835" s="3">
        <v>78.96</v>
      </c>
      <c r="N1835" s="3">
        <v>159.99</v>
      </c>
      <c r="O1835" s="2" t="s">
        <v>97</v>
      </c>
      <c r="P1835" s="2" t="s">
        <v>182</v>
      </c>
      <c r="Q1835" s="2" t="s">
        <v>99</v>
      </c>
      <c r="R1835" s="2" t="s">
        <v>100</v>
      </c>
      <c r="S1835" s="2" t="s">
        <v>6020</v>
      </c>
      <c r="T1835" s="2" t="s">
        <v>100</v>
      </c>
      <c r="U1835" s="2" t="s">
        <v>1610</v>
      </c>
      <c r="V1835" s="2" t="s">
        <v>491</v>
      </c>
      <c r="W1835" s="2" t="s">
        <v>1530</v>
      </c>
      <c r="X1835" s="2" t="s">
        <v>759</v>
      </c>
      <c r="Y1835" s="2" t="s">
        <v>106</v>
      </c>
      <c r="Z1835" s="4">
        <v>82</v>
      </c>
      <c r="AA1835" s="4">
        <f>=ROUNDDOWN(20.5,0)</f>
      </c>
      <c r="AB1835" s="5">
        <v>4</v>
      </c>
      <c r="AC1835" s="2" t="s">
        <v>1328</v>
      </c>
      <c r="AD1835" s="4">
        <v>110</v>
      </c>
      <c r="AE1835" s="4">
        <v>110</v>
      </c>
      <c r="AF1835" s="6">
        <v>63</v>
      </c>
      <c r="AG1835" s="6"/>
      <c r="AH1835" s="7">
        <v>0.9455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100</v>
      </c>
      <c r="AW1835" s="8" t="s">
        <v>100</v>
      </c>
      <c r="AX1835" s="4" t="s">
        <v>100</v>
      </c>
      <c r="AY1835" s="8" t="s">
        <v>100</v>
      </c>
      <c r="AZ1835" s="7" t="s">
        <v>100</v>
      </c>
      <c r="BA1835" s="7" t="s">
        <v>100</v>
      </c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>
        <v>58</v>
      </c>
      <c r="BK1835" s="8">
        <v>4664.07</v>
      </c>
      <c r="BL1835" s="2" t="s">
        <v>6061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5993</v>
      </c>
      <c r="BV1835" s="2" t="s">
        <v>97</v>
      </c>
      <c r="BW1835" s="2" t="s">
        <v>100</v>
      </c>
      <c r="BX1835" s="2" t="s">
        <v>100</v>
      </c>
      <c r="BY1835" s="2" t="s">
        <v>112</v>
      </c>
      <c r="BZ1835" s="2" t="s">
        <v>100</v>
      </c>
    </row>
    <row r="1836">
      <c r="A1836" s="2" t="s">
        <v>6062</v>
      </c>
      <c r="B1836" s="2" t="s">
        <v>87</v>
      </c>
      <c r="C1836" s="2" t="s">
        <v>5986</v>
      </c>
      <c r="D1836" s="2" t="s">
        <v>3234</v>
      </c>
      <c r="E1836" s="2" t="s">
        <v>3235</v>
      </c>
      <c r="F1836" s="2" t="s">
        <v>5998</v>
      </c>
      <c r="G1836" s="2" t="s">
        <v>100</v>
      </c>
      <c r="H1836" s="2" t="s">
        <v>100</v>
      </c>
      <c r="I1836" s="2" t="s">
        <v>5110</v>
      </c>
      <c r="J1836" s="2" t="s">
        <v>114</v>
      </c>
      <c r="K1836" s="2" t="s">
        <v>1767</v>
      </c>
      <c r="L1836" s="3">
        <v>84.6</v>
      </c>
      <c r="M1836" s="3">
        <v>88.83</v>
      </c>
      <c r="N1836" s="3">
        <v>179.99</v>
      </c>
      <c r="O1836" s="2" t="s">
        <v>97</v>
      </c>
      <c r="P1836" s="2" t="s">
        <v>182</v>
      </c>
      <c r="Q1836" s="2" t="s">
        <v>99</v>
      </c>
      <c r="R1836" s="2" t="s">
        <v>100</v>
      </c>
      <c r="S1836" s="2" t="s">
        <v>6020</v>
      </c>
      <c r="T1836" s="2" t="s">
        <v>100</v>
      </c>
      <c r="U1836" s="2" t="s">
        <v>1610</v>
      </c>
      <c r="V1836" s="2" t="s">
        <v>491</v>
      </c>
      <c r="W1836" s="2" t="s">
        <v>1530</v>
      </c>
      <c r="X1836" s="2" t="s">
        <v>759</v>
      </c>
      <c r="Y1836" s="2" t="s">
        <v>3884</v>
      </c>
      <c r="Z1836" s="4">
        <v>121</v>
      </c>
      <c r="AA1836" s="4">
        <f>=ROUNDDOWN(30.25,0)</f>
      </c>
      <c r="AB1836" s="5">
        <v>4</v>
      </c>
      <c r="AC1836" s="2" t="s">
        <v>1328</v>
      </c>
      <c r="AD1836" s="4">
        <v>75</v>
      </c>
      <c r="AE1836" s="4">
        <v>75</v>
      </c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 t="s">
        <v>100</v>
      </c>
      <c r="AW1836" s="8" t="s">
        <v>100</v>
      </c>
      <c r="AX1836" s="4" t="s">
        <v>100</v>
      </c>
      <c r="AY1836" s="8" t="s">
        <v>100</v>
      </c>
      <c r="AZ1836" s="7" t="s">
        <v>100</v>
      </c>
      <c r="BA1836" s="7" t="s">
        <v>100</v>
      </c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54</v>
      </c>
      <c r="BK1836" s="8">
        <v>5525.44</v>
      </c>
      <c r="BL1836" s="2" t="s">
        <v>6061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5993</v>
      </c>
      <c r="BV1836" s="2" t="s">
        <v>97</v>
      </c>
      <c r="BW1836" s="2" t="s">
        <v>100</v>
      </c>
      <c r="BX1836" s="2" t="s">
        <v>100</v>
      </c>
      <c r="BY1836" s="2" t="s">
        <v>112</v>
      </c>
      <c r="BZ1836" s="2" t="s">
        <v>100</v>
      </c>
    </row>
    <row r="1837">
      <c r="A1837" s="2" t="s">
        <v>6063</v>
      </c>
      <c r="B1837" s="2" t="s">
        <v>87</v>
      </c>
      <c r="C1837" s="2" t="s">
        <v>5986</v>
      </c>
      <c r="D1837" s="2" t="s">
        <v>3234</v>
      </c>
      <c r="E1837" s="2" t="s">
        <v>3235</v>
      </c>
      <c r="F1837" s="2" t="s">
        <v>6002</v>
      </c>
      <c r="G1837" s="2" t="s">
        <v>6002</v>
      </c>
      <c r="H1837" s="2" t="s">
        <v>6002</v>
      </c>
      <c r="I1837" s="2" t="s">
        <v>6064</v>
      </c>
      <c r="J1837" s="2" t="s">
        <v>844</v>
      </c>
      <c r="K1837" s="2" t="s">
        <v>333</v>
      </c>
      <c r="L1837" s="3">
        <v>75.2</v>
      </c>
      <c r="M1837" s="3">
        <v>78.96</v>
      </c>
      <c r="N1837" s="3">
        <v>159.99</v>
      </c>
      <c r="O1837" s="2" t="s">
        <v>97</v>
      </c>
      <c r="P1837" s="2" t="s">
        <v>143</v>
      </c>
      <c r="Q1837" s="2" t="s">
        <v>99</v>
      </c>
      <c r="R1837" s="2" t="s">
        <v>100</v>
      </c>
      <c r="S1837" s="2" t="s">
        <v>6005</v>
      </c>
      <c r="T1837" s="2" t="s">
        <v>732</v>
      </c>
      <c r="U1837" s="2" t="s">
        <v>1610</v>
      </c>
      <c r="V1837" s="2" t="s">
        <v>601</v>
      </c>
      <c r="W1837" s="2" t="s">
        <v>104</v>
      </c>
      <c r="X1837" s="2" t="s">
        <v>602</v>
      </c>
      <c r="Y1837" s="2" t="s">
        <v>6006</v>
      </c>
      <c r="Z1837" s="4">
        <v>40</v>
      </c>
      <c r="AA1837" s="4">
        <f>=ROUNDDOWN(20,0)</f>
      </c>
      <c r="AB1837" s="5">
        <v>2</v>
      </c>
      <c r="AC1837" s="2" t="s">
        <v>936</v>
      </c>
      <c r="AD1837" s="4">
        <v>50</v>
      </c>
      <c r="AE1837" s="4">
        <v>50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100</v>
      </c>
      <c r="AW1837" s="8" t="s">
        <v>100</v>
      </c>
      <c r="AX1837" s="4" t="s">
        <v>100</v>
      </c>
      <c r="AY1837" s="8" t="s">
        <v>100</v>
      </c>
      <c r="AZ1837" s="7" t="s">
        <v>100</v>
      </c>
      <c r="BA1837" s="7" t="s">
        <v>100</v>
      </c>
      <c r="BB1837" s="7"/>
      <c r="BC1837" s="4" t="s">
        <v>100</v>
      </c>
      <c r="BD1837" s="8" t="s">
        <v>100</v>
      </c>
      <c r="BE1837" s="4" t="s">
        <v>100</v>
      </c>
      <c r="BF1837" s="8" t="s">
        <v>100</v>
      </c>
      <c r="BG1837" s="7" t="s">
        <v>100</v>
      </c>
      <c r="BH1837" s="7" t="s">
        <v>100</v>
      </c>
      <c r="BI1837" s="7"/>
      <c r="BJ1837" s="4">
        <v>36</v>
      </c>
      <c r="BK1837" s="8">
        <v>2655.69</v>
      </c>
      <c r="BL1837" s="2" t="s">
        <v>6065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5993</v>
      </c>
      <c r="BV1837" s="2" t="s">
        <v>97</v>
      </c>
      <c r="BW1837" s="2" t="s">
        <v>100</v>
      </c>
      <c r="BX1837" s="2" t="s">
        <v>100</v>
      </c>
      <c r="BY1837" s="2" t="s">
        <v>112</v>
      </c>
      <c r="BZ1837" s="2" t="s">
        <v>100</v>
      </c>
    </row>
    <row r="1838">
      <c r="A1838" s="2" t="s">
        <v>6066</v>
      </c>
      <c r="B1838" s="2" t="s">
        <v>87</v>
      </c>
      <c r="C1838" s="2" t="s">
        <v>5986</v>
      </c>
      <c r="D1838" s="2" t="s">
        <v>3234</v>
      </c>
      <c r="E1838" s="2" t="s">
        <v>3235</v>
      </c>
      <c r="F1838" s="2" t="s">
        <v>6002</v>
      </c>
      <c r="G1838" s="2" t="s">
        <v>6002</v>
      </c>
      <c r="H1838" s="2" t="s">
        <v>6002</v>
      </c>
      <c r="I1838" s="2" t="s">
        <v>6064</v>
      </c>
      <c r="J1838" s="2" t="s">
        <v>114</v>
      </c>
      <c r="K1838" s="2" t="s">
        <v>333</v>
      </c>
      <c r="L1838" s="3">
        <v>84.6</v>
      </c>
      <c r="M1838" s="3">
        <v>88.83</v>
      </c>
      <c r="N1838" s="3">
        <v>179.99</v>
      </c>
      <c r="O1838" s="2" t="s">
        <v>97</v>
      </c>
      <c r="P1838" s="2" t="s">
        <v>143</v>
      </c>
      <c r="Q1838" s="2" t="s">
        <v>99</v>
      </c>
      <c r="R1838" s="2" t="s">
        <v>100</v>
      </c>
      <c r="S1838" s="2" t="s">
        <v>6005</v>
      </c>
      <c r="T1838" s="2" t="s">
        <v>732</v>
      </c>
      <c r="U1838" s="2" t="s">
        <v>1610</v>
      </c>
      <c r="V1838" s="2" t="s">
        <v>601</v>
      </c>
      <c r="W1838" s="2" t="s">
        <v>104</v>
      </c>
      <c r="X1838" s="2" t="s">
        <v>602</v>
      </c>
      <c r="Y1838" s="2" t="s">
        <v>6006</v>
      </c>
      <c r="Z1838" s="4">
        <v>69</v>
      </c>
      <c r="AA1838" s="4">
        <f>=ROUNDDOWN(17.25,0)</f>
      </c>
      <c r="AB1838" s="5">
        <v>4</v>
      </c>
      <c r="AC1838" s="2" t="s">
        <v>130</v>
      </c>
      <c r="AD1838" s="4">
        <v>50</v>
      </c>
      <c r="AE1838" s="4">
        <v>193</v>
      </c>
      <c r="AF1838" s="6">
        <v>65</v>
      </c>
      <c r="AG1838" s="6"/>
      <c r="AH1838" s="7">
        <v>0.8485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 t="s">
        <v>100</v>
      </c>
      <c r="AW1838" s="8" t="s">
        <v>100</v>
      </c>
      <c r="AX1838" s="4" t="s">
        <v>100</v>
      </c>
      <c r="AY1838" s="8" t="s">
        <v>100</v>
      </c>
      <c r="AZ1838" s="7" t="s">
        <v>100</v>
      </c>
      <c r="BA1838" s="7" t="s">
        <v>100</v>
      </c>
      <c r="BB1838" s="7"/>
      <c r="BC1838" s="4" t="s">
        <v>100</v>
      </c>
      <c r="BD1838" s="8" t="s">
        <v>100</v>
      </c>
      <c r="BE1838" s="4" t="s">
        <v>100</v>
      </c>
      <c r="BF1838" s="8" t="s">
        <v>100</v>
      </c>
      <c r="BG1838" s="7" t="s">
        <v>100</v>
      </c>
      <c r="BH1838" s="7" t="s">
        <v>100</v>
      </c>
      <c r="BI1838" s="7"/>
      <c r="BJ1838" s="4">
        <v>75</v>
      </c>
      <c r="BK1838" s="8">
        <v>6292.38</v>
      </c>
      <c r="BL1838" s="2" t="s">
        <v>6067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5993</v>
      </c>
      <c r="BV1838" s="2" t="s">
        <v>97</v>
      </c>
      <c r="BW1838" s="2" t="s">
        <v>100</v>
      </c>
      <c r="BX1838" s="2" t="s">
        <v>100</v>
      </c>
      <c r="BY1838" s="2" t="s">
        <v>112</v>
      </c>
      <c r="BZ1838" s="2" t="s">
        <v>100</v>
      </c>
    </row>
    <row r="1839">
      <c r="A1839" s="2" t="s">
        <v>6068</v>
      </c>
      <c r="B1839" s="2" t="s">
        <v>87</v>
      </c>
      <c r="C1839" s="2" t="s">
        <v>5986</v>
      </c>
      <c r="D1839" s="2" t="s">
        <v>3234</v>
      </c>
      <c r="E1839" s="2" t="s">
        <v>3235</v>
      </c>
      <c r="F1839" s="2" t="s">
        <v>6002</v>
      </c>
      <c r="G1839" s="2" t="s">
        <v>6002</v>
      </c>
      <c r="H1839" s="2" t="s">
        <v>6002</v>
      </c>
      <c r="I1839" s="2" t="s">
        <v>6064</v>
      </c>
      <c r="J1839" s="2" t="s">
        <v>844</v>
      </c>
      <c r="K1839" s="2" t="s">
        <v>666</v>
      </c>
      <c r="L1839" s="3">
        <v>75.2</v>
      </c>
      <c r="M1839" s="3">
        <v>78.96</v>
      </c>
      <c r="N1839" s="3">
        <v>159.99</v>
      </c>
      <c r="O1839" s="2" t="s">
        <v>97</v>
      </c>
      <c r="P1839" s="2" t="s">
        <v>143</v>
      </c>
      <c r="Q1839" s="2" t="s">
        <v>99</v>
      </c>
      <c r="R1839" s="2" t="s">
        <v>100</v>
      </c>
      <c r="S1839" s="2" t="s">
        <v>6029</v>
      </c>
      <c r="T1839" s="2" t="s">
        <v>732</v>
      </c>
      <c r="U1839" s="2" t="s">
        <v>1610</v>
      </c>
      <c r="V1839" s="2" t="s">
        <v>601</v>
      </c>
      <c r="W1839" s="2" t="s">
        <v>104</v>
      </c>
      <c r="X1839" s="2" t="s">
        <v>602</v>
      </c>
      <c r="Y1839" s="2" t="s">
        <v>6006</v>
      </c>
      <c r="Z1839" s="4">
        <v>25</v>
      </c>
      <c r="AA1839" s="4">
        <f>=ROUNDDOWN(8.33333333333333,0)</f>
      </c>
      <c r="AB1839" s="5">
        <v>3</v>
      </c>
      <c r="AC1839" s="2" t="s">
        <v>659</v>
      </c>
      <c r="AD1839" s="4">
        <v>12</v>
      </c>
      <c r="AE1839" s="4">
        <v>47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 t="s">
        <v>100</v>
      </c>
      <c r="AW1839" s="8" t="s">
        <v>100</v>
      </c>
      <c r="AX1839" s="4" t="s">
        <v>100</v>
      </c>
      <c r="AY1839" s="8" t="s">
        <v>100</v>
      </c>
      <c r="AZ1839" s="7" t="s">
        <v>100</v>
      </c>
      <c r="BA1839" s="7" t="s">
        <v>100</v>
      </c>
      <c r="BB1839" s="7"/>
      <c r="BC1839" s="4" t="s">
        <v>100</v>
      </c>
      <c r="BD1839" s="8" t="s">
        <v>100</v>
      </c>
      <c r="BE1839" s="4" t="s">
        <v>100</v>
      </c>
      <c r="BF1839" s="8" t="s">
        <v>100</v>
      </c>
      <c r="BG1839" s="7" t="s">
        <v>100</v>
      </c>
      <c r="BH1839" s="7" t="s">
        <v>100</v>
      </c>
      <c r="BI1839" s="7"/>
      <c r="BJ1839" s="4">
        <v>45</v>
      </c>
      <c r="BK1839" s="8">
        <v>3401.52</v>
      </c>
      <c r="BL1839" s="2" t="s">
        <v>4544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5993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6069</v>
      </c>
      <c r="B1840" s="2" t="s">
        <v>87</v>
      </c>
      <c r="C1840" s="2" t="s">
        <v>5986</v>
      </c>
      <c r="D1840" s="2" t="s">
        <v>3234</v>
      </c>
      <c r="E1840" s="2" t="s">
        <v>3235</v>
      </c>
      <c r="F1840" s="2" t="s">
        <v>6002</v>
      </c>
      <c r="G1840" s="2" t="s">
        <v>6002</v>
      </c>
      <c r="H1840" s="2" t="s">
        <v>6002</v>
      </c>
      <c r="I1840" s="2" t="s">
        <v>6064</v>
      </c>
      <c r="J1840" s="2" t="s">
        <v>114</v>
      </c>
      <c r="K1840" s="2" t="s">
        <v>666</v>
      </c>
      <c r="L1840" s="3">
        <v>84.6</v>
      </c>
      <c r="M1840" s="3">
        <v>88.83</v>
      </c>
      <c r="N1840" s="3">
        <v>179.99</v>
      </c>
      <c r="O1840" s="2" t="s">
        <v>97</v>
      </c>
      <c r="P1840" s="2" t="s">
        <v>143</v>
      </c>
      <c r="Q1840" s="2" t="s">
        <v>99</v>
      </c>
      <c r="R1840" s="2" t="s">
        <v>100</v>
      </c>
      <c r="S1840" s="2" t="s">
        <v>6029</v>
      </c>
      <c r="T1840" s="2" t="s">
        <v>732</v>
      </c>
      <c r="U1840" s="2" t="s">
        <v>1610</v>
      </c>
      <c r="V1840" s="2" t="s">
        <v>601</v>
      </c>
      <c r="W1840" s="2" t="s">
        <v>104</v>
      </c>
      <c r="X1840" s="2" t="s">
        <v>602</v>
      </c>
      <c r="Y1840" s="2" t="s">
        <v>6006</v>
      </c>
      <c r="Z1840" s="4">
        <v>49</v>
      </c>
      <c r="AA1840" s="4">
        <f>=ROUNDDOWN(8.16666666666667,0)</f>
      </c>
      <c r="AB1840" s="5">
        <v>6</v>
      </c>
      <c r="AC1840" s="2" t="s">
        <v>659</v>
      </c>
      <c r="AD1840" s="4">
        <v>29</v>
      </c>
      <c r="AE1840" s="4">
        <v>219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 t="s">
        <v>100</v>
      </c>
      <c r="AW1840" s="8" t="s">
        <v>100</v>
      </c>
      <c r="AX1840" s="4" t="s">
        <v>100</v>
      </c>
      <c r="AY1840" s="8" t="s">
        <v>100</v>
      </c>
      <c r="AZ1840" s="7" t="s">
        <v>100</v>
      </c>
      <c r="BA1840" s="7" t="s">
        <v>100</v>
      </c>
      <c r="BB1840" s="7"/>
      <c r="BC1840" s="4" t="s">
        <v>100</v>
      </c>
      <c r="BD1840" s="8" t="s">
        <v>100</v>
      </c>
      <c r="BE1840" s="4" t="s">
        <v>100</v>
      </c>
      <c r="BF1840" s="8" t="s">
        <v>100</v>
      </c>
      <c r="BG1840" s="7" t="s">
        <v>100</v>
      </c>
      <c r="BH1840" s="7" t="s">
        <v>100</v>
      </c>
      <c r="BI1840" s="7"/>
      <c r="BJ1840" s="4">
        <v>101</v>
      </c>
      <c r="BK1840" s="8">
        <v>8901.28</v>
      </c>
      <c r="BL1840" s="2" t="s">
        <v>6070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5993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6071</v>
      </c>
      <c r="B1841" s="2" t="s">
        <v>87</v>
      </c>
      <c r="C1841" s="2" t="s">
        <v>5986</v>
      </c>
      <c r="D1841" s="2" t="s">
        <v>3234</v>
      </c>
      <c r="E1841" s="2" t="s">
        <v>3235</v>
      </c>
      <c r="F1841" s="2" t="s">
        <v>6034</v>
      </c>
      <c r="G1841" s="2" t="s">
        <v>6034</v>
      </c>
      <c r="H1841" s="2" t="s">
        <v>6034</v>
      </c>
      <c r="I1841" s="2" t="s">
        <v>6072</v>
      </c>
      <c r="J1841" s="2" t="s">
        <v>844</v>
      </c>
      <c r="K1841" s="2" t="s">
        <v>2252</v>
      </c>
      <c r="L1841" s="3">
        <v>75.2</v>
      </c>
      <c r="M1841" s="3">
        <v>78.96</v>
      </c>
      <c r="N1841" s="3">
        <v>159.99</v>
      </c>
      <c r="O1841" s="2" t="s">
        <v>97</v>
      </c>
      <c r="P1841" s="2" t="s">
        <v>143</v>
      </c>
      <c r="Q1841" s="2" t="s">
        <v>99</v>
      </c>
      <c r="R1841" s="2" t="s">
        <v>100</v>
      </c>
      <c r="S1841" s="2" t="s">
        <v>6036</v>
      </c>
      <c r="T1841" s="2" t="s">
        <v>732</v>
      </c>
      <c r="U1841" s="2" t="s">
        <v>1610</v>
      </c>
      <c r="V1841" s="2" t="s">
        <v>491</v>
      </c>
      <c r="W1841" s="2" t="s">
        <v>1530</v>
      </c>
      <c r="X1841" s="2" t="s">
        <v>808</v>
      </c>
      <c r="Y1841" s="2" t="s">
        <v>6037</v>
      </c>
      <c r="Z1841" s="4">
        <v>58</v>
      </c>
      <c r="AA1841" s="4">
        <f>=ROUNDDOWN(9.66666666666667,0)</f>
      </c>
      <c r="AB1841" s="5">
        <v>6</v>
      </c>
      <c r="AC1841" s="2" t="s">
        <v>494</v>
      </c>
      <c r="AD1841" s="4">
        <v>85</v>
      </c>
      <c r="AE1841" s="4">
        <v>145</v>
      </c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 t="s">
        <v>100</v>
      </c>
      <c r="AW1841" s="8" t="s">
        <v>100</v>
      </c>
      <c r="AX1841" s="4" t="s">
        <v>100</v>
      </c>
      <c r="AY1841" s="8" t="s">
        <v>100</v>
      </c>
      <c r="AZ1841" s="7" t="s">
        <v>100</v>
      </c>
      <c r="BA1841" s="7" t="s">
        <v>100</v>
      </c>
      <c r="BB1841" s="7"/>
      <c r="BC1841" s="4" t="s">
        <v>100</v>
      </c>
      <c r="BD1841" s="8" t="s">
        <v>100</v>
      </c>
      <c r="BE1841" s="4" t="s">
        <v>100</v>
      </c>
      <c r="BF1841" s="8" t="s">
        <v>100</v>
      </c>
      <c r="BG1841" s="7" t="s">
        <v>100</v>
      </c>
      <c r="BH1841" s="7" t="s">
        <v>100</v>
      </c>
      <c r="BI1841" s="7"/>
      <c r="BJ1841" s="4">
        <v>112</v>
      </c>
      <c r="BK1841" s="8">
        <v>8650.52</v>
      </c>
      <c r="BL1841" s="2" t="s">
        <v>6073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5993</v>
      </c>
      <c r="BV1841" s="2" t="s">
        <v>97</v>
      </c>
      <c r="BW1841" s="2" t="s">
        <v>100</v>
      </c>
      <c r="BX1841" s="2" t="s">
        <v>100</v>
      </c>
      <c r="BY1841" s="2" t="s">
        <v>112</v>
      </c>
      <c r="BZ1841" s="2" t="s">
        <v>100</v>
      </c>
    </row>
    <row r="1842">
      <c r="A1842" s="2" t="s">
        <v>6074</v>
      </c>
      <c r="B1842" s="2" t="s">
        <v>87</v>
      </c>
      <c r="C1842" s="2" t="s">
        <v>5986</v>
      </c>
      <c r="D1842" s="2" t="s">
        <v>3234</v>
      </c>
      <c r="E1842" s="2" t="s">
        <v>3235</v>
      </c>
      <c r="F1842" s="2" t="s">
        <v>6034</v>
      </c>
      <c r="G1842" s="2" t="s">
        <v>6034</v>
      </c>
      <c r="H1842" s="2" t="s">
        <v>6034</v>
      </c>
      <c r="I1842" s="2" t="s">
        <v>6072</v>
      </c>
      <c r="J1842" s="2" t="s">
        <v>114</v>
      </c>
      <c r="K1842" s="2" t="s">
        <v>2252</v>
      </c>
      <c r="L1842" s="3">
        <v>84.6</v>
      </c>
      <c r="M1842" s="3">
        <v>88.83</v>
      </c>
      <c r="N1842" s="3">
        <v>179.99</v>
      </c>
      <c r="O1842" s="2" t="s">
        <v>97</v>
      </c>
      <c r="P1842" s="2" t="s">
        <v>143</v>
      </c>
      <c r="Q1842" s="2" t="s">
        <v>99</v>
      </c>
      <c r="R1842" s="2" t="s">
        <v>100</v>
      </c>
      <c r="S1842" s="2" t="s">
        <v>6036</v>
      </c>
      <c r="T1842" s="2" t="s">
        <v>732</v>
      </c>
      <c r="U1842" s="2" t="s">
        <v>1610</v>
      </c>
      <c r="V1842" s="2" t="s">
        <v>491</v>
      </c>
      <c r="W1842" s="2" t="s">
        <v>1530</v>
      </c>
      <c r="X1842" s="2" t="s">
        <v>808</v>
      </c>
      <c r="Y1842" s="2" t="s">
        <v>6037</v>
      </c>
      <c r="Z1842" s="4">
        <v>48</v>
      </c>
      <c r="AA1842" s="4">
        <f>=ROUNDDOWN(6.85714285714286,0)</f>
      </c>
      <c r="AB1842" s="5">
        <v>7</v>
      </c>
      <c r="AC1842" s="2" t="s">
        <v>494</v>
      </c>
      <c r="AD1842" s="4">
        <v>85</v>
      </c>
      <c r="AE1842" s="4">
        <v>145</v>
      </c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 t="s">
        <v>100</v>
      </c>
      <c r="AW1842" s="8" t="s">
        <v>100</v>
      </c>
      <c r="AX1842" s="4" t="s">
        <v>100</v>
      </c>
      <c r="AY1842" s="8" t="s">
        <v>100</v>
      </c>
      <c r="AZ1842" s="7" t="s">
        <v>100</v>
      </c>
      <c r="BA1842" s="7" t="s">
        <v>100</v>
      </c>
      <c r="BB1842" s="7"/>
      <c r="BC1842" s="4" t="s">
        <v>100</v>
      </c>
      <c r="BD1842" s="8" t="s">
        <v>100</v>
      </c>
      <c r="BE1842" s="4" t="s">
        <v>100</v>
      </c>
      <c r="BF1842" s="8" t="s">
        <v>100</v>
      </c>
      <c r="BG1842" s="7" t="s">
        <v>100</v>
      </c>
      <c r="BH1842" s="7" t="s">
        <v>100</v>
      </c>
      <c r="BI1842" s="7"/>
      <c r="BJ1842" s="4">
        <v>108</v>
      </c>
      <c r="BK1842" s="8">
        <v>9304.4</v>
      </c>
      <c r="BL1842" s="2" t="s">
        <v>6075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5993</v>
      </c>
      <c r="BV1842" s="2" t="s">
        <v>97</v>
      </c>
      <c r="BW1842" s="2" t="s">
        <v>100</v>
      </c>
      <c r="BX1842" s="2" t="s">
        <v>100</v>
      </c>
      <c r="BY1842" s="2" t="s">
        <v>112</v>
      </c>
      <c r="BZ1842" s="2" t="s">
        <v>100</v>
      </c>
    </row>
    <row r="1843">
      <c r="A1843" s="2" t="s">
        <v>6076</v>
      </c>
      <c r="B1843" s="2" t="s">
        <v>87</v>
      </c>
      <c r="C1843" s="2" t="s">
        <v>5986</v>
      </c>
      <c r="D1843" s="2" t="s">
        <v>5203</v>
      </c>
      <c r="E1843" s="2" t="s">
        <v>6077</v>
      </c>
      <c r="F1843" s="2" t="s">
        <v>6047</v>
      </c>
      <c r="G1843" s="2" t="s">
        <v>6047</v>
      </c>
      <c r="H1843" s="2" t="s">
        <v>6047</v>
      </c>
      <c r="I1843" s="2" t="s">
        <v>6078</v>
      </c>
      <c r="J1843" s="2" t="s">
        <v>5217</v>
      </c>
      <c r="K1843" s="2" t="s">
        <v>333</v>
      </c>
      <c r="L1843" s="3">
        <v>18</v>
      </c>
      <c r="M1843" s="3">
        <v>18.9</v>
      </c>
      <c r="N1843" s="3">
        <v>39.99</v>
      </c>
      <c r="O1843" s="2" t="s">
        <v>550</v>
      </c>
      <c r="P1843" s="2" t="s">
        <v>198</v>
      </c>
      <c r="Q1843" s="2" t="s">
        <v>99</v>
      </c>
      <c r="R1843" s="2" t="s">
        <v>100</v>
      </c>
      <c r="S1843" s="2" t="s">
        <v>6049</v>
      </c>
      <c r="T1843" s="2" t="s">
        <v>100</v>
      </c>
      <c r="U1843" s="2" t="s">
        <v>3531</v>
      </c>
      <c r="V1843" s="2" t="s">
        <v>601</v>
      </c>
      <c r="W1843" s="2" t="s">
        <v>602</v>
      </c>
      <c r="X1843" s="2" t="s">
        <v>2736</v>
      </c>
      <c r="Y1843" s="2" t="s">
        <v>918</v>
      </c>
      <c r="Z1843" s="4">
        <v>41</v>
      </c>
      <c r="AA1843" s="4">
        <f>=ROUNDDOWN(205,0)</f>
      </c>
      <c r="AB1843" s="5">
        <v>0.2</v>
      </c>
      <c r="AC1843" s="2" t="s">
        <v>100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10</v>
      </c>
      <c r="BK1843" s="8">
        <v>203.53</v>
      </c>
      <c r="BL1843" s="2" t="s">
        <v>6079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5993</v>
      </c>
      <c r="BV1843" s="2" t="s">
        <v>97</v>
      </c>
      <c r="BW1843" s="2" t="s">
        <v>100</v>
      </c>
      <c r="BX1843" s="2" t="s">
        <v>100</v>
      </c>
      <c r="BY1843" s="2" t="s">
        <v>112</v>
      </c>
      <c r="BZ1843" s="2" t="s">
        <v>100</v>
      </c>
    </row>
    <row r="1844">
      <c r="A1844" s="2" t="s">
        <v>6080</v>
      </c>
      <c r="B1844" s="2" t="s">
        <v>87</v>
      </c>
      <c r="C1844" s="2" t="s">
        <v>5986</v>
      </c>
      <c r="D1844" s="2" t="s">
        <v>5203</v>
      </c>
      <c r="E1844" s="2" t="s">
        <v>5204</v>
      </c>
      <c r="F1844" s="2" t="s">
        <v>5998</v>
      </c>
      <c r="G1844" s="2" t="s">
        <v>100</v>
      </c>
      <c r="H1844" s="2" t="s">
        <v>100</v>
      </c>
      <c r="I1844" s="2" t="s">
        <v>5532</v>
      </c>
      <c r="J1844" s="2" t="s">
        <v>6081</v>
      </c>
      <c r="K1844" s="2" t="s">
        <v>333</v>
      </c>
      <c r="L1844" s="3">
        <v>19.8</v>
      </c>
      <c r="M1844" s="3">
        <v>20.79</v>
      </c>
      <c r="N1844" s="3">
        <v>44.99</v>
      </c>
      <c r="O1844" s="2" t="s">
        <v>97</v>
      </c>
      <c r="P1844" s="2" t="s">
        <v>198</v>
      </c>
      <c r="Q1844" s="2" t="s">
        <v>99</v>
      </c>
      <c r="R1844" s="2" t="s">
        <v>100</v>
      </c>
      <c r="S1844" s="2" t="s">
        <v>6082</v>
      </c>
      <c r="T1844" s="2" t="s">
        <v>100</v>
      </c>
      <c r="U1844" s="2" t="s">
        <v>3531</v>
      </c>
      <c r="V1844" s="2" t="s">
        <v>991</v>
      </c>
      <c r="W1844" s="2" t="s">
        <v>1530</v>
      </c>
      <c r="X1844" s="2" t="s">
        <v>759</v>
      </c>
      <c r="Y1844" s="2" t="s">
        <v>106</v>
      </c>
      <c r="Z1844" s="4">
        <v>39</v>
      </c>
      <c r="AA1844" s="4">
        <f>=ROUNDDOWN(20.5263157894737,0)</f>
      </c>
      <c r="AB1844" s="5">
        <v>1.9</v>
      </c>
      <c r="AC1844" s="2" t="s">
        <v>100</v>
      </c>
      <c r="AD1844" s="4"/>
      <c r="AE1844" s="4"/>
      <c r="AF1844" s="6">
        <v>68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/>
      <c r="BJ1844" s="4">
        <v>36</v>
      </c>
      <c r="BK1844" s="8">
        <v>681.38</v>
      </c>
      <c r="BL1844" s="2" t="s">
        <v>6083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5993</v>
      </c>
      <c r="BV1844" s="2" t="s">
        <v>97</v>
      </c>
      <c r="BW1844" s="2" t="s">
        <v>100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6084</v>
      </c>
      <c r="B1845" s="2" t="s">
        <v>87</v>
      </c>
      <c r="C1845" s="2" t="s">
        <v>5986</v>
      </c>
      <c r="D1845" s="2" t="s">
        <v>5203</v>
      </c>
      <c r="E1845" s="2" t="s">
        <v>5204</v>
      </c>
      <c r="F1845" s="2" t="s">
        <v>5998</v>
      </c>
      <c r="G1845" s="2" t="s">
        <v>100</v>
      </c>
      <c r="H1845" s="2" t="s">
        <v>100</v>
      </c>
      <c r="I1845" s="2" t="s">
        <v>5538</v>
      </c>
      <c r="J1845" s="2" t="s">
        <v>5539</v>
      </c>
      <c r="K1845" s="2" t="s">
        <v>1767</v>
      </c>
      <c r="L1845" s="3">
        <v>22.5</v>
      </c>
      <c r="M1845" s="3">
        <v>23.62</v>
      </c>
      <c r="N1845" s="3">
        <v>44.99</v>
      </c>
      <c r="O1845" s="2" t="s">
        <v>97</v>
      </c>
      <c r="P1845" s="2" t="s">
        <v>198</v>
      </c>
      <c r="Q1845" s="2" t="s">
        <v>99</v>
      </c>
      <c r="R1845" s="2" t="s">
        <v>100</v>
      </c>
      <c r="S1845" s="2" t="s">
        <v>6085</v>
      </c>
      <c r="T1845" s="2" t="s">
        <v>100</v>
      </c>
      <c r="U1845" s="2" t="s">
        <v>100</v>
      </c>
      <c r="V1845" s="2" t="s">
        <v>991</v>
      </c>
      <c r="W1845" s="2" t="s">
        <v>1530</v>
      </c>
      <c r="X1845" s="2" t="s">
        <v>759</v>
      </c>
      <c r="Y1845" s="2" t="s">
        <v>106</v>
      </c>
      <c r="Z1845" s="4">
        <v>4</v>
      </c>
      <c r="AA1845" s="4">
        <f>=ROUNDDOWN(8,0)</f>
      </c>
      <c r="AB1845" s="5">
        <v>0.5</v>
      </c>
      <c r="AC1845" s="2" t="s">
        <v>100</v>
      </c>
      <c r="AD1845" s="4"/>
      <c r="AE1845" s="4"/>
      <c r="AF1845" s="6">
        <v>68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/>
      <c r="BJ1845" s="4">
        <v>16</v>
      </c>
      <c r="BK1845" s="8">
        <v>281.18</v>
      </c>
      <c r="BL1845" s="2" t="s">
        <v>6086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5993</v>
      </c>
      <c r="BV1845" s="2" t="s">
        <v>97</v>
      </c>
      <c r="BW1845" s="2" t="s">
        <v>100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6087</v>
      </c>
      <c r="B1846" s="2" t="s">
        <v>87</v>
      </c>
      <c r="C1846" s="2" t="s">
        <v>5986</v>
      </c>
      <c r="D1846" s="2" t="s">
        <v>5203</v>
      </c>
      <c r="E1846" s="2" t="s">
        <v>5204</v>
      </c>
      <c r="F1846" s="2" t="s">
        <v>5998</v>
      </c>
      <c r="G1846" s="2" t="s">
        <v>100</v>
      </c>
      <c r="H1846" s="2" t="s">
        <v>100</v>
      </c>
      <c r="I1846" s="2" t="s">
        <v>5538</v>
      </c>
      <c r="J1846" s="2" t="s">
        <v>5217</v>
      </c>
      <c r="K1846" s="2" t="s">
        <v>96</v>
      </c>
      <c r="L1846" s="3">
        <v>27.5</v>
      </c>
      <c r="M1846" s="3">
        <v>28.87</v>
      </c>
      <c r="N1846" s="3">
        <v>54.99</v>
      </c>
      <c r="O1846" s="2" t="s">
        <v>97</v>
      </c>
      <c r="P1846" s="2" t="s">
        <v>182</v>
      </c>
      <c r="Q1846" s="2" t="s">
        <v>99</v>
      </c>
      <c r="R1846" s="2" t="s">
        <v>100</v>
      </c>
      <c r="S1846" s="2" t="s">
        <v>6088</v>
      </c>
      <c r="T1846" s="2" t="s">
        <v>100</v>
      </c>
      <c r="U1846" s="2" t="s">
        <v>100</v>
      </c>
      <c r="V1846" s="2" t="s">
        <v>491</v>
      </c>
      <c r="W1846" s="2" t="s">
        <v>1530</v>
      </c>
      <c r="X1846" s="2" t="s">
        <v>759</v>
      </c>
      <c r="Y1846" s="2" t="s">
        <v>106</v>
      </c>
      <c r="Z1846" s="4">
        <v>93</v>
      </c>
      <c r="AA1846" s="4">
        <f>=ROUNDDOWN(31,0)</f>
      </c>
      <c r="AB1846" s="5">
        <v>3</v>
      </c>
      <c r="AC1846" s="2" t="s">
        <v>100</v>
      </c>
      <c r="AD1846" s="4"/>
      <c r="AE1846" s="4"/>
      <c r="AF1846" s="6">
        <v>68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/>
      <c r="BJ1846" s="4">
        <v>41</v>
      </c>
      <c r="BK1846" s="8">
        <v>1045.39</v>
      </c>
      <c r="BL1846" s="2" t="s">
        <v>6083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5993</v>
      </c>
      <c r="BV1846" s="2" t="s">
        <v>97</v>
      </c>
      <c r="BW1846" s="2" t="s">
        <v>100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6089</v>
      </c>
      <c r="B1847" s="2" t="s">
        <v>87</v>
      </c>
      <c r="C1847" s="2" t="s">
        <v>5986</v>
      </c>
      <c r="D1847" s="2" t="s">
        <v>5203</v>
      </c>
      <c r="E1847" s="2" t="s">
        <v>5204</v>
      </c>
      <c r="F1847" s="2" t="s">
        <v>6002</v>
      </c>
      <c r="G1847" s="2" t="s">
        <v>6002</v>
      </c>
      <c r="H1847" s="2" t="s">
        <v>6002</v>
      </c>
      <c r="I1847" s="2" t="s">
        <v>5544</v>
      </c>
      <c r="J1847" s="2" t="s">
        <v>5269</v>
      </c>
      <c r="K1847" s="2" t="s">
        <v>333</v>
      </c>
      <c r="L1847" s="3">
        <v>18</v>
      </c>
      <c r="M1847" s="3">
        <v>18.9</v>
      </c>
      <c r="N1847" s="3">
        <v>44.99</v>
      </c>
      <c r="O1847" s="2" t="s">
        <v>97</v>
      </c>
      <c r="P1847" s="2" t="s">
        <v>143</v>
      </c>
      <c r="Q1847" s="2" t="s">
        <v>99</v>
      </c>
      <c r="R1847" s="2" t="s">
        <v>100</v>
      </c>
      <c r="S1847" s="2" t="s">
        <v>6090</v>
      </c>
      <c r="T1847" s="2" t="s">
        <v>732</v>
      </c>
      <c r="U1847" s="2" t="s">
        <v>3531</v>
      </c>
      <c r="V1847" s="2" t="s">
        <v>601</v>
      </c>
      <c r="W1847" s="2" t="s">
        <v>104</v>
      </c>
      <c r="X1847" s="2" t="s">
        <v>602</v>
      </c>
      <c r="Y1847" s="2" t="s">
        <v>6006</v>
      </c>
      <c r="Z1847" s="4">
        <v>122</v>
      </c>
      <c r="AA1847" s="4">
        <f>=ROUNDDOWN(53.0434782608696,0)</f>
      </c>
      <c r="AB1847" s="5">
        <v>2.3</v>
      </c>
      <c r="AC1847" s="2" t="s">
        <v>659</v>
      </c>
      <c r="AD1847" s="4">
        <v>90</v>
      </c>
      <c r="AE1847" s="4">
        <v>90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/>
      <c r="BJ1847" s="4">
        <v>66</v>
      </c>
      <c r="BK1847" s="8">
        <v>1253.99</v>
      </c>
      <c r="BL1847" s="2" t="s">
        <v>6091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5993</v>
      </c>
      <c r="BV1847" s="2" t="s">
        <v>97</v>
      </c>
      <c r="BW1847" s="2" t="s">
        <v>100</v>
      </c>
      <c r="BX1847" s="2" t="s">
        <v>100</v>
      </c>
      <c r="BY1847" s="2" t="s">
        <v>112</v>
      </c>
      <c r="BZ1847" s="2" t="s">
        <v>100</v>
      </c>
    </row>
    <row r="1848">
      <c r="A1848" s="2" t="s">
        <v>6092</v>
      </c>
      <c r="B1848" s="2" t="s">
        <v>87</v>
      </c>
      <c r="C1848" s="2" t="s">
        <v>5986</v>
      </c>
      <c r="D1848" s="2" t="s">
        <v>5203</v>
      </c>
      <c r="E1848" s="2" t="s">
        <v>5204</v>
      </c>
      <c r="F1848" s="2" t="s">
        <v>6002</v>
      </c>
      <c r="G1848" s="2" t="s">
        <v>6002</v>
      </c>
      <c r="H1848" s="2" t="s">
        <v>6002</v>
      </c>
      <c r="I1848" s="2" t="s">
        <v>5544</v>
      </c>
      <c r="J1848" s="2" t="s">
        <v>5269</v>
      </c>
      <c r="K1848" s="2" t="s">
        <v>666</v>
      </c>
      <c r="L1848" s="3">
        <v>18</v>
      </c>
      <c r="M1848" s="3">
        <v>18.9</v>
      </c>
      <c r="N1848" s="3">
        <v>44.99</v>
      </c>
      <c r="O1848" s="2" t="s">
        <v>97</v>
      </c>
      <c r="P1848" s="2" t="s">
        <v>143</v>
      </c>
      <c r="Q1848" s="2" t="s">
        <v>99</v>
      </c>
      <c r="R1848" s="2" t="s">
        <v>100</v>
      </c>
      <c r="S1848" s="2" t="s">
        <v>6090</v>
      </c>
      <c r="T1848" s="2" t="s">
        <v>732</v>
      </c>
      <c r="U1848" s="2" t="s">
        <v>3531</v>
      </c>
      <c r="V1848" s="2" t="s">
        <v>601</v>
      </c>
      <c r="W1848" s="2" t="s">
        <v>104</v>
      </c>
      <c r="X1848" s="2" t="s">
        <v>1190</v>
      </c>
      <c r="Y1848" s="2" t="s">
        <v>6006</v>
      </c>
      <c r="Z1848" s="4">
        <v>71</v>
      </c>
      <c r="AA1848" s="4">
        <f>=ROUNDDOWN(23.6666666666667,0)</f>
      </c>
      <c r="AB1848" s="5">
        <v>3</v>
      </c>
      <c r="AC1848" s="2" t="s">
        <v>659</v>
      </c>
      <c r="AD1848" s="4">
        <v>50</v>
      </c>
      <c r="AE1848" s="4">
        <v>100</v>
      </c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/>
      <c r="BJ1848" s="4">
        <v>47</v>
      </c>
      <c r="BK1848" s="8">
        <v>989.49</v>
      </c>
      <c r="BL1848" s="2" t="s">
        <v>6093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5993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6094</v>
      </c>
      <c r="B1849" s="2" t="s">
        <v>87</v>
      </c>
      <c r="C1849" s="2" t="s">
        <v>5986</v>
      </c>
      <c r="D1849" s="2" t="s">
        <v>5203</v>
      </c>
      <c r="E1849" s="2" t="s">
        <v>5204</v>
      </c>
      <c r="F1849" s="2" t="s">
        <v>6034</v>
      </c>
      <c r="G1849" s="2" t="s">
        <v>6034</v>
      </c>
      <c r="H1849" s="2" t="s">
        <v>6034</v>
      </c>
      <c r="I1849" s="2" t="s">
        <v>5544</v>
      </c>
      <c r="J1849" s="2" t="s">
        <v>5269</v>
      </c>
      <c r="K1849" s="2" t="s">
        <v>2252</v>
      </c>
      <c r="L1849" s="3">
        <v>18</v>
      </c>
      <c r="M1849" s="3">
        <v>18.9</v>
      </c>
      <c r="N1849" s="3">
        <v>44.99</v>
      </c>
      <c r="O1849" s="2" t="s">
        <v>97</v>
      </c>
      <c r="P1849" s="2" t="s">
        <v>143</v>
      </c>
      <c r="Q1849" s="2" t="s">
        <v>99</v>
      </c>
      <c r="R1849" s="2" t="s">
        <v>100</v>
      </c>
      <c r="S1849" s="2" t="s">
        <v>6095</v>
      </c>
      <c r="T1849" s="2" t="s">
        <v>732</v>
      </c>
      <c r="U1849" s="2" t="s">
        <v>3531</v>
      </c>
      <c r="V1849" s="2" t="s">
        <v>491</v>
      </c>
      <c r="W1849" s="2" t="s">
        <v>1530</v>
      </c>
      <c r="X1849" s="2" t="s">
        <v>808</v>
      </c>
      <c r="Y1849" s="2" t="s">
        <v>6037</v>
      </c>
      <c r="Z1849" s="4">
        <v>44</v>
      </c>
      <c r="AA1849" s="4">
        <f>=ROUNDDOWN(7.33333333333333,0)</f>
      </c>
      <c r="AB1849" s="5">
        <v>6</v>
      </c>
      <c r="AC1849" s="2" t="s">
        <v>494</v>
      </c>
      <c r="AD1849" s="4">
        <v>40</v>
      </c>
      <c r="AE1849" s="4">
        <v>165</v>
      </c>
      <c r="AF1849" s="6">
        <v>63</v>
      </c>
      <c r="AG1849" s="6"/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90</v>
      </c>
      <c r="BK1849" s="8">
        <v>1817.9</v>
      </c>
      <c r="BL1849" s="2" t="s">
        <v>6096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5993</v>
      </c>
      <c r="BV1849" s="2" t="s">
        <v>97</v>
      </c>
      <c r="BW1849" s="2" t="s">
        <v>100</v>
      </c>
      <c r="BX1849" s="2" t="s">
        <v>100</v>
      </c>
      <c r="BY1849" s="2" t="s">
        <v>112</v>
      </c>
      <c r="BZ1849" s="2" t="s">
        <v>100</v>
      </c>
    </row>
    <row r="1850">
      <c r="A1850" s="2" t="s">
        <v>6097</v>
      </c>
      <c r="B1850" s="2" t="s">
        <v>6098</v>
      </c>
      <c r="C1850" s="2" t="s">
        <v>88</v>
      </c>
      <c r="D1850" s="2" t="s">
        <v>6099</v>
      </c>
      <c r="E1850" s="2" t="s">
        <v>6100</v>
      </c>
      <c r="F1850" s="2" t="s">
        <v>6101</v>
      </c>
      <c r="G1850" s="2" t="s">
        <v>6101</v>
      </c>
      <c r="H1850" s="2" t="s">
        <v>6101</v>
      </c>
      <c r="I1850" s="2" t="s">
        <v>6102</v>
      </c>
      <c r="J1850" s="2" t="s">
        <v>6103</v>
      </c>
      <c r="K1850" s="2" t="s">
        <v>333</v>
      </c>
      <c r="L1850" s="3">
        <v>67.34</v>
      </c>
      <c r="M1850" s="3">
        <v>70.71</v>
      </c>
      <c r="N1850" s="3">
        <v>124.94</v>
      </c>
      <c r="O1850" s="2" t="s">
        <v>97</v>
      </c>
      <c r="P1850" s="2" t="s">
        <v>182</v>
      </c>
      <c r="Q1850" s="2" t="s">
        <v>99</v>
      </c>
      <c r="R1850" s="2" t="s">
        <v>100</v>
      </c>
      <c r="S1850" s="2" t="s">
        <v>100</v>
      </c>
      <c r="T1850" s="2" t="s">
        <v>100</v>
      </c>
      <c r="U1850" s="2" t="s">
        <v>1610</v>
      </c>
      <c r="V1850" s="2" t="s">
        <v>1122</v>
      </c>
      <c r="W1850" s="2" t="s">
        <v>1190</v>
      </c>
      <c r="X1850" s="2" t="s">
        <v>602</v>
      </c>
      <c r="Y1850" s="2" t="s">
        <v>6104</v>
      </c>
      <c r="Z1850" s="4">
        <v>103</v>
      </c>
      <c r="AA1850" s="4">
        <f>=ROUNDDOWN(20.6,0)</f>
      </c>
      <c r="AB1850" s="5">
        <v>5</v>
      </c>
      <c r="AC1850" s="2" t="s">
        <v>100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>
        <v>0</v>
      </c>
      <c r="AP1850" s="4">
        <v>9</v>
      </c>
      <c r="AQ1850" s="8">
        <v>636.3</v>
      </c>
      <c r="AR1850" s="4">
        <v>19</v>
      </c>
      <c r="AS1850" s="8">
        <v>1445.48</v>
      </c>
      <c r="AT1850" s="7">
        <v>-0.5263</v>
      </c>
      <c r="AU1850" s="7">
        <v>-0.5598</v>
      </c>
      <c r="AV1850" s="4">
        <v>9</v>
      </c>
      <c r="AW1850" s="8">
        <v>636.3</v>
      </c>
      <c r="AX1850" s="4">
        <v>19</v>
      </c>
      <c r="AY1850" s="8">
        <v>1445.48</v>
      </c>
      <c r="AZ1850" s="7">
        <v>-0.5263</v>
      </c>
      <c r="BA1850" s="7">
        <v>-0.5598</v>
      </c>
      <c r="BB1850" s="7">
        <v>1</v>
      </c>
      <c r="BC1850" s="4">
        <v>18</v>
      </c>
      <c r="BD1850" s="8">
        <v>1237.32</v>
      </c>
      <c r="BE1850" s="4">
        <v>52</v>
      </c>
      <c r="BF1850" s="8">
        <v>3931.94</v>
      </c>
      <c r="BG1850" s="7">
        <v>-0.6538</v>
      </c>
      <c r="BH1850" s="7">
        <v>-0.6853</v>
      </c>
      <c r="BI1850" s="7">
        <v>0.5143</v>
      </c>
      <c r="BJ1850" s="4">
        <v>106</v>
      </c>
      <c r="BK1850" s="8">
        <v>8401.27</v>
      </c>
      <c r="BL1850" s="2" t="s">
        <v>6105</v>
      </c>
      <c r="BM1850" s="7">
        <v>0.0849</v>
      </c>
      <c r="BN1850" s="7">
        <v>0.0757</v>
      </c>
      <c r="BO1850" s="4">
        <v>9</v>
      </c>
      <c r="BP1850" s="8">
        <v>636.3</v>
      </c>
      <c r="BQ1850" s="4">
        <v>19</v>
      </c>
      <c r="BR1850" s="8">
        <v>1445.48</v>
      </c>
      <c r="BS1850" s="7">
        <v>-0.5263</v>
      </c>
      <c r="BT1850" s="7">
        <v>-0.5598</v>
      </c>
      <c r="BU1850" s="2" t="s">
        <v>109</v>
      </c>
      <c r="BV1850" s="2" t="s">
        <v>97</v>
      </c>
      <c r="BW1850" s="2" t="s">
        <v>6050</v>
      </c>
      <c r="BX1850" s="2" t="s">
        <v>5003</v>
      </c>
      <c r="BY1850" s="2" t="s">
        <v>112</v>
      </c>
      <c r="BZ1850" s="2" t="s">
        <v>100</v>
      </c>
    </row>
    <row r="1851">
      <c r="A1851" s="2" t="s">
        <v>6106</v>
      </c>
      <c r="B1851" s="2" t="s">
        <v>6098</v>
      </c>
      <c r="C1851" s="2" t="s">
        <v>88</v>
      </c>
      <c r="D1851" s="2" t="s">
        <v>6099</v>
      </c>
      <c r="E1851" s="2" t="s">
        <v>6100</v>
      </c>
      <c r="F1851" s="2" t="s">
        <v>6101</v>
      </c>
      <c r="G1851" s="2" t="s">
        <v>6101</v>
      </c>
      <c r="H1851" s="2" t="s">
        <v>6101</v>
      </c>
      <c r="I1851" s="2" t="s">
        <v>6102</v>
      </c>
      <c r="J1851" s="2" t="s">
        <v>6103</v>
      </c>
      <c r="K1851" s="2" t="s">
        <v>158</v>
      </c>
      <c r="L1851" s="3">
        <v>63.6</v>
      </c>
      <c r="M1851" s="3">
        <v>66.78</v>
      </c>
      <c r="N1851" s="3">
        <v>124.94</v>
      </c>
      <c r="O1851" s="2" t="s">
        <v>97</v>
      </c>
      <c r="P1851" s="2" t="s">
        <v>182</v>
      </c>
      <c r="Q1851" s="2" t="s">
        <v>99</v>
      </c>
      <c r="R1851" s="2" t="s">
        <v>100</v>
      </c>
      <c r="S1851" s="2" t="s">
        <v>6107</v>
      </c>
      <c r="T1851" s="2" t="s">
        <v>100</v>
      </c>
      <c r="U1851" s="2" t="s">
        <v>1610</v>
      </c>
      <c r="V1851" s="2" t="s">
        <v>1122</v>
      </c>
      <c r="W1851" s="2" t="s">
        <v>1190</v>
      </c>
      <c r="X1851" s="2" t="s">
        <v>100</v>
      </c>
      <c r="Y1851" s="2" t="s">
        <v>6108</v>
      </c>
      <c r="Z1851" s="4">
        <v>136</v>
      </c>
      <c r="AA1851" s="4">
        <f>=ROUNDDOWN(34,0)</f>
      </c>
      <c r="AB1851" s="5">
        <v>4</v>
      </c>
      <c r="AC1851" s="2" t="s">
        <v>100</v>
      </c>
      <c r="AD1851" s="4"/>
      <c r="AE1851" s="4"/>
      <c r="AF1851" s="6">
        <v>63</v>
      </c>
      <c r="AG1851" s="6"/>
      <c r="AH1851" s="7">
        <v>0.9818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>
        <v>0</v>
      </c>
      <c r="AP1851" s="4">
        <v>9</v>
      </c>
      <c r="AQ1851" s="8">
        <v>601.02</v>
      </c>
      <c r="AR1851" s="4">
        <v>33</v>
      </c>
      <c r="AS1851" s="8">
        <v>2486.46</v>
      </c>
      <c r="AT1851" s="7">
        <v>-0.7273</v>
      </c>
      <c r="AU1851" s="7">
        <v>-0.7583</v>
      </c>
      <c r="AV1851" s="4">
        <v>9</v>
      </c>
      <c r="AW1851" s="8">
        <v>601.02</v>
      </c>
      <c r="AX1851" s="4">
        <v>33</v>
      </c>
      <c r="AY1851" s="8">
        <v>2486.46</v>
      </c>
      <c r="AZ1851" s="7">
        <v>-0.7273</v>
      </c>
      <c r="BA1851" s="7">
        <v>-0.7583</v>
      </c>
      <c r="BB1851" s="7">
        <v>1</v>
      </c>
      <c r="BC1851" s="4" t="s">
        <v>100</v>
      </c>
      <c r="BD1851" s="8" t="s">
        <v>100</v>
      </c>
      <c r="BE1851" s="4" t="s">
        <v>100</v>
      </c>
      <c r="BF1851" s="8" t="s">
        <v>100</v>
      </c>
      <c r="BG1851" s="7" t="s">
        <v>100</v>
      </c>
      <c r="BH1851" s="7" t="s">
        <v>100</v>
      </c>
      <c r="BI1851" s="7">
        <v>0.4857</v>
      </c>
      <c r="BJ1851" s="4">
        <v>64</v>
      </c>
      <c r="BK1851" s="8">
        <v>4818.57</v>
      </c>
      <c r="BL1851" s="2" t="s">
        <v>6109</v>
      </c>
      <c r="BM1851" s="7">
        <v>0.1406</v>
      </c>
      <c r="BN1851" s="7">
        <v>0.1247</v>
      </c>
      <c r="BO1851" s="4">
        <v>9</v>
      </c>
      <c r="BP1851" s="8">
        <v>601.02</v>
      </c>
      <c r="BQ1851" s="4">
        <v>33</v>
      </c>
      <c r="BR1851" s="8">
        <v>2486.46</v>
      </c>
      <c r="BS1851" s="7">
        <v>-0.7273</v>
      </c>
      <c r="BT1851" s="7">
        <v>-0.7583</v>
      </c>
      <c r="BU1851" s="2" t="s">
        <v>109</v>
      </c>
      <c r="BV1851" s="2" t="s">
        <v>97</v>
      </c>
      <c r="BW1851" s="2" t="s">
        <v>6110</v>
      </c>
      <c r="BX1851" s="2" t="s">
        <v>2728</v>
      </c>
      <c r="BY1851" s="2" t="s">
        <v>112</v>
      </c>
      <c r="BZ1851" s="2" t="s">
        <v>100</v>
      </c>
    </row>
    <row r="1852">
      <c r="A1852" s="2" t="s">
        <v>6111</v>
      </c>
      <c r="B1852" s="2" t="s">
        <v>6098</v>
      </c>
      <c r="C1852" s="2" t="s">
        <v>88</v>
      </c>
      <c r="D1852" s="2" t="s">
        <v>6099</v>
      </c>
      <c r="E1852" s="2" t="s">
        <v>6100</v>
      </c>
      <c r="F1852" s="2" t="s">
        <v>6101</v>
      </c>
      <c r="G1852" s="2" t="s">
        <v>6101</v>
      </c>
      <c r="H1852" s="2" t="s">
        <v>6101</v>
      </c>
      <c r="I1852" s="2" t="s">
        <v>6102</v>
      </c>
      <c r="J1852" s="2" t="s">
        <v>6103</v>
      </c>
      <c r="K1852" s="2" t="s">
        <v>622</v>
      </c>
      <c r="L1852" s="3">
        <v>63.6</v>
      </c>
      <c r="M1852" s="3">
        <v>66.78</v>
      </c>
      <c r="N1852" s="3">
        <v>124.94</v>
      </c>
      <c r="O1852" s="2" t="s">
        <v>97</v>
      </c>
      <c r="P1852" s="2" t="s">
        <v>143</v>
      </c>
      <c r="Q1852" s="2" t="s">
        <v>99</v>
      </c>
      <c r="R1852" s="2" t="s">
        <v>100</v>
      </c>
      <c r="S1852" s="2" t="s">
        <v>6112</v>
      </c>
      <c r="T1852" s="2" t="s">
        <v>100</v>
      </c>
      <c r="U1852" s="2" t="s">
        <v>1610</v>
      </c>
      <c r="V1852" s="2" t="s">
        <v>1122</v>
      </c>
      <c r="W1852" s="2" t="s">
        <v>1190</v>
      </c>
      <c r="X1852" s="2" t="s">
        <v>100</v>
      </c>
      <c r="Y1852" s="2" t="s">
        <v>6113</v>
      </c>
      <c r="Z1852" s="4">
        <v>523</v>
      </c>
      <c r="AA1852" s="4">
        <f>=ROUNDDOWN(52.3,0)</f>
      </c>
      <c r="AB1852" s="5">
        <v>10</v>
      </c>
      <c r="AC1852" s="2" t="s">
        <v>100</v>
      </c>
      <c r="AD1852" s="4"/>
      <c r="AE1852" s="4"/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 t="s">
        <v>100</v>
      </c>
      <c r="BD1852" s="8" t="s">
        <v>100</v>
      </c>
      <c r="BE1852" s="4" t="s">
        <v>100</v>
      </c>
      <c r="BF1852" s="8" t="s">
        <v>100</v>
      </c>
      <c r="BG1852" s="7" t="s">
        <v>100</v>
      </c>
      <c r="BH1852" s="7" t="s">
        <v>100</v>
      </c>
      <c r="BI1852" s="7"/>
      <c r="BJ1852" s="4">
        <v>249</v>
      </c>
      <c r="BK1852" s="8">
        <v>19327.59</v>
      </c>
      <c r="BL1852" s="2" t="s">
        <v>6114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6110</v>
      </c>
      <c r="BX1852" s="2" t="s">
        <v>100</v>
      </c>
      <c r="BY1852" s="2" t="s">
        <v>112</v>
      </c>
      <c r="BZ1852" s="2" t="s">
        <v>100</v>
      </c>
    </row>
    <row r="1853">
      <c r="A1853" s="2" t="s">
        <v>6115</v>
      </c>
      <c r="B1853" s="2" t="s">
        <v>6098</v>
      </c>
      <c r="C1853" s="2" t="s">
        <v>88</v>
      </c>
      <c r="D1853" s="2" t="s">
        <v>6099</v>
      </c>
      <c r="E1853" s="2" t="s">
        <v>6100</v>
      </c>
      <c r="F1853" s="2" t="s">
        <v>6116</v>
      </c>
      <c r="G1853" s="2" t="s">
        <v>6116</v>
      </c>
      <c r="H1853" s="2" t="s">
        <v>6116</v>
      </c>
      <c r="I1853" s="2" t="s">
        <v>6117</v>
      </c>
      <c r="J1853" s="2" t="s">
        <v>6103</v>
      </c>
      <c r="K1853" s="2" t="s">
        <v>3934</v>
      </c>
      <c r="L1853" s="3">
        <v>64.52</v>
      </c>
      <c r="M1853" s="3">
        <v>67.75</v>
      </c>
      <c r="N1853" s="3">
        <v>124.94</v>
      </c>
      <c r="O1853" s="2" t="s">
        <v>97</v>
      </c>
      <c r="P1853" s="2" t="s">
        <v>182</v>
      </c>
      <c r="Q1853" s="2" t="s">
        <v>99</v>
      </c>
      <c r="R1853" s="2" t="s">
        <v>100</v>
      </c>
      <c r="S1853" s="2" t="s">
        <v>6118</v>
      </c>
      <c r="T1853" s="2" t="s">
        <v>100</v>
      </c>
      <c r="U1853" s="2" t="s">
        <v>1610</v>
      </c>
      <c r="V1853" s="2" t="s">
        <v>1122</v>
      </c>
      <c r="W1853" s="2" t="s">
        <v>1190</v>
      </c>
      <c r="X1853" s="2" t="s">
        <v>1753</v>
      </c>
      <c r="Y1853" s="2" t="s">
        <v>1132</v>
      </c>
      <c r="Z1853" s="4">
        <v>139</v>
      </c>
      <c r="AA1853" s="4">
        <f>=ROUNDDOWN(27.8,0)</f>
      </c>
      <c r="AB1853" s="5">
        <v>5</v>
      </c>
      <c r="AC1853" s="2" t="s">
        <v>100</v>
      </c>
      <c r="AD1853" s="4"/>
      <c r="AE1853" s="4"/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>
        <v>0</v>
      </c>
      <c r="AP1853" s="4">
        <v>16</v>
      </c>
      <c r="AQ1853" s="8">
        <v>1083.84</v>
      </c>
      <c r="AR1853" s="4">
        <v>20</v>
      </c>
      <c r="AS1853" s="8">
        <v>1522.24</v>
      </c>
      <c r="AT1853" s="7">
        <v>-0.2</v>
      </c>
      <c r="AU1853" s="7">
        <v>-0.288</v>
      </c>
      <c r="AV1853" s="4">
        <v>16</v>
      </c>
      <c r="AW1853" s="8">
        <v>1083.84</v>
      </c>
      <c r="AX1853" s="4">
        <v>20</v>
      </c>
      <c r="AY1853" s="8">
        <v>1522.24</v>
      </c>
      <c r="AZ1853" s="7">
        <v>-0.2</v>
      </c>
      <c r="BA1853" s="7">
        <v>-0.288</v>
      </c>
      <c r="BB1853" s="7">
        <v>1</v>
      </c>
      <c r="BC1853" s="4">
        <v>16</v>
      </c>
      <c r="BD1853" s="8">
        <v>1083.84</v>
      </c>
      <c r="BE1853" s="4">
        <v>20</v>
      </c>
      <c r="BF1853" s="8">
        <v>1522.24</v>
      </c>
      <c r="BG1853" s="7">
        <v>-0.2</v>
      </c>
      <c r="BH1853" s="7">
        <v>-0.288</v>
      </c>
      <c r="BI1853" s="7">
        <v>1</v>
      </c>
      <c r="BJ1853" s="4">
        <v>122</v>
      </c>
      <c r="BK1853" s="8">
        <v>8915.32</v>
      </c>
      <c r="BL1853" s="2" t="s">
        <v>6119</v>
      </c>
      <c r="BM1853" s="7">
        <v>0.1311</v>
      </c>
      <c r="BN1853" s="7">
        <v>0.1216</v>
      </c>
      <c r="BO1853" s="4">
        <v>16</v>
      </c>
      <c r="BP1853" s="8">
        <v>1083.84</v>
      </c>
      <c r="BQ1853" s="4">
        <v>20</v>
      </c>
      <c r="BR1853" s="8">
        <v>1522.24</v>
      </c>
      <c r="BS1853" s="7">
        <v>-0.2</v>
      </c>
      <c r="BT1853" s="7">
        <v>-0.288</v>
      </c>
      <c r="BU1853" s="2" t="s">
        <v>109</v>
      </c>
      <c r="BV1853" s="2" t="s">
        <v>97</v>
      </c>
      <c r="BW1853" s="2" t="s">
        <v>2917</v>
      </c>
      <c r="BX1853" s="2" t="s">
        <v>4328</v>
      </c>
      <c r="BY1853" s="2" t="s">
        <v>112</v>
      </c>
      <c r="BZ1853" s="2" t="s">
        <v>100</v>
      </c>
    </row>
    <row r="1854">
      <c r="A1854" s="2" t="s">
        <v>6120</v>
      </c>
      <c r="B1854" s="2" t="s">
        <v>6098</v>
      </c>
      <c r="C1854" s="2" t="s">
        <v>88</v>
      </c>
      <c r="D1854" s="2" t="s">
        <v>6099</v>
      </c>
      <c r="E1854" s="2" t="s">
        <v>6100</v>
      </c>
      <c r="F1854" s="2" t="s">
        <v>6121</v>
      </c>
      <c r="G1854" s="2" t="s">
        <v>6121</v>
      </c>
      <c r="H1854" s="2" t="s">
        <v>6121</v>
      </c>
      <c r="I1854" s="2" t="s">
        <v>6122</v>
      </c>
      <c r="J1854" s="2" t="s">
        <v>6123</v>
      </c>
      <c r="K1854" s="2" t="s">
        <v>2066</v>
      </c>
      <c r="L1854" s="3">
        <v>54.23</v>
      </c>
      <c r="M1854" s="3">
        <v>56.94</v>
      </c>
      <c r="N1854" s="3">
        <v>118.99</v>
      </c>
      <c r="O1854" s="2" t="s">
        <v>97</v>
      </c>
      <c r="P1854" s="2" t="s">
        <v>143</v>
      </c>
      <c r="Q1854" s="2" t="s">
        <v>99</v>
      </c>
      <c r="R1854" s="2" t="s">
        <v>100</v>
      </c>
      <c r="S1854" s="2" t="s">
        <v>6124</v>
      </c>
      <c r="T1854" s="2" t="s">
        <v>100</v>
      </c>
      <c r="U1854" s="2" t="s">
        <v>2104</v>
      </c>
      <c r="V1854" s="2" t="s">
        <v>1122</v>
      </c>
      <c r="W1854" s="2" t="s">
        <v>1190</v>
      </c>
      <c r="X1854" s="2" t="s">
        <v>6125</v>
      </c>
      <c r="Y1854" s="2" t="s">
        <v>1132</v>
      </c>
      <c r="Z1854" s="4">
        <v>247</v>
      </c>
      <c r="AA1854" s="4">
        <f>=ROUNDDOWN(24.7,0)</f>
      </c>
      <c r="AB1854" s="5">
        <v>10</v>
      </c>
      <c r="AC1854" s="2" t="s">
        <v>100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>
        <v>0</v>
      </c>
      <c r="AP1854" s="4">
        <v>9</v>
      </c>
      <c r="AQ1854" s="8">
        <v>512.46</v>
      </c>
      <c r="AR1854" s="4">
        <v>27</v>
      </c>
      <c r="AS1854" s="8">
        <v>1637.88</v>
      </c>
      <c r="AT1854" s="7">
        <v>-0.6667</v>
      </c>
      <c r="AU1854" s="7">
        <v>-0.6871</v>
      </c>
      <c r="AV1854" s="4">
        <v>9</v>
      </c>
      <c r="AW1854" s="8">
        <v>512.46</v>
      </c>
      <c r="AX1854" s="4">
        <v>27</v>
      </c>
      <c r="AY1854" s="8">
        <v>1637.88</v>
      </c>
      <c r="AZ1854" s="7">
        <v>-0.6667</v>
      </c>
      <c r="BA1854" s="7">
        <v>-0.6871</v>
      </c>
      <c r="BB1854" s="7">
        <v>1</v>
      </c>
      <c r="BC1854" s="4">
        <v>16</v>
      </c>
      <c r="BD1854" s="8">
        <v>911.04</v>
      </c>
      <c r="BE1854" s="4">
        <v>52</v>
      </c>
      <c r="BF1854" s="8">
        <v>3192.03</v>
      </c>
      <c r="BG1854" s="7">
        <v>-0.6923</v>
      </c>
      <c r="BH1854" s="7">
        <v>-0.7146</v>
      </c>
      <c r="BI1854" s="7">
        <v>0.5625</v>
      </c>
      <c r="BJ1854" s="4">
        <v>230</v>
      </c>
      <c r="BK1854" s="8">
        <v>13593.28</v>
      </c>
      <c r="BL1854" s="2" t="s">
        <v>6126</v>
      </c>
      <c r="BM1854" s="7">
        <v>0.0391</v>
      </c>
      <c r="BN1854" s="7">
        <v>0.0377</v>
      </c>
      <c r="BO1854" s="4">
        <v>9</v>
      </c>
      <c r="BP1854" s="8">
        <v>512.46</v>
      </c>
      <c r="BQ1854" s="4">
        <v>27</v>
      </c>
      <c r="BR1854" s="8">
        <v>1637.88</v>
      </c>
      <c r="BS1854" s="7">
        <v>-0.6667</v>
      </c>
      <c r="BT1854" s="7">
        <v>-0.6871</v>
      </c>
      <c r="BU1854" s="2" t="s">
        <v>109</v>
      </c>
      <c r="BV1854" s="2" t="s">
        <v>97</v>
      </c>
      <c r="BW1854" s="2" t="s">
        <v>6110</v>
      </c>
      <c r="BX1854" s="2" t="s">
        <v>2968</v>
      </c>
      <c r="BY1854" s="2" t="s">
        <v>112</v>
      </c>
      <c r="BZ1854" s="2" t="s">
        <v>100</v>
      </c>
    </row>
    <row r="1855">
      <c r="A1855" s="2" t="s">
        <v>6127</v>
      </c>
      <c r="B1855" s="2" t="s">
        <v>6098</v>
      </c>
      <c r="C1855" s="2" t="s">
        <v>88</v>
      </c>
      <c r="D1855" s="2" t="s">
        <v>6099</v>
      </c>
      <c r="E1855" s="2" t="s">
        <v>6100</v>
      </c>
      <c r="F1855" s="2" t="s">
        <v>6121</v>
      </c>
      <c r="G1855" s="2" t="s">
        <v>6121</v>
      </c>
      <c r="H1855" s="2" t="s">
        <v>6121</v>
      </c>
      <c r="I1855" s="2" t="s">
        <v>6122</v>
      </c>
      <c r="J1855" s="2" t="s">
        <v>6123</v>
      </c>
      <c r="K1855" s="2" t="s">
        <v>1660</v>
      </c>
      <c r="L1855" s="3">
        <v>54.23</v>
      </c>
      <c r="M1855" s="3">
        <v>56.94</v>
      </c>
      <c r="N1855" s="3">
        <v>118.99</v>
      </c>
      <c r="O1855" s="2" t="s">
        <v>97</v>
      </c>
      <c r="P1855" s="2" t="s">
        <v>143</v>
      </c>
      <c r="Q1855" s="2" t="s">
        <v>99</v>
      </c>
      <c r="R1855" s="2" t="s">
        <v>100</v>
      </c>
      <c r="S1855" s="2" t="s">
        <v>6128</v>
      </c>
      <c r="T1855" s="2" t="s">
        <v>100</v>
      </c>
      <c r="U1855" s="2" t="s">
        <v>2104</v>
      </c>
      <c r="V1855" s="2" t="s">
        <v>1122</v>
      </c>
      <c r="W1855" s="2" t="s">
        <v>1190</v>
      </c>
      <c r="X1855" s="2" t="s">
        <v>602</v>
      </c>
      <c r="Y1855" s="2" t="s">
        <v>6104</v>
      </c>
      <c r="Z1855" s="4">
        <v>209</v>
      </c>
      <c r="AA1855" s="4">
        <f>=ROUNDDOWN(17.4166666666667,0)</f>
      </c>
      <c r="AB1855" s="5">
        <v>12</v>
      </c>
      <c r="AC1855" s="2" t="s">
        <v>563</v>
      </c>
      <c r="AD1855" s="4">
        <v>150</v>
      </c>
      <c r="AE1855" s="4">
        <v>150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>
        <v>0</v>
      </c>
      <c r="AP1855" s="4">
        <v>7</v>
      </c>
      <c r="AQ1855" s="8">
        <v>398.58</v>
      </c>
      <c r="AR1855" s="4">
        <v>25</v>
      </c>
      <c r="AS1855" s="8">
        <v>1554.15</v>
      </c>
      <c r="AT1855" s="7">
        <v>-0.72</v>
      </c>
      <c r="AU1855" s="7">
        <v>-0.7435</v>
      </c>
      <c r="AV1855" s="4">
        <v>7</v>
      </c>
      <c r="AW1855" s="8">
        <v>398.58</v>
      </c>
      <c r="AX1855" s="4">
        <v>25</v>
      </c>
      <c r="AY1855" s="8">
        <v>1554.15</v>
      </c>
      <c r="AZ1855" s="7">
        <v>-0.72</v>
      </c>
      <c r="BA1855" s="7">
        <v>-0.7435</v>
      </c>
      <c r="BB1855" s="7">
        <v>1</v>
      </c>
      <c r="BC1855" s="4" t="s">
        <v>100</v>
      </c>
      <c r="BD1855" s="8" t="s">
        <v>100</v>
      </c>
      <c r="BE1855" s="4" t="s">
        <v>100</v>
      </c>
      <c r="BF1855" s="8" t="s">
        <v>100</v>
      </c>
      <c r="BG1855" s="7" t="s">
        <v>100</v>
      </c>
      <c r="BH1855" s="7" t="s">
        <v>100</v>
      </c>
      <c r="BI1855" s="7">
        <v>0.4375</v>
      </c>
      <c r="BJ1855" s="4">
        <v>252</v>
      </c>
      <c r="BK1855" s="8">
        <v>16241.01</v>
      </c>
      <c r="BL1855" s="2" t="s">
        <v>6129</v>
      </c>
      <c r="BM1855" s="7">
        <v>0.0278</v>
      </c>
      <c r="BN1855" s="7">
        <v>0.0245</v>
      </c>
      <c r="BO1855" s="4">
        <v>7</v>
      </c>
      <c r="BP1855" s="8">
        <v>398.58</v>
      </c>
      <c r="BQ1855" s="4">
        <v>25</v>
      </c>
      <c r="BR1855" s="8">
        <v>1554.15</v>
      </c>
      <c r="BS1855" s="7">
        <v>-0.72</v>
      </c>
      <c r="BT1855" s="7">
        <v>-0.7435</v>
      </c>
      <c r="BU1855" s="2" t="s">
        <v>109</v>
      </c>
      <c r="BV1855" s="2" t="s">
        <v>97</v>
      </c>
      <c r="BW1855" s="2" t="s">
        <v>2917</v>
      </c>
      <c r="BX1855" s="2" t="s">
        <v>6130</v>
      </c>
      <c r="BY1855" s="2" t="s">
        <v>112</v>
      </c>
      <c r="BZ1855" s="2" t="s">
        <v>100</v>
      </c>
    </row>
    <row r="1856">
      <c r="A1856" s="2" t="s">
        <v>6131</v>
      </c>
      <c r="B1856" s="2" t="s">
        <v>6098</v>
      </c>
      <c r="C1856" s="2" t="s">
        <v>88</v>
      </c>
      <c r="D1856" s="2" t="s">
        <v>6099</v>
      </c>
      <c r="E1856" s="2" t="s">
        <v>6100</v>
      </c>
      <c r="F1856" s="2" t="s">
        <v>6132</v>
      </c>
      <c r="G1856" s="2" t="s">
        <v>6132</v>
      </c>
      <c r="H1856" s="2" t="s">
        <v>6132</v>
      </c>
      <c r="I1856" s="2" t="s">
        <v>6133</v>
      </c>
      <c r="J1856" s="2" t="s">
        <v>6103</v>
      </c>
      <c r="K1856" s="2" t="s">
        <v>158</v>
      </c>
      <c r="L1856" s="3">
        <v>58.22</v>
      </c>
      <c r="M1856" s="3">
        <v>61.13</v>
      </c>
      <c r="N1856" s="3">
        <v>118.99</v>
      </c>
      <c r="O1856" s="2" t="s">
        <v>97</v>
      </c>
      <c r="P1856" s="2" t="s">
        <v>1265</v>
      </c>
      <c r="Q1856" s="2" t="s">
        <v>99</v>
      </c>
      <c r="R1856" s="2" t="s">
        <v>100</v>
      </c>
      <c r="S1856" s="2" t="s">
        <v>6134</v>
      </c>
      <c r="T1856" s="2" t="s">
        <v>100</v>
      </c>
      <c r="U1856" s="2" t="s">
        <v>790</v>
      </c>
      <c r="V1856" s="2" t="s">
        <v>1122</v>
      </c>
      <c r="W1856" s="2" t="s">
        <v>602</v>
      </c>
      <c r="X1856" s="2" t="s">
        <v>100</v>
      </c>
      <c r="Y1856" s="2" t="s">
        <v>6135</v>
      </c>
      <c r="Z1856" s="4">
        <v>29</v>
      </c>
      <c r="AA1856" s="4">
        <f>=ROUNDDOWN(17.0588235294118,0)</f>
      </c>
      <c r="AB1856" s="5">
        <v>1.7</v>
      </c>
      <c r="AC1856" s="2" t="s">
        <v>100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>
        <v>0</v>
      </c>
      <c r="AP1856" s="4">
        <v>13</v>
      </c>
      <c r="AQ1856" s="8">
        <v>794.69</v>
      </c>
      <c r="AR1856" s="4">
        <v>49</v>
      </c>
      <c r="AS1856" s="8">
        <v>3415.79</v>
      </c>
      <c r="AT1856" s="7">
        <v>-0.7347</v>
      </c>
      <c r="AU1856" s="7">
        <v>-0.7673</v>
      </c>
      <c r="AV1856" s="4">
        <v>13</v>
      </c>
      <c r="AW1856" s="8">
        <v>794.69</v>
      </c>
      <c r="AX1856" s="4">
        <v>49</v>
      </c>
      <c r="AY1856" s="8">
        <v>3415.79</v>
      </c>
      <c r="AZ1856" s="7">
        <v>-0.7347</v>
      </c>
      <c r="BA1856" s="7">
        <v>-0.7673</v>
      </c>
      <c r="BB1856" s="7">
        <v>1</v>
      </c>
      <c r="BC1856" s="4">
        <v>13</v>
      </c>
      <c r="BD1856" s="8">
        <v>794.69</v>
      </c>
      <c r="BE1856" s="4">
        <v>49</v>
      </c>
      <c r="BF1856" s="8">
        <v>3415.79</v>
      </c>
      <c r="BG1856" s="7">
        <v>-0.7347</v>
      </c>
      <c r="BH1856" s="7">
        <v>-0.7673</v>
      </c>
      <c r="BI1856" s="7">
        <v>1</v>
      </c>
      <c r="BJ1856" s="4">
        <v>41</v>
      </c>
      <c r="BK1856" s="8">
        <v>2745.63</v>
      </c>
      <c r="BL1856" s="2" t="s">
        <v>6136</v>
      </c>
      <c r="BM1856" s="7">
        <v>0.3171</v>
      </c>
      <c r="BN1856" s="7">
        <v>0.2894</v>
      </c>
      <c r="BO1856" s="4">
        <v>13</v>
      </c>
      <c r="BP1856" s="8">
        <v>794.69</v>
      </c>
      <c r="BQ1856" s="4">
        <v>49</v>
      </c>
      <c r="BR1856" s="8">
        <v>3415.79</v>
      </c>
      <c r="BS1856" s="7">
        <v>-0.7347</v>
      </c>
      <c r="BT1856" s="7">
        <v>-0.7673</v>
      </c>
      <c r="BU1856" s="2" t="s">
        <v>109</v>
      </c>
      <c r="BV1856" s="2" t="s">
        <v>97</v>
      </c>
      <c r="BW1856" s="2" t="s">
        <v>6110</v>
      </c>
      <c r="BX1856" s="2" t="s">
        <v>4459</v>
      </c>
      <c r="BY1856" s="2" t="s">
        <v>112</v>
      </c>
      <c r="BZ1856" s="2" t="s">
        <v>100</v>
      </c>
    </row>
    <row r="1857">
      <c r="A1857" s="2" t="s">
        <v>6137</v>
      </c>
      <c r="B1857" s="2" t="s">
        <v>6098</v>
      </c>
      <c r="C1857" s="2" t="s">
        <v>88</v>
      </c>
      <c r="D1857" s="2" t="s">
        <v>6099</v>
      </c>
      <c r="E1857" s="2" t="s">
        <v>6100</v>
      </c>
      <c r="F1857" s="2" t="s">
        <v>6138</v>
      </c>
      <c r="G1857" s="2" t="s">
        <v>6138</v>
      </c>
      <c r="H1857" s="2" t="s">
        <v>6138</v>
      </c>
      <c r="I1857" s="2" t="s">
        <v>6139</v>
      </c>
      <c r="J1857" s="2" t="s">
        <v>6103</v>
      </c>
      <c r="K1857" s="2" t="s">
        <v>2066</v>
      </c>
      <c r="L1857" s="3">
        <v>45.41</v>
      </c>
      <c r="M1857" s="3">
        <v>47.68</v>
      </c>
      <c r="N1857" s="3">
        <v>93.49</v>
      </c>
      <c r="O1857" s="2" t="s">
        <v>97</v>
      </c>
      <c r="P1857" s="2" t="s">
        <v>198</v>
      </c>
      <c r="Q1857" s="2" t="s">
        <v>99</v>
      </c>
      <c r="R1857" s="2" t="s">
        <v>100</v>
      </c>
      <c r="S1857" s="2" t="s">
        <v>6140</v>
      </c>
      <c r="T1857" s="2" t="s">
        <v>100</v>
      </c>
      <c r="U1857" s="2" t="s">
        <v>1610</v>
      </c>
      <c r="V1857" s="2" t="s">
        <v>455</v>
      </c>
      <c r="W1857" s="2" t="s">
        <v>104</v>
      </c>
      <c r="X1857" s="2" t="s">
        <v>100</v>
      </c>
      <c r="Y1857" s="2" t="s">
        <v>6141</v>
      </c>
      <c r="Z1857" s="4">
        <v>81</v>
      </c>
      <c r="AA1857" s="4">
        <f>=ROUNDDOWN(27,0)</f>
      </c>
      <c r="AB1857" s="5">
        <v>3</v>
      </c>
      <c r="AC1857" s="2" t="s">
        <v>100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>
        <v>0</v>
      </c>
      <c r="AP1857" s="4">
        <v>16</v>
      </c>
      <c r="AQ1857" s="8">
        <v>762.88</v>
      </c>
      <c r="AR1857" s="4">
        <v>9</v>
      </c>
      <c r="AS1857" s="8">
        <v>487.99</v>
      </c>
      <c r="AT1857" s="7">
        <v>0.7778</v>
      </c>
      <c r="AU1857" s="7">
        <v>0.5633</v>
      </c>
      <c r="AV1857" s="4">
        <v>16</v>
      </c>
      <c r="AW1857" s="8">
        <v>762.88</v>
      </c>
      <c r="AX1857" s="4">
        <v>9</v>
      </c>
      <c r="AY1857" s="8">
        <v>487.99</v>
      </c>
      <c r="AZ1857" s="7">
        <v>0.7778</v>
      </c>
      <c r="BA1857" s="7">
        <v>0.5633</v>
      </c>
      <c r="BB1857" s="7">
        <v>1</v>
      </c>
      <c r="BC1857" s="4">
        <v>16</v>
      </c>
      <c r="BD1857" s="8">
        <v>762.88</v>
      </c>
      <c r="BE1857" s="4">
        <v>9</v>
      </c>
      <c r="BF1857" s="8">
        <v>487.99</v>
      </c>
      <c r="BG1857" s="7">
        <v>0.7778</v>
      </c>
      <c r="BH1857" s="7">
        <v>0.5633</v>
      </c>
      <c r="BI1857" s="7">
        <v>1</v>
      </c>
      <c r="BJ1857" s="4">
        <v>73</v>
      </c>
      <c r="BK1857" s="8">
        <v>3463.46</v>
      </c>
      <c r="BL1857" s="2" t="s">
        <v>6142</v>
      </c>
      <c r="BM1857" s="7">
        <v>0.2192</v>
      </c>
      <c r="BN1857" s="7">
        <v>0.2203</v>
      </c>
      <c r="BO1857" s="4">
        <v>16</v>
      </c>
      <c r="BP1857" s="8">
        <v>762.88</v>
      </c>
      <c r="BQ1857" s="4">
        <v>9</v>
      </c>
      <c r="BR1857" s="8">
        <v>487.99</v>
      </c>
      <c r="BS1857" s="7">
        <v>0.7778</v>
      </c>
      <c r="BT1857" s="7">
        <v>0.5633</v>
      </c>
      <c r="BU1857" s="2" t="s">
        <v>109</v>
      </c>
      <c r="BV1857" s="2" t="s">
        <v>97</v>
      </c>
      <c r="BW1857" s="2" t="s">
        <v>6110</v>
      </c>
      <c r="BX1857" s="2" t="s">
        <v>606</v>
      </c>
      <c r="BY1857" s="2" t="s">
        <v>112</v>
      </c>
      <c r="BZ1857" s="2" t="s">
        <v>100</v>
      </c>
    </row>
    <row r="1858">
      <c r="A1858" s="2" t="s">
        <v>6143</v>
      </c>
      <c r="B1858" s="2" t="s">
        <v>6098</v>
      </c>
      <c r="C1858" s="2" t="s">
        <v>88</v>
      </c>
      <c r="D1858" s="2" t="s">
        <v>6099</v>
      </c>
      <c r="E1858" s="2" t="s">
        <v>6100</v>
      </c>
      <c r="F1858" s="2" t="s">
        <v>6144</v>
      </c>
      <c r="G1858" s="2" t="s">
        <v>6144</v>
      </c>
      <c r="H1858" s="2" t="s">
        <v>6144</v>
      </c>
      <c r="I1858" s="2" t="s">
        <v>6145</v>
      </c>
      <c r="J1858" s="2" t="s">
        <v>6103</v>
      </c>
      <c r="K1858" s="2" t="s">
        <v>142</v>
      </c>
      <c r="L1858" s="3">
        <v>61.71</v>
      </c>
      <c r="M1858" s="3">
        <v>64.8</v>
      </c>
      <c r="N1858" s="3">
        <v>127.49</v>
      </c>
      <c r="O1858" s="2" t="s">
        <v>97</v>
      </c>
      <c r="P1858" s="2" t="s">
        <v>143</v>
      </c>
      <c r="Q1858" s="2" t="s">
        <v>99</v>
      </c>
      <c r="R1858" s="2" t="s">
        <v>100</v>
      </c>
      <c r="S1858" s="2" t="s">
        <v>6146</v>
      </c>
      <c r="T1858" s="2" t="s">
        <v>100</v>
      </c>
      <c r="U1858" s="2" t="s">
        <v>2104</v>
      </c>
      <c r="V1858" s="2" t="s">
        <v>1122</v>
      </c>
      <c r="W1858" s="2" t="s">
        <v>602</v>
      </c>
      <c r="X1858" s="2" t="s">
        <v>1190</v>
      </c>
      <c r="Y1858" s="2" t="s">
        <v>3599</v>
      </c>
      <c r="Z1858" s="4">
        <v>106</v>
      </c>
      <c r="AA1858" s="4">
        <f>=ROUNDDOWN(21.2,0)</f>
      </c>
      <c r="AB1858" s="5">
        <v>5</v>
      </c>
      <c r="AC1858" s="2" t="s">
        <v>382</v>
      </c>
      <c r="AD1858" s="4">
        <v>100</v>
      </c>
      <c r="AE1858" s="4">
        <v>100</v>
      </c>
      <c r="AF1858" s="6">
        <v>63</v>
      </c>
      <c r="AG1858" s="6"/>
      <c r="AH1858" s="7">
        <v>0.8242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>
        <v>0</v>
      </c>
      <c r="AP1858" s="4">
        <v>9</v>
      </c>
      <c r="AQ1858" s="8">
        <v>583.2</v>
      </c>
      <c r="AR1858" s="4">
        <v>18</v>
      </c>
      <c r="AS1858" s="8">
        <v>1238.4</v>
      </c>
      <c r="AT1858" s="7">
        <v>-0.5</v>
      </c>
      <c r="AU1858" s="7">
        <v>-0.5291</v>
      </c>
      <c r="AV1858" s="4">
        <v>9</v>
      </c>
      <c r="AW1858" s="8">
        <v>583.2</v>
      </c>
      <c r="AX1858" s="4">
        <v>18</v>
      </c>
      <c r="AY1858" s="8">
        <v>1238.4</v>
      </c>
      <c r="AZ1858" s="7">
        <v>-0.5</v>
      </c>
      <c r="BA1858" s="7">
        <v>-0.5291</v>
      </c>
      <c r="BB1858" s="7">
        <v>1</v>
      </c>
      <c r="BC1858" s="4">
        <v>9</v>
      </c>
      <c r="BD1858" s="8">
        <v>583.2</v>
      </c>
      <c r="BE1858" s="4">
        <v>18</v>
      </c>
      <c r="BF1858" s="8">
        <v>1238.4</v>
      </c>
      <c r="BG1858" s="7">
        <v>-0.5</v>
      </c>
      <c r="BH1858" s="7">
        <v>-0.5291</v>
      </c>
      <c r="BI1858" s="7">
        <v>1</v>
      </c>
      <c r="BJ1858" s="4">
        <v>120</v>
      </c>
      <c r="BK1858" s="8">
        <v>8651.57</v>
      </c>
      <c r="BL1858" s="2" t="s">
        <v>6147</v>
      </c>
      <c r="BM1858" s="7">
        <v>0.075</v>
      </c>
      <c r="BN1858" s="7">
        <v>0.0674</v>
      </c>
      <c r="BO1858" s="4">
        <v>9</v>
      </c>
      <c r="BP1858" s="8">
        <v>583.2</v>
      </c>
      <c r="BQ1858" s="4">
        <v>18</v>
      </c>
      <c r="BR1858" s="8">
        <v>1238.4</v>
      </c>
      <c r="BS1858" s="7">
        <v>-0.5</v>
      </c>
      <c r="BT1858" s="7">
        <v>-0.5291</v>
      </c>
      <c r="BU1858" s="2" t="s">
        <v>109</v>
      </c>
      <c r="BV1858" s="2" t="s">
        <v>97</v>
      </c>
      <c r="BW1858" s="2" t="s">
        <v>2917</v>
      </c>
      <c r="BX1858" s="2" t="s">
        <v>6148</v>
      </c>
      <c r="BY1858" s="2" t="s">
        <v>112</v>
      </c>
      <c r="BZ1858" s="2" t="s">
        <v>100</v>
      </c>
    </row>
    <row r="1859">
      <c r="A1859" s="2" t="s">
        <v>6149</v>
      </c>
      <c r="B1859" s="2" t="s">
        <v>6098</v>
      </c>
      <c r="C1859" s="2" t="s">
        <v>88</v>
      </c>
      <c r="D1859" s="2" t="s">
        <v>6099</v>
      </c>
      <c r="E1859" s="2" t="s">
        <v>6100</v>
      </c>
      <c r="F1859" s="2" t="s">
        <v>6150</v>
      </c>
      <c r="G1859" s="2" t="s">
        <v>6150</v>
      </c>
      <c r="H1859" s="2" t="s">
        <v>6150</v>
      </c>
      <c r="I1859" s="2" t="s">
        <v>6151</v>
      </c>
      <c r="J1859" s="2" t="s">
        <v>6103</v>
      </c>
      <c r="K1859" s="2" t="s">
        <v>6152</v>
      </c>
      <c r="L1859" s="3">
        <v>63.9</v>
      </c>
      <c r="M1859" s="3">
        <v>67.1</v>
      </c>
      <c r="N1859" s="3">
        <v>127.49</v>
      </c>
      <c r="O1859" s="2" t="s">
        <v>229</v>
      </c>
      <c r="P1859" s="2" t="s">
        <v>198</v>
      </c>
      <c r="Q1859" s="2" t="s">
        <v>99</v>
      </c>
      <c r="R1859" s="2" t="s">
        <v>100</v>
      </c>
      <c r="S1859" s="2" t="s">
        <v>6153</v>
      </c>
      <c r="T1859" s="2" t="s">
        <v>100</v>
      </c>
      <c r="U1859" s="2" t="s">
        <v>1610</v>
      </c>
      <c r="V1859" s="2" t="s">
        <v>1122</v>
      </c>
      <c r="W1859" s="2" t="s">
        <v>602</v>
      </c>
      <c r="X1859" s="2" t="s">
        <v>602</v>
      </c>
      <c r="Y1859" s="2" t="s">
        <v>6154</v>
      </c>
      <c r="Z1859" s="4"/>
      <c r="AA1859" s="4">
        <f>=ROUNDDOWN({0},0)</f>
      </c>
      <c r="AB1859" s="5">
        <v>3</v>
      </c>
      <c r="AC1859" s="2" t="s">
        <v>100</v>
      </c>
      <c r="AD1859" s="4"/>
      <c r="AE1859" s="4"/>
      <c r="AF1859" s="6">
        <v>63</v>
      </c>
      <c r="AG1859" s="6"/>
      <c r="AH1859" s="7">
        <v>0.7212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>
        <v>0</v>
      </c>
      <c r="AP1859" s="4">
        <v>6</v>
      </c>
      <c r="AQ1859" s="8">
        <v>402.6</v>
      </c>
      <c r="AR1859" s="4">
        <v>14</v>
      </c>
      <c r="AS1859" s="8">
        <v>961.74</v>
      </c>
      <c r="AT1859" s="7">
        <v>-0.5714</v>
      </c>
      <c r="AU1859" s="7">
        <v>-0.5814</v>
      </c>
      <c r="AV1859" s="4">
        <v>6</v>
      </c>
      <c r="AW1859" s="8">
        <v>402.6</v>
      </c>
      <c r="AX1859" s="4">
        <v>14</v>
      </c>
      <c r="AY1859" s="8">
        <v>961.74</v>
      </c>
      <c r="AZ1859" s="7">
        <v>-0.5714</v>
      </c>
      <c r="BA1859" s="7">
        <v>-0.5814</v>
      </c>
      <c r="BB1859" s="7">
        <v>1</v>
      </c>
      <c r="BC1859" s="4">
        <v>6</v>
      </c>
      <c r="BD1859" s="8">
        <v>402.6</v>
      </c>
      <c r="BE1859" s="4">
        <v>14</v>
      </c>
      <c r="BF1859" s="8">
        <v>961.74</v>
      </c>
      <c r="BG1859" s="7">
        <v>-0.5714</v>
      </c>
      <c r="BH1859" s="7">
        <v>-0.5814</v>
      </c>
      <c r="BI1859" s="7">
        <v>1</v>
      </c>
      <c r="BJ1859" s="4">
        <v>43</v>
      </c>
      <c r="BK1859" s="8">
        <v>3163.73</v>
      </c>
      <c r="BL1859" s="2" t="s">
        <v>6155</v>
      </c>
      <c r="BM1859" s="7">
        <v>0.1395</v>
      </c>
      <c r="BN1859" s="7">
        <v>0.1273</v>
      </c>
      <c r="BO1859" s="4">
        <v>6</v>
      </c>
      <c r="BP1859" s="8">
        <v>402.6</v>
      </c>
      <c r="BQ1859" s="4">
        <v>14</v>
      </c>
      <c r="BR1859" s="8">
        <v>961.74</v>
      </c>
      <c r="BS1859" s="7">
        <v>-0.5714</v>
      </c>
      <c r="BT1859" s="7">
        <v>-0.5814</v>
      </c>
      <c r="BU1859" s="2" t="s">
        <v>109</v>
      </c>
      <c r="BV1859" s="2" t="s">
        <v>552</v>
      </c>
      <c r="BW1859" s="2" t="s">
        <v>6110</v>
      </c>
      <c r="BX1859" s="2" t="s">
        <v>6156</v>
      </c>
      <c r="BY1859" s="2" t="s">
        <v>112</v>
      </c>
      <c r="BZ1859" s="2" t="s">
        <v>100</v>
      </c>
    </row>
    <row r="1860">
      <c r="A1860" s="2" t="s">
        <v>6157</v>
      </c>
      <c r="B1860" s="2" t="s">
        <v>6098</v>
      </c>
      <c r="C1860" s="2" t="s">
        <v>88</v>
      </c>
      <c r="D1860" s="2" t="s">
        <v>6099</v>
      </c>
      <c r="E1860" s="2" t="s">
        <v>6100</v>
      </c>
      <c r="F1860" s="2" t="s">
        <v>6158</v>
      </c>
      <c r="G1860" s="2" t="s">
        <v>100</v>
      </c>
      <c r="H1860" s="2" t="s">
        <v>100</v>
      </c>
      <c r="I1860" s="2" t="s">
        <v>6159</v>
      </c>
      <c r="J1860" s="2" t="s">
        <v>6103</v>
      </c>
      <c r="K1860" s="2" t="s">
        <v>158</v>
      </c>
      <c r="L1860" s="3">
        <v>58.7</v>
      </c>
      <c r="M1860" s="3">
        <v>61.64</v>
      </c>
      <c r="N1860" s="3">
        <v>118.99</v>
      </c>
      <c r="O1860" s="2" t="s">
        <v>229</v>
      </c>
      <c r="P1860" s="2" t="s">
        <v>198</v>
      </c>
      <c r="Q1860" s="2" t="s">
        <v>99</v>
      </c>
      <c r="R1860" s="2" t="s">
        <v>100</v>
      </c>
      <c r="S1860" s="2" t="s">
        <v>6160</v>
      </c>
      <c r="T1860" s="2" t="s">
        <v>100</v>
      </c>
      <c r="U1860" s="2" t="s">
        <v>1610</v>
      </c>
      <c r="V1860" s="2" t="s">
        <v>906</v>
      </c>
      <c r="W1860" s="2" t="s">
        <v>906</v>
      </c>
      <c r="X1860" s="2" t="s">
        <v>100</v>
      </c>
      <c r="Y1860" s="2" t="s">
        <v>6161</v>
      </c>
      <c r="Z1860" s="4">
        <v>10</v>
      </c>
      <c r="AA1860" s="4">
        <f>=ROUNDDOWN(14.2857142857143,0)</f>
      </c>
      <c r="AB1860" s="5">
        <v>0.7</v>
      </c>
      <c r="AC1860" s="2" t="s">
        <v>100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>
        <v>0</v>
      </c>
      <c r="AP1860" s="4">
        <v>6</v>
      </c>
      <c r="AQ1860" s="8">
        <v>369.84</v>
      </c>
      <c r="AR1860" s="4">
        <v>11</v>
      </c>
      <c r="AS1860" s="8">
        <v>743.26</v>
      </c>
      <c r="AT1860" s="7">
        <v>-0.4545</v>
      </c>
      <c r="AU1860" s="7">
        <v>-0.5024</v>
      </c>
      <c r="AV1860" s="4">
        <v>6</v>
      </c>
      <c r="AW1860" s="8">
        <v>369.84</v>
      </c>
      <c r="AX1860" s="4">
        <v>11</v>
      </c>
      <c r="AY1860" s="8">
        <v>743.26</v>
      </c>
      <c r="AZ1860" s="7">
        <v>-0.4545</v>
      </c>
      <c r="BA1860" s="7">
        <v>-0.5024</v>
      </c>
      <c r="BB1860" s="7">
        <v>1</v>
      </c>
      <c r="BC1860" s="4">
        <v>6</v>
      </c>
      <c r="BD1860" s="8">
        <v>369.84</v>
      </c>
      <c r="BE1860" s="4">
        <v>11</v>
      </c>
      <c r="BF1860" s="8">
        <v>743.26</v>
      </c>
      <c r="BG1860" s="7">
        <v>-0.4545</v>
      </c>
      <c r="BH1860" s="7">
        <v>-0.5024</v>
      </c>
      <c r="BI1860" s="7">
        <v>1</v>
      </c>
      <c r="BJ1860" s="4">
        <v>42</v>
      </c>
      <c r="BK1860" s="8">
        <v>2612.15</v>
      </c>
      <c r="BL1860" s="2" t="s">
        <v>6162</v>
      </c>
      <c r="BM1860" s="7">
        <v>0.1429</v>
      </c>
      <c r="BN1860" s="7">
        <v>0.1416</v>
      </c>
      <c r="BO1860" s="4">
        <v>6</v>
      </c>
      <c r="BP1860" s="8">
        <v>369.84</v>
      </c>
      <c r="BQ1860" s="4">
        <v>11</v>
      </c>
      <c r="BR1860" s="8">
        <v>743.26</v>
      </c>
      <c r="BS1860" s="7">
        <v>-0.4545</v>
      </c>
      <c r="BT1860" s="7">
        <v>-0.5024</v>
      </c>
      <c r="BU1860" s="2" t="s">
        <v>109</v>
      </c>
      <c r="BV1860" s="2" t="s">
        <v>97</v>
      </c>
      <c r="BW1860" s="2" t="s">
        <v>6110</v>
      </c>
      <c r="BX1860" s="2" t="s">
        <v>6163</v>
      </c>
      <c r="BY1860" s="2" t="s">
        <v>112</v>
      </c>
      <c r="BZ1860" s="2" t="s">
        <v>100</v>
      </c>
    </row>
    <row r="1861">
      <c r="A1861" s="2" t="s">
        <v>6164</v>
      </c>
      <c r="B1861" s="2" t="s">
        <v>6098</v>
      </c>
      <c r="C1861" s="2" t="s">
        <v>88</v>
      </c>
      <c r="D1861" s="2" t="s">
        <v>6099</v>
      </c>
      <c r="E1861" s="2" t="s">
        <v>6100</v>
      </c>
      <c r="F1861" s="2" t="s">
        <v>6165</v>
      </c>
      <c r="G1861" s="2" t="s">
        <v>6165</v>
      </c>
      <c r="H1861" s="2" t="s">
        <v>6165</v>
      </c>
      <c r="I1861" s="2" t="s">
        <v>6166</v>
      </c>
      <c r="J1861" s="2" t="s">
        <v>6103</v>
      </c>
      <c r="K1861" s="2" t="s">
        <v>6167</v>
      </c>
      <c r="L1861" s="3">
        <v>57.82</v>
      </c>
      <c r="M1861" s="3">
        <v>60.71</v>
      </c>
      <c r="N1861" s="3">
        <v>127.49</v>
      </c>
      <c r="O1861" s="2" t="s">
        <v>97</v>
      </c>
      <c r="P1861" s="2" t="s">
        <v>143</v>
      </c>
      <c r="Q1861" s="2" t="s">
        <v>99</v>
      </c>
      <c r="R1861" s="2" t="s">
        <v>100</v>
      </c>
      <c r="S1861" s="2" t="s">
        <v>6168</v>
      </c>
      <c r="T1861" s="2" t="s">
        <v>100</v>
      </c>
      <c r="U1861" s="2" t="s">
        <v>1610</v>
      </c>
      <c r="V1861" s="2" t="s">
        <v>6169</v>
      </c>
      <c r="W1861" s="2" t="s">
        <v>104</v>
      </c>
      <c r="X1861" s="2" t="s">
        <v>100</v>
      </c>
      <c r="Y1861" s="2" t="s">
        <v>5063</v>
      </c>
      <c r="Z1861" s="4">
        <v>195</v>
      </c>
      <c r="AA1861" s="4">
        <f>=ROUNDDOWN(24.375,0)</f>
      </c>
      <c r="AB1861" s="5">
        <v>8</v>
      </c>
      <c r="AC1861" s="2" t="s">
        <v>563</v>
      </c>
      <c r="AD1861" s="4">
        <v>100</v>
      </c>
      <c r="AE1861" s="4">
        <v>100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>
        <v>0</v>
      </c>
      <c r="AP1861" s="4">
        <v>6</v>
      </c>
      <c r="AQ1861" s="8">
        <v>364.26</v>
      </c>
      <c r="AR1861" s="4">
        <v>10</v>
      </c>
      <c r="AS1861" s="8">
        <v>682.07</v>
      </c>
      <c r="AT1861" s="7">
        <v>-0.4</v>
      </c>
      <c r="AU1861" s="7">
        <v>-0.4659</v>
      </c>
      <c r="AV1861" s="4">
        <v>6</v>
      </c>
      <c r="AW1861" s="8">
        <v>364.26</v>
      </c>
      <c r="AX1861" s="4">
        <v>10</v>
      </c>
      <c r="AY1861" s="8">
        <v>682.07</v>
      </c>
      <c r="AZ1861" s="7">
        <v>-0.4</v>
      </c>
      <c r="BA1861" s="7">
        <v>-0.4659</v>
      </c>
      <c r="BB1861" s="7">
        <v>1</v>
      </c>
      <c r="BC1861" s="4">
        <v>6</v>
      </c>
      <c r="BD1861" s="8">
        <v>364.26</v>
      </c>
      <c r="BE1861" s="4">
        <v>10</v>
      </c>
      <c r="BF1861" s="8">
        <v>682.07</v>
      </c>
      <c r="BG1861" s="7">
        <v>-0.4</v>
      </c>
      <c r="BH1861" s="7">
        <v>-0.4659</v>
      </c>
      <c r="BI1861" s="7">
        <v>1</v>
      </c>
      <c r="BJ1861" s="4">
        <v>191</v>
      </c>
      <c r="BK1861" s="8">
        <v>14186.24</v>
      </c>
      <c r="BL1861" s="2" t="s">
        <v>6170</v>
      </c>
      <c r="BM1861" s="7">
        <v>0.0314</v>
      </c>
      <c r="BN1861" s="7">
        <v>0.0257</v>
      </c>
      <c r="BO1861" s="4">
        <v>6</v>
      </c>
      <c r="BP1861" s="8">
        <v>364.26</v>
      </c>
      <c r="BQ1861" s="4">
        <v>10</v>
      </c>
      <c r="BR1861" s="8">
        <v>682.07</v>
      </c>
      <c r="BS1861" s="7">
        <v>-0.4</v>
      </c>
      <c r="BT1861" s="7">
        <v>-0.4659</v>
      </c>
      <c r="BU1861" s="2" t="s">
        <v>109</v>
      </c>
      <c r="BV1861" s="2" t="s">
        <v>97</v>
      </c>
      <c r="BW1861" s="2" t="s">
        <v>2917</v>
      </c>
      <c r="BX1861" s="2" t="s">
        <v>4360</v>
      </c>
      <c r="BY1861" s="2" t="s">
        <v>112</v>
      </c>
      <c r="BZ1861" s="2" t="s">
        <v>100</v>
      </c>
    </row>
    <row r="1862">
      <c r="A1862" s="2" t="s">
        <v>6171</v>
      </c>
      <c r="B1862" s="2" t="s">
        <v>6098</v>
      </c>
      <c r="C1862" s="2" t="s">
        <v>88</v>
      </c>
      <c r="D1862" s="2" t="s">
        <v>6099</v>
      </c>
      <c r="E1862" s="2" t="s">
        <v>6100</v>
      </c>
      <c r="F1862" s="2" t="s">
        <v>6172</v>
      </c>
      <c r="G1862" s="2" t="s">
        <v>6172</v>
      </c>
      <c r="H1862" s="2" t="s">
        <v>6172</v>
      </c>
      <c r="I1862" s="2" t="s">
        <v>6173</v>
      </c>
      <c r="J1862" s="2" t="s">
        <v>6103</v>
      </c>
      <c r="K1862" s="2" t="s">
        <v>622</v>
      </c>
      <c r="L1862" s="3">
        <v>45.74</v>
      </c>
      <c r="M1862" s="3">
        <v>48.03</v>
      </c>
      <c r="N1862" s="3">
        <v>89.24</v>
      </c>
      <c r="O1862" s="2" t="s">
        <v>97</v>
      </c>
      <c r="P1862" s="2" t="s">
        <v>182</v>
      </c>
      <c r="Q1862" s="2" t="s">
        <v>99</v>
      </c>
      <c r="R1862" s="2" t="s">
        <v>100</v>
      </c>
      <c r="S1862" s="2" t="s">
        <v>6174</v>
      </c>
      <c r="T1862" s="2" t="s">
        <v>100</v>
      </c>
      <c r="U1862" s="2" t="s">
        <v>1610</v>
      </c>
      <c r="V1862" s="2" t="s">
        <v>1122</v>
      </c>
      <c r="W1862" s="2" t="s">
        <v>104</v>
      </c>
      <c r="X1862" s="2" t="s">
        <v>100</v>
      </c>
      <c r="Y1862" s="2" t="s">
        <v>4641</v>
      </c>
      <c r="Z1862" s="4">
        <v>35</v>
      </c>
      <c r="AA1862" s="4">
        <f>=ROUNDDOWN(7,0)</f>
      </c>
      <c r="AB1862" s="5">
        <v>5</v>
      </c>
      <c r="AC1862" s="2" t="s">
        <v>107</v>
      </c>
      <c r="AD1862" s="4">
        <v>100</v>
      </c>
      <c r="AE1862" s="4">
        <v>100</v>
      </c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>
        <v>0</v>
      </c>
      <c r="AP1862" s="4">
        <v>5</v>
      </c>
      <c r="AQ1862" s="8">
        <v>240.1</v>
      </c>
      <c r="AR1862" s="4">
        <v>3</v>
      </c>
      <c r="AS1862" s="8">
        <v>161.02</v>
      </c>
      <c r="AT1862" s="7">
        <v>0.6667</v>
      </c>
      <c r="AU1862" s="7">
        <v>0.4911</v>
      </c>
      <c r="AV1862" s="4">
        <v>5</v>
      </c>
      <c r="AW1862" s="8">
        <v>240.1</v>
      </c>
      <c r="AX1862" s="4">
        <v>3</v>
      </c>
      <c r="AY1862" s="8">
        <v>161.02</v>
      </c>
      <c r="AZ1862" s="7">
        <v>0.6667</v>
      </c>
      <c r="BA1862" s="7">
        <v>0.4911</v>
      </c>
      <c r="BB1862" s="7">
        <v>1</v>
      </c>
      <c r="BC1862" s="4">
        <v>6</v>
      </c>
      <c r="BD1862" s="8">
        <v>288.12</v>
      </c>
      <c r="BE1862" s="4">
        <v>15</v>
      </c>
      <c r="BF1862" s="8">
        <v>796.62</v>
      </c>
      <c r="BG1862" s="7">
        <v>-0.6</v>
      </c>
      <c r="BH1862" s="7">
        <v>-0.6383</v>
      </c>
      <c r="BI1862" s="7">
        <v>0.8333</v>
      </c>
      <c r="BJ1862" s="4">
        <v>130</v>
      </c>
      <c r="BK1862" s="8">
        <v>7379.52</v>
      </c>
      <c r="BL1862" s="2" t="s">
        <v>6175</v>
      </c>
      <c r="BM1862" s="7">
        <v>0.0385</v>
      </c>
      <c r="BN1862" s="7">
        <v>0.0325</v>
      </c>
      <c r="BO1862" s="4">
        <v>5</v>
      </c>
      <c r="BP1862" s="8">
        <v>240.1</v>
      </c>
      <c r="BQ1862" s="4">
        <v>3</v>
      </c>
      <c r="BR1862" s="8">
        <v>161.02</v>
      </c>
      <c r="BS1862" s="7">
        <v>0.6667</v>
      </c>
      <c r="BT1862" s="7">
        <v>0.4911</v>
      </c>
      <c r="BU1862" s="2" t="s">
        <v>109</v>
      </c>
      <c r="BV1862" s="2" t="s">
        <v>97</v>
      </c>
      <c r="BW1862" s="2" t="s">
        <v>2917</v>
      </c>
      <c r="BX1862" s="2" t="s">
        <v>6176</v>
      </c>
      <c r="BY1862" s="2" t="s">
        <v>112</v>
      </c>
      <c r="BZ1862" s="2" t="s">
        <v>100</v>
      </c>
    </row>
    <row r="1863">
      <c r="A1863" s="2" t="s">
        <v>6177</v>
      </c>
      <c r="B1863" s="2" t="s">
        <v>6098</v>
      </c>
      <c r="C1863" s="2" t="s">
        <v>88</v>
      </c>
      <c r="D1863" s="2" t="s">
        <v>6099</v>
      </c>
      <c r="E1863" s="2" t="s">
        <v>6100</v>
      </c>
      <c r="F1863" s="2" t="s">
        <v>6172</v>
      </c>
      <c r="G1863" s="2" t="s">
        <v>6172</v>
      </c>
      <c r="H1863" s="2" t="s">
        <v>6172</v>
      </c>
      <c r="I1863" s="2" t="s">
        <v>6173</v>
      </c>
      <c r="J1863" s="2" t="s">
        <v>6103</v>
      </c>
      <c r="K1863" s="2" t="s">
        <v>1592</v>
      </c>
      <c r="L1863" s="3">
        <v>45.74</v>
      </c>
      <c r="M1863" s="3">
        <v>48.03</v>
      </c>
      <c r="N1863" s="3">
        <v>89.24</v>
      </c>
      <c r="O1863" s="2" t="s">
        <v>97</v>
      </c>
      <c r="P1863" s="2" t="s">
        <v>182</v>
      </c>
      <c r="Q1863" s="2" t="s">
        <v>99</v>
      </c>
      <c r="R1863" s="2" t="s">
        <v>100</v>
      </c>
      <c r="S1863" s="2" t="s">
        <v>6178</v>
      </c>
      <c r="T1863" s="2" t="s">
        <v>100</v>
      </c>
      <c r="U1863" s="2" t="s">
        <v>1610</v>
      </c>
      <c r="V1863" s="2" t="s">
        <v>1122</v>
      </c>
      <c r="W1863" s="2" t="s">
        <v>104</v>
      </c>
      <c r="X1863" s="2" t="s">
        <v>100</v>
      </c>
      <c r="Y1863" s="2" t="s">
        <v>106</v>
      </c>
      <c r="Z1863" s="4">
        <v>154</v>
      </c>
      <c r="AA1863" s="4">
        <f>=ROUNDDOWN(53.1034482758621,0)</f>
      </c>
      <c r="AB1863" s="5">
        <v>2.9</v>
      </c>
      <c r="AC1863" s="2" t="s">
        <v>100</v>
      </c>
      <c r="AD1863" s="4"/>
      <c r="AE1863" s="4"/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>
        <v>0</v>
      </c>
      <c r="AP1863" s="4">
        <v>1</v>
      </c>
      <c r="AQ1863" s="8">
        <v>48.02</v>
      </c>
      <c r="AR1863" s="4">
        <v>7</v>
      </c>
      <c r="AS1863" s="8">
        <v>361.58</v>
      </c>
      <c r="AT1863" s="7">
        <v>-0.8571</v>
      </c>
      <c r="AU1863" s="7">
        <v>-0.8672</v>
      </c>
      <c r="AV1863" s="4">
        <v>1</v>
      </c>
      <c r="AW1863" s="8">
        <v>48.02</v>
      </c>
      <c r="AX1863" s="4">
        <v>7</v>
      </c>
      <c r="AY1863" s="8">
        <v>361.58</v>
      </c>
      <c r="AZ1863" s="7">
        <v>-0.8571</v>
      </c>
      <c r="BA1863" s="7">
        <v>-0.8672</v>
      </c>
      <c r="BB1863" s="7">
        <v>1</v>
      </c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>
        <v>0.1667</v>
      </c>
      <c r="BJ1863" s="4">
        <v>77</v>
      </c>
      <c r="BK1863" s="8">
        <v>4141.59</v>
      </c>
      <c r="BL1863" s="2" t="s">
        <v>6179</v>
      </c>
      <c r="BM1863" s="7">
        <v>0.013</v>
      </c>
      <c r="BN1863" s="7">
        <v>0.0116</v>
      </c>
      <c r="BO1863" s="4">
        <v>1</v>
      </c>
      <c r="BP1863" s="8">
        <v>48.02</v>
      </c>
      <c r="BQ1863" s="4">
        <v>7</v>
      </c>
      <c r="BR1863" s="8">
        <v>361.58</v>
      </c>
      <c r="BS1863" s="7">
        <v>-0.8571</v>
      </c>
      <c r="BT1863" s="7">
        <v>-0.8672</v>
      </c>
      <c r="BU1863" s="2" t="s">
        <v>109</v>
      </c>
      <c r="BV1863" s="2" t="s">
        <v>97</v>
      </c>
      <c r="BW1863" s="2" t="s">
        <v>2917</v>
      </c>
      <c r="BX1863" s="2" t="s">
        <v>6180</v>
      </c>
      <c r="BY1863" s="2" t="s">
        <v>112</v>
      </c>
      <c r="BZ1863" s="2" t="s">
        <v>100</v>
      </c>
    </row>
    <row r="1864">
      <c r="A1864" s="2" t="s">
        <v>6181</v>
      </c>
      <c r="B1864" s="2" t="s">
        <v>6098</v>
      </c>
      <c r="C1864" s="2" t="s">
        <v>88</v>
      </c>
      <c r="D1864" s="2" t="s">
        <v>6099</v>
      </c>
      <c r="E1864" s="2" t="s">
        <v>6100</v>
      </c>
      <c r="F1864" s="2" t="s">
        <v>6172</v>
      </c>
      <c r="G1864" s="2" t="s">
        <v>6172</v>
      </c>
      <c r="H1864" s="2" t="s">
        <v>6172</v>
      </c>
      <c r="I1864" s="2" t="s">
        <v>6173</v>
      </c>
      <c r="J1864" s="2" t="s">
        <v>6103</v>
      </c>
      <c r="K1864" s="2" t="s">
        <v>650</v>
      </c>
      <c r="L1864" s="3">
        <v>45.74</v>
      </c>
      <c r="M1864" s="3">
        <v>48.03</v>
      </c>
      <c r="N1864" s="3">
        <v>89.24</v>
      </c>
      <c r="O1864" s="2" t="s">
        <v>97</v>
      </c>
      <c r="P1864" s="2" t="s">
        <v>182</v>
      </c>
      <c r="Q1864" s="2" t="s">
        <v>99</v>
      </c>
      <c r="R1864" s="2" t="s">
        <v>100</v>
      </c>
      <c r="S1864" s="2" t="s">
        <v>6182</v>
      </c>
      <c r="T1864" s="2" t="s">
        <v>100</v>
      </c>
      <c r="U1864" s="2" t="s">
        <v>1610</v>
      </c>
      <c r="V1864" s="2" t="s">
        <v>1122</v>
      </c>
      <c r="W1864" s="2" t="s">
        <v>104</v>
      </c>
      <c r="X1864" s="2" t="s">
        <v>100</v>
      </c>
      <c r="Y1864" s="2" t="s">
        <v>6183</v>
      </c>
      <c r="Z1864" s="4">
        <v>83</v>
      </c>
      <c r="AA1864" s="4">
        <f>=ROUNDDOWN(23.0555555555556,0)</f>
      </c>
      <c r="AB1864" s="5">
        <v>3.6</v>
      </c>
      <c r="AC1864" s="2" t="s">
        <v>100</v>
      </c>
      <c r="AD1864" s="4"/>
      <c r="AE1864" s="4"/>
      <c r="AF1864" s="6">
        <v>63</v>
      </c>
      <c r="AG1864" s="6"/>
      <c r="AH1864" s="7">
        <v>0.9333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100</v>
      </c>
      <c r="BD1864" s="8" t="s">
        <v>100</v>
      </c>
      <c r="BE1864" s="4" t="s">
        <v>100</v>
      </c>
      <c r="BF1864" s="8" t="s">
        <v>100</v>
      </c>
      <c r="BG1864" s="7" t="s">
        <v>100</v>
      </c>
      <c r="BH1864" s="7" t="s">
        <v>100</v>
      </c>
      <c r="BI1864" s="7"/>
      <c r="BJ1864" s="4">
        <v>81</v>
      </c>
      <c r="BK1864" s="8">
        <v>4631.1</v>
      </c>
      <c r="BL1864" s="2" t="s">
        <v>6184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6185</v>
      </c>
      <c r="BV1864" s="2" t="s">
        <v>97</v>
      </c>
      <c r="BW1864" s="2" t="s">
        <v>100</v>
      </c>
      <c r="BX1864" s="2" t="s">
        <v>100</v>
      </c>
      <c r="BY1864" s="2" t="s">
        <v>112</v>
      </c>
      <c r="BZ1864" s="2" t="s">
        <v>100</v>
      </c>
    </row>
    <row r="1865">
      <c r="A1865" s="2" t="s">
        <v>6186</v>
      </c>
      <c r="B1865" s="2" t="s">
        <v>6098</v>
      </c>
      <c r="C1865" s="2" t="s">
        <v>88</v>
      </c>
      <c r="D1865" s="2" t="s">
        <v>6099</v>
      </c>
      <c r="E1865" s="2" t="s">
        <v>6100</v>
      </c>
      <c r="F1865" s="2" t="s">
        <v>6172</v>
      </c>
      <c r="G1865" s="2" t="s">
        <v>6172</v>
      </c>
      <c r="H1865" s="2" t="s">
        <v>6172</v>
      </c>
      <c r="I1865" s="2" t="s">
        <v>6173</v>
      </c>
      <c r="J1865" s="2" t="s">
        <v>6103</v>
      </c>
      <c r="K1865" s="2" t="s">
        <v>333</v>
      </c>
      <c r="L1865" s="3">
        <v>45.74</v>
      </c>
      <c r="M1865" s="3">
        <v>48.03</v>
      </c>
      <c r="N1865" s="3">
        <v>89.24</v>
      </c>
      <c r="O1865" s="2" t="s">
        <v>229</v>
      </c>
      <c r="P1865" s="2" t="s">
        <v>198</v>
      </c>
      <c r="Q1865" s="2" t="s">
        <v>99</v>
      </c>
      <c r="R1865" s="2" t="s">
        <v>100</v>
      </c>
      <c r="S1865" s="2" t="s">
        <v>6187</v>
      </c>
      <c r="T1865" s="2" t="s">
        <v>100</v>
      </c>
      <c r="U1865" s="2" t="s">
        <v>1610</v>
      </c>
      <c r="V1865" s="2" t="s">
        <v>1122</v>
      </c>
      <c r="W1865" s="2" t="s">
        <v>104</v>
      </c>
      <c r="X1865" s="2" t="s">
        <v>100</v>
      </c>
      <c r="Y1865" s="2" t="s">
        <v>106</v>
      </c>
      <c r="Z1865" s="4"/>
      <c r="AA1865" s="4">
        <f>=ROUNDDOWN({0},0)</f>
      </c>
      <c r="AB1865" s="5"/>
      <c r="AC1865" s="2" t="s">
        <v>100</v>
      </c>
      <c r="AD1865" s="4"/>
      <c r="AE1865" s="4"/>
      <c r="AF1865" s="6">
        <v>63</v>
      </c>
      <c r="AG1865" s="6"/>
      <c r="AH1865" s="7">
        <v>0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>
        <v>0</v>
      </c>
      <c r="AP1865" s="4"/>
      <c r="AQ1865" s="8"/>
      <c r="AR1865" s="4">
        <v>5</v>
      </c>
      <c r="AS1865" s="8">
        <v>274.02</v>
      </c>
      <c r="AT1865" s="7">
        <v>-1</v>
      </c>
      <c r="AU1865" s="7">
        <v>-1</v>
      </c>
      <c r="AV1865" s="4"/>
      <c r="AW1865" s="8"/>
      <c r="AX1865" s="4">
        <v>5</v>
      </c>
      <c r="AY1865" s="8">
        <v>274.02</v>
      </c>
      <c r="AZ1865" s="7">
        <v>-1</v>
      </c>
      <c r="BA1865" s="7">
        <v>-1</v>
      </c>
      <c r="BB1865" s="7"/>
      <c r="BC1865" s="4" t="s">
        <v>100</v>
      </c>
      <c r="BD1865" s="8" t="s">
        <v>100</v>
      </c>
      <c r="BE1865" s="4" t="s">
        <v>100</v>
      </c>
      <c r="BF1865" s="8" t="s">
        <v>100</v>
      </c>
      <c r="BG1865" s="7" t="s">
        <v>100</v>
      </c>
      <c r="BH1865" s="7" t="s">
        <v>100</v>
      </c>
      <c r="BI1865" s="7"/>
      <c r="BJ1865" s="4"/>
      <c r="BK1865" s="8"/>
      <c r="BL1865" s="2" t="s">
        <v>6188</v>
      </c>
      <c r="BM1865" s="7"/>
      <c r="BN1865" s="7"/>
      <c r="BO1865" s="4"/>
      <c r="BP1865" s="8"/>
      <c r="BQ1865" s="4">
        <v>5</v>
      </c>
      <c r="BR1865" s="8">
        <v>274.02</v>
      </c>
      <c r="BS1865" s="7">
        <v>-1</v>
      </c>
      <c r="BT1865" s="7">
        <v>-1</v>
      </c>
      <c r="BU1865" s="2" t="s">
        <v>109</v>
      </c>
      <c r="BV1865" s="2" t="s">
        <v>552</v>
      </c>
      <c r="BW1865" s="2" t="s">
        <v>2917</v>
      </c>
      <c r="BX1865" s="2" t="s">
        <v>4328</v>
      </c>
      <c r="BY1865" s="2" t="s">
        <v>112</v>
      </c>
      <c r="BZ1865" s="2" t="s">
        <v>100</v>
      </c>
    </row>
    <row r="1866">
      <c r="A1866" s="2" t="s">
        <v>6189</v>
      </c>
      <c r="B1866" s="2" t="s">
        <v>6098</v>
      </c>
      <c r="C1866" s="2" t="s">
        <v>88</v>
      </c>
      <c r="D1866" s="2" t="s">
        <v>6099</v>
      </c>
      <c r="E1866" s="2" t="s">
        <v>6100</v>
      </c>
      <c r="F1866" s="2" t="s">
        <v>6190</v>
      </c>
      <c r="G1866" s="2" t="s">
        <v>100</v>
      </c>
      <c r="H1866" s="2" t="s">
        <v>100</v>
      </c>
      <c r="I1866" s="2" t="s">
        <v>6191</v>
      </c>
      <c r="J1866" s="2" t="s">
        <v>6103</v>
      </c>
      <c r="K1866" s="2" t="s">
        <v>267</v>
      </c>
      <c r="L1866" s="3">
        <v>38</v>
      </c>
      <c r="M1866" s="3">
        <v>39.9</v>
      </c>
      <c r="N1866" s="3">
        <v>79.99</v>
      </c>
      <c r="O1866" s="2" t="s">
        <v>550</v>
      </c>
      <c r="P1866" s="2" t="s">
        <v>198</v>
      </c>
      <c r="Q1866" s="2" t="s">
        <v>99</v>
      </c>
      <c r="R1866" s="2" t="s">
        <v>100</v>
      </c>
      <c r="S1866" s="2" t="s">
        <v>6192</v>
      </c>
      <c r="T1866" s="2" t="s">
        <v>100</v>
      </c>
      <c r="U1866" s="2" t="s">
        <v>3531</v>
      </c>
      <c r="V1866" s="2" t="s">
        <v>1122</v>
      </c>
      <c r="W1866" s="2" t="s">
        <v>602</v>
      </c>
      <c r="X1866" s="2" t="s">
        <v>100</v>
      </c>
      <c r="Y1866" s="2" t="s">
        <v>106</v>
      </c>
      <c r="Z1866" s="4">
        <v>10</v>
      </c>
      <c r="AA1866" s="4">
        <f>=ROUNDDOWN(16.6666666666667,0)</f>
      </c>
      <c r="AB1866" s="5">
        <v>0.6</v>
      </c>
      <c r="AC1866" s="2" t="s">
        <v>100</v>
      </c>
      <c r="AD1866" s="4"/>
      <c r="AE1866" s="4"/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>
        <v>0</v>
      </c>
      <c r="AP1866" s="4">
        <v>7</v>
      </c>
      <c r="AQ1866" s="8">
        <v>279.3</v>
      </c>
      <c r="AR1866" s="4">
        <v>1</v>
      </c>
      <c r="AS1866" s="8">
        <v>39.9</v>
      </c>
      <c r="AT1866" s="7">
        <v>6</v>
      </c>
      <c r="AU1866" s="7">
        <v>6</v>
      </c>
      <c r="AV1866" s="4">
        <v>7</v>
      </c>
      <c r="AW1866" s="8">
        <v>279.3</v>
      </c>
      <c r="AX1866" s="4">
        <v>1</v>
      </c>
      <c r="AY1866" s="8">
        <v>39.9</v>
      </c>
      <c r="AZ1866" s="7">
        <v>6</v>
      </c>
      <c r="BA1866" s="7">
        <v>6</v>
      </c>
      <c r="BB1866" s="7">
        <v>1</v>
      </c>
      <c r="BC1866" s="4">
        <v>7</v>
      </c>
      <c r="BD1866" s="8">
        <v>279.3</v>
      </c>
      <c r="BE1866" s="4">
        <v>1</v>
      </c>
      <c r="BF1866" s="8">
        <v>39.9</v>
      </c>
      <c r="BG1866" s="7">
        <v>6</v>
      </c>
      <c r="BH1866" s="7">
        <v>6</v>
      </c>
      <c r="BI1866" s="7">
        <v>1</v>
      </c>
      <c r="BJ1866" s="4">
        <v>22</v>
      </c>
      <c r="BK1866" s="8">
        <v>816.06</v>
      </c>
      <c r="BL1866" s="2" t="s">
        <v>6193</v>
      </c>
      <c r="BM1866" s="7">
        <v>0.3182</v>
      </c>
      <c r="BN1866" s="7">
        <v>0.3423</v>
      </c>
      <c r="BO1866" s="4">
        <v>7</v>
      </c>
      <c r="BP1866" s="8">
        <v>279.3</v>
      </c>
      <c r="BQ1866" s="4">
        <v>1</v>
      </c>
      <c r="BR1866" s="8">
        <v>39.9</v>
      </c>
      <c r="BS1866" s="7">
        <v>6</v>
      </c>
      <c r="BT1866" s="7">
        <v>6</v>
      </c>
      <c r="BU1866" s="2" t="s">
        <v>109</v>
      </c>
      <c r="BV1866" s="2" t="s">
        <v>97</v>
      </c>
      <c r="BW1866" s="2" t="s">
        <v>6110</v>
      </c>
      <c r="BX1866" s="2" t="s">
        <v>6194</v>
      </c>
      <c r="BY1866" s="2" t="s">
        <v>112</v>
      </c>
      <c r="BZ1866" s="2" t="s">
        <v>100</v>
      </c>
    </row>
    <row r="1867">
      <c r="A1867" s="2" t="s">
        <v>6195</v>
      </c>
      <c r="B1867" s="2" t="s">
        <v>6098</v>
      </c>
      <c r="C1867" s="2" t="s">
        <v>88</v>
      </c>
      <c r="D1867" s="2" t="s">
        <v>6099</v>
      </c>
      <c r="E1867" s="2" t="s">
        <v>6100</v>
      </c>
      <c r="F1867" s="2" t="s">
        <v>6196</v>
      </c>
      <c r="G1867" s="2" t="s">
        <v>6196</v>
      </c>
      <c r="H1867" s="2" t="s">
        <v>6196</v>
      </c>
      <c r="I1867" s="2" t="s">
        <v>6197</v>
      </c>
      <c r="J1867" s="2" t="s">
        <v>6103</v>
      </c>
      <c r="K1867" s="2" t="s">
        <v>142</v>
      </c>
      <c r="L1867" s="3">
        <v>40.07</v>
      </c>
      <c r="M1867" s="3">
        <v>42.07</v>
      </c>
      <c r="N1867" s="3">
        <v>84.99</v>
      </c>
      <c r="O1867" s="2" t="s">
        <v>97</v>
      </c>
      <c r="P1867" s="2" t="s">
        <v>182</v>
      </c>
      <c r="Q1867" s="2" t="s">
        <v>99</v>
      </c>
      <c r="R1867" s="2" t="s">
        <v>100</v>
      </c>
      <c r="S1867" s="2" t="s">
        <v>6198</v>
      </c>
      <c r="T1867" s="2" t="s">
        <v>100</v>
      </c>
      <c r="U1867" s="2" t="s">
        <v>3531</v>
      </c>
      <c r="V1867" s="2" t="s">
        <v>1122</v>
      </c>
      <c r="W1867" s="2" t="s">
        <v>602</v>
      </c>
      <c r="X1867" s="2" t="s">
        <v>1190</v>
      </c>
      <c r="Y1867" s="2" t="s">
        <v>3599</v>
      </c>
      <c r="Z1867" s="4">
        <v>99</v>
      </c>
      <c r="AA1867" s="4">
        <f>=ROUNDDOWN(16.5,0)</f>
      </c>
      <c r="AB1867" s="5">
        <v>6</v>
      </c>
      <c r="AC1867" s="2" t="s">
        <v>6199</v>
      </c>
      <c r="AD1867" s="4">
        <v>100</v>
      </c>
      <c r="AE1867" s="4">
        <v>100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>
        <v>0</v>
      </c>
      <c r="AP1867" s="4">
        <v>4</v>
      </c>
      <c r="AQ1867" s="8">
        <v>168.32</v>
      </c>
      <c r="AR1867" s="4">
        <v>19</v>
      </c>
      <c r="AS1867" s="8">
        <v>873.62</v>
      </c>
      <c r="AT1867" s="7">
        <v>-0.7895</v>
      </c>
      <c r="AU1867" s="7">
        <v>-0.8073</v>
      </c>
      <c r="AV1867" s="4">
        <v>4</v>
      </c>
      <c r="AW1867" s="8">
        <v>168.32</v>
      </c>
      <c r="AX1867" s="4">
        <v>19</v>
      </c>
      <c r="AY1867" s="8">
        <v>873.62</v>
      </c>
      <c r="AZ1867" s="7">
        <v>-0.7895</v>
      </c>
      <c r="BA1867" s="7">
        <v>-0.8073</v>
      </c>
      <c r="BB1867" s="7">
        <v>1</v>
      </c>
      <c r="BC1867" s="4">
        <v>4</v>
      </c>
      <c r="BD1867" s="8">
        <v>168.32</v>
      </c>
      <c r="BE1867" s="4">
        <v>19</v>
      </c>
      <c r="BF1867" s="8">
        <v>873.62</v>
      </c>
      <c r="BG1867" s="7">
        <v>-0.7895</v>
      </c>
      <c r="BH1867" s="7">
        <v>-0.8073</v>
      </c>
      <c r="BI1867" s="7">
        <v>1</v>
      </c>
      <c r="BJ1867" s="4">
        <v>161</v>
      </c>
      <c r="BK1867" s="8">
        <v>7468.64</v>
      </c>
      <c r="BL1867" s="2" t="s">
        <v>6200</v>
      </c>
      <c r="BM1867" s="7">
        <v>0.0248</v>
      </c>
      <c r="BN1867" s="7">
        <v>0.0225</v>
      </c>
      <c r="BO1867" s="4">
        <v>4</v>
      </c>
      <c r="BP1867" s="8">
        <v>168.32</v>
      </c>
      <c r="BQ1867" s="4">
        <v>19</v>
      </c>
      <c r="BR1867" s="8">
        <v>873.62</v>
      </c>
      <c r="BS1867" s="7">
        <v>-0.7895</v>
      </c>
      <c r="BT1867" s="7">
        <v>-0.8073</v>
      </c>
      <c r="BU1867" s="2" t="s">
        <v>109</v>
      </c>
      <c r="BV1867" s="2" t="s">
        <v>97</v>
      </c>
      <c r="BW1867" s="2" t="s">
        <v>2917</v>
      </c>
      <c r="BX1867" s="2" t="s">
        <v>6148</v>
      </c>
      <c r="BY1867" s="2" t="s">
        <v>112</v>
      </c>
      <c r="BZ1867" s="2" t="s">
        <v>100</v>
      </c>
    </row>
    <row r="1868">
      <c r="A1868" s="2" t="s">
        <v>6201</v>
      </c>
      <c r="B1868" s="2" t="s">
        <v>6098</v>
      </c>
      <c r="C1868" s="2" t="s">
        <v>88</v>
      </c>
      <c r="D1868" s="2" t="s">
        <v>6099</v>
      </c>
      <c r="E1868" s="2" t="s">
        <v>6100</v>
      </c>
      <c r="F1868" s="2" t="s">
        <v>6202</v>
      </c>
      <c r="G1868" s="2" t="s">
        <v>6202</v>
      </c>
      <c r="H1868" s="2" t="s">
        <v>6202</v>
      </c>
      <c r="I1868" s="2" t="s">
        <v>6203</v>
      </c>
      <c r="J1868" s="2" t="s">
        <v>6103</v>
      </c>
      <c r="K1868" s="2" t="s">
        <v>333</v>
      </c>
      <c r="L1868" s="3">
        <v>68.02</v>
      </c>
      <c r="M1868" s="3">
        <v>71.42</v>
      </c>
      <c r="N1868" s="3">
        <v>146.99</v>
      </c>
      <c r="O1868" s="2" t="s">
        <v>550</v>
      </c>
      <c r="P1868" s="2" t="s">
        <v>198</v>
      </c>
      <c r="Q1868" s="2" t="s">
        <v>99</v>
      </c>
      <c r="R1868" s="2" t="s">
        <v>100</v>
      </c>
      <c r="S1868" s="2" t="s">
        <v>6204</v>
      </c>
      <c r="T1868" s="2" t="s">
        <v>100</v>
      </c>
      <c r="U1868" s="2" t="s">
        <v>1610</v>
      </c>
      <c r="V1868" s="2" t="s">
        <v>1122</v>
      </c>
      <c r="W1868" s="2" t="s">
        <v>1190</v>
      </c>
      <c r="X1868" s="2" t="s">
        <v>6125</v>
      </c>
      <c r="Y1868" s="2" t="s">
        <v>1132</v>
      </c>
      <c r="Z1868" s="4">
        <v>17</v>
      </c>
      <c r="AA1868" s="4">
        <f>=ROUNDDOWN(42.5,0)</f>
      </c>
      <c r="AB1868" s="5">
        <v>0.4</v>
      </c>
      <c r="AC1868" s="2" t="s">
        <v>100</v>
      </c>
      <c r="AD1868" s="4"/>
      <c r="AE1868" s="4"/>
      <c r="AF1868" s="6">
        <v>63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>
        <v>0</v>
      </c>
      <c r="AP1868" s="4">
        <v>2</v>
      </c>
      <c r="AQ1868" s="8">
        <v>142.84</v>
      </c>
      <c r="AR1868" s="4">
        <v>3</v>
      </c>
      <c r="AS1868" s="8">
        <v>214.26</v>
      </c>
      <c r="AT1868" s="7">
        <v>-0.3333</v>
      </c>
      <c r="AU1868" s="7">
        <v>-0.3333</v>
      </c>
      <c r="AV1868" s="4">
        <v>2</v>
      </c>
      <c r="AW1868" s="8">
        <v>142.84</v>
      </c>
      <c r="AX1868" s="4">
        <v>3</v>
      </c>
      <c r="AY1868" s="8">
        <v>214.26</v>
      </c>
      <c r="AZ1868" s="7">
        <v>-0.3333</v>
      </c>
      <c r="BA1868" s="7">
        <v>-0.3333</v>
      </c>
      <c r="BB1868" s="7">
        <v>1</v>
      </c>
      <c r="BC1868" s="4">
        <v>2</v>
      </c>
      <c r="BD1868" s="8">
        <v>142.84</v>
      </c>
      <c r="BE1868" s="4">
        <v>3</v>
      </c>
      <c r="BF1868" s="8">
        <v>214.26</v>
      </c>
      <c r="BG1868" s="7">
        <v>-0.3333</v>
      </c>
      <c r="BH1868" s="7">
        <v>-0.3333</v>
      </c>
      <c r="BI1868" s="7">
        <v>1</v>
      </c>
      <c r="BJ1868" s="4">
        <v>47</v>
      </c>
      <c r="BK1868" s="8">
        <v>3327.27</v>
      </c>
      <c r="BL1868" s="2" t="s">
        <v>6205</v>
      </c>
      <c r="BM1868" s="7">
        <v>0.0426</v>
      </c>
      <c r="BN1868" s="7">
        <v>0.0429</v>
      </c>
      <c r="BO1868" s="4">
        <v>2</v>
      </c>
      <c r="BP1868" s="8">
        <v>142.84</v>
      </c>
      <c r="BQ1868" s="4">
        <v>3</v>
      </c>
      <c r="BR1868" s="8">
        <v>214.26</v>
      </c>
      <c r="BS1868" s="7">
        <v>-0.3333</v>
      </c>
      <c r="BT1868" s="7">
        <v>-0.3333</v>
      </c>
      <c r="BU1868" s="2" t="s">
        <v>109</v>
      </c>
      <c r="BV1868" s="2" t="s">
        <v>97</v>
      </c>
      <c r="BW1868" s="2" t="s">
        <v>6110</v>
      </c>
      <c r="BX1868" s="2" t="s">
        <v>6206</v>
      </c>
      <c r="BY1868" s="2" t="s">
        <v>112</v>
      </c>
      <c r="BZ1868" s="2" t="s">
        <v>100</v>
      </c>
    </row>
    <row r="1869">
      <c r="A1869" s="2" t="s">
        <v>6207</v>
      </c>
      <c r="B1869" s="2" t="s">
        <v>6098</v>
      </c>
      <c r="C1869" s="2" t="s">
        <v>88</v>
      </c>
      <c r="D1869" s="2" t="s">
        <v>6099</v>
      </c>
      <c r="E1869" s="2" t="s">
        <v>6100</v>
      </c>
      <c r="F1869" s="2" t="s">
        <v>6208</v>
      </c>
      <c r="G1869" s="2" t="s">
        <v>6208</v>
      </c>
      <c r="H1869" s="2" t="s">
        <v>6208</v>
      </c>
      <c r="I1869" s="2" t="s">
        <v>6122</v>
      </c>
      <c r="J1869" s="2" t="s">
        <v>6103</v>
      </c>
      <c r="K1869" s="2" t="s">
        <v>5427</v>
      </c>
      <c r="L1869" s="3">
        <v>43.01</v>
      </c>
      <c r="M1869" s="3">
        <v>45.16</v>
      </c>
      <c r="N1869" s="3">
        <v>84.99</v>
      </c>
      <c r="O1869" s="2" t="s">
        <v>97</v>
      </c>
      <c r="P1869" s="2" t="s">
        <v>182</v>
      </c>
      <c r="Q1869" s="2" t="s">
        <v>99</v>
      </c>
      <c r="R1869" s="2" t="s">
        <v>100</v>
      </c>
      <c r="S1869" s="2" t="s">
        <v>6209</v>
      </c>
      <c r="T1869" s="2" t="s">
        <v>100</v>
      </c>
      <c r="U1869" s="2" t="s">
        <v>2104</v>
      </c>
      <c r="V1869" s="2" t="s">
        <v>1122</v>
      </c>
      <c r="W1869" s="2" t="s">
        <v>1190</v>
      </c>
      <c r="X1869" s="2" t="s">
        <v>1190</v>
      </c>
      <c r="Y1869" s="2" t="s">
        <v>6210</v>
      </c>
      <c r="Z1869" s="4">
        <v>240</v>
      </c>
      <c r="AA1869" s="4">
        <f>=ROUNDDOWN(51.063829787234,0)</f>
      </c>
      <c r="AB1869" s="5">
        <v>4.7</v>
      </c>
      <c r="AC1869" s="2" t="s">
        <v>100</v>
      </c>
      <c r="AD1869" s="4"/>
      <c r="AE1869" s="4"/>
      <c r="AF1869" s="6">
        <v>63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>
        <v>0</v>
      </c>
      <c r="AP1869" s="4">
        <v>3</v>
      </c>
      <c r="AQ1869" s="8">
        <v>135.48</v>
      </c>
      <c r="AR1869" s="4">
        <v>6</v>
      </c>
      <c r="AS1869" s="8">
        <v>294.87</v>
      </c>
      <c r="AT1869" s="7">
        <v>-0.5</v>
      </c>
      <c r="AU1869" s="7">
        <v>-0.5405</v>
      </c>
      <c r="AV1869" s="4">
        <v>3</v>
      </c>
      <c r="AW1869" s="8">
        <v>135.48</v>
      </c>
      <c r="AX1869" s="4">
        <v>6</v>
      </c>
      <c r="AY1869" s="8">
        <v>294.87</v>
      </c>
      <c r="AZ1869" s="7">
        <v>-0.5</v>
      </c>
      <c r="BA1869" s="7">
        <v>-0.5405</v>
      </c>
      <c r="BB1869" s="7">
        <v>1</v>
      </c>
      <c r="BC1869" s="4">
        <v>3</v>
      </c>
      <c r="BD1869" s="8">
        <v>135.48</v>
      </c>
      <c r="BE1869" s="4">
        <v>6</v>
      </c>
      <c r="BF1869" s="8">
        <v>294.87</v>
      </c>
      <c r="BG1869" s="7">
        <v>-0.5</v>
      </c>
      <c r="BH1869" s="7">
        <v>-0.5405</v>
      </c>
      <c r="BI1869" s="7">
        <v>1</v>
      </c>
      <c r="BJ1869" s="4">
        <v>162</v>
      </c>
      <c r="BK1869" s="8">
        <v>8429.67</v>
      </c>
      <c r="BL1869" s="2" t="s">
        <v>6211</v>
      </c>
      <c r="BM1869" s="7">
        <v>0.0185</v>
      </c>
      <c r="BN1869" s="7">
        <v>0.0161</v>
      </c>
      <c r="BO1869" s="4">
        <v>3</v>
      </c>
      <c r="BP1869" s="8">
        <v>135.48</v>
      </c>
      <c r="BQ1869" s="4">
        <v>6</v>
      </c>
      <c r="BR1869" s="8">
        <v>294.87</v>
      </c>
      <c r="BS1869" s="7">
        <v>-0.5</v>
      </c>
      <c r="BT1869" s="7">
        <v>-0.5405</v>
      </c>
      <c r="BU1869" s="2" t="s">
        <v>109</v>
      </c>
      <c r="BV1869" s="2" t="s">
        <v>97</v>
      </c>
      <c r="BW1869" s="2" t="s">
        <v>6110</v>
      </c>
      <c r="BX1869" s="2" t="s">
        <v>4360</v>
      </c>
      <c r="BY1869" s="2" t="s">
        <v>112</v>
      </c>
      <c r="BZ1869" s="2" t="s">
        <v>100</v>
      </c>
    </row>
    <row r="1870">
      <c r="A1870" s="2" t="s">
        <v>6212</v>
      </c>
      <c r="B1870" s="2" t="s">
        <v>6098</v>
      </c>
      <c r="C1870" s="2" t="s">
        <v>88</v>
      </c>
      <c r="D1870" s="2" t="s">
        <v>6099</v>
      </c>
      <c r="E1870" s="2" t="s">
        <v>6100</v>
      </c>
      <c r="F1870" s="2" t="s">
        <v>6213</v>
      </c>
      <c r="G1870" s="2" t="s">
        <v>6213</v>
      </c>
      <c r="H1870" s="2" t="s">
        <v>6213</v>
      </c>
      <c r="I1870" s="2" t="s">
        <v>6214</v>
      </c>
      <c r="J1870" s="2" t="s">
        <v>6103</v>
      </c>
      <c r="K1870" s="2" t="s">
        <v>666</v>
      </c>
      <c r="L1870" s="3">
        <v>31.35</v>
      </c>
      <c r="M1870" s="3">
        <v>32.92</v>
      </c>
      <c r="N1870" s="3">
        <v>69.99</v>
      </c>
      <c r="O1870" s="2" t="s">
        <v>550</v>
      </c>
      <c r="P1870" s="2" t="s">
        <v>198</v>
      </c>
      <c r="Q1870" s="2" t="s">
        <v>99</v>
      </c>
      <c r="R1870" s="2" t="s">
        <v>100</v>
      </c>
      <c r="S1870" s="2" t="s">
        <v>6215</v>
      </c>
      <c r="T1870" s="2" t="s">
        <v>100</v>
      </c>
      <c r="U1870" s="2" t="s">
        <v>3531</v>
      </c>
      <c r="V1870" s="2" t="s">
        <v>491</v>
      </c>
      <c r="W1870" s="2" t="s">
        <v>104</v>
      </c>
      <c r="X1870" s="2" t="s">
        <v>100</v>
      </c>
      <c r="Y1870" s="2" t="s">
        <v>6216</v>
      </c>
      <c r="Z1870" s="4">
        <v>41</v>
      </c>
      <c r="AA1870" s="4">
        <f>=ROUNDDOWN(16.4,0)</f>
      </c>
      <c r="AB1870" s="5">
        <v>2.5</v>
      </c>
      <c r="AC1870" s="2" t="s">
        <v>100</v>
      </c>
      <c r="AD1870" s="4"/>
      <c r="AE1870" s="4"/>
      <c r="AF1870" s="6">
        <v>63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>
        <v>0</v>
      </c>
      <c r="AP1870" s="4">
        <v>4</v>
      </c>
      <c r="AQ1870" s="8">
        <v>131.68</v>
      </c>
      <c r="AR1870" s="4">
        <v>3</v>
      </c>
      <c r="AS1870" s="8">
        <v>98.76</v>
      </c>
      <c r="AT1870" s="7">
        <v>0.3333</v>
      </c>
      <c r="AU1870" s="7">
        <v>0.3333</v>
      </c>
      <c r="AV1870" s="4">
        <v>4</v>
      </c>
      <c r="AW1870" s="8">
        <v>131.68</v>
      </c>
      <c r="AX1870" s="4">
        <v>3</v>
      </c>
      <c r="AY1870" s="8">
        <v>98.76</v>
      </c>
      <c r="AZ1870" s="7">
        <v>0.3333</v>
      </c>
      <c r="BA1870" s="7">
        <v>0.3333</v>
      </c>
      <c r="BB1870" s="7">
        <v>1</v>
      </c>
      <c r="BC1870" s="4">
        <v>4</v>
      </c>
      <c r="BD1870" s="8">
        <v>131.68</v>
      </c>
      <c r="BE1870" s="4">
        <v>3</v>
      </c>
      <c r="BF1870" s="8">
        <v>98.76</v>
      </c>
      <c r="BG1870" s="7">
        <v>0.3333</v>
      </c>
      <c r="BH1870" s="7">
        <v>0.3333</v>
      </c>
      <c r="BI1870" s="7">
        <v>1</v>
      </c>
      <c r="BJ1870" s="4">
        <v>40</v>
      </c>
      <c r="BK1870" s="8">
        <v>1275</v>
      </c>
      <c r="BL1870" s="2" t="s">
        <v>6217</v>
      </c>
      <c r="BM1870" s="7">
        <v>0.1</v>
      </c>
      <c r="BN1870" s="7">
        <v>0.1033</v>
      </c>
      <c r="BO1870" s="4">
        <v>4</v>
      </c>
      <c r="BP1870" s="8">
        <v>131.68</v>
      </c>
      <c r="BQ1870" s="4">
        <v>3</v>
      </c>
      <c r="BR1870" s="8">
        <v>98.76</v>
      </c>
      <c r="BS1870" s="7">
        <v>0.3333</v>
      </c>
      <c r="BT1870" s="7">
        <v>0.3333</v>
      </c>
      <c r="BU1870" s="2" t="s">
        <v>109</v>
      </c>
      <c r="BV1870" s="2" t="s">
        <v>97</v>
      </c>
      <c r="BW1870" s="2" t="s">
        <v>2917</v>
      </c>
      <c r="BX1870" s="2" t="s">
        <v>880</v>
      </c>
      <c r="BY1870" s="2" t="s">
        <v>112</v>
      </c>
      <c r="BZ1870" s="2" t="s">
        <v>100</v>
      </c>
    </row>
    <row r="1871">
      <c r="A1871" s="2" t="s">
        <v>6218</v>
      </c>
      <c r="B1871" s="2" t="s">
        <v>6098</v>
      </c>
      <c r="C1871" s="2" t="s">
        <v>88</v>
      </c>
      <c r="D1871" s="2" t="s">
        <v>6099</v>
      </c>
      <c r="E1871" s="2" t="s">
        <v>6100</v>
      </c>
      <c r="F1871" s="2" t="s">
        <v>6219</v>
      </c>
      <c r="G1871" s="2" t="s">
        <v>6219</v>
      </c>
      <c r="H1871" s="2" t="s">
        <v>6219</v>
      </c>
      <c r="I1871" s="2" t="s">
        <v>6159</v>
      </c>
      <c r="J1871" s="2" t="s">
        <v>6103</v>
      </c>
      <c r="K1871" s="2" t="s">
        <v>1767</v>
      </c>
      <c r="L1871" s="3">
        <v>49.63</v>
      </c>
      <c r="M1871" s="3">
        <v>52.11</v>
      </c>
      <c r="N1871" s="3">
        <v>96.04</v>
      </c>
      <c r="O1871" s="2" t="s">
        <v>97</v>
      </c>
      <c r="P1871" s="2" t="s">
        <v>143</v>
      </c>
      <c r="Q1871" s="2" t="s">
        <v>99</v>
      </c>
      <c r="R1871" s="2" t="s">
        <v>100</v>
      </c>
      <c r="S1871" s="2" t="s">
        <v>6220</v>
      </c>
      <c r="T1871" s="2" t="s">
        <v>100</v>
      </c>
      <c r="U1871" s="2" t="s">
        <v>1610</v>
      </c>
      <c r="V1871" s="2" t="s">
        <v>6169</v>
      </c>
      <c r="W1871" s="2" t="s">
        <v>104</v>
      </c>
      <c r="X1871" s="2" t="s">
        <v>100</v>
      </c>
      <c r="Y1871" s="2" t="s">
        <v>106</v>
      </c>
      <c r="Z1871" s="4">
        <v>312</v>
      </c>
      <c r="AA1871" s="4">
        <f>=ROUNDDOWN(17.3333333333333,0)</f>
      </c>
      <c r="AB1871" s="5">
        <v>18</v>
      </c>
      <c r="AC1871" s="2" t="s">
        <v>6199</v>
      </c>
      <c r="AD1871" s="4">
        <v>150</v>
      </c>
      <c r="AE1871" s="4">
        <v>270</v>
      </c>
      <c r="AF1871" s="6">
        <v>63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>
        <v>0</v>
      </c>
      <c r="AP1871" s="4">
        <v>1</v>
      </c>
      <c r="AQ1871" s="8">
        <v>52.11</v>
      </c>
      <c r="AR1871" s="4">
        <v>6</v>
      </c>
      <c r="AS1871" s="8">
        <v>340.26</v>
      </c>
      <c r="AT1871" s="7">
        <v>-0.8333</v>
      </c>
      <c r="AU1871" s="7">
        <v>-0.8469</v>
      </c>
      <c r="AV1871" s="4">
        <v>1</v>
      </c>
      <c r="AW1871" s="8">
        <v>52.11</v>
      </c>
      <c r="AX1871" s="4">
        <v>6</v>
      </c>
      <c r="AY1871" s="8">
        <v>340.26</v>
      </c>
      <c r="AZ1871" s="7">
        <v>-0.8333</v>
      </c>
      <c r="BA1871" s="7">
        <v>-0.8469</v>
      </c>
      <c r="BB1871" s="7">
        <v>1</v>
      </c>
      <c r="BC1871" s="4">
        <v>1</v>
      </c>
      <c r="BD1871" s="8">
        <v>52.11</v>
      </c>
      <c r="BE1871" s="4">
        <v>6</v>
      </c>
      <c r="BF1871" s="8">
        <v>340.26</v>
      </c>
      <c r="BG1871" s="7">
        <v>-0.8333</v>
      </c>
      <c r="BH1871" s="7">
        <v>-0.8469</v>
      </c>
      <c r="BI1871" s="7">
        <v>1</v>
      </c>
      <c r="BJ1871" s="4">
        <v>419</v>
      </c>
      <c r="BK1871" s="8">
        <v>25490.57</v>
      </c>
      <c r="BL1871" s="2" t="s">
        <v>6221</v>
      </c>
      <c r="BM1871" s="7">
        <v>0.0024</v>
      </c>
      <c r="BN1871" s="7">
        <v>0.002</v>
      </c>
      <c r="BO1871" s="4">
        <v>1</v>
      </c>
      <c r="BP1871" s="8">
        <v>52.11</v>
      </c>
      <c r="BQ1871" s="4">
        <v>6</v>
      </c>
      <c r="BR1871" s="8">
        <v>340.26</v>
      </c>
      <c r="BS1871" s="7">
        <v>-0.8333</v>
      </c>
      <c r="BT1871" s="7">
        <v>-0.8469</v>
      </c>
      <c r="BU1871" s="2" t="s">
        <v>109</v>
      </c>
      <c r="BV1871" s="2" t="s">
        <v>97</v>
      </c>
      <c r="BW1871" s="2" t="s">
        <v>2917</v>
      </c>
      <c r="BX1871" s="2" t="s">
        <v>4360</v>
      </c>
      <c r="BY1871" s="2" t="s">
        <v>112</v>
      </c>
      <c r="BZ1871" s="2" t="s">
        <v>100</v>
      </c>
    </row>
    <row r="1872">
      <c r="A1872" s="2" t="s">
        <v>6222</v>
      </c>
      <c r="B1872" s="2" t="s">
        <v>6098</v>
      </c>
      <c r="C1872" s="2" t="s">
        <v>88</v>
      </c>
      <c r="D1872" s="2" t="s">
        <v>6099</v>
      </c>
      <c r="E1872" s="2" t="s">
        <v>6100</v>
      </c>
      <c r="F1872" s="2" t="s">
        <v>6223</v>
      </c>
      <c r="G1872" s="2" t="s">
        <v>100</v>
      </c>
      <c r="H1872" s="2" t="s">
        <v>100</v>
      </c>
      <c r="I1872" s="2" t="s">
        <v>6224</v>
      </c>
      <c r="J1872" s="2" t="s">
        <v>6103</v>
      </c>
      <c r="K1872" s="2" t="s">
        <v>158</v>
      </c>
      <c r="L1872" s="3">
        <v>43.16</v>
      </c>
      <c r="M1872" s="3">
        <v>45.32</v>
      </c>
      <c r="N1872" s="3">
        <v>89.99</v>
      </c>
      <c r="O1872" s="2" t="s">
        <v>229</v>
      </c>
      <c r="P1872" s="2" t="s">
        <v>198</v>
      </c>
      <c r="Q1872" s="2" t="s">
        <v>99</v>
      </c>
      <c r="R1872" s="2" t="s">
        <v>100</v>
      </c>
      <c r="S1872" s="2" t="s">
        <v>6225</v>
      </c>
      <c r="T1872" s="2" t="s">
        <v>100</v>
      </c>
      <c r="U1872" s="2" t="s">
        <v>1610</v>
      </c>
      <c r="V1872" s="2" t="s">
        <v>4714</v>
      </c>
      <c r="W1872" s="2" t="s">
        <v>1530</v>
      </c>
      <c r="X1872" s="2" t="s">
        <v>100</v>
      </c>
      <c r="Y1872" s="2" t="s">
        <v>106</v>
      </c>
      <c r="Z1872" s="4">
        <v>3</v>
      </c>
      <c r="AA1872" s="4">
        <f>=ROUNDDOWN(15,0)</f>
      </c>
      <c r="AB1872" s="5">
        <v>0.2</v>
      </c>
      <c r="AC1872" s="2" t="s">
        <v>100</v>
      </c>
      <c r="AD1872" s="4"/>
      <c r="AE1872" s="4"/>
      <c r="AF1872" s="6">
        <v>63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>
        <v>0</v>
      </c>
      <c r="AP1872" s="4">
        <v>1</v>
      </c>
      <c r="AQ1872" s="8">
        <v>45.32</v>
      </c>
      <c r="AR1872" s="4">
        <v>8</v>
      </c>
      <c r="AS1872" s="8">
        <v>362.56</v>
      </c>
      <c r="AT1872" s="7">
        <v>-0.875</v>
      </c>
      <c r="AU1872" s="7">
        <v>-0.875</v>
      </c>
      <c r="AV1872" s="4">
        <v>1</v>
      </c>
      <c r="AW1872" s="8">
        <v>45.32</v>
      </c>
      <c r="AX1872" s="4">
        <v>8</v>
      </c>
      <c r="AY1872" s="8">
        <v>362.56</v>
      </c>
      <c r="AZ1872" s="7">
        <v>-0.875</v>
      </c>
      <c r="BA1872" s="7">
        <v>-0.875</v>
      </c>
      <c r="BB1872" s="7">
        <v>1</v>
      </c>
      <c r="BC1872" s="4">
        <v>1</v>
      </c>
      <c r="BD1872" s="8">
        <v>45.32</v>
      </c>
      <c r="BE1872" s="4">
        <v>8</v>
      </c>
      <c r="BF1872" s="8">
        <v>362.56</v>
      </c>
      <c r="BG1872" s="7">
        <v>-0.875</v>
      </c>
      <c r="BH1872" s="7">
        <v>-0.875</v>
      </c>
      <c r="BI1872" s="7">
        <v>1</v>
      </c>
      <c r="BJ1872" s="4">
        <v>22</v>
      </c>
      <c r="BK1872" s="8">
        <v>797.83</v>
      </c>
      <c r="BL1872" s="2" t="s">
        <v>6226</v>
      </c>
      <c r="BM1872" s="7">
        <v>0.0455</v>
      </c>
      <c r="BN1872" s="7">
        <v>0.0568</v>
      </c>
      <c r="BO1872" s="4">
        <v>1</v>
      </c>
      <c r="BP1872" s="8">
        <v>45.32</v>
      </c>
      <c r="BQ1872" s="4">
        <v>8</v>
      </c>
      <c r="BR1872" s="8">
        <v>362.56</v>
      </c>
      <c r="BS1872" s="7">
        <v>-0.875</v>
      </c>
      <c r="BT1872" s="7">
        <v>-0.875</v>
      </c>
      <c r="BU1872" s="2" t="s">
        <v>109</v>
      </c>
      <c r="BV1872" s="2" t="s">
        <v>97</v>
      </c>
      <c r="BW1872" s="2" t="s">
        <v>6110</v>
      </c>
      <c r="BX1872" s="2" t="s">
        <v>5524</v>
      </c>
      <c r="BY1872" s="2" t="s">
        <v>112</v>
      </c>
      <c r="BZ1872" s="2" t="s">
        <v>100</v>
      </c>
    </row>
    <row r="1873">
      <c r="A1873" s="2" t="s">
        <v>6227</v>
      </c>
      <c r="B1873" s="2" t="s">
        <v>6098</v>
      </c>
      <c r="C1873" s="2" t="s">
        <v>88</v>
      </c>
      <c r="D1873" s="2" t="s">
        <v>6099</v>
      </c>
      <c r="E1873" s="2" t="s">
        <v>6100</v>
      </c>
      <c r="F1873" s="2" t="s">
        <v>6228</v>
      </c>
      <c r="G1873" s="2" t="s">
        <v>6228</v>
      </c>
      <c r="H1873" s="2" t="s">
        <v>6228</v>
      </c>
      <c r="I1873" s="2" t="s">
        <v>6229</v>
      </c>
      <c r="J1873" s="2" t="s">
        <v>6103</v>
      </c>
      <c r="K1873" s="2" t="s">
        <v>96</v>
      </c>
      <c r="L1873" s="3">
        <v>41.69</v>
      </c>
      <c r="M1873" s="3">
        <v>43.77</v>
      </c>
      <c r="N1873" s="3">
        <v>89.24</v>
      </c>
      <c r="O1873" s="2" t="s">
        <v>97</v>
      </c>
      <c r="P1873" s="2" t="s">
        <v>1265</v>
      </c>
      <c r="Q1873" s="2" t="s">
        <v>99</v>
      </c>
      <c r="R1873" s="2" t="s">
        <v>100</v>
      </c>
      <c r="S1873" s="2" t="s">
        <v>100</v>
      </c>
      <c r="T1873" s="2" t="s">
        <v>100</v>
      </c>
      <c r="U1873" s="2" t="s">
        <v>1610</v>
      </c>
      <c r="V1873" s="2" t="s">
        <v>6169</v>
      </c>
      <c r="W1873" s="2" t="s">
        <v>104</v>
      </c>
      <c r="X1873" s="2" t="s">
        <v>100</v>
      </c>
      <c r="Y1873" s="2" t="s">
        <v>6230</v>
      </c>
      <c r="Z1873" s="4">
        <v>170</v>
      </c>
      <c r="AA1873" s="4">
        <f>=ROUNDDOWN(62.962962962963,0)</f>
      </c>
      <c r="AB1873" s="5">
        <v>2.7</v>
      </c>
      <c r="AC1873" s="2" t="s">
        <v>100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>
        <v>0</v>
      </c>
      <c r="AP1873" s="4">
        <v>1</v>
      </c>
      <c r="AQ1873" s="8">
        <v>43.78</v>
      </c>
      <c r="AR1873" s="4">
        <v>12</v>
      </c>
      <c r="AS1873" s="8">
        <v>571.68</v>
      </c>
      <c r="AT1873" s="7">
        <v>-0.9167</v>
      </c>
      <c r="AU1873" s="7">
        <v>-0.9234</v>
      </c>
      <c r="AV1873" s="4">
        <v>1</v>
      </c>
      <c r="AW1873" s="8">
        <v>43.78</v>
      </c>
      <c r="AX1873" s="4">
        <v>12</v>
      </c>
      <c r="AY1873" s="8">
        <v>571.68</v>
      </c>
      <c r="AZ1873" s="7">
        <v>-0.9167</v>
      </c>
      <c r="BA1873" s="7">
        <v>-0.9234</v>
      </c>
      <c r="BB1873" s="7">
        <v>1</v>
      </c>
      <c r="BC1873" s="4">
        <v>1</v>
      </c>
      <c r="BD1873" s="8">
        <v>43.78</v>
      </c>
      <c r="BE1873" s="4">
        <v>12</v>
      </c>
      <c r="BF1873" s="8">
        <v>571.68</v>
      </c>
      <c r="BG1873" s="7">
        <v>-0.9167</v>
      </c>
      <c r="BH1873" s="7">
        <v>-0.9234</v>
      </c>
      <c r="BI1873" s="7">
        <v>1</v>
      </c>
      <c r="BJ1873" s="4">
        <v>59</v>
      </c>
      <c r="BK1873" s="8">
        <v>3031.29</v>
      </c>
      <c r="BL1873" s="2" t="s">
        <v>6231</v>
      </c>
      <c r="BM1873" s="7">
        <v>0.0169</v>
      </c>
      <c r="BN1873" s="7">
        <v>0.0144</v>
      </c>
      <c r="BO1873" s="4">
        <v>1</v>
      </c>
      <c r="BP1873" s="8">
        <v>43.78</v>
      </c>
      <c r="BQ1873" s="4">
        <v>12</v>
      </c>
      <c r="BR1873" s="8">
        <v>571.68</v>
      </c>
      <c r="BS1873" s="7">
        <v>-0.9167</v>
      </c>
      <c r="BT1873" s="7">
        <v>-0.9234</v>
      </c>
      <c r="BU1873" s="2" t="s">
        <v>109</v>
      </c>
      <c r="BV1873" s="2" t="s">
        <v>97</v>
      </c>
      <c r="BW1873" s="2" t="s">
        <v>6110</v>
      </c>
      <c r="BX1873" s="2" t="s">
        <v>2728</v>
      </c>
      <c r="BY1873" s="2" t="s">
        <v>112</v>
      </c>
      <c r="BZ1873" s="2" t="s">
        <v>100</v>
      </c>
    </row>
    <row r="1874">
      <c r="A1874" s="2" t="s">
        <v>6232</v>
      </c>
      <c r="B1874" s="2" t="s">
        <v>6098</v>
      </c>
      <c r="C1874" s="2" t="s">
        <v>88</v>
      </c>
      <c r="D1874" s="2" t="s">
        <v>6099</v>
      </c>
      <c r="E1874" s="2" t="s">
        <v>6100</v>
      </c>
      <c r="F1874" s="2" t="s">
        <v>6233</v>
      </c>
      <c r="G1874" s="2" t="s">
        <v>6233</v>
      </c>
      <c r="H1874" s="2" t="s">
        <v>6233</v>
      </c>
      <c r="I1874" s="2" t="s">
        <v>6234</v>
      </c>
      <c r="J1874" s="2" t="s">
        <v>6103</v>
      </c>
      <c r="K1874" s="2" t="s">
        <v>1767</v>
      </c>
      <c r="L1874" s="3">
        <v>16.15</v>
      </c>
      <c r="M1874" s="3">
        <v>16.96</v>
      </c>
      <c r="N1874" s="3">
        <v>33.99</v>
      </c>
      <c r="O1874" s="2" t="s">
        <v>97</v>
      </c>
      <c r="P1874" s="2" t="s">
        <v>1265</v>
      </c>
      <c r="Q1874" s="2" t="s">
        <v>99</v>
      </c>
      <c r="R1874" s="2" t="s">
        <v>100</v>
      </c>
      <c r="S1874" s="2" t="s">
        <v>6235</v>
      </c>
      <c r="T1874" s="2" t="s">
        <v>100</v>
      </c>
      <c r="U1874" s="2" t="s">
        <v>1610</v>
      </c>
      <c r="V1874" s="2" t="s">
        <v>491</v>
      </c>
      <c r="W1874" s="2" t="s">
        <v>104</v>
      </c>
      <c r="X1874" s="2" t="s">
        <v>100</v>
      </c>
      <c r="Y1874" s="2" t="s">
        <v>106</v>
      </c>
      <c r="Z1874" s="4">
        <v>45</v>
      </c>
      <c r="AA1874" s="4">
        <f>=ROUNDDOWN(11.8421052631579,0)</f>
      </c>
      <c r="AB1874" s="5">
        <v>3.8</v>
      </c>
      <c r="AC1874" s="2" t="s">
        <v>325</v>
      </c>
      <c r="AD1874" s="4">
        <v>100</v>
      </c>
      <c r="AE1874" s="4">
        <v>100</v>
      </c>
      <c r="AF1874" s="6">
        <v>63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>
        <v>0</v>
      </c>
      <c r="AP1874" s="4">
        <v>2</v>
      </c>
      <c r="AQ1874" s="8">
        <v>33.92</v>
      </c>
      <c r="AR1874" s="4">
        <v>9</v>
      </c>
      <c r="AS1874" s="8">
        <v>161.61</v>
      </c>
      <c r="AT1874" s="7">
        <v>-0.7778</v>
      </c>
      <c r="AU1874" s="7">
        <v>-0.7901</v>
      </c>
      <c r="AV1874" s="4">
        <v>2</v>
      </c>
      <c r="AW1874" s="8">
        <v>33.92</v>
      </c>
      <c r="AX1874" s="4">
        <v>9</v>
      </c>
      <c r="AY1874" s="8">
        <v>161.61</v>
      </c>
      <c r="AZ1874" s="7">
        <v>-0.7778</v>
      </c>
      <c r="BA1874" s="7">
        <v>-0.7901</v>
      </c>
      <c r="BB1874" s="7">
        <v>1</v>
      </c>
      <c r="BC1874" s="4">
        <v>2</v>
      </c>
      <c r="BD1874" s="8">
        <v>33.92</v>
      </c>
      <c r="BE1874" s="4">
        <v>9</v>
      </c>
      <c r="BF1874" s="8">
        <v>161.61</v>
      </c>
      <c r="BG1874" s="7">
        <v>-0.7778</v>
      </c>
      <c r="BH1874" s="7">
        <v>-0.7901</v>
      </c>
      <c r="BI1874" s="7">
        <v>1</v>
      </c>
      <c r="BJ1874" s="4">
        <v>130</v>
      </c>
      <c r="BK1874" s="8">
        <v>2587.51</v>
      </c>
      <c r="BL1874" s="2" t="s">
        <v>6236</v>
      </c>
      <c r="BM1874" s="7">
        <v>0.0154</v>
      </c>
      <c r="BN1874" s="7">
        <v>0.0131</v>
      </c>
      <c r="BO1874" s="4">
        <v>2</v>
      </c>
      <c r="BP1874" s="8">
        <v>33.92</v>
      </c>
      <c r="BQ1874" s="4">
        <v>9</v>
      </c>
      <c r="BR1874" s="8">
        <v>161.61</v>
      </c>
      <c r="BS1874" s="7">
        <v>-0.7778</v>
      </c>
      <c r="BT1874" s="7">
        <v>-0.7901</v>
      </c>
      <c r="BU1874" s="2" t="s">
        <v>109</v>
      </c>
      <c r="BV1874" s="2" t="s">
        <v>97</v>
      </c>
      <c r="BW1874" s="2" t="s">
        <v>6110</v>
      </c>
      <c r="BX1874" s="2" t="s">
        <v>6237</v>
      </c>
      <c r="BY1874" s="2" t="s">
        <v>112</v>
      </c>
      <c r="BZ1874" s="2" t="s">
        <v>100</v>
      </c>
    </row>
    <row r="1875">
      <c r="A1875" s="2" t="s">
        <v>6238</v>
      </c>
      <c r="B1875" s="2" t="s">
        <v>6098</v>
      </c>
      <c r="C1875" s="2" t="s">
        <v>88</v>
      </c>
      <c r="D1875" s="2" t="s">
        <v>6099</v>
      </c>
      <c r="E1875" s="2" t="s">
        <v>6100</v>
      </c>
      <c r="F1875" s="2" t="s">
        <v>6239</v>
      </c>
      <c r="G1875" s="2" t="s">
        <v>6239</v>
      </c>
      <c r="H1875" s="2" t="s">
        <v>6239</v>
      </c>
      <c r="I1875" s="2" t="s">
        <v>6240</v>
      </c>
      <c r="J1875" s="2" t="s">
        <v>6103</v>
      </c>
      <c r="K1875" s="2" t="s">
        <v>6241</v>
      </c>
      <c r="L1875" s="3">
        <v>6.66</v>
      </c>
      <c r="M1875" s="3">
        <v>6.99</v>
      </c>
      <c r="N1875" s="3">
        <v>19.99</v>
      </c>
      <c r="O1875" s="2" t="s">
        <v>97</v>
      </c>
      <c r="P1875" s="2" t="s">
        <v>182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3531</v>
      </c>
      <c r="V1875" s="2" t="s">
        <v>5769</v>
      </c>
      <c r="W1875" s="2" t="s">
        <v>1310</v>
      </c>
      <c r="X1875" s="2" t="s">
        <v>808</v>
      </c>
      <c r="Y1875" s="2" t="s">
        <v>6242</v>
      </c>
      <c r="Z1875" s="4">
        <v>162</v>
      </c>
      <c r="AA1875" s="4">
        <f>=ROUNDDOWN(108,0)</f>
      </c>
      <c r="AB1875" s="5">
        <v>1.5</v>
      </c>
      <c r="AC1875" s="2" t="s">
        <v>100</v>
      </c>
      <c r="AD1875" s="4"/>
      <c r="AE1875" s="4"/>
      <c r="AF1875" s="6">
        <v>63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100</v>
      </c>
      <c r="BD1875" s="8" t="s">
        <v>100</v>
      </c>
      <c r="BE1875" s="4" t="s">
        <v>100</v>
      </c>
      <c r="BF1875" s="8" t="s">
        <v>100</v>
      </c>
      <c r="BG1875" s="7" t="s">
        <v>100</v>
      </c>
      <c r="BH1875" s="7" t="s">
        <v>100</v>
      </c>
      <c r="BI1875" s="7"/>
      <c r="BJ1875" s="4">
        <v>15</v>
      </c>
      <c r="BK1875" s="8">
        <v>136.61</v>
      </c>
      <c r="BL1875" s="2" t="s">
        <v>6243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6185</v>
      </c>
      <c r="BV1875" s="2" t="s">
        <v>97</v>
      </c>
      <c r="BW1875" s="2" t="s">
        <v>100</v>
      </c>
      <c r="BX1875" s="2" t="s">
        <v>100</v>
      </c>
      <c r="BY1875" s="2" t="s">
        <v>112</v>
      </c>
      <c r="BZ1875" s="2" t="s">
        <v>100</v>
      </c>
    </row>
    <row r="1876">
      <c r="A1876" s="2" t="s">
        <v>6244</v>
      </c>
      <c r="B1876" s="2" t="s">
        <v>6098</v>
      </c>
      <c r="C1876" s="2" t="s">
        <v>88</v>
      </c>
      <c r="D1876" s="2" t="s">
        <v>6099</v>
      </c>
      <c r="E1876" s="2" t="s">
        <v>6100</v>
      </c>
      <c r="F1876" s="2" t="s">
        <v>6239</v>
      </c>
      <c r="G1876" s="2" t="s">
        <v>6239</v>
      </c>
      <c r="H1876" s="2" t="s">
        <v>6239</v>
      </c>
      <c r="I1876" s="2" t="s">
        <v>6245</v>
      </c>
      <c r="J1876" s="2" t="s">
        <v>6103</v>
      </c>
      <c r="K1876" s="2" t="s">
        <v>6246</v>
      </c>
      <c r="L1876" s="3">
        <v>6.66</v>
      </c>
      <c r="M1876" s="3">
        <v>6.99</v>
      </c>
      <c r="N1876" s="3">
        <v>19.99</v>
      </c>
      <c r="O1876" s="2" t="s">
        <v>97</v>
      </c>
      <c r="P1876" s="2" t="s">
        <v>182</v>
      </c>
      <c r="Q1876" s="2" t="s">
        <v>99</v>
      </c>
      <c r="R1876" s="2" t="s">
        <v>100</v>
      </c>
      <c r="S1876" s="2" t="s">
        <v>100</v>
      </c>
      <c r="T1876" s="2" t="s">
        <v>100</v>
      </c>
      <c r="U1876" s="2" t="s">
        <v>3531</v>
      </c>
      <c r="V1876" s="2" t="s">
        <v>5769</v>
      </c>
      <c r="W1876" s="2" t="s">
        <v>1310</v>
      </c>
      <c r="X1876" s="2" t="s">
        <v>808</v>
      </c>
      <c r="Y1876" s="2" t="s">
        <v>3843</v>
      </c>
      <c r="Z1876" s="4">
        <v>162</v>
      </c>
      <c r="AA1876" s="4">
        <f>=ROUNDDOWN(32.4,0)</f>
      </c>
      <c r="AB1876" s="5">
        <v>5</v>
      </c>
      <c r="AC1876" s="2" t="s">
        <v>100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100</v>
      </c>
      <c r="BD1876" s="8" t="s">
        <v>100</v>
      </c>
      <c r="BE1876" s="4" t="s">
        <v>100</v>
      </c>
      <c r="BF1876" s="8" t="s">
        <v>100</v>
      </c>
      <c r="BG1876" s="7" t="s">
        <v>100</v>
      </c>
      <c r="BH1876" s="7" t="s">
        <v>100</v>
      </c>
      <c r="BI1876" s="7"/>
      <c r="BJ1876" s="4">
        <v>96</v>
      </c>
      <c r="BK1876" s="8">
        <v>873.03</v>
      </c>
      <c r="BL1876" s="2" t="s">
        <v>4993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6185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6247</v>
      </c>
      <c r="B1877" s="2" t="s">
        <v>6098</v>
      </c>
      <c r="C1877" s="2" t="s">
        <v>88</v>
      </c>
      <c r="D1877" s="2" t="s">
        <v>6099</v>
      </c>
      <c r="E1877" s="2" t="s">
        <v>6100</v>
      </c>
      <c r="F1877" s="2" t="s">
        <v>6239</v>
      </c>
      <c r="G1877" s="2" t="s">
        <v>6239</v>
      </c>
      <c r="H1877" s="2" t="s">
        <v>6239</v>
      </c>
      <c r="I1877" s="2" t="s">
        <v>6248</v>
      </c>
      <c r="J1877" s="2" t="s">
        <v>6103</v>
      </c>
      <c r="K1877" s="2" t="s">
        <v>6249</v>
      </c>
      <c r="L1877" s="3">
        <v>6.66</v>
      </c>
      <c r="M1877" s="3">
        <v>6.99</v>
      </c>
      <c r="N1877" s="3">
        <v>19.99</v>
      </c>
      <c r="O1877" s="2" t="s">
        <v>97</v>
      </c>
      <c r="P1877" s="2" t="s">
        <v>1166</v>
      </c>
      <c r="Q1877" s="2" t="s">
        <v>99</v>
      </c>
      <c r="R1877" s="2" t="s">
        <v>100</v>
      </c>
      <c r="S1877" s="2" t="s">
        <v>100</v>
      </c>
      <c r="T1877" s="2" t="s">
        <v>100</v>
      </c>
      <c r="U1877" s="2" t="s">
        <v>3531</v>
      </c>
      <c r="V1877" s="2" t="s">
        <v>5769</v>
      </c>
      <c r="W1877" s="2" t="s">
        <v>1310</v>
      </c>
      <c r="X1877" s="2" t="s">
        <v>808</v>
      </c>
      <c r="Y1877" s="2" t="s">
        <v>3843</v>
      </c>
      <c r="Z1877" s="4">
        <v>132</v>
      </c>
      <c r="AA1877" s="4">
        <f>=ROUNDDOWN(101.538461538462,0)</f>
      </c>
      <c r="AB1877" s="5">
        <v>1.3</v>
      </c>
      <c r="AC1877" s="2" t="s">
        <v>100</v>
      </c>
      <c r="AD1877" s="4"/>
      <c r="AE1877" s="4"/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100</v>
      </c>
      <c r="BD1877" s="8" t="s">
        <v>100</v>
      </c>
      <c r="BE1877" s="4" t="s">
        <v>100</v>
      </c>
      <c r="BF1877" s="8" t="s">
        <v>100</v>
      </c>
      <c r="BG1877" s="7" t="s">
        <v>100</v>
      </c>
      <c r="BH1877" s="7" t="s">
        <v>100</v>
      </c>
      <c r="BI1877" s="7"/>
      <c r="BJ1877" s="4">
        <v>26</v>
      </c>
      <c r="BK1877" s="8">
        <v>197.15</v>
      </c>
      <c r="BL1877" s="2" t="s">
        <v>6250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6185</v>
      </c>
      <c r="BV1877" s="2" t="s">
        <v>97</v>
      </c>
      <c r="BW1877" s="2" t="s">
        <v>100</v>
      </c>
      <c r="BX1877" s="2" t="s">
        <v>100</v>
      </c>
      <c r="BY1877" s="2" t="s">
        <v>112</v>
      </c>
      <c r="BZ1877" s="2" t="s">
        <v>100</v>
      </c>
    </row>
    <row r="1878">
      <c r="A1878" s="2" t="s">
        <v>6251</v>
      </c>
      <c r="B1878" s="2" t="s">
        <v>6098</v>
      </c>
      <c r="C1878" s="2" t="s">
        <v>88</v>
      </c>
      <c r="D1878" s="2" t="s">
        <v>6099</v>
      </c>
      <c r="E1878" s="2" t="s">
        <v>6100</v>
      </c>
      <c r="F1878" s="2" t="s">
        <v>6239</v>
      </c>
      <c r="G1878" s="2" t="s">
        <v>6239</v>
      </c>
      <c r="H1878" s="2" t="s">
        <v>6239</v>
      </c>
      <c r="I1878" s="2" t="s">
        <v>6252</v>
      </c>
      <c r="J1878" s="2" t="s">
        <v>6103</v>
      </c>
      <c r="K1878" s="2" t="s">
        <v>6253</v>
      </c>
      <c r="L1878" s="3">
        <v>6.66</v>
      </c>
      <c r="M1878" s="3">
        <v>6.99</v>
      </c>
      <c r="N1878" s="3">
        <v>19.99</v>
      </c>
      <c r="O1878" s="2" t="s">
        <v>97</v>
      </c>
      <c r="P1878" s="2" t="s">
        <v>182</v>
      </c>
      <c r="Q1878" s="2" t="s">
        <v>99</v>
      </c>
      <c r="R1878" s="2" t="s">
        <v>100</v>
      </c>
      <c r="S1878" s="2" t="s">
        <v>100</v>
      </c>
      <c r="T1878" s="2" t="s">
        <v>100</v>
      </c>
      <c r="U1878" s="2" t="s">
        <v>3531</v>
      </c>
      <c r="V1878" s="2" t="s">
        <v>5769</v>
      </c>
      <c r="W1878" s="2" t="s">
        <v>1310</v>
      </c>
      <c r="X1878" s="2" t="s">
        <v>808</v>
      </c>
      <c r="Y1878" s="2" t="s">
        <v>6242</v>
      </c>
      <c r="Z1878" s="4">
        <v>369</v>
      </c>
      <c r="AA1878" s="4">
        <f>=ROUNDDOWN(92.25,0)</f>
      </c>
      <c r="AB1878" s="5">
        <v>4</v>
      </c>
      <c r="AC1878" s="2" t="s">
        <v>100</v>
      </c>
      <c r="AD1878" s="4"/>
      <c r="AE1878" s="4"/>
      <c r="AF1878" s="6">
        <v>63</v>
      </c>
      <c r="AG1878" s="6"/>
      <c r="AH1878" s="7">
        <v>0.8182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100</v>
      </c>
      <c r="BD1878" s="8" t="s">
        <v>100</v>
      </c>
      <c r="BE1878" s="4" t="s">
        <v>100</v>
      </c>
      <c r="BF1878" s="8" t="s">
        <v>100</v>
      </c>
      <c r="BG1878" s="7" t="s">
        <v>100</v>
      </c>
      <c r="BH1878" s="7" t="s">
        <v>100</v>
      </c>
      <c r="BI1878" s="7"/>
      <c r="BJ1878" s="4">
        <v>33</v>
      </c>
      <c r="BK1878" s="8">
        <v>272.1</v>
      </c>
      <c r="BL1878" s="2" t="s">
        <v>6254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6185</v>
      </c>
      <c r="BV1878" s="2" t="s">
        <v>97</v>
      </c>
      <c r="BW1878" s="2" t="s">
        <v>100</v>
      </c>
      <c r="BX1878" s="2" t="s">
        <v>100</v>
      </c>
      <c r="BY1878" s="2" t="s">
        <v>112</v>
      </c>
      <c r="BZ1878" s="2" t="s">
        <v>100</v>
      </c>
    </row>
    <row r="1879">
      <c r="A1879" s="2" t="s">
        <v>6255</v>
      </c>
      <c r="B1879" s="2" t="s">
        <v>6098</v>
      </c>
      <c r="C1879" s="2" t="s">
        <v>88</v>
      </c>
      <c r="D1879" s="2" t="s">
        <v>6099</v>
      </c>
      <c r="E1879" s="2" t="s">
        <v>6100</v>
      </c>
      <c r="F1879" s="2" t="s">
        <v>6239</v>
      </c>
      <c r="G1879" s="2" t="s">
        <v>6239</v>
      </c>
      <c r="H1879" s="2" t="s">
        <v>6239</v>
      </c>
      <c r="I1879" s="2" t="s">
        <v>6256</v>
      </c>
      <c r="J1879" s="2" t="s">
        <v>6103</v>
      </c>
      <c r="K1879" s="2" t="s">
        <v>6257</v>
      </c>
      <c r="L1879" s="3">
        <v>6.66</v>
      </c>
      <c r="M1879" s="3">
        <v>6.99</v>
      </c>
      <c r="N1879" s="3">
        <v>19.99</v>
      </c>
      <c r="O1879" s="2" t="s">
        <v>97</v>
      </c>
      <c r="P1879" s="2" t="s">
        <v>1166</v>
      </c>
      <c r="Q1879" s="2" t="s">
        <v>99</v>
      </c>
      <c r="R1879" s="2" t="s">
        <v>100</v>
      </c>
      <c r="S1879" s="2" t="s">
        <v>100</v>
      </c>
      <c r="T1879" s="2" t="s">
        <v>100</v>
      </c>
      <c r="U1879" s="2" t="s">
        <v>3531</v>
      </c>
      <c r="V1879" s="2" t="s">
        <v>5769</v>
      </c>
      <c r="W1879" s="2" t="s">
        <v>1310</v>
      </c>
      <c r="X1879" s="2" t="s">
        <v>808</v>
      </c>
      <c r="Y1879" s="2" t="s">
        <v>6242</v>
      </c>
      <c r="Z1879" s="4">
        <v>163</v>
      </c>
      <c r="AA1879" s="4">
        <f>=ROUNDDOWN(271.666666666667,0)</f>
      </c>
      <c r="AB1879" s="5">
        <v>0.6</v>
      </c>
      <c r="AC1879" s="2" t="s">
        <v>100</v>
      </c>
      <c r="AD1879" s="4"/>
      <c r="AE1879" s="4"/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/>
      <c r="BJ1879" s="4">
        <v>38</v>
      </c>
      <c r="BK1879" s="8">
        <v>312.55</v>
      </c>
      <c r="BL1879" s="2" t="s">
        <v>6254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6185</v>
      </c>
      <c r="BV1879" s="2" t="s">
        <v>97</v>
      </c>
      <c r="BW1879" s="2" t="s">
        <v>100</v>
      </c>
      <c r="BX1879" s="2" t="s">
        <v>100</v>
      </c>
      <c r="BY1879" s="2" t="s">
        <v>112</v>
      </c>
      <c r="BZ1879" s="2" t="s">
        <v>100</v>
      </c>
    </row>
    <row r="1880">
      <c r="A1880" s="2" t="s">
        <v>6258</v>
      </c>
      <c r="B1880" s="2" t="s">
        <v>6098</v>
      </c>
      <c r="C1880" s="2" t="s">
        <v>88</v>
      </c>
      <c r="D1880" s="2" t="s">
        <v>6099</v>
      </c>
      <c r="E1880" s="2" t="s">
        <v>6100</v>
      </c>
      <c r="F1880" s="2" t="s">
        <v>6239</v>
      </c>
      <c r="G1880" s="2" t="s">
        <v>6239</v>
      </c>
      <c r="H1880" s="2" t="s">
        <v>6239</v>
      </c>
      <c r="I1880" s="2" t="s">
        <v>6259</v>
      </c>
      <c r="J1880" s="2" t="s">
        <v>6103</v>
      </c>
      <c r="K1880" s="2" t="s">
        <v>6260</v>
      </c>
      <c r="L1880" s="3">
        <v>6.66</v>
      </c>
      <c r="M1880" s="3">
        <v>6.99</v>
      </c>
      <c r="N1880" s="3">
        <v>19.99</v>
      </c>
      <c r="O1880" s="2" t="s">
        <v>97</v>
      </c>
      <c r="P1880" s="2" t="s">
        <v>1166</v>
      </c>
      <c r="Q1880" s="2" t="s">
        <v>99</v>
      </c>
      <c r="R1880" s="2" t="s">
        <v>100</v>
      </c>
      <c r="S1880" s="2" t="s">
        <v>100</v>
      </c>
      <c r="T1880" s="2" t="s">
        <v>100</v>
      </c>
      <c r="U1880" s="2" t="s">
        <v>3531</v>
      </c>
      <c r="V1880" s="2" t="s">
        <v>5769</v>
      </c>
      <c r="W1880" s="2" t="s">
        <v>1310</v>
      </c>
      <c r="X1880" s="2" t="s">
        <v>808</v>
      </c>
      <c r="Y1880" s="2" t="s">
        <v>6242</v>
      </c>
      <c r="Z1880" s="4">
        <v>117</v>
      </c>
      <c r="AA1880" s="4">
        <f>=ROUNDDOWN(58.5,0)</f>
      </c>
      <c r="AB1880" s="5">
        <v>2</v>
      </c>
      <c r="AC1880" s="2" t="s">
        <v>100</v>
      </c>
      <c r="AD1880" s="4"/>
      <c r="AE1880" s="4"/>
      <c r="AF1880" s="6">
        <v>63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13</v>
      </c>
      <c r="BK1880" s="8">
        <v>102.9</v>
      </c>
      <c r="BL1880" s="2" t="s">
        <v>6261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6185</v>
      </c>
      <c r="BV1880" s="2" t="s">
        <v>97</v>
      </c>
      <c r="BW1880" s="2" t="s">
        <v>100</v>
      </c>
      <c r="BX1880" s="2" t="s">
        <v>100</v>
      </c>
      <c r="BY1880" s="2" t="s">
        <v>112</v>
      </c>
      <c r="BZ1880" s="2" t="s">
        <v>100</v>
      </c>
    </row>
    <row r="1881">
      <c r="A1881" s="2" t="s">
        <v>6262</v>
      </c>
      <c r="B1881" s="2" t="s">
        <v>6098</v>
      </c>
      <c r="C1881" s="2" t="s">
        <v>88</v>
      </c>
      <c r="D1881" s="2" t="s">
        <v>6099</v>
      </c>
      <c r="E1881" s="2" t="s">
        <v>6100</v>
      </c>
      <c r="F1881" s="2" t="s">
        <v>6263</v>
      </c>
      <c r="G1881" s="2" t="s">
        <v>6263</v>
      </c>
      <c r="H1881" s="2" t="s">
        <v>6263</v>
      </c>
      <c r="I1881" s="2" t="s">
        <v>6264</v>
      </c>
      <c r="J1881" s="2" t="s">
        <v>6103</v>
      </c>
      <c r="K1881" s="2" t="s">
        <v>6265</v>
      </c>
      <c r="L1881" s="3">
        <v>48</v>
      </c>
      <c r="M1881" s="3">
        <v>50.4</v>
      </c>
      <c r="N1881" s="3">
        <v>112.99</v>
      </c>
      <c r="O1881" s="2" t="s">
        <v>550</v>
      </c>
      <c r="P1881" s="2" t="s">
        <v>198</v>
      </c>
      <c r="Q1881" s="2" t="s">
        <v>99</v>
      </c>
      <c r="R1881" s="2" t="s">
        <v>100</v>
      </c>
      <c r="S1881" s="2" t="s">
        <v>6266</v>
      </c>
      <c r="T1881" s="2" t="s">
        <v>100</v>
      </c>
      <c r="U1881" s="2" t="s">
        <v>3531</v>
      </c>
      <c r="V1881" s="2" t="s">
        <v>1275</v>
      </c>
      <c r="W1881" s="2" t="s">
        <v>602</v>
      </c>
      <c r="X1881" s="2" t="s">
        <v>602</v>
      </c>
      <c r="Y1881" s="2" t="s">
        <v>6267</v>
      </c>
      <c r="Z1881" s="4"/>
      <c r="AA1881" s="4">
        <f>=ROUNDDOWN({0},0)</f>
      </c>
      <c r="AB1881" s="5"/>
      <c r="AC1881" s="2" t="s">
        <v>100</v>
      </c>
      <c r="AD1881" s="4"/>
      <c r="AE1881" s="4"/>
      <c r="AF1881" s="6">
        <v>65</v>
      </c>
      <c r="AG1881" s="6"/>
      <c r="AH1881" s="7">
        <v>0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>
        <v>0</v>
      </c>
      <c r="AP1881" s="4"/>
      <c r="AQ1881" s="8"/>
      <c r="AR1881" s="4">
        <v>4</v>
      </c>
      <c r="AS1881" s="8">
        <v>201.6</v>
      </c>
      <c r="AT1881" s="7">
        <v>-1</v>
      </c>
      <c r="AU1881" s="7">
        <v>-1</v>
      </c>
      <c r="AV1881" s="4"/>
      <c r="AW1881" s="8"/>
      <c r="AX1881" s="4">
        <v>4</v>
      </c>
      <c r="AY1881" s="8">
        <v>201.6</v>
      </c>
      <c r="AZ1881" s="7">
        <v>-1</v>
      </c>
      <c r="BA1881" s="7">
        <v>-1</v>
      </c>
      <c r="BB1881" s="7"/>
      <c r="BC1881" s="4"/>
      <c r="BD1881" s="8"/>
      <c r="BE1881" s="4">
        <v>4</v>
      </c>
      <c r="BF1881" s="8">
        <v>201.6</v>
      </c>
      <c r="BG1881" s="7">
        <v>-1</v>
      </c>
      <c r="BH1881" s="7">
        <v>-1</v>
      </c>
      <c r="BI1881" s="7"/>
      <c r="BJ1881" s="4"/>
      <c r="BK1881" s="8"/>
      <c r="BL1881" s="2" t="s">
        <v>6268</v>
      </c>
      <c r="BM1881" s="7"/>
      <c r="BN1881" s="7"/>
      <c r="BO1881" s="4"/>
      <c r="BP1881" s="8"/>
      <c r="BQ1881" s="4">
        <v>4</v>
      </c>
      <c r="BR1881" s="8">
        <v>201.6</v>
      </c>
      <c r="BS1881" s="7">
        <v>-1</v>
      </c>
      <c r="BT1881" s="7">
        <v>-1</v>
      </c>
      <c r="BU1881" s="2" t="s">
        <v>109</v>
      </c>
      <c r="BV1881" s="2" t="s">
        <v>552</v>
      </c>
      <c r="BW1881" s="2" t="s">
        <v>6110</v>
      </c>
      <c r="BX1881" s="2" t="s">
        <v>2064</v>
      </c>
      <c r="BY1881" s="2" t="s">
        <v>112</v>
      </c>
      <c r="BZ1881" s="2" t="s">
        <v>100</v>
      </c>
    </row>
    <row r="1882">
      <c r="A1882" s="2" t="s">
        <v>6269</v>
      </c>
      <c r="B1882" s="2" t="s">
        <v>6098</v>
      </c>
      <c r="C1882" s="2" t="s">
        <v>88</v>
      </c>
      <c r="D1882" s="2" t="s">
        <v>6099</v>
      </c>
      <c r="E1882" s="2" t="s">
        <v>6100</v>
      </c>
      <c r="F1882" s="2" t="s">
        <v>6270</v>
      </c>
      <c r="G1882" s="2" t="s">
        <v>100</v>
      </c>
      <c r="H1882" s="2" t="s">
        <v>100</v>
      </c>
      <c r="I1882" s="2" t="s">
        <v>6271</v>
      </c>
      <c r="J1882" s="2" t="s">
        <v>6103</v>
      </c>
      <c r="K1882" s="2" t="s">
        <v>168</v>
      </c>
      <c r="L1882" s="3">
        <v>41.96</v>
      </c>
      <c r="M1882" s="3">
        <v>44.06</v>
      </c>
      <c r="N1882" s="3">
        <v>89.99</v>
      </c>
      <c r="O1882" s="2" t="s">
        <v>229</v>
      </c>
      <c r="P1882" s="2" t="s">
        <v>198</v>
      </c>
      <c r="Q1882" s="2" t="s">
        <v>99</v>
      </c>
      <c r="R1882" s="2" t="s">
        <v>100</v>
      </c>
      <c r="S1882" s="2" t="s">
        <v>6272</v>
      </c>
      <c r="T1882" s="2" t="s">
        <v>100</v>
      </c>
      <c r="U1882" s="2" t="s">
        <v>1610</v>
      </c>
      <c r="V1882" s="2" t="s">
        <v>1122</v>
      </c>
      <c r="W1882" s="2" t="s">
        <v>104</v>
      </c>
      <c r="X1882" s="2" t="s">
        <v>100</v>
      </c>
      <c r="Y1882" s="2" t="s">
        <v>106</v>
      </c>
      <c r="Z1882" s="4"/>
      <c r="AA1882" s="4">
        <f>=ROUNDDOWN({0},0)</f>
      </c>
      <c r="AB1882" s="5"/>
      <c r="AC1882" s="2" t="s">
        <v>100</v>
      </c>
      <c r="AD1882" s="4"/>
      <c r="AE1882" s="4"/>
      <c r="AF1882" s="6">
        <v>63</v>
      </c>
      <c r="AG1882" s="6"/>
      <c r="AH1882" s="7">
        <v>0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>
        <v>0</v>
      </c>
      <c r="AP1882" s="4"/>
      <c r="AQ1882" s="8"/>
      <c r="AR1882" s="4">
        <v>1</v>
      </c>
      <c r="AS1882" s="8">
        <v>44.06</v>
      </c>
      <c r="AT1882" s="7">
        <v>-1</v>
      </c>
      <c r="AU1882" s="7">
        <v>-1</v>
      </c>
      <c r="AV1882" s="4"/>
      <c r="AW1882" s="8"/>
      <c r="AX1882" s="4">
        <v>1</v>
      </c>
      <c r="AY1882" s="8">
        <v>44.06</v>
      </c>
      <c r="AZ1882" s="7">
        <v>-1</v>
      </c>
      <c r="BA1882" s="7">
        <v>-1</v>
      </c>
      <c r="BB1882" s="7"/>
      <c r="BC1882" s="4"/>
      <c r="BD1882" s="8"/>
      <c r="BE1882" s="4">
        <v>1</v>
      </c>
      <c r="BF1882" s="8">
        <v>44.06</v>
      </c>
      <c r="BG1882" s="7">
        <v>-1</v>
      </c>
      <c r="BH1882" s="7">
        <v>-1</v>
      </c>
      <c r="BI1882" s="7"/>
      <c r="BJ1882" s="4"/>
      <c r="BK1882" s="8"/>
      <c r="BL1882" s="2" t="s">
        <v>6273</v>
      </c>
      <c r="BM1882" s="7"/>
      <c r="BN1882" s="7"/>
      <c r="BO1882" s="4"/>
      <c r="BP1882" s="8"/>
      <c r="BQ1882" s="4">
        <v>1</v>
      </c>
      <c r="BR1882" s="8">
        <v>44.06</v>
      </c>
      <c r="BS1882" s="7">
        <v>-1</v>
      </c>
      <c r="BT1882" s="7">
        <v>-1</v>
      </c>
      <c r="BU1882" s="2" t="s">
        <v>109</v>
      </c>
      <c r="BV1882" s="2" t="s">
        <v>552</v>
      </c>
      <c r="BW1882" s="2" t="s">
        <v>6110</v>
      </c>
      <c r="BX1882" s="2" t="s">
        <v>5454</v>
      </c>
      <c r="BY1882" s="2" t="s">
        <v>112</v>
      </c>
      <c r="BZ1882" s="2" t="s">
        <v>100</v>
      </c>
    </row>
    <row r="1883">
      <c r="A1883" s="2" t="s">
        <v>6274</v>
      </c>
      <c r="B1883" s="2" t="s">
        <v>6098</v>
      </c>
      <c r="C1883" s="2" t="s">
        <v>88</v>
      </c>
      <c r="D1883" s="2" t="s">
        <v>6099</v>
      </c>
      <c r="E1883" s="2" t="s">
        <v>6100</v>
      </c>
      <c r="F1883" s="2" t="s">
        <v>6275</v>
      </c>
      <c r="G1883" s="2" t="s">
        <v>100</v>
      </c>
      <c r="H1883" s="2" t="s">
        <v>100</v>
      </c>
      <c r="I1883" s="2" t="s">
        <v>6276</v>
      </c>
      <c r="J1883" s="2" t="s">
        <v>6103</v>
      </c>
      <c r="K1883" s="2" t="s">
        <v>298</v>
      </c>
      <c r="L1883" s="3">
        <v>46.5</v>
      </c>
      <c r="M1883" s="3">
        <v>48.82</v>
      </c>
      <c r="N1883" s="3">
        <v>89.99</v>
      </c>
      <c r="O1883" s="2" t="s">
        <v>229</v>
      </c>
      <c r="P1883" s="2" t="s">
        <v>3737</v>
      </c>
      <c r="Q1883" s="2" t="s">
        <v>99</v>
      </c>
      <c r="R1883" s="2" t="s">
        <v>100</v>
      </c>
      <c r="S1883" s="2" t="s">
        <v>6277</v>
      </c>
      <c r="T1883" s="2" t="s">
        <v>100</v>
      </c>
      <c r="U1883" s="2" t="s">
        <v>1610</v>
      </c>
      <c r="V1883" s="2" t="s">
        <v>491</v>
      </c>
      <c r="W1883" s="2" t="s">
        <v>104</v>
      </c>
      <c r="X1883" s="2" t="s">
        <v>100</v>
      </c>
      <c r="Y1883" s="2" t="s">
        <v>106</v>
      </c>
      <c r="Z1883" s="4"/>
      <c r="AA1883" s="4">
        <f>=ROUNDDOWN({0},0)</f>
      </c>
      <c r="AB1883" s="5"/>
      <c r="AC1883" s="2" t="s">
        <v>100</v>
      </c>
      <c r="AD1883" s="4"/>
      <c r="AE1883" s="4"/>
      <c r="AF1883" s="6">
        <v>63</v>
      </c>
      <c r="AG1883" s="6"/>
      <c r="AH1883" s="7">
        <v>0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>
        <v>0</v>
      </c>
      <c r="AP1883" s="4"/>
      <c r="AQ1883" s="8"/>
      <c r="AR1883" s="4">
        <v>4</v>
      </c>
      <c r="AS1883" s="8">
        <v>195.28</v>
      </c>
      <c r="AT1883" s="7">
        <v>-1</v>
      </c>
      <c r="AU1883" s="7">
        <v>-1</v>
      </c>
      <c r="AV1883" s="4"/>
      <c r="AW1883" s="8"/>
      <c r="AX1883" s="4">
        <v>4</v>
      </c>
      <c r="AY1883" s="8">
        <v>195.28</v>
      </c>
      <c r="AZ1883" s="7">
        <v>-1</v>
      </c>
      <c r="BA1883" s="7">
        <v>-1</v>
      </c>
      <c r="BB1883" s="7"/>
      <c r="BC1883" s="4"/>
      <c r="BD1883" s="8"/>
      <c r="BE1883" s="4">
        <v>4</v>
      </c>
      <c r="BF1883" s="8">
        <v>195.28</v>
      </c>
      <c r="BG1883" s="7">
        <v>-1</v>
      </c>
      <c r="BH1883" s="7">
        <v>-1</v>
      </c>
      <c r="BI1883" s="7"/>
      <c r="BJ1883" s="4"/>
      <c r="BK1883" s="8"/>
      <c r="BL1883" s="2" t="s">
        <v>6278</v>
      </c>
      <c r="BM1883" s="7"/>
      <c r="BN1883" s="7"/>
      <c r="BO1883" s="4"/>
      <c r="BP1883" s="8"/>
      <c r="BQ1883" s="4">
        <v>4</v>
      </c>
      <c r="BR1883" s="8">
        <v>195.28</v>
      </c>
      <c r="BS1883" s="7">
        <v>-1</v>
      </c>
      <c r="BT1883" s="7">
        <v>-1</v>
      </c>
      <c r="BU1883" s="2" t="s">
        <v>109</v>
      </c>
      <c r="BV1883" s="2" t="s">
        <v>552</v>
      </c>
      <c r="BW1883" s="2" t="s">
        <v>6110</v>
      </c>
      <c r="BX1883" s="2" t="s">
        <v>6237</v>
      </c>
      <c r="BY1883" s="2" t="s">
        <v>112</v>
      </c>
      <c r="BZ1883" s="2" t="s">
        <v>100</v>
      </c>
    </row>
    <row r="1884">
      <c r="A1884" s="2" t="s">
        <v>6279</v>
      </c>
      <c r="B1884" s="2" t="s">
        <v>6098</v>
      </c>
      <c r="C1884" s="2" t="s">
        <v>88</v>
      </c>
      <c r="D1884" s="2" t="s">
        <v>6099</v>
      </c>
      <c r="E1884" s="2" t="s">
        <v>6100</v>
      </c>
      <c r="F1884" s="2" t="s">
        <v>6280</v>
      </c>
      <c r="G1884" s="2" t="s">
        <v>6280</v>
      </c>
      <c r="H1884" s="2" t="s">
        <v>6280</v>
      </c>
      <c r="I1884" s="2" t="s">
        <v>6281</v>
      </c>
      <c r="J1884" s="2" t="s">
        <v>6103</v>
      </c>
      <c r="K1884" s="2" t="s">
        <v>6282</v>
      </c>
      <c r="L1884" s="3">
        <v>74.24</v>
      </c>
      <c r="M1884" s="3">
        <v>77.95</v>
      </c>
      <c r="N1884" s="3">
        <v>159.99</v>
      </c>
      <c r="O1884" s="2" t="s">
        <v>229</v>
      </c>
      <c r="P1884" s="2" t="s">
        <v>198</v>
      </c>
      <c r="Q1884" s="2" t="s">
        <v>99</v>
      </c>
      <c r="R1884" s="2" t="s">
        <v>100</v>
      </c>
      <c r="S1884" s="2" t="s">
        <v>6283</v>
      </c>
      <c r="T1884" s="2" t="s">
        <v>100</v>
      </c>
      <c r="U1884" s="2" t="s">
        <v>790</v>
      </c>
      <c r="V1884" s="2" t="s">
        <v>1122</v>
      </c>
      <c r="W1884" s="2" t="s">
        <v>602</v>
      </c>
      <c r="X1884" s="2" t="s">
        <v>100</v>
      </c>
      <c r="Y1884" s="2" t="s">
        <v>6284</v>
      </c>
      <c r="Z1884" s="4"/>
      <c r="AA1884" s="4">
        <f>=ROUNDDOWN({0},0)</f>
      </c>
      <c r="AB1884" s="5"/>
      <c r="AC1884" s="2" t="s">
        <v>100</v>
      </c>
      <c r="AD1884" s="4"/>
      <c r="AE1884" s="4"/>
      <c r="AF1884" s="6">
        <v>63</v>
      </c>
      <c r="AG1884" s="6"/>
      <c r="AH1884" s="7">
        <v>0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>
        <v>0</v>
      </c>
      <c r="AP1884" s="4"/>
      <c r="AQ1884" s="8"/>
      <c r="AR1884" s="4">
        <v>10</v>
      </c>
      <c r="AS1884" s="8">
        <v>779.5</v>
      </c>
      <c r="AT1884" s="7">
        <v>-1</v>
      </c>
      <c r="AU1884" s="7">
        <v>-1</v>
      </c>
      <c r="AV1884" s="4"/>
      <c r="AW1884" s="8"/>
      <c r="AX1884" s="4">
        <v>10</v>
      </c>
      <c r="AY1884" s="8">
        <v>779.5</v>
      </c>
      <c r="AZ1884" s="7">
        <v>-1</v>
      </c>
      <c r="BA1884" s="7">
        <v>-1</v>
      </c>
      <c r="BB1884" s="7"/>
      <c r="BC1884" s="4"/>
      <c r="BD1884" s="8"/>
      <c r="BE1884" s="4">
        <v>10</v>
      </c>
      <c r="BF1884" s="8">
        <v>779.5</v>
      </c>
      <c r="BG1884" s="7">
        <v>-1</v>
      </c>
      <c r="BH1884" s="7">
        <v>-1</v>
      </c>
      <c r="BI1884" s="7"/>
      <c r="BJ1884" s="4"/>
      <c r="BK1884" s="8"/>
      <c r="BL1884" s="2" t="s">
        <v>6285</v>
      </c>
      <c r="BM1884" s="7"/>
      <c r="BN1884" s="7"/>
      <c r="BO1884" s="4"/>
      <c r="BP1884" s="8"/>
      <c r="BQ1884" s="4">
        <v>10</v>
      </c>
      <c r="BR1884" s="8">
        <v>779.5</v>
      </c>
      <c r="BS1884" s="7">
        <v>-1</v>
      </c>
      <c r="BT1884" s="7">
        <v>-1</v>
      </c>
      <c r="BU1884" s="2" t="s">
        <v>109</v>
      </c>
      <c r="BV1884" s="2" t="s">
        <v>552</v>
      </c>
      <c r="BW1884" s="2" t="s">
        <v>6110</v>
      </c>
      <c r="BX1884" s="2" t="s">
        <v>645</v>
      </c>
      <c r="BY1884" s="2" t="s">
        <v>112</v>
      </c>
      <c r="BZ1884" s="2" t="s">
        <v>100</v>
      </c>
    </row>
    <row r="1885">
      <c r="A1885" s="2" t="s">
        <v>6286</v>
      </c>
      <c r="B1885" s="2" t="s">
        <v>6098</v>
      </c>
      <c r="C1885" s="2" t="s">
        <v>88</v>
      </c>
      <c r="D1885" s="2" t="s">
        <v>6099</v>
      </c>
      <c r="E1885" s="2" t="s">
        <v>6100</v>
      </c>
      <c r="F1885" s="2" t="s">
        <v>6287</v>
      </c>
      <c r="G1885" s="2" t="s">
        <v>6287</v>
      </c>
      <c r="H1885" s="2" t="s">
        <v>6287</v>
      </c>
      <c r="I1885" s="2" t="s">
        <v>6288</v>
      </c>
      <c r="J1885" s="2" t="s">
        <v>6103</v>
      </c>
      <c r="K1885" s="2" t="s">
        <v>6289</v>
      </c>
      <c r="L1885" s="3">
        <v>6.66</v>
      </c>
      <c r="M1885" s="3">
        <v>6.99</v>
      </c>
      <c r="N1885" s="3">
        <v>19.99</v>
      </c>
      <c r="O1885" s="2" t="s">
        <v>97</v>
      </c>
      <c r="P1885" s="2" t="s">
        <v>1166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3531</v>
      </c>
      <c r="V1885" s="2" t="s">
        <v>5769</v>
      </c>
      <c r="W1885" s="2" t="s">
        <v>3303</v>
      </c>
      <c r="X1885" s="2" t="s">
        <v>759</v>
      </c>
      <c r="Y1885" s="2" t="s">
        <v>6290</v>
      </c>
      <c r="Z1885" s="4">
        <v>40</v>
      </c>
      <c r="AA1885" s="4">
        <f>=ROUNDDOWN(20,0)</f>
      </c>
      <c r="AB1885" s="5">
        <v>2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 t="s">
        <v>100</v>
      </c>
      <c r="BD1885" s="8" t="s">
        <v>100</v>
      </c>
      <c r="BE1885" s="4" t="s">
        <v>100</v>
      </c>
      <c r="BF1885" s="8" t="s">
        <v>100</v>
      </c>
      <c r="BG1885" s="7" t="s">
        <v>100</v>
      </c>
      <c r="BH1885" s="7" t="s">
        <v>100</v>
      </c>
      <c r="BI1885" s="7"/>
      <c r="BJ1885" s="4">
        <v>55</v>
      </c>
      <c r="BK1885" s="8">
        <v>424.07</v>
      </c>
      <c r="BL1885" s="2" t="s">
        <v>6291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147</v>
      </c>
      <c r="BV1885" s="2" t="s">
        <v>97</v>
      </c>
      <c r="BW1885" s="2" t="s">
        <v>100</v>
      </c>
      <c r="BX1885" s="2" t="s">
        <v>100</v>
      </c>
      <c r="BY1885" s="2" t="s">
        <v>112</v>
      </c>
      <c r="BZ1885" s="2" t="s">
        <v>100</v>
      </c>
    </row>
    <row r="1886">
      <c r="A1886" s="2" t="s">
        <v>6292</v>
      </c>
      <c r="B1886" s="2" t="s">
        <v>6098</v>
      </c>
      <c r="C1886" s="2" t="s">
        <v>88</v>
      </c>
      <c r="D1886" s="2" t="s">
        <v>6099</v>
      </c>
      <c r="E1886" s="2" t="s">
        <v>6100</v>
      </c>
      <c r="F1886" s="2" t="s">
        <v>6287</v>
      </c>
      <c r="G1886" s="2" t="s">
        <v>6287</v>
      </c>
      <c r="H1886" s="2" t="s">
        <v>6287</v>
      </c>
      <c r="I1886" s="2" t="s">
        <v>6293</v>
      </c>
      <c r="J1886" s="2" t="s">
        <v>6103</v>
      </c>
      <c r="K1886" s="2" t="s">
        <v>6294</v>
      </c>
      <c r="L1886" s="3">
        <v>6.66</v>
      </c>
      <c r="M1886" s="3">
        <v>6.99</v>
      </c>
      <c r="N1886" s="3">
        <v>19.99</v>
      </c>
      <c r="O1886" s="2" t="s">
        <v>97</v>
      </c>
      <c r="P1886" s="2" t="s">
        <v>1166</v>
      </c>
      <c r="Q1886" s="2" t="s">
        <v>99</v>
      </c>
      <c r="R1886" s="2" t="s">
        <v>100</v>
      </c>
      <c r="S1886" s="2" t="s">
        <v>100</v>
      </c>
      <c r="T1886" s="2" t="s">
        <v>100</v>
      </c>
      <c r="U1886" s="2" t="s">
        <v>3531</v>
      </c>
      <c r="V1886" s="2" t="s">
        <v>5769</v>
      </c>
      <c r="W1886" s="2" t="s">
        <v>3303</v>
      </c>
      <c r="X1886" s="2" t="s">
        <v>759</v>
      </c>
      <c r="Y1886" s="2" t="s">
        <v>6290</v>
      </c>
      <c r="Z1886" s="4">
        <v>80</v>
      </c>
      <c r="AA1886" s="4">
        <f>=ROUNDDOWN(80,0)</f>
      </c>
      <c r="AB1886" s="5">
        <v>1</v>
      </c>
      <c r="AC1886" s="2" t="s">
        <v>100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100</v>
      </c>
      <c r="BD1886" s="8" t="s">
        <v>100</v>
      </c>
      <c r="BE1886" s="4" t="s">
        <v>100</v>
      </c>
      <c r="BF1886" s="8" t="s">
        <v>100</v>
      </c>
      <c r="BG1886" s="7" t="s">
        <v>100</v>
      </c>
      <c r="BH1886" s="7" t="s">
        <v>100</v>
      </c>
      <c r="BI1886" s="7"/>
      <c r="BJ1886" s="4">
        <v>13</v>
      </c>
      <c r="BK1886" s="8">
        <v>100.95</v>
      </c>
      <c r="BL1886" s="2" t="s">
        <v>5497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147</v>
      </c>
      <c r="BV1886" s="2" t="s">
        <v>97</v>
      </c>
      <c r="BW1886" s="2" t="s">
        <v>100</v>
      </c>
      <c r="BX1886" s="2" t="s">
        <v>100</v>
      </c>
      <c r="BY1886" s="2" t="s">
        <v>112</v>
      </c>
      <c r="BZ1886" s="2" t="s">
        <v>100</v>
      </c>
    </row>
    <row r="1887">
      <c r="A1887" s="2" t="s">
        <v>6295</v>
      </c>
      <c r="B1887" s="2" t="s">
        <v>6098</v>
      </c>
      <c r="C1887" s="2" t="s">
        <v>88</v>
      </c>
      <c r="D1887" s="2" t="s">
        <v>6099</v>
      </c>
      <c r="E1887" s="2" t="s">
        <v>6100</v>
      </c>
      <c r="F1887" s="2" t="s">
        <v>6287</v>
      </c>
      <c r="G1887" s="2" t="s">
        <v>6287</v>
      </c>
      <c r="H1887" s="2" t="s">
        <v>6287</v>
      </c>
      <c r="I1887" s="2" t="s">
        <v>6296</v>
      </c>
      <c r="J1887" s="2" t="s">
        <v>6103</v>
      </c>
      <c r="K1887" s="2" t="s">
        <v>6297</v>
      </c>
      <c r="L1887" s="3">
        <v>6.66</v>
      </c>
      <c r="M1887" s="3">
        <v>6.99</v>
      </c>
      <c r="N1887" s="3">
        <v>19.99</v>
      </c>
      <c r="O1887" s="2" t="s">
        <v>97</v>
      </c>
      <c r="P1887" s="2" t="s">
        <v>1166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3531</v>
      </c>
      <c r="V1887" s="2" t="s">
        <v>5769</v>
      </c>
      <c r="W1887" s="2" t="s">
        <v>3303</v>
      </c>
      <c r="X1887" s="2" t="s">
        <v>759</v>
      </c>
      <c r="Y1887" s="2" t="s">
        <v>6290</v>
      </c>
      <c r="Z1887" s="4">
        <v>58</v>
      </c>
      <c r="AA1887" s="4">
        <f>=ROUNDDOWN(58,0)</f>
      </c>
      <c r="AB1887" s="5">
        <v>1</v>
      </c>
      <c r="AC1887" s="2" t="s">
        <v>100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100</v>
      </c>
      <c r="BD1887" s="8" t="s">
        <v>100</v>
      </c>
      <c r="BE1887" s="4" t="s">
        <v>100</v>
      </c>
      <c r="BF1887" s="8" t="s">
        <v>100</v>
      </c>
      <c r="BG1887" s="7" t="s">
        <v>100</v>
      </c>
      <c r="BH1887" s="7" t="s">
        <v>100</v>
      </c>
      <c r="BI1887" s="7"/>
      <c r="BJ1887" s="4">
        <v>34</v>
      </c>
      <c r="BK1887" s="8">
        <v>261.81</v>
      </c>
      <c r="BL1887" s="2" t="s">
        <v>6291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147</v>
      </c>
      <c r="BV1887" s="2" t="s">
        <v>97</v>
      </c>
      <c r="BW1887" s="2" t="s">
        <v>100</v>
      </c>
      <c r="BX1887" s="2" t="s">
        <v>100</v>
      </c>
      <c r="BY1887" s="2" t="s">
        <v>112</v>
      </c>
      <c r="BZ1887" s="2" t="s">
        <v>100</v>
      </c>
    </row>
    <row r="1888">
      <c r="A1888" s="2" t="s">
        <v>6298</v>
      </c>
      <c r="B1888" s="2" t="s">
        <v>6098</v>
      </c>
      <c r="C1888" s="2" t="s">
        <v>88</v>
      </c>
      <c r="D1888" s="2" t="s">
        <v>6099</v>
      </c>
      <c r="E1888" s="2" t="s">
        <v>6100</v>
      </c>
      <c r="F1888" s="2" t="s">
        <v>6287</v>
      </c>
      <c r="G1888" s="2" t="s">
        <v>6287</v>
      </c>
      <c r="H1888" s="2" t="s">
        <v>6287</v>
      </c>
      <c r="I1888" s="2" t="s">
        <v>6299</v>
      </c>
      <c r="J1888" s="2" t="s">
        <v>6103</v>
      </c>
      <c r="K1888" s="2" t="s">
        <v>6300</v>
      </c>
      <c r="L1888" s="3">
        <v>6.66</v>
      </c>
      <c r="M1888" s="3">
        <v>6.99</v>
      </c>
      <c r="N1888" s="3">
        <v>19.99</v>
      </c>
      <c r="O1888" s="2" t="s">
        <v>97</v>
      </c>
      <c r="P1888" s="2" t="s">
        <v>1166</v>
      </c>
      <c r="Q1888" s="2" t="s">
        <v>99</v>
      </c>
      <c r="R1888" s="2" t="s">
        <v>100</v>
      </c>
      <c r="S1888" s="2" t="s">
        <v>100</v>
      </c>
      <c r="T1888" s="2" t="s">
        <v>100</v>
      </c>
      <c r="U1888" s="2" t="s">
        <v>3531</v>
      </c>
      <c r="V1888" s="2" t="s">
        <v>5769</v>
      </c>
      <c r="W1888" s="2" t="s">
        <v>3303</v>
      </c>
      <c r="X1888" s="2" t="s">
        <v>759</v>
      </c>
      <c r="Y1888" s="2" t="s">
        <v>6290</v>
      </c>
      <c r="Z1888" s="4">
        <v>69</v>
      </c>
      <c r="AA1888" s="4">
        <f>=ROUNDDOWN(69,0)</f>
      </c>
      <c r="AB1888" s="5">
        <v>1</v>
      </c>
      <c r="AC1888" s="2" t="s">
        <v>100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 t="s">
        <v>100</v>
      </c>
      <c r="BD1888" s="8" t="s">
        <v>100</v>
      </c>
      <c r="BE1888" s="4" t="s">
        <v>100</v>
      </c>
      <c r="BF1888" s="8" t="s">
        <v>100</v>
      </c>
      <c r="BG1888" s="7" t="s">
        <v>100</v>
      </c>
      <c r="BH1888" s="7" t="s">
        <v>100</v>
      </c>
      <c r="BI1888" s="7"/>
      <c r="BJ1888" s="4">
        <v>24</v>
      </c>
      <c r="BK1888" s="8">
        <v>187.92</v>
      </c>
      <c r="BL1888" s="2" t="s">
        <v>5497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147</v>
      </c>
      <c r="BV1888" s="2" t="s">
        <v>97</v>
      </c>
      <c r="BW1888" s="2" t="s">
        <v>100</v>
      </c>
      <c r="BX1888" s="2" t="s">
        <v>100</v>
      </c>
      <c r="BY1888" s="2" t="s">
        <v>112</v>
      </c>
      <c r="BZ1888" s="2" t="s">
        <v>100</v>
      </c>
    </row>
    <row r="1889">
      <c r="A1889" s="2" t="s">
        <v>6301</v>
      </c>
      <c r="B1889" s="2" t="s">
        <v>6098</v>
      </c>
      <c r="C1889" s="2" t="s">
        <v>88</v>
      </c>
      <c r="D1889" s="2" t="s">
        <v>6099</v>
      </c>
      <c r="E1889" s="2" t="s">
        <v>6100</v>
      </c>
      <c r="F1889" s="2" t="s">
        <v>6287</v>
      </c>
      <c r="G1889" s="2" t="s">
        <v>6287</v>
      </c>
      <c r="H1889" s="2" t="s">
        <v>6287</v>
      </c>
      <c r="I1889" s="2" t="s">
        <v>6302</v>
      </c>
      <c r="J1889" s="2" t="s">
        <v>6103</v>
      </c>
      <c r="K1889" s="2" t="s">
        <v>6303</v>
      </c>
      <c r="L1889" s="3">
        <v>6.66</v>
      </c>
      <c r="M1889" s="3">
        <v>6.99</v>
      </c>
      <c r="N1889" s="3">
        <v>19.99</v>
      </c>
      <c r="O1889" s="2" t="s">
        <v>97</v>
      </c>
      <c r="P1889" s="2" t="s">
        <v>1166</v>
      </c>
      <c r="Q1889" s="2" t="s">
        <v>99</v>
      </c>
      <c r="R1889" s="2" t="s">
        <v>100</v>
      </c>
      <c r="S1889" s="2" t="s">
        <v>100</v>
      </c>
      <c r="T1889" s="2" t="s">
        <v>100</v>
      </c>
      <c r="U1889" s="2" t="s">
        <v>3531</v>
      </c>
      <c r="V1889" s="2" t="s">
        <v>5769</v>
      </c>
      <c r="W1889" s="2" t="s">
        <v>3303</v>
      </c>
      <c r="X1889" s="2" t="s">
        <v>759</v>
      </c>
      <c r="Y1889" s="2" t="s">
        <v>6290</v>
      </c>
      <c r="Z1889" s="4">
        <v>119</v>
      </c>
      <c r="AA1889" s="4">
        <f>=ROUNDDOWN(119,0)</f>
      </c>
      <c r="AB1889" s="5">
        <v>1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 t="s">
        <v>100</v>
      </c>
      <c r="BD1889" s="8" t="s">
        <v>100</v>
      </c>
      <c r="BE1889" s="4" t="s">
        <v>100</v>
      </c>
      <c r="BF1889" s="8" t="s">
        <v>100</v>
      </c>
      <c r="BG1889" s="7" t="s">
        <v>100</v>
      </c>
      <c r="BH1889" s="7" t="s">
        <v>100</v>
      </c>
      <c r="BI1889" s="7"/>
      <c r="BJ1889" s="4">
        <v>51</v>
      </c>
      <c r="BK1889" s="8">
        <v>393.5</v>
      </c>
      <c r="BL1889" s="2" t="s">
        <v>6304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147</v>
      </c>
      <c r="BV1889" s="2" t="s">
        <v>97</v>
      </c>
      <c r="BW1889" s="2" t="s">
        <v>100</v>
      </c>
      <c r="BX1889" s="2" t="s">
        <v>100</v>
      </c>
      <c r="BY1889" s="2" t="s">
        <v>112</v>
      </c>
      <c r="BZ1889" s="2" t="s">
        <v>100</v>
      </c>
    </row>
    <row r="1890">
      <c r="A1890" s="2" t="s">
        <v>6305</v>
      </c>
      <c r="B1890" s="2" t="s">
        <v>6098</v>
      </c>
      <c r="C1890" s="2" t="s">
        <v>88</v>
      </c>
      <c r="D1890" s="2" t="s">
        <v>6099</v>
      </c>
      <c r="E1890" s="2" t="s">
        <v>6100</v>
      </c>
      <c r="F1890" s="2" t="s">
        <v>6287</v>
      </c>
      <c r="G1890" s="2" t="s">
        <v>6287</v>
      </c>
      <c r="H1890" s="2" t="s">
        <v>6287</v>
      </c>
      <c r="I1890" s="2" t="s">
        <v>6306</v>
      </c>
      <c r="J1890" s="2" t="s">
        <v>6103</v>
      </c>
      <c r="K1890" s="2" t="s">
        <v>6307</v>
      </c>
      <c r="L1890" s="3">
        <v>6.66</v>
      </c>
      <c r="M1890" s="3">
        <v>6.99</v>
      </c>
      <c r="N1890" s="3">
        <v>19.99</v>
      </c>
      <c r="O1890" s="2" t="s">
        <v>97</v>
      </c>
      <c r="P1890" s="2" t="s">
        <v>1166</v>
      </c>
      <c r="Q1890" s="2" t="s">
        <v>99</v>
      </c>
      <c r="R1890" s="2" t="s">
        <v>100</v>
      </c>
      <c r="S1890" s="2" t="s">
        <v>100</v>
      </c>
      <c r="T1890" s="2" t="s">
        <v>100</v>
      </c>
      <c r="U1890" s="2" t="s">
        <v>3531</v>
      </c>
      <c r="V1890" s="2" t="s">
        <v>5769</v>
      </c>
      <c r="W1890" s="2" t="s">
        <v>3303</v>
      </c>
      <c r="X1890" s="2" t="s">
        <v>759</v>
      </c>
      <c r="Y1890" s="2" t="s">
        <v>6290</v>
      </c>
      <c r="Z1890" s="4">
        <v>62</v>
      </c>
      <c r="AA1890" s="4">
        <f>=ROUNDDOWN(62,0)</f>
      </c>
      <c r="AB1890" s="5">
        <v>1</v>
      </c>
      <c r="AC1890" s="2" t="s">
        <v>100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100</v>
      </c>
      <c r="BD1890" s="8" t="s">
        <v>100</v>
      </c>
      <c r="BE1890" s="4" t="s">
        <v>100</v>
      </c>
      <c r="BF1890" s="8" t="s">
        <v>100</v>
      </c>
      <c r="BG1890" s="7" t="s">
        <v>100</v>
      </c>
      <c r="BH1890" s="7" t="s">
        <v>100</v>
      </c>
      <c r="BI1890" s="7"/>
      <c r="BJ1890" s="4">
        <v>31</v>
      </c>
      <c r="BK1890" s="8">
        <v>244.92</v>
      </c>
      <c r="BL1890" s="2" t="s">
        <v>6291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147</v>
      </c>
      <c r="BV1890" s="2" t="s">
        <v>97</v>
      </c>
      <c r="BW1890" s="2" t="s">
        <v>100</v>
      </c>
      <c r="BX1890" s="2" t="s">
        <v>100</v>
      </c>
      <c r="BY1890" s="2" t="s">
        <v>112</v>
      </c>
      <c r="BZ1890" s="2" t="s">
        <v>100</v>
      </c>
    </row>
    <row r="1891">
      <c r="A1891" s="2" t="s">
        <v>6308</v>
      </c>
      <c r="B1891" s="2" t="s">
        <v>6098</v>
      </c>
      <c r="C1891" s="2" t="s">
        <v>88</v>
      </c>
      <c r="D1891" s="2" t="s">
        <v>6099</v>
      </c>
      <c r="E1891" s="2" t="s">
        <v>6100</v>
      </c>
      <c r="F1891" s="2" t="s">
        <v>6287</v>
      </c>
      <c r="G1891" s="2" t="s">
        <v>6287</v>
      </c>
      <c r="H1891" s="2" t="s">
        <v>6287</v>
      </c>
      <c r="I1891" s="2" t="s">
        <v>6309</v>
      </c>
      <c r="J1891" s="2" t="s">
        <v>6103</v>
      </c>
      <c r="K1891" s="2" t="s">
        <v>6310</v>
      </c>
      <c r="L1891" s="3">
        <v>6.66</v>
      </c>
      <c r="M1891" s="3">
        <v>6.99</v>
      </c>
      <c r="N1891" s="3">
        <v>19.99</v>
      </c>
      <c r="O1891" s="2" t="s">
        <v>97</v>
      </c>
      <c r="P1891" s="2" t="s">
        <v>1166</v>
      </c>
      <c r="Q1891" s="2" t="s">
        <v>99</v>
      </c>
      <c r="R1891" s="2" t="s">
        <v>100</v>
      </c>
      <c r="S1891" s="2" t="s">
        <v>100</v>
      </c>
      <c r="T1891" s="2" t="s">
        <v>100</v>
      </c>
      <c r="U1891" s="2" t="s">
        <v>3531</v>
      </c>
      <c r="V1891" s="2" t="s">
        <v>5769</v>
      </c>
      <c r="W1891" s="2" t="s">
        <v>3303</v>
      </c>
      <c r="X1891" s="2" t="s">
        <v>759</v>
      </c>
      <c r="Y1891" s="2" t="s">
        <v>6290</v>
      </c>
      <c r="Z1891" s="4">
        <v>80</v>
      </c>
      <c r="AA1891" s="4">
        <f>=ROUNDDOWN(80,0)</f>
      </c>
      <c r="AB1891" s="5">
        <v>1</v>
      </c>
      <c r="AC1891" s="2" t="s">
        <v>100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100</v>
      </c>
      <c r="BD1891" s="8" t="s">
        <v>100</v>
      </c>
      <c r="BE1891" s="4" t="s">
        <v>100</v>
      </c>
      <c r="BF1891" s="8" t="s">
        <v>100</v>
      </c>
      <c r="BG1891" s="7" t="s">
        <v>100</v>
      </c>
      <c r="BH1891" s="7" t="s">
        <v>100</v>
      </c>
      <c r="BI1891" s="7"/>
      <c r="BJ1891" s="4">
        <v>15</v>
      </c>
      <c r="BK1891" s="8">
        <v>125.92</v>
      </c>
      <c r="BL1891" s="2" t="s">
        <v>6291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147</v>
      </c>
      <c r="BV1891" s="2" t="s">
        <v>97</v>
      </c>
      <c r="BW1891" s="2" t="s">
        <v>100</v>
      </c>
      <c r="BX1891" s="2" t="s">
        <v>100</v>
      </c>
      <c r="BY1891" s="2" t="s">
        <v>112</v>
      </c>
      <c r="BZ1891" s="2" t="s">
        <v>100</v>
      </c>
    </row>
    <row r="1892">
      <c r="A1892" s="2" t="s">
        <v>6311</v>
      </c>
      <c r="B1892" s="2" t="s">
        <v>6098</v>
      </c>
      <c r="C1892" s="2" t="s">
        <v>88</v>
      </c>
      <c r="D1892" s="2" t="s">
        <v>6099</v>
      </c>
      <c r="E1892" s="2" t="s">
        <v>6100</v>
      </c>
      <c r="F1892" s="2" t="s">
        <v>6312</v>
      </c>
      <c r="G1892" s="2" t="s">
        <v>6312</v>
      </c>
      <c r="H1892" s="2" t="s">
        <v>6312</v>
      </c>
      <c r="I1892" s="2" t="s">
        <v>6313</v>
      </c>
      <c r="J1892" s="2" t="s">
        <v>6103</v>
      </c>
      <c r="K1892" s="2" t="s">
        <v>6314</v>
      </c>
      <c r="L1892" s="3">
        <v>8.33</v>
      </c>
      <c r="M1892" s="3">
        <v>8.75</v>
      </c>
      <c r="N1892" s="3">
        <v>24.99</v>
      </c>
      <c r="O1892" s="2" t="s">
        <v>97</v>
      </c>
      <c r="P1892" s="2" t="s">
        <v>1166</v>
      </c>
      <c r="Q1892" s="2" t="s">
        <v>99</v>
      </c>
      <c r="R1892" s="2" t="s">
        <v>100</v>
      </c>
      <c r="S1892" s="2" t="s">
        <v>100</v>
      </c>
      <c r="T1892" s="2" t="s">
        <v>100</v>
      </c>
      <c r="U1892" s="2" t="s">
        <v>3531</v>
      </c>
      <c r="V1892" s="2" t="s">
        <v>5769</v>
      </c>
      <c r="W1892" s="2" t="s">
        <v>104</v>
      </c>
      <c r="X1892" s="2" t="s">
        <v>759</v>
      </c>
      <c r="Y1892" s="2" t="s">
        <v>6290</v>
      </c>
      <c r="Z1892" s="4">
        <v>83</v>
      </c>
      <c r="AA1892" s="4">
        <f>=ROUNDDOWN(83,0)</f>
      </c>
      <c r="AB1892" s="5">
        <v>1</v>
      </c>
      <c r="AC1892" s="2" t="s">
        <v>100</v>
      </c>
      <c r="AD1892" s="4"/>
      <c r="AE1892" s="4"/>
      <c r="AF1892" s="6">
        <v>63</v>
      </c>
      <c r="AG1892" s="6"/>
      <c r="AH1892" s="7">
        <v>0.9938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100</v>
      </c>
      <c r="BD1892" s="8" t="s">
        <v>100</v>
      </c>
      <c r="BE1892" s="4" t="s">
        <v>100</v>
      </c>
      <c r="BF1892" s="8" t="s">
        <v>100</v>
      </c>
      <c r="BG1892" s="7" t="s">
        <v>100</v>
      </c>
      <c r="BH1892" s="7" t="s">
        <v>100</v>
      </c>
      <c r="BI1892" s="7"/>
      <c r="BJ1892" s="4">
        <v>70</v>
      </c>
      <c r="BK1892" s="8">
        <v>669.19</v>
      </c>
      <c r="BL1892" s="2" t="s">
        <v>6315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147</v>
      </c>
      <c r="BV1892" s="2" t="s">
        <v>97</v>
      </c>
      <c r="BW1892" s="2" t="s">
        <v>100</v>
      </c>
      <c r="BX1892" s="2" t="s">
        <v>100</v>
      </c>
      <c r="BY1892" s="2" t="s">
        <v>112</v>
      </c>
      <c r="BZ1892" s="2" t="s">
        <v>100</v>
      </c>
    </row>
    <row r="1893">
      <c r="A1893" s="2" t="s">
        <v>6316</v>
      </c>
      <c r="B1893" s="2" t="s">
        <v>6098</v>
      </c>
      <c r="C1893" s="2" t="s">
        <v>88</v>
      </c>
      <c r="D1893" s="2" t="s">
        <v>6099</v>
      </c>
      <c r="E1893" s="2" t="s">
        <v>6100</v>
      </c>
      <c r="F1893" s="2" t="s">
        <v>6312</v>
      </c>
      <c r="G1893" s="2" t="s">
        <v>6312</v>
      </c>
      <c r="H1893" s="2" t="s">
        <v>6312</v>
      </c>
      <c r="I1893" s="2" t="s">
        <v>6317</v>
      </c>
      <c r="J1893" s="2" t="s">
        <v>6103</v>
      </c>
      <c r="K1893" s="2" t="s">
        <v>6318</v>
      </c>
      <c r="L1893" s="3">
        <v>8.33</v>
      </c>
      <c r="M1893" s="3">
        <v>8.75</v>
      </c>
      <c r="N1893" s="3">
        <v>24.99</v>
      </c>
      <c r="O1893" s="2" t="s">
        <v>97</v>
      </c>
      <c r="P1893" s="2" t="s">
        <v>1166</v>
      </c>
      <c r="Q1893" s="2" t="s">
        <v>99</v>
      </c>
      <c r="R1893" s="2" t="s">
        <v>100</v>
      </c>
      <c r="S1893" s="2" t="s">
        <v>100</v>
      </c>
      <c r="T1893" s="2" t="s">
        <v>100</v>
      </c>
      <c r="U1893" s="2" t="s">
        <v>3531</v>
      </c>
      <c r="V1893" s="2" t="s">
        <v>5769</v>
      </c>
      <c r="W1893" s="2" t="s">
        <v>104</v>
      </c>
      <c r="X1893" s="2" t="s">
        <v>759</v>
      </c>
      <c r="Y1893" s="2" t="s">
        <v>6290</v>
      </c>
      <c r="Z1893" s="4">
        <v>115</v>
      </c>
      <c r="AA1893" s="4">
        <f>=ROUNDDOWN(57.5,0)</f>
      </c>
      <c r="AB1893" s="5">
        <v>2</v>
      </c>
      <c r="AC1893" s="2" t="s">
        <v>100</v>
      </c>
      <c r="AD1893" s="4"/>
      <c r="AE1893" s="4"/>
      <c r="AF1893" s="6">
        <v>63</v>
      </c>
      <c r="AG1893" s="6"/>
      <c r="AH1893" s="7">
        <v>0.9938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100</v>
      </c>
      <c r="BD1893" s="8" t="s">
        <v>100</v>
      </c>
      <c r="BE1893" s="4" t="s">
        <v>100</v>
      </c>
      <c r="BF1893" s="8" t="s">
        <v>100</v>
      </c>
      <c r="BG1893" s="7" t="s">
        <v>100</v>
      </c>
      <c r="BH1893" s="7" t="s">
        <v>100</v>
      </c>
      <c r="BI1893" s="7"/>
      <c r="BJ1893" s="4">
        <v>58</v>
      </c>
      <c r="BK1893" s="8">
        <v>555.02</v>
      </c>
      <c r="BL1893" s="2" t="s">
        <v>6319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147</v>
      </c>
      <c r="BV1893" s="2" t="s">
        <v>97</v>
      </c>
      <c r="BW1893" s="2" t="s">
        <v>100</v>
      </c>
      <c r="BX1893" s="2" t="s">
        <v>100</v>
      </c>
      <c r="BY1893" s="2" t="s">
        <v>112</v>
      </c>
      <c r="BZ1893" s="2" t="s">
        <v>100</v>
      </c>
    </row>
    <row r="1894">
      <c r="A1894" s="2" t="s">
        <v>6320</v>
      </c>
      <c r="B1894" s="2" t="s">
        <v>6098</v>
      </c>
      <c r="C1894" s="2" t="s">
        <v>88</v>
      </c>
      <c r="D1894" s="2" t="s">
        <v>6099</v>
      </c>
      <c r="E1894" s="2" t="s">
        <v>6100</v>
      </c>
      <c r="F1894" s="2" t="s">
        <v>6312</v>
      </c>
      <c r="G1894" s="2" t="s">
        <v>6312</v>
      </c>
      <c r="H1894" s="2" t="s">
        <v>6312</v>
      </c>
      <c r="I1894" s="2" t="s">
        <v>6321</v>
      </c>
      <c r="J1894" s="2" t="s">
        <v>6103</v>
      </c>
      <c r="K1894" s="2" t="s">
        <v>6322</v>
      </c>
      <c r="L1894" s="3">
        <v>8.33</v>
      </c>
      <c r="M1894" s="3">
        <v>8.75</v>
      </c>
      <c r="N1894" s="3">
        <v>24.99</v>
      </c>
      <c r="O1894" s="2" t="s">
        <v>97</v>
      </c>
      <c r="P1894" s="2" t="s">
        <v>1166</v>
      </c>
      <c r="Q1894" s="2" t="s">
        <v>99</v>
      </c>
      <c r="R1894" s="2" t="s">
        <v>100</v>
      </c>
      <c r="S1894" s="2" t="s">
        <v>100</v>
      </c>
      <c r="T1894" s="2" t="s">
        <v>100</v>
      </c>
      <c r="U1894" s="2" t="s">
        <v>3531</v>
      </c>
      <c r="V1894" s="2" t="s">
        <v>5769</v>
      </c>
      <c r="W1894" s="2" t="s">
        <v>104</v>
      </c>
      <c r="X1894" s="2" t="s">
        <v>759</v>
      </c>
      <c r="Y1894" s="2" t="s">
        <v>6290</v>
      </c>
      <c r="Z1894" s="4">
        <v>109</v>
      </c>
      <c r="AA1894" s="4">
        <f>=ROUNDDOWN(109,0)</f>
      </c>
      <c r="AB1894" s="5">
        <v>1</v>
      </c>
      <c r="AC1894" s="2" t="s">
        <v>100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100</v>
      </c>
      <c r="BD1894" s="8" t="s">
        <v>100</v>
      </c>
      <c r="BE1894" s="4" t="s">
        <v>100</v>
      </c>
      <c r="BF1894" s="8" t="s">
        <v>100</v>
      </c>
      <c r="BG1894" s="7" t="s">
        <v>100</v>
      </c>
      <c r="BH1894" s="7" t="s">
        <v>100</v>
      </c>
      <c r="BI1894" s="7"/>
      <c r="BJ1894" s="4">
        <v>35</v>
      </c>
      <c r="BK1894" s="8">
        <v>333.06</v>
      </c>
      <c r="BL1894" s="2" t="s">
        <v>6315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147</v>
      </c>
      <c r="BV1894" s="2" t="s">
        <v>97</v>
      </c>
      <c r="BW1894" s="2" t="s">
        <v>100</v>
      </c>
      <c r="BX1894" s="2" t="s">
        <v>100</v>
      </c>
      <c r="BY1894" s="2" t="s">
        <v>112</v>
      </c>
      <c r="BZ1894" s="2" t="s">
        <v>100</v>
      </c>
    </row>
    <row r="1895">
      <c r="A1895" s="2" t="s">
        <v>6323</v>
      </c>
      <c r="B1895" s="2" t="s">
        <v>6098</v>
      </c>
      <c r="C1895" s="2" t="s">
        <v>88</v>
      </c>
      <c r="D1895" s="2" t="s">
        <v>6099</v>
      </c>
      <c r="E1895" s="2" t="s">
        <v>6100</v>
      </c>
      <c r="F1895" s="2" t="s">
        <v>6324</v>
      </c>
      <c r="G1895" s="2" t="s">
        <v>6324</v>
      </c>
      <c r="H1895" s="2" t="s">
        <v>6324</v>
      </c>
      <c r="I1895" s="2" t="s">
        <v>6325</v>
      </c>
      <c r="J1895" s="2" t="s">
        <v>6103</v>
      </c>
      <c r="K1895" s="2" t="s">
        <v>158</v>
      </c>
      <c r="L1895" s="3">
        <v>24.48</v>
      </c>
      <c r="M1895" s="3">
        <v>25.7</v>
      </c>
      <c r="N1895" s="3">
        <v>59.49</v>
      </c>
      <c r="O1895" s="2" t="s">
        <v>97</v>
      </c>
      <c r="P1895" s="2" t="s">
        <v>1265</v>
      </c>
      <c r="Q1895" s="2" t="s">
        <v>99</v>
      </c>
      <c r="R1895" s="2" t="s">
        <v>100</v>
      </c>
      <c r="S1895" s="2" t="s">
        <v>100</v>
      </c>
      <c r="T1895" s="2" t="s">
        <v>100</v>
      </c>
      <c r="U1895" s="2" t="s">
        <v>3531</v>
      </c>
      <c r="V1895" s="2" t="s">
        <v>491</v>
      </c>
      <c r="W1895" s="2" t="s">
        <v>104</v>
      </c>
      <c r="X1895" s="2" t="s">
        <v>100</v>
      </c>
      <c r="Y1895" s="2" t="s">
        <v>6230</v>
      </c>
      <c r="Z1895" s="4">
        <v>43</v>
      </c>
      <c r="AA1895" s="4">
        <f>=ROUNDDOWN(10.75,0)</f>
      </c>
      <c r="AB1895" s="5">
        <v>4</v>
      </c>
      <c r="AC1895" s="2" t="s">
        <v>382</v>
      </c>
      <c r="AD1895" s="4">
        <v>100</v>
      </c>
      <c r="AE1895" s="4">
        <v>100</v>
      </c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84</v>
      </c>
      <c r="BK1895" s="8">
        <v>2577.5</v>
      </c>
      <c r="BL1895" s="2" t="s">
        <v>6326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6110</v>
      </c>
      <c r="BX1895" s="2" t="s">
        <v>100</v>
      </c>
      <c r="BY1895" s="2" t="s">
        <v>112</v>
      </c>
      <c r="BZ1895" s="2" t="s">
        <v>100</v>
      </c>
    </row>
    <row r="1896">
      <c r="A1896" s="2" t="s">
        <v>6327</v>
      </c>
      <c r="B1896" s="2" t="s">
        <v>6098</v>
      </c>
      <c r="C1896" s="2" t="s">
        <v>88</v>
      </c>
      <c r="D1896" s="2" t="s">
        <v>6099</v>
      </c>
      <c r="E1896" s="2" t="s">
        <v>6100</v>
      </c>
      <c r="F1896" s="2" t="s">
        <v>6328</v>
      </c>
      <c r="G1896" s="2" t="s">
        <v>6328</v>
      </c>
      <c r="H1896" s="2" t="s">
        <v>6328</v>
      </c>
      <c r="I1896" s="2" t="s">
        <v>6329</v>
      </c>
      <c r="J1896" s="2" t="s">
        <v>6103</v>
      </c>
      <c r="K1896" s="2" t="s">
        <v>6330</v>
      </c>
      <c r="L1896" s="3">
        <v>28.33</v>
      </c>
      <c r="M1896" s="3">
        <v>29.75</v>
      </c>
      <c r="N1896" s="3">
        <v>59.49</v>
      </c>
      <c r="O1896" s="2" t="s">
        <v>97</v>
      </c>
      <c r="P1896" s="2" t="s">
        <v>1166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3531</v>
      </c>
      <c r="V1896" s="2" t="s">
        <v>5769</v>
      </c>
      <c r="W1896" s="2" t="s">
        <v>6331</v>
      </c>
      <c r="X1896" s="2" t="s">
        <v>1288</v>
      </c>
      <c r="Y1896" s="2" t="s">
        <v>6332</v>
      </c>
      <c r="Z1896" s="4">
        <v>24</v>
      </c>
      <c r="AA1896" s="4">
        <f>=ROUNDDOWN(12,0)</f>
      </c>
      <c r="AB1896" s="5">
        <v>2</v>
      </c>
      <c r="AC1896" s="2" t="s">
        <v>100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45</v>
      </c>
      <c r="BK1896" s="8">
        <v>1715.39</v>
      </c>
      <c r="BL1896" s="2" t="s">
        <v>6333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6185</v>
      </c>
      <c r="BV1896" s="2" t="s">
        <v>97</v>
      </c>
      <c r="BW1896" s="2" t="s">
        <v>100</v>
      </c>
      <c r="BX1896" s="2" t="s">
        <v>100</v>
      </c>
      <c r="BY1896" s="2" t="s">
        <v>112</v>
      </c>
      <c r="BZ1896" s="2" t="s">
        <v>100</v>
      </c>
    </row>
    <row r="1897">
      <c r="A1897" s="2" t="s">
        <v>6334</v>
      </c>
      <c r="B1897" s="2" t="s">
        <v>6098</v>
      </c>
      <c r="C1897" s="2" t="s">
        <v>88</v>
      </c>
      <c r="D1897" s="2" t="s">
        <v>6099</v>
      </c>
      <c r="E1897" s="2" t="s">
        <v>6100</v>
      </c>
      <c r="F1897" s="2" t="s">
        <v>6335</v>
      </c>
      <c r="G1897" s="2" t="s">
        <v>6335</v>
      </c>
      <c r="H1897" s="2" t="s">
        <v>100</v>
      </c>
      <c r="I1897" s="2" t="s">
        <v>6191</v>
      </c>
      <c r="J1897" s="2" t="s">
        <v>6103</v>
      </c>
      <c r="K1897" s="2" t="s">
        <v>1767</v>
      </c>
      <c r="L1897" s="3">
        <v>19.62</v>
      </c>
      <c r="M1897" s="3">
        <v>20.6</v>
      </c>
      <c r="N1897" s="3">
        <v>44.99</v>
      </c>
      <c r="O1897" s="2" t="s">
        <v>550</v>
      </c>
      <c r="P1897" s="2" t="s">
        <v>198</v>
      </c>
      <c r="Q1897" s="2" t="s">
        <v>99</v>
      </c>
      <c r="R1897" s="2" t="s">
        <v>100</v>
      </c>
      <c r="S1897" s="2" t="s">
        <v>6336</v>
      </c>
      <c r="T1897" s="2" t="s">
        <v>100</v>
      </c>
      <c r="U1897" s="2" t="s">
        <v>3531</v>
      </c>
      <c r="V1897" s="2" t="s">
        <v>6337</v>
      </c>
      <c r="W1897" s="2" t="s">
        <v>405</v>
      </c>
      <c r="X1897" s="2" t="s">
        <v>100</v>
      </c>
      <c r="Y1897" s="2" t="s">
        <v>106</v>
      </c>
      <c r="Z1897" s="4">
        <v>45</v>
      </c>
      <c r="AA1897" s="4">
        <f>=ROUNDDOWN(225,0)</f>
      </c>
      <c r="AB1897" s="5">
        <v>0.2</v>
      </c>
      <c r="AC1897" s="2" t="s">
        <v>100</v>
      </c>
      <c r="AD1897" s="4"/>
      <c r="AE1897" s="4"/>
      <c r="AF1897" s="6">
        <v>63</v>
      </c>
      <c r="AG1897" s="6"/>
      <c r="AH1897" s="7">
        <v>0.697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3</v>
      </c>
      <c r="BK1897" s="8">
        <v>61.9</v>
      </c>
      <c r="BL1897" s="2" t="s">
        <v>6338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2917</v>
      </c>
      <c r="BX1897" s="2" t="s">
        <v>5256</v>
      </c>
      <c r="BY1897" s="2" t="s">
        <v>112</v>
      </c>
      <c r="BZ1897" s="2" t="s">
        <v>100</v>
      </c>
    </row>
    <row r="1898">
      <c r="A1898" s="2" t="s">
        <v>6339</v>
      </c>
      <c r="B1898" s="2" t="s">
        <v>6098</v>
      </c>
      <c r="C1898" s="2" t="s">
        <v>88</v>
      </c>
      <c r="D1898" s="2" t="s">
        <v>6099</v>
      </c>
      <c r="E1898" s="2" t="s">
        <v>6100</v>
      </c>
      <c r="F1898" s="2" t="s">
        <v>6340</v>
      </c>
      <c r="G1898" s="2" t="s">
        <v>6340</v>
      </c>
      <c r="H1898" s="2" t="s">
        <v>6340</v>
      </c>
      <c r="I1898" s="2" t="s">
        <v>6341</v>
      </c>
      <c r="J1898" s="2" t="s">
        <v>6103</v>
      </c>
      <c r="K1898" s="2" t="s">
        <v>6342</v>
      </c>
      <c r="L1898" s="3">
        <v>40.47</v>
      </c>
      <c r="M1898" s="3">
        <v>42.49</v>
      </c>
      <c r="N1898" s="3">
        <v>84.99</v>
      </c>
      <c r="O1898" s="2" t="s">
        <v>97</v>
      </c>
      <c r="P1898" s="2" t="s">
        <v>1166</v>
      </c>
      <c r="Q1898" s="2" t="s">
        <v>99</v>
      </c>
      <c r="R1898" s="2" t="s">
        <v>100</v>
      </c>
      <c r="S1898" s="2" t="s">
        <v>100</v>
      </c>
      <c r="T1898" s="2" t="s">
        <v>100</v>
      </c>
      <c r="U1898" s="2" t="s">
        <v>3531</v>
      </c>
      <c r="V1898" s="2" t="s">
        <v>6169</v>
      </c>
      <c r="W1898" s="2" t="s">
        <v>405</v>
      </c>
      <c r="X1898" s="2" t="s">
        <v>808</v>
      </c>
      <c r="Y1898" s="2" t="s">
        <v>6343</v>
      </c>
      <c r="Z1898" s="4">
        <v>3</v>
      </c>
      <c r="AA1898" s="4">
        <f>=ROUNDDOWN(0.5,0)</f>
      </c>
      <c r="AB1898" s="5">
        <v>6</v>
      </c>
      <c r="AC1898" s="2" t="s">
        <v>382</v>
      </c>
      <c r="AD1898" s="4">
        <v>60</v>
      </c>
      <c r="AE1898" s="4">
        <v>160</v>
      </c>
      <c r="AF1898" s="6">
        <v>63</v>
      </c>
      <c r="AG1898" s="6"/>
      <c r="AH1898" s="7">
        <v>0.8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79</v>
      </c>
      <c r="BK1898" s="8">
        <v>4308.92</v>
      </c>
      <c r="BL1898" s="2" t="s">
        <v>6344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6185</v>
      </c>
      <c r="BV1898" s="2" t="s">
        <v>97</v>
      </c>
      <c r="BW1898" s="2" t="s">
        <v>100</v>
      </c>
      <c r="BX1898" s="2" t="s">
        <v>100</v>
      </c>
      <c r="BY1898" s="2" t="s">
        <v>112</v>
      </c>
      <c r="BZ1898" s="2" t="s">
        <v>100</v>
      </c>
    </row>
    <row r="1899">
      <c r="A1899" s="2" t="s">
        <v>6345</v>
      </c>
      <c r="B1899" s="2" t="s">
        <v>6098</v>
      </c>
      <c r="C1899" s="2" t="s">
        <v>88</v>
      </c>
      <c r="D1899" s="2" t="s">
        <v>6099</v>
      </c>
      <c r="E1899" s="2" t="s">
        <v>6100</v>
      </c>
      <c r="F1899" s="2" t="s">
        <v>6346</v>
      </c>
      <c r="G1899" s="2" t="s">
        <v>6346</v>
      </c>
      <c r="H1899" s="2" t="s">
        <v>6346</v>
      </c>
      <c r="I1899" s="2" t="s">
        <v>6347</v>
      </c>
      <c r="J1899" s="2" t="s">
        <v>6103</v>
      </c>
      <c r="K1899" s="2" t="s">
        <v>1767</v>
      </c>
      <c r="L1899" s="3">
        <v>50.03</v>
      </c>
      <c r="M1899" s="3">
        <v>52.53</v>
      </c>
      <c r="N1899" s="3">
        <v>101.99</v>
      </c>
      <c r="O1899" s="2" t="s">
        <v>97</v>
      </c>
      <c r="P1899" s="2" t="s">
        <v>1265</v>
      </c>
      <c r="Q1899" s="2" t="s">
        <v>99</v>
      </c>
      <c r="R1899" s="2" t="s">
        <v>100</v>
      </c>
      <c r="S1899" s="2" t="s">
        <v>100</v>
      </c>
      <c r="T1899" s="2" t="s">
        <v>100</v>
      </c>
      <c r="U1899" s="2" t="s">
        <v>2104</v>
      </c>
      <c r="V1899" s="2" t="s">
        <v>1122</v>
      </c>
      <c r="W1899" s="2" t="s">
        <v>602</v>
      </c>
      <c r="X1899" s="2" t="s">
        <v>100</v>
      </c>
      <c r="Y1899" s="2" t="s">
        <v>6348</v>
      </c>
      <c r="Z1899" s="4">
        <v>97</v>
      </c>
      <c r="AA1899" s="4">
        <f>=ROUNDDOWN(37.3076923076923,0)</f>
      </c>
      <c r="AB1899" s="5">
        <v>2.6</v>
      </c>
      <c r="AC1899" s="2" t="s">
        <v>100</v>
      </c>
      <c r="AD1899" s="4"/>
      <c r="AE1899" s="4"/>
      <c r="AF1899" s="6">
        <v>63</v>
      </c>
      <c r="AG1899" s="6"/>
      <c r="AH1899" s="7">
        <v>0.8364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61</v>
      </c>
      <c r="BK1899" s="8">
        <v>3386.82</v>
      </c>
      <c r="BL1899" s="2" t="s">
        <v>6349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6110</v>
      </c>
      <c r="BX1899" s="2" t="s">
        <v>100</v>
      </c>
      <c r="BY1899" s="2" t="s">
        <v>112</v>
      </c>
      <c r="BZ1899" s="2" t="s">
        <v>100</v>
      </c>
    </row>
    <row r="1900">
      <c r="A1900" s="2" t="s">
        <v>6350</v>
      </c>
      <c r="B1900" s="2" t="s">
        <v>6098</v>
      </c>
      <c r="C1900" s="2" t="s">
        <v>88</v>
      </c>
      <c r="D1900" s="2" t="s">
        <v>6099</v>
      </c>
      <c r="E1900" s="2" t="s">
        <v>6100</v>
      </c>
      <c r="F1900" s="2" t="s">
        <v>6351</v>
      </c>
      <c r="G1900" s="2" t="s">
        <v>6351</v>
      </c>
      <c r="H1900" s="2" t="s">
        <v>6351</v>
      </c>
      <c r="I1900" s="2" t="s">
        <v>6352</v>
      </c>
      <c r="J1900" s="2" t="s">
        <v>6103</v>
      </c>
      <c r="K1900" s="2" t="s">
        <v>1767</v>
      </c>
      <c r="L1900" s="3">
        <v>36.42</v>
      </c>
      <c r="M1900" s="3">
        <v>38.24</v>
      </c>
      <c r="N1900" s="3">
        <v>76.49</v>
      </c>
      <c r="O1900" s="2" t="s">
        <v>97</v>
      </c>
      <c r="P1900" s="2" t="s">
        <v>1166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1610</v>
      </c>
      <c r="V1900" s="2" t="s">
        <v>1122</v>
      </c>
      <c r="W1900" s="2" t="s">
        <v>1190</v>
      </c>
      <c r="X1900" s="2" t="s">
        <v>602</v>
      </c>
      <c r="Y1900" s="2" t="s">
        <v>6343</v>
      </c>
      <c r="Z1900" s="4">
        <v>50</v>
      </c>
      <c r="AA1900" s="4">
        <f>=ROUNDDOWN(50,0)</f>
      </c>
      <c r="AB1900" s="5">
        <v>1</v>
      </c>
      <c r="AC1900" s="2" t="s">
        <v>100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42</v>
      </c>
      <c r="BK1900" s="8">
        <v>1729.43</v>
      </c>
      <c r="BL1900" s="2" t="s">
        <v>6353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6185</v>
      </c>
      <c r="BV1900" s="2" t="s">
        <v>97</v>
      </c>
      <c r="BW1900" s="2" t="s">
        <v>100</v>
      </c>
      <c r="BX1900" s="2" t="s">
        <v>100</v>
      </c>
      <c r="BY1900" s="2" t="s">
        <v>112</v>
      </c>
      <c r="BZ1900" s="2" t="s">
        <v>100</v>
      </c>
    </row>
    <row r="1901">
      <c r="A1901" s="2" t="s">
        <v>6354</v>
      </c>
      <c r="B1901" s="2" t="s">
        <v>6098</v>
      </c>
      <c r="C1901" s="2" t="s">
        <v>88</v>
      </c>
      <c r="D1901" s="2" t="s">
        <v>6099</v>
      </c>
      <c r="E1901" s="2" t="s">
        <v>6100</v>
      </c>
      <c r="F1901" s="2" t="s">
        <v>6355</v>
      </c>
      <c r="G1901" s="2" t="s">
        <v>6355</v>
      </c>
      <c r="H1901" s="2" t="s">
        <v>6355</v>
      </c>
      <c r="I1901" s="2" t="s">
        <v>6356</v>
      </c>
      <c r="J1901" s="2" t="s">
        <v>6103</v>
      </c>
      <c r="K1901" s="2" t="s">
        <v>6357</v>
      </c>
      <c r="L1901" s="3">
        <v>6.66</v>
      </c>
      <c r="M1901" s="3">
        <v>6.99</v>
      </c>
      <c r="N1901" s="3">
        <v>19.99</v>
      </c>
      <c r="O1901" s="2" t="s">
        <v>97</v>
      </c>
      <c r="P1901" s="2" t="s">
        <v>1166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3531</v>
      </c>
      <c r="V1901" s="2" t="s">
        <v>5769</v>
      </c>
      <c r="W1901" s="2" t="s">
        <v>1310</v>
      </c>
      <c r="X1901" s="2" t="s">
        <v>808</v>
      </c>
      <c r="Y1901" s="2" t="s">
        <v>3843</v>
      </c>
      <c r="Z1901" s="4">
        <v>178</v>
      </c>
      <c r="AA1901" s="4">
        <f>=ROUNDDOWN(445,0)</f>
      </c>
      <c r="AB1901" s="5">
        <v>0.4</v>
      </c>
      <c r="AC1901" s="2" t="s">
        <v>100</v>
      </c>
      <c r="AD1901" s="4"/>
      <c r="AE1901" s="4"/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 t="s">
        <v>100</v>
      </c>
      <c r="BD1901" s="8" t="s">
        <v>100</v>
      </c>
      <c r="BE1901" s="4" t="s">
        <v>100</v>
      </c>
      <c r="BF1901" s="8" t="s">
        <v>100</v>
      </c>
      <c r="BG1901" s="7" t="s">
        <v>100</v>
      </c>
      <c r="BH1901" s="7" t="s">
        <v>100</v>
      </c>
      <c r="BI1901" s="7"/>
      <c r="BJ1901" s="4">
        <v>31</v>
      </c>
      <c r="BK1901" s="8">
        <v>340.51</v>
      </c>
      <c r="BL1901" s="2" t="s">
        <v>6243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6185</v>
      </c>
      <c r="BV1901" s="2" t="s">
        <v>97</v>
      </c>
      <c r="BW1901" s="2" t="s">
        <v>100</v>
      </c>
      <c r="BX1901" s="2" t="s">
        <v>100</v>
      </c>
      <c r="BY1901" s="2" t="s">
        <v>112</v>
      </c>
      <c r="BZ1901" s="2" t="s">
        <v>100</v>
      </c>
    </row>
    <row r="1902">
      <c r="A1902" s="2" t="s">
        <v>6358</v>
      </c>
      <c r="B1902" s="2" t="s">
        <v>6098</v>
      </c>
      <c r="C1902" s="2" t="s">
        <v>88</v>
      </c>
      <c r="D1902" s="2" t="s">
        <v>6099</v>
      </c>
      <c r="E1902" s="2" t="s">
        <v>6100</v>
      </c>
      <c r="F1902" s="2" t="s">
        <v>6355</v>
      </c>
      <c r="G1902" s="2" t="s">
        <v>6355</v>
      </c>
      <c r="H1902" s="2" t="s">
        <v>6355</v>
      </c>
      <c r="I1902" s="2" t="s">
        <v>6359</v>
      </c>
      <c r="J1902" s="2" t="s">
        <v>6103</v>
      </c>
      <c r="K1902" s="2" t="s">
        <v>6360</v>
      </c>
      <c r="L1902" s="3">
        <v>6.66</v>
      </c>
      <c r="M1902" s="3">
        <v>6.99</v>
      </c>
      <c r="N1902" s="3">
        <v>19.99</v>
      </c>
      <c r="O1902" s="2" t="s">
        <v>97</v>
      </c>
      <c r="P1902" s="2" t="s">
        <v>1166</v>
      </c>
      <c r="Q1902" s="2" t="s">
        <v>99</v>
      </c>
      <c r="R1902" s="2" t="s">
        <v>100</v>
      </c>
      <c r="S1902" s="2" t="s">
        <v>100</v>
      </c>
      <c r="T1902" s="2" t="s">
        <v>100</v>
      </c>
      <c r="U1902" s="2" t="s">
        <v>3531</v>
      </c>
      <c r="V1902" s="2" t="s">
        <v>5769</v>
      </c>
      <c r="W1902" s="2" t="s">
        <v>1310</v>
      </c>
      <c r="X1902" s="2" t="s">
        <v>808</v>
      </c>
      <c r="Y1902" s="2" t="s">
        <v>3843</v>
      </c>
      <c r="Z1902" s="4">
        <v>143</v>
      </c>
      <c r="AA1902" s="4">
        <f>=ROUNDDOWN(71.5,0)</f>
      </c>
      <c r="AB1902" s="5">
        <v>2</v>
      </c>
      <c r="AC1902" s="2" t="s">
        <v>100</v>
      </c>
      <c r="AD1902" s="4"/>
      <c r="AE1902" s="4"/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 t="s">
        <v>100</v>
      </c>
      <c r="BD1902" s="8" t="s">
        <v>100</v>
      </c>
      <c r="BE1902" s="4" t="s">
        <v>100</v>
      </c>
      <c r="BF1902" s="8" t="s">
        <v>100</v>
      </c>
      <c r="BG1902" s="7" t="s">
        <v>100</v>
      </c>
      <c r="BH1902" s="7" t="s">
        <v>100</v>
      </c>
      <c r="BI1902" s="7"/>
      <c r="BJ1902" s="4">
        <v>29</v>
      </c>
      <c r="BK1902" s="8">
        <v>431.98</v>
      </c>
      <c r="BL1902" s="2" t="s">
        <v>6361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6185</v>
      </c>
      <c r="BV1902" s="2" t="s">
        <v>97</v>
      </c>
      <c r="BW1902" s="2" t="s">
        <v>100</v>
      </c>
      <c r="BX1902" s="2" t="s">
        <v>100</v>
      </c>
      <c r="BY1902" s="2" t="s">
        <v>112</v>
      </c>
      <c r="BZ1902" s="2" t="s">
        <v>100</v>
      </c>
    </row>
    <row r="1903">
      <c r="A1903" s="2" t="s">
        <v>6362</v>
      </c>
      <c r="B1903" s="2" t="s">
        <v>6098</v>
      </c>
      <c r="C1903" s="2" t="s">
        <v>88</v>
      </c>
      <c r="D1903" s="2" t="s">
        <v>6099</v>
      </c>
      <c r="E1903" s="2" t="s">
        <v>6100</v>
      </c>
      <c r="F1903" s="2" t="s">
        <v>6355</v>
      </c>
      <c r="G1903" s="2" t="s">
        <v>6355</v>
      </c>
      <c r="H1903" s="2" t="s">
        <v>6355</v>
      </c>
      <c r="I1903" s="2" t="s">
        <v>6363</v>
      </c>
      <c r="J1903" s="2" t="s">
        <v>6103</v>
      </c>
      <c r="K1903" s="2" t="s">
        <v>6364</v>
      </c>
      <c r="L1903" s="3">
        <v>6.66</v>
      </c>
      <c r="M1903" s="3">
        <v>6.99</v>
      </c>
      <c r="N1903" s="3">
        <v>19.99</v>
      </c>
      <c r="O1903" s="2" t="s">
        <v>97</v>
      </c>
      <c r="P1903" s="2" t="s">
        <v>1166</v>
      </c>
      <c r="Q1903" s="2" t="s">
        <v>99</v>
      </c>
      <c r="R1903" s="2" t="s">
        <v>100</v>
      </c>
      <c r="S1903" s="2" t="s">
        <v>100</v>
      </c>
      <c r="T1903" s="2" t="s">
        <v>100</v>
      </c>
      <c r="U1903" s="2" t="s">
        <v>3531</v>
      </c>
      <c r="V1903" s="2" t="s">
        <v>5769</v>
      </c>
      <c r="W1903" s="2" t="s">
        <v>1310</v>
      </c>
      <c r="X1903" s="2" t="s">
        <v>808</v>
      </c>
      <c r="Y1903" s="2" t="s">
        <v>3843</v>
      </c>
      <c r="Z1903" s="4">
        <v>181</v>
      </c>
      <c r="AA1903" s="4">
        <f>=ROUNDDOWN(90.5,0)</f>
      </c>
      <c r="AB1903" s="5">
        <v>2</v>
      </c>
      <c r="AC1903" s="2" t="s">
        <v>100</v>
      </c>
      <c r="AD1903" s="4"/>
      <c r="AE1903" s="4"/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 t="s">
        <v>100</v>
      </c>
      <c r="BD1903" s="8" t="s">
        <v>100</v>
      </c>
      <c r="BE1903" s="4" t="s">
        <v>100</v>
      </c>
      <c r="BF1903" s="8" t="s">
        <v>100</v>
      </c>
      <c r="BG1903" s="7" t="s">
        <v>100</v>
      </c>
      <c r="BH1903" s="7" t="s">
        <v>100</v>
      </c>
      <c r="BI1903" s="7"/>
      <c r="BJ1903" s="4">
        <v>23</v>
      </c>
      <c r="BK1903" s="8">
        <v>220.83</v>
      </c>
      <c r="BL1903" s="2" t="s">
        <v>6243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6185</v>
      </c>
      <c r="BV1903" s="2" t="s">
        <v>97</v>
      </c>
      <c r="BW1903" s="2" t="s">
        <v>100</v>
      </c>
      <c r="BX1903" s="2" t="s">
        <v>100</v>
      </c>
      <c r="BY1903" s="2" t="s">
        <v>112</v>
      </c>
      <c r="BZ1903" s="2" t="s">
        <v>100</v>
      </c>
    </row>
    <row r="1904">
      <c r="A1904" s="2" t="s">
        <v>6365</v>
      </c>
      <c r="B1904" s="2" t="s">
        <v>6098</v>
      </c>
      <c r="C1904" s="2" t="s">
        <v>88</v>
      </c>
      <c r="D1904" s="2" t="s">
        <v>6099</v>
      </c>
      <c r="E1904" s="2" t="s">
        <v>6100</v>
      </c>
      <c r="F1904" s="2" t="s">
        <v>6355</v>
      </c>
      <c r="G1904" s="2" t="s">
        <v>6355</v>
      </c>
      <c r="H1904" s="2" t="s">
        <v>6355</v>
      </c>
      <c r="I1904" s="2" t="s">
        <v>6366</v>
      </c>
      <c r="J1904" s="2" t="s">
        <v>6103</v>
      </c>
      <c r="K1904" s="2" t="s">
        <v>6367</v>
      </c>
      <c r="L1904" s="3">
        <v>6.66</v>
      </c>
      <c r="M1904" s="3">
        <v>6.99</v>
      </c>
      <c r="N1904" s="3">
        <v>19.99</v>
      </c>
      <c r="O1904" s="2" t="s">
        <v>97</v>
      </c>
      <c r="P1904" s="2" t="s">
        <v>182</v>
      </c>
      <c r="Q1904" s="2" t="s">
        <v>99</v>
      </c>
      <c r="R1904" s="2" t="s">
        <v>100</v>
      </c>
      <c r="S1904" s="2" t="s">
        <v>100</v>
      </c>
      <c r="T1904" s="2" t="s">
        <v>100</v>
      </c>
      <c r="U1904" s="2" t="s">
        <v>3531</v>
      </c>
      <c r="V1904" s="2" t="s">
        <v>5769</v>
      </c>
      <c r="W1904" s="2" t="s">
        <v>1310</v>
      </c>
      <c r="X1904" s="2" t="s">
        <v>808</v>
      </c>
      <c r="Y1904" s="2" t="s">
        <v>6242</v>
      </c>
      <c r="Z1904" s="4">
        <v>330</v>
      </c>
      <c r="AA1904" s="4">
        <f>=ROUNDDOWN(110,0)</f>
      </c>
      <c r="AB1904" s="5">
        <v>3</v>
      </c>
      <c r="AC1904" s="2" t="s">
        <v>100</v>
      </c>
      <c r="AD1904" s="4"/>
      <c r="AE1904" s="4"/>
      <c r="AF1904" s="6">
        <v>63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/>
      <c r="BJ1904" s="4">
        <v>77</v>
      </c>
      <c r="BK1904" s="8">
        <v>753.61</v>
      </c>
      <c r="BL1904" s="2" t="s">
        <v>6368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6185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6369</v>
      </c>
      <c r="B1905" s="2" t="s">
        <v>6098</v>
      </c>
      <c r="C1905" s="2" t="s">
        <v>88</v>
      </c>
      <c r="D1905" s="2" t="s">
        <v>6099</v>
      </c>
      <c r="E1905" s="2" t="s">
        <v>6100</v>
      </c>
      <c r="F1905" s="2" t="s">
        <v>6355</v>
      </c>
      <c r="G1905" s="2" t="s">
        <v>6355</v>
      </c>
      <c r="H1905" s="2" t="s">
        <v>6355</v>
      </c>
      <c r="I1905" s="2" t="s">
        <v>6370</v>
      </c>
      <c r="J1905" s="2" t="s">
        <v>6103</v>
      </c>
      <c r="K1905" s="2" t="s">
        <v>6371</v>
      </c>
      <c r="L1905" s="3">
        <v>6.66</v>
      </c>
      <c r="M1905" s="3">
        <v>6.99</v>
      </c>
      <c r="N1905" s="3">
        <v>19.99</v>
      </c>
      <c r="O1905" s="2" t="s">
        <v>97</v>
      </c>
      <c r="P1905" s="2" t="s">
        <v>1166</v>
      </c>
      <c r="Q1905" s="2" t="s">
        <v>99</v>
      </c>
      <c r="R1905" s="2" t="s">
        <v>100</v>
      </c>
      <c r="S1905" s="2" t="s">
        <v>100</v>
      </c>
      <c r="T1905" s="2" t="s">
        <v>100</v>
      </c>
      <c r="U1905" s="2" t="s">
        <v>3531</v>
      </c>
      <c r="V1905" s="2" t="s">
        <v>5769</v>
      </c>
      <c r="W1905" s="2" t="s">
        <v>1310</v>
      </c>
      <c r="X1905" s="2" t="s">
        <v>808</v>
      </c>
      <c r="Y1905" s="2" t="s">
        <v>6242</v>
      </c>
      <c r="Z1905" s="4">
        <v>201</v>
      </c>
      <c r="AA1905" s="4">
        <f>=ROUNDDOWN(100.5,0)</f>
      </c>
      <c r="AB1905" s="5">
        <v>2</v>
      </c>
      <c r="AC1905" s="2" t="s">
        <v>100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/>
      <c r="BJ1905" s="4">
        <v>13</v>
      </c>
      <c r="BK1905" s="8">
        <v>138.34</v>
      </c>
      <c r="BL1905" s="2" t="s">
        <v>6368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6185</v>
      </c>
      <c r="BV1905" s="2" t="s">
        <v>97</v>
      </c>
      <c r="BW1905" s="2" t="s">
        <v>100</v>
      </c>
      <c r="BX1905" s="2" t="s">
        <v>100</v>
      </c>
      <c r="BY1905" s="2" t="s">
        <v>112</v>
      </c>
      <c r="BZ1905" s="2" t="s">
        <v>100</v>
      </c>
    </row>
    <row r="1906">
      <c r="A1906" s="2" t="s">
        <v>6372</v>
      </c>
      <c r="B1906" s="2" t="s">
        <v>6098</v>
      </c>
      <c r="C1906" s="2" t="s">
        <v>88</v>
      </c>
      <c r="D1906" s="2" t="s">
        <v>6099</v>
      </c>
      <c r="E1906" s="2" t="s">
        <v>6100</v>
      </c>
      <c r="F1906" s="2" t="s">
        <v>6355</v>
      </c>
      <c r="G1906" s="2" t="s">
        <v>6355</v>
      </c>
      <c r="H1906" s="2" t="s">
        <v>6355</v>
      </c>
      <c r="I1906" s="2" t="s">
        <v>6373</v>
      </c>
      <c r="J1906" s="2" t="s">
        <v>6103</v>
      </c>
      <c r="K1906" s="2" t="s">
        <v>6374</v>
      </c>
      <c r="L1906" s="3">
        <v>6.66</v>
      </c>
      <c r="M1906" s="3">
        <v>6.99</v>
      </c>
      <c r="N1906" s="3">
        <v>19.99</v>
      </c>
      <c r="O1906" s="2" t="s">
        <v>97</v>
      </c>
      <c r="P1906" s="2" t="s">
        <v>1166</v>
      </c>
      <c r="Q1906" s="2" t="s">
        <v>99</v>
      </c>
      <c r="R1906" s="2" t="s">
        <v>100</v>
      </c>
      <c r="S1906" s="2" t="s">
        <v>100</v>
      </c>
      <c r="T1906" s="2" t="s">
        <v>100</v>
      </c>
      <c r="U1906" s="2" t="s">
        <v>3531</v>
      </c>
      <c r="V1906" s="2" t="s">
        <v>5769</v>
      </c>
      <c r="W1906" s="2" t="s">
        <v>1310</v>
      </c>
      <c r="X1906" s="2" t="s">
        <v>808</v>
      </c>
      <c r="Y1906" s="2" t="s">
        <v>6242</v>
      </c>
      <c r="Z1906" s="4">
        <v>143</v>
      </c>
      <c r="AA1906" s="4">
        <f>=ROUNDDOWN(357.5,0)</f>
      </c>
      <c r="AB1906" s="5">
        <v>0.4</v>
      </c>
      <c r="AC1906" s="2" t="s">
        <v>100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 t="s">
        <v>100</v>
      </c>
      <c r="BD1906" s="8" t="s">
        <v>100</v>
      </c>
      <c r="BE1906" s="4" t="s">
        <v>100</v>
      </c>
      <c r="BF1906" s="8" t="s">
        <v>100</v>
      </c>
      <c r="BG1906" s="7" t="s">
        <v>100</v>
      </c>
      <c r="BH1906" s="7" t="s">
        <v>100</v>
      </c>
      <c r="BI1906" s="7"/>
      <c r="BJ1906" s="4">
        <v>8</v>
      </c>
      <c r="BK1906" s="8">
        <v>83.64</v>
      </c>
      <c r="BL1906" s="2" t="s">
        <v>6375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6185</v>
      </c>
      <c r="BV1906" s="2" t="s">
        <v>97</v>
      </c>
      <c r="BW1906" s="2" t="s">
        <v>100</v>
      </c>
      <c r="BX1906" s="2" t="s">
        <v>100</v>
      </c>
      <c r="BY1906" s="2" t="s">
        <v>112</v>
      </c>
      <c r="BZ1906" s="2" t="s">
        <v>100</v>
      </c>
    </row>
    <row r="1907">
      <c r="A1907" s="2" t="s">
        <v>6376</v>
      </c>
      <c r="B1907" s="2" t="s">
        <v>6098</v>
      </c>
      <c r="C1907" s="2" t="s">
        <v>88</v>
      </c>
      <c r="D1907" s="2" t="s">
        <v>6099</v>
      </c>
      <c r="E1907" s="2" t="s">
        <v>6377</v>
      </c>
      <c r="F1907" s="2" t="s">
        <v>6378</v>
      </c>
      <c r="G1907" s="2" t="s">
        <v>6378</v>
      </c>
      <c r="H1907" s="2" t="s">
        <v>6378</v>
      </c>
      <c r="I1907" s="2" t="s">
        <v>6379</v>
      </c>
      <c r="J1907" s="2" t="s">
        <v>6103</v>
      </c>
      <c r="K1907" s="2" t="s">
        <v>6167</v>
      </c>
      <c r="L1907" s="3">
        <v>69.19</v>
      </c>
      <c r="M1907" s="3">
        <v>72.65</v>
      </c>
      <c r="N1907" s="3">
        <v>135.99</v>
      </c>
      <c r="O1907" s="2" t="s">
        <v>97</v>
      </c>
      <c r="P1907" s="2" t="s">
        <v>182</v>
      </c>
      <c r="Q1907" s="2" t="s">
        <v>99</v>
      </c>
      <c r="R1907" s="2" t="s">
        <v>100</v>
      </c>
      <c r="S1907" s="2" t="s">
        <v>6380</v>
      </c>
      <c r="T1907" s="2" t="s">
        <v>100</v>
      </c>
      <c r="U1907" s="2" t="s">
        <v>790</v>
      </c>
      <c r="V1907" s="2" t="s">
        <v>1122</v>
      </c>
      <c r="W1907" s="2" t="s">
        <v>602</v>
      </c>
      <c r="X1907" s="2" t="s">
        <v>6381</v>
      </c>
      <c r="Y1907" s="2" t="s">
        <v>6382</v>
      </c>
      <c r="Z1907" s="4">
        <v>70</v>
      </c>
      <c r="AA1907" s="4">
        <f>=ROUNDDOWN(23.3333333333333,0)</f>
      </c>
      <c r="AB1907" s="5">
        <v>3</v>
      </c>
      <c r="AC1907" s="2" t="s">
        <v>100</v>
      </c>
      <c r="AD1907" s="4"/>
      <c r="AE1907" s="4"/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>
        <v>0</v>
      </c>
      <c r="AP1907" s="4">
        <v>13</v>
      </c>
      <c r="AQ1907" s="8">
        <v>944.45</v>
      </c>
      <c r="AR1907" s="4">
        <v>11</v>
      </c>
      <c r="AS1907" s="8">
        <v>824.79</v>
      </c>
      <c r="AT1907" s="7">
        <v>0.1818</v>
      </c>
      <c r="AU1907" s="7">
        <v>0.1451</v>
      </c>
      <c r="AV1907" s="4">
        <v>13</v>
      </c>
      <c r="AW1907" s="8">
        <v>944.45</v>
      </c>
      <c r="AX1907" s="4">
        <v>11</v>
      </c>
      <c r="AY1907" s="8">
        <v>824.79</v>
      </c>
      <c r="AZ1907" s="7">
        <v>0.1818</v>
      </c>
      <c r="BA1907" s="7">
        <v>0.1451</v>
      </c>
      <c r="BB1907" s="7">
        <v>1</v>
      </c>
      <c r="BC1907" s="4">
        <v>13</v>
      </c>
      <c r="BD1907" s="8">
        <v>944.45</v>
      </c>
      <c r="BE1907" s="4">
        <v>11</v>
      </c>
      <c r="BF1907" s="8">
        <v>824.79</v>
      </c>
      <c r="BG1907" s="7">
        <v>0.1818</v>
      </c>
      <c r="BH1907" s="7">
        <v>0.1451</v>
      </c>
      <c r="BI1907" s="7">
        <v>1</v>
      </c>
      <c r="BJ1907" s="4">
        <v>66</v>
      </c>
      <c r="BK1907" s="8">
        <v>5256.6</v>
      </c>
      <c r="BL1907" s="2" t="s">
        <v>6383</v>
      </c>
      <c r="BM1907" s="7">
        <v>0.197</v>
      </c>
      <c r="BN1907" s="7">
        <v>0.1797</v>
      </c>
      <c r="BO1907" s="4">
        <v>13</v>
      </c>
      <c r="BP1907" s="8">
        <v>944.45</v>
      </c>
      <c r="BQ1907" s="4">
        <v>11</v>
      </c>
      <c r="BR1907" s="8">
        <v>824.79</v>
      </c>
      <c r="BS1907" s="7">
        <v>0.1818</v>
      </c>
      <c r="BT1907" s="7">
        <v>0.1451</v>
      </c>
      <c r="BU1907" s="2" t="s">
        <v>109</v>
      </c>
      <c r="BV1907" s="2" t="s">
        <v>97</v>
      </c>
      <c r="BW1907" s="2" t="s">
        <v>6110</v>
      </c>
      <c r="BX1907" s="2" t="s">
        <v>6384</v>
      </c>
      <c r="BY1907" s="2" t="s">
        <v>112</v>
      </c>
      <c r="BZ1907" s="2" t="s">
        <v>100</v>
      </c>
    </row>
    <row r="1908">
      <c r="A1908" s="2" t="s">
        <v>6385</v>
      </c>
      <c r="B1908" s="2" t="s">
        <v>6098</v>
      </c>
      <c r="C1908" s="2" t="s">
        <v>88</v>
      </c>
      <c r="D1908" s="2" t="s">
        <v>6099</v>
      </c>
      <c r="E1908" s="2" t="s">
        <v>6377</v>
      </c>
      <c r="F1908" s="2" t="s">
        <v>6386</v>
      </c>
      <c r="G1908" s="2" t="s">
        <v>100</v>
      </c>
      <c r="H1908" s="2" t="s">
        <v>100</v>
      </c>
      <c r="I1908" s="2" t="s">
        <v>6387</v>
      </c>
      <c r="J1908" s="2" t="s">
        <v>6103</v>
      </c>
      <c r="K1908" s="2" t="s">
        <v>158</v>
      </c>
      <c r="L1908" s="3">
        <v>48.43</v>
      </c>
      <c r="M1908" s="3">
        <v>50.85</v>
      </c>
      <c r="N1908" s="3">
        <v>98.59</v>
      </c>
      <c r="O1908" s="2" t="s">
        <v>97</v>
      </c>
      <c r="P1908" s="2" t="s">
        <v>182</v>
      </c>
      <c r="Q1908" s="2" t="s">
        <v>99</v>
      </c>
      <c r="R1908" s="2" t="s">
        <v>100</v>
      </c>
      <c r="S1908" s="2" t="s">
        <v>6388</v>
      </c>
      <c r="T1908" s="2" t="s">
        <v>100</v>
      </c>
      <c r="U1908" s="2" t="s">
        <v>2104</v>
      </c>
      <c r="V1908" s="2" t="s">
        <v>1122</v>
      </c>
      <c r="W1908" s="2" t="s">
        <v>602</v>
      </c>
      <c r="X1908" s="2" t="s">
        <v>100</v>
      </c>
      <c r="Y1908" s="2" t="s">
        <v>6389</v>
      </c>
      <c r="Z1908" s="4">
        <v>81</v>
      </c>
      <c r="AA1908" s="4">
        <f>=ROUNDDOWN(20.25,0)</f>
      </c>
      <c r="AB1908" s="5">
        <v>4</v>
      </c>
      <c r="AC1908" s="2" t="s">
        <v>6199</v>
      </c>
      <c r="AD1908" s="4">
        <v>100</v>
      </c>
      <c r="AE1908" s="4">
        <v>100</v>
      </c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>
        <v>0</v>
      </c>
      <c r="AP1908" s="4">
        <v>6</v>
      </c>
      <c r="AQ1908" s="8">
        <v>305.16</v>
      </c>
      <c r="AR1908" s="4">
        <v>15</v>
      </c>
      <c r="AS1908" s="8">
        <v>861.57</v>
      </c>
      <c r="AT1908" s="7">
        <v>-0.6</v>
      </c>
      <c r="AU1908" s="7">
        <v>-0.6458</v>
      </c>
      <c r="AV1908" s="4">
        <v>6</v>
      </c>
      <c r="AW1908" s="8">
        <v>305.16</v>
      </c>
      <c r="AX1908" s="4">
        <v>15</v>
      </c>
      <c r="AY1908" s="8">
        <v>861.57</v>
      </c>
      <c r="AZ1908" s="7">
        <v>-0.6</v>
      </c>
      <c r="BA1908" s="7">
        <v>-0.6458</v>
      </c>
      <c r="BB1908" s="7">
        <v>1</v>
      </c>
      <c r="BC1908" s="4">
        <v>6</v>
      </c>
      <c r="BD1908" s="8">
        <v>305.16</v>
      </c>
      <c r="BE1908" s="4">
        <v>15</v>
      </c>
      <c r="BF1908" s="8">
        <v>861.57</v>
      </c>
      <c r="BG1908" s="7">
        <v>-0.6</v>
      </c>
      <c r="BH1908" s="7">
        <v>-0.6458</v>
      </c>
      <c r="BI1908" s="7">
        <v>1</v>
      </c>
      <c r="BJ1908" s="4">
        <v>81</v>
      </c>
      <c r="BK1908" s="8">
        <v>4340.11</v>
      </c>
      <c r="BL1908" s="2" t="s">
        <v>6390</v>
      </c>
      <c r="BM1908" s="7">
        <v>0.0741</v>
      </c>
      <c r="BN1908" s="7">
        <v>0.0703</v>
      </c>
      <c r="BO1908" s="4">
        <v>6</v>
      </c>
      <c r="BP1908" s="8">
        <v>305.16</v>
      </c>
      <c r="BQ1908" s="4">
        <v>15</v>
      </c>
      <c r="BR1908" s="8">
        <v>861.57</v>
      </c>
      <c r="BS1908" s="7">
        <v>-0.6</v>
      </c>
      <c r="BT1908" s="7">
        <v>-0.6458</v>
      </c>
      <c r="BU1908" s="2" t="s">
        <v>109</v>
      </c>
      <c r="BV1908" s="2" t="s">
        <v>97</v>
      </c>
      <c r="BW1908" s="2" t="s">
        <v>2917</v>
      </c>
      <c r="BX1908" s="2" t="s">
        <v>6391</v>
      </c>
      <c r="BY1908" s="2" t="s">
        <v>112</v>
      </c>
      <c r="BZ1908" s="2" t="s">
        <v>100</v>
      </c>
    </row>
    <row r="1909">
      <c r="A1909" s="2" t="s">
        <v>6392</v>
      </c>
      <c r="B1909" s="2" t="s">
        <v>6098</v>
      </c>
      <c r="C1909" s="2" t="s">
        <v>88</v>
      </c>
      <c r="D1909" s="2" t="s">
        <v>6099</v>
      </c>
      <c r="E1909" s="2" t="s">
        <v>6377</v>
      </c>
      <c r="F1909" s="2" t="s">
        <v>6393</v>
      </c>
      <c r="G1909" s="2" t="s">
        <v>6393</v>
      </c>
      <c r="H1909" s="2" t="s">
        <v>6393</v>
      </c>
      <c r="I1909" s="2" t="s">
        <v>6394</v>
      </c>
      <c r="J1909" s="2" t="s">
        <v>6103</v>
      </c>
      <c r="K1909" s="2" t="s">
        <v>158</v>
      </c>
      <c r="L1909" s="3">
        <v>55.77</v>
      </c>
      <c r="M1909" s="3">
        <v>58.56</v>
      </c>
      <c r="N1909" s="3">
        <v>118.99</v>
      </c>
      <c r="O1909" s="2" t="s">
        <v>97</v>
      </c>
      <c r="P1909" s="2" t="s">
        <v>182</v>
      </c>
      <c r="Q1909" s="2" t="s">
        <v>99</v>
      </c>
      <c r="R1909" s="2" t="s">
        <v>100</v>
      </c>
      <c r="S1909" s="2" t="s">
        <v>6395</v>
      </c>
      <c r="T1909" s="2" t="s">
        <v>100</v>
      </c>
      <c r="U1909" s="2" t="s">
        <v>1482</v>
      </c>
      <c r="V1909" s="2" t="s">
        <v>906</v>
      </c>
      <c r="W1909" s="2" t="s">
        <v>906</v>
      </c>
      <c r="X1909" s="2" t="s">
        <v>100</v>
      </c>
      <c r="Y1909" s="2" t="s">
        <v>1322</v>
      </c>
      <c r="Z1909" s="4">
        <v>91</v>
      </c>
      <c r="AA1909" s="4">
        <f>=ROUNDDOWN(45.5,0)</f>
      </c>
      <c r="AB1909" s="5">
        <v>2</v>
      </c>
      <c r="AC1909" s="2" t="s">
        <v>100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>
        <v>0</v>
      </c>
      <c r="AP1909" s="4">
        <v>5</v>
      </c>
      <c r="AQ1909" s="8">
        <v>292.8</v>
      </c>
      <c r="AR1909" s="4">
        <v>13</v>
      </c>
      <c r="AS1909" s="8">
        <v>864.58</v>
      </c>
      <c r="AT1909" s="7">
        <v>-0.6154</v>
      </c>
      <c r="AU1909" s="7">
        <v>-0.6613</v>
      </c>
      <c r="AV1909" s="4">
        <v>5</v>
      </c>
      <c r="AW1909" s="8">
        <v>292.8</v>
      </c>
      <c r="AX1909" s="4">
        <v>13</v>
      </c>
      <c r="AY1909" s="8">
        <v>864.58</v>
      </c>
      <c r="AZ1909" s="7">
        <v>-0.6154</v>
      </c>
      <c r="BA1909" s="7">
        <v>-0.6613</v>
      </c>
      <c r="BB1909" s="7">
        <v>1</v>
      </c>
      <c r="BC1909" s="4">
        <v>5</v>
      </c>
      <c r="BD1909" s="8">
        <v>292.8</v>
      </c>
      <c r="BE1909" s="4">
        <v>13</v>
      </c>
      <c r="BF1909" s="8">
        <v>864.58</v>
      </c>
      <c r="BG1909" s="7">
        <v>-0.6154</v>
      </c>
      <c r="BH1909" s="7">
        <v>-0.6613</v>
      </c>
      <c r="BI1909" s="7">
        <v>1</v>
      </c>
      <c r="BJ1909" s="4">
        <v>56</v>
      </c>
      <c r="BK1909" s="8">
        <v>3729.43</v>
      </c>
      <c r="BL1909" s="2" t="s">
        <v>6396</v>
      </c>
      <c r="BM1909" s="7">
        <v>0.0893</v>
      </c>
      <c r="BN1909" s="7">
        <v>0.0785</v>
      </c>
      <c r="BO1909" s="4">
        <v>5</v>
      </c>
      <c r="BP1909" s="8">
        <v>292.8</v>
      </c>
      <c r="BQ1909" s="4">
        <v>13</v>
      </c>
      <c r="BR1909" s="8">
        <v>864.58</v>
      </c>
      <c r="BS1909" s="7">
        <v>-0.6154</v>
      </c>
      <c r="BT1909" s="7">
        <v>-0.6613</v>
      </c>
      <c r="BU1909" s="2" t="s">
        <v>109</v>
      </c>
      <c r="BV1909" s="2" t="s">
        <v>97</v>
      </c>
      <c r="BW1909" s="2" t="s">
        <v>6110</v>
      </c>
      <c r="BX1909" s="2" t="s">
        <v>6237</v>
      </c>
      <c r="BY1909" s="2" t="s">
        <v>112</v>
      </c>
      <c r="BZ1909" s="2" t="s">
        <v>100</v>
      </c>
    </row>
    <row r="1910">
      <c r="A1910" s="2" t="s">
        <v>6397</v>
      </c>
      <c r="B1910" s="2" t="s">
        <v>6098</v>
      </c>
      <c r="C1910" s="2" t="s">
        <v>88</v>
      </c>
      <c r="D1910" s="2" t="s">
        <v>6099</v>
      </c>
      <c r="E1910" s="2" t="s">
        <v>6377</v>
      </c>
      <c r="F1910" s="2" t="s">
        <v>6398</v>
      </c>
      <c r="G1910" s="2" t="s">
        <v>6398</v>
      </c>
      <c r="H1910" s="2" t="s">
        <v>6398</v>
      </c>
      <c r="I1910" s="2" t="s">
        <v>6399</v>
      </c>
      <c r="J1910" s="2" t="s">
        <v>6103</v>
      </c>
      <c r="K1910" s="2" t="s">
        <v>333</v>
      </c>
      <c r="L1910" s="3">
        <v>49.13</v>
      </c>
      <c r="M1910" s="3">
        <v>51.59</v>
      </c>
      <c r="N1910" s="3">
        <v>111.34</v>
      </c>
      <c r="O1910" s="2" t="s">
        <v>97</v>
      </c>
      <c r="P1910" s="2" t="s">
        <v>1265</v>
      </c>
      <c r="Q1910" s="2" t="s">
        <v>99</v>
      </c>
      <c r="R1910" s="2" t="s">
        <v>100</v>
      </c>
      <c r="S1910" s="2" t="s">
        <v>6400</v>
      </c>
      <c r="T1910" s="2" t="s">
        <v>100</v>
      </c>
      <c r="U1910" s="2" t="s">
        <v>1610</v>
      </c>
      <c r="V1910" s="2" t="s">
        <v>1122</v>
      </c>
      <c r="W1910" s="2" t="s">
        <v>602</v>
      </c>
      <c r="X1910" s="2" t="s">
        <v>100</v>
      </c>
      <c r="Y1910" s="2" t="s">
        <v>6401</v>
      </c>
      <c r="Z1910" s="4">
        <v>52</v>
      </c>
      <c r="AA1910" s="4">
        <f>=ROUNDDOWN(24.7619047619048,0)</f>
      </c>
      <c r="AB1910" s="5">
        <v>2.1</v>
      </c>
      <c r="AC1910" s="2" t="s">
        <v>100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>
        <v>0</v>
      </c>
      <c r="AP1910" s="4">
        <v>5</v>
      </c>
      <c r="AQ1910" s="8">
        <v>257.95</v>
      </c>
      <c r="AR1910" s="4">
        <v>17</v>
      </c>
      <c r="AS1910" s="8">
        <v>949.83</v>
      </c>
      <c r="AT1910" s="7">
        <v>-0.7059</v>
      </c>
      <c r="AU1910" s="7">
        <v>-0.7284</v>
      </c>
      <c r="AV1910" s="4">
        <v>5</v>
      </c>
      <c r="AW1910" s="8">
        <v>257.95</v>
      </c>
      <c r="AX1910" s="4">
        <v>17</v>
      </c>
      <c r="AY1910" s="8">
        <v>949.83</v>
      </c>
      <c r="AZ1910" s="7">
        <v>-0.7059</v>
      </c>
      <c r="BA1910" s="7">
        <v>-0.7284</v>
      </c>
      <c r="BB1910" s="7">
        <v>1</v>
      </c>
      <c r="BC1910" s="4">
        <v>5</v>
      </c>
      <c r="BD1910" s="8">
        <v>257.95</v>
      </c>
      <c r="BE1910" s="4">
        <v>17</v>
      </c>
      <c r="BF1910" s="8">
        <v>949.83</v>
      </c>
      <c r="BG1910" s="7">
        <v>-0.7059</v>
      </c>
      <c r="BH1910" s="7">
        <v>-0.7284</v>
      </c>
      <c r="BI1910" s="7">
        <v>1</v>
      </c>
      <c r="BJ1910" s="4">
        <v>47</v>
      </c>
      <c r="BK1910" s="8">
        <v>2812.49</v>
      </c>
      <c r="BL1910" s="2" t="s">
        <v>6402</v>
      </c>
      <c r="BM1910" s="7">
        <v>0.1064</v>
      </c>
      <c r="BN1910" s="7">
        <v>0.0917</v>
      </c>
      <c r="BO1910" s="4">
        <v>5</v>
      </c>
      <c r="BP1910" s="8">
        <v>257.95</v>
      </c>
      <c r="BQ1910" s="4">
        <v>17</v>
      </c>
      <c r="BR1910" s="8">
        <v>949.83</v>
      </c>
      <c r="BS1910" s="7">
        <v>-0.7059</v>
      </c>
      <c r="BT1910" s="7">
        <v>-0.7284</v>
      </c>
      <c r="BU1910" s="2" t="s">
        <v>109</v>
      </c>
      <c r="BV1910" s="2" t="s">
        <v>97</v>
      </c>
      <c r="BW1910" s="2" t="s">
        <v>2917</v>
      </c>
      <c r="BX1910" s="2" t="s">
        <v>6148</v>
      </c>
      <c r="BY1910" s="2" t="s">
        <v>112</v>
      </c>
      <c r="BZ1910" s="2" t="s">
        <v>100</v>
      </c>
    </row>
    <row r="1911">
      <c r="A1911" s="2" t="s">
        <v>6403</v>
      </c>
      <c r="B1911" s="2" t="s">
        <v>6098</v>
      </c>
      <c r="C1911" s="2" t="s">
        <v>88</v>
      </c>
      <c r="D1911" s="2" t="s">
        <v>6099</v>
      </c>
      <c r="E1911" s="2" t="s">
        <v>6377</v>
      </c>
      <c r="F1911" s="2" t="s">
        <v>6404</v>
      </c>
      <c r="G1911" s="2" t="s">
        <v>6404</v>
      </c>
      <c r="H1911" s="2" t="s">
        <v>6404</v>
      </c>
      <c r="I1911" s="2" t="s">
        <v>6405</v>
      </c>
      <c r="J1911" s="2" t="s">
        <v>6103</v>
      </c>
      <c r="K1911" s="2" t="s">
        <v>123</v>
      </c>
      <c r="L1911" s="3">
        <v>44.47</v>
      </c>
      <c r="M1911" s="3">
        <v>46.69</v>
      </c>
      <c r="N1911" s="3">
        <v>96.04</v>
      </c>
      <c r="O1911" s="2" t="s">
        <v>97</v>
      </c>
      <c r="P1911" s="2" t="s">
        <v>198</v>
      </c>
      <c r="Q1911" s="2" t="s">
        <v>99</v>
      </c>
      <c r="R1911" s="2" t="s">
        <v>100</v>
      </c>
      <c r="S1911" s="2" t="s">
        <v>6406</v>
      </c>
      <c r="T1911" s="2" t="s">
        <v>100</v>
      </c>
      <c r="U1911" s="2" t="s">
        <v>3531</v>
      </c>
      <c r="V1911" s="2" t="s">
        <v>1122</v>
      </c>
      <c r="W1911" s="2" t="s">
        <v>602</v>
      </c>
      <c r="X1911" s="2" t="s">
        <v>100</v>
      </c>
      <c r="Y1911" s="2" t="s">
        <v>1322</v>
      </c>
      <c r="Z1911" s="4">
        <v>135</v>
      </c>
      <c r="AA1911" s="4">
        <f>=ROUNDDOWN(54,0)</f>
      </c>
      <c r="AB1911" s="5">
        <v>2.5</v>
      </c>
      <c r="AC1911" s="2" t="s">
        <v>100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>
        <v>0</v>
      </c>
      <c r="AP1911" s="4">
        <v>4</v>
      </c>
      <c r="AQ1911" s="8">
        <v>186.8</v>
      </c>
      <c r="AR1911" s="4"/>
      <c r="AS1911" s="8"/>
      <c r="AT1911" s="7"/>
      <c r="AU1911" s="7"/>
      <c r="AV1911" s="4">
        <v>4</v>
      </c>
      <c r="AW1911" s="8">
        <v>186.8</v>
      </c>
      <c r="AX1911" s="4"/>
      <c r="AY1911" s="8"/>
      <c r="AZ1911" s="7"/>
      <c r="BA1911" s="7"/>
      <c r="BB1911" s="7">
        <v>1</v>
      </c>
      <c r="BC1911" s="4">
        <v>4</v>
      </c>
      <c r="BD1911" s="8">
        <v>186.8</v>
      </c>
      <c r="BE1911" s="4"/>
      <c r="BF1911" s="8"/>
      <c r="BG1911" s="7"/>
      <c r="BH1911" s="7"/>
      <c r="BI1911" s="7">
        <v>1</v>
      </c>
      <c r="BJ1911" s="4">
        <v>52</v>
      </c>
      <c r="BK1911" s="8">
        <v>2920.46</v>
      </c>
      <c r="BL1911" s="2" t="s">
        <v>6407</v>
      </c>
      <c r="BM1911" s="7">
        <v>0.0769</v>
      </c>
      <c r="BN1911" s="7">
        <v>0.064</v>
      </c>
      <c r="BO1911" s="4">
        <v>4</v>
      </c>
      <c r="BP1911" s="8">
        <v>186.8</v>
      </c>
      <c r="BQ1911" s="4"/>
      <c r="BR1911" s="8"/>
      <c r="BS1911" s="7"/>
      <c r="BT1911" s="7"/>
      <c r="BU1911" s="2" t="s">
        <v>109</v>
      </c>
      <c r="BV1911" s="2" t="s">
        <v>97</v>
      </c>
      <c r="BW1911" s="2" t="s">
        <v>6110</v>
      </c>
      <c r="BX1911" s="2" t="s">
        <v>5003</v>
      </c>
      <c r="BY1911" s="2" t="s">
        <v>112</v>
      </c>
      <c r="BZ1911" s="2" t="s">
        <v>100</v>
      </c>
    </row>
    <row r="1912">
      <c r="A1912" s="2" t="s">
        <v>6408</v>
      </c>
      <c r="B1912" s="2" t="s">
        <v>6098</v>
      </c>
      <c r="C1912" s="2" t="s">
        <v>88</v>
      </c>
      <c r="D1912" s="2" t="s">
        <v>6099</v>
      </c>
      <c r="E1912" s="2" t="s">
        <v>6377</v>
      </c>
      <c r="F1912" s="2" t="s">
        <v>6409</v>
      </c>
      <c r="G1912" s="2" t="s">
        <v>100</v>
      </c>
      <c r="H1912" s="2" t="s">
        <v>100</v>
      </c>
      <c r="I1912" s="2" t="s">
        <v>6410</v>
      </c>
      <c r="J1912" s="2" t="s">
        <v>6103</v>
      </c>
      <c r="K1912" s="2" t="s">
        <v>158</v>
      </c>
      <c r="L1912" s="3">
        <v>21.58</v>
      </c>
      <c r="M1912" s="3">
        <v>22.66</v>
      </c>
      <c r="N1912" s="3">
        <v>49.99</v>
      </c>
      <c r="O1912" s="2" t="s">
        <v>550</v>
      </c>
      <c r="P1912" s="2" t="s">
        <v>198</v>
      </c>
      <c r="Q1912" s="2" t="s">
        <v>99</v>
      </c>
      <c r="R1912" s="2" t="s">
        <v>100</v>
      </c>
      <c r="S1912" s="2" t="s">
        <v>6411</v>
      </c>
      <c r="T1912" s="2" t="s">
        <v>100</v>
      </c>
      <c r="U1912" s="2" t="s">
        <v>1610</v>
      </c>
      <c r="V1912" s="2" t="s">
        <v>491</v>
      </c>
      <c r="W1912" s="2" t="s">
        <v>104</v>
      </c>
      <c r="X1912" s="2" t="s">
        <v>100</v>
      </c>
      <c r="Y1912" s="2" t="s">
        <v>4641</v>
      </c>
      <c r="Z1912" s="4">
        <v>37</v>
      </c>
      <c r="AA1912" s="4">
        <f>=ROUNDDOWN(8.22222222222222,0)</f>
      </c>
      <c r="AB1912" s="5">
        <v>4.5</v>
      </c>
      <c r="AC1912" s="2" t="s">
        <v>100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>
        <v>0</v>
      </c>
      <c r="AP1912" s="4">
        <v>3</v>
      </c>
      <c r="AQ1912" s="8">
        <v>67.98</v>
      </c>
      <c r="AR1912" s="4"/>
      <c r="AS1912" s="8"/>
      <c r="AT1912" s="7"/>
      <c r="AU1912" s="7"/>
      <c r="AV1912" s="4">
        <v>3</v>
      </c>
      <c r="AW1912" s="8">
        <v>67.98</v>
      </c>
      <c r="AX1912" s="4"/>
      <c r="AY1912" s="8"/>
      <c r="AZ1912" s="7"/>
      <c r="BA1912" s="7"/>
      <c r="BB1912" s="7">
        <v>1</v>
      </c>
      <c r="BC1912" s="4">
        <v>3</v>
      </c>
      <c r="BD1912" s="8">
        <v>67.98</v>
      </c>
      <c r="BE1912" s="4"/>
      <c r="BF1912" s="8"/>
      <c r="BG1912" s="7"/>
      <c r="BH1912" s="7"/>
      <c r="BI1912" s="7">
        <v>1</v>
      </c>
      <c r="BJ1912" s="4">
        <v>89</v>
      </c>
      <c r="BK1912" s="8">
        <v>2555.76</v>
      </c>
      <c r="BL1912" s="2" t="s">
        <v>6412</v>
      </c>
      <c r="BM1912" s="7">
        <v>0.0337</v>
      </c>
      <c r="BN1912" s="7">
        <v>0.0266</v>
      </c>
      <c r="BO1912" s="4">
        <v>3</v>
      </c>
      <c r="BP1912" s="8">
        <v>67.98</v>
      </c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2917</v>
      </c>
      <c r="BX1912" s="2" t="s">
        <v>6148</v>
      </c>
      <c r="BY1912" s="2" t="s">
        <v>112</v>
      </c>
      <c r="BZ1912" s="2" t="s">
        <v>100</v>
      </c>
    </row>
    <row r="1913">
      <c r="A1913" s="2" t="s">
        <v>6413</v>
      </c>
      <c r="B1913" s="2" t="s">
        <v>6098</v>
      </c>
      <c r="C1913" s="2" t="s">
        <v>88</v>
      </c>
      <c r="D1913" s="2" t="s">
        <v>6099</v>
      </c>
      <c r="E1913" s="2" t="s">
        <v>6377</v>
      </c>
      <c r="F1913" s="2" t="s">
        <v>6414</v>
      </c>
      <c r="G1913" s="2" t="s">
        <v>6414</v>
      </c>
      <c r="H1913" s="2" t="s">
        <v>6414</v>
      </c>
      <c r="I1913" s="2" t="s">
        <v>6197</v>
      </c>
      <c r="J1913" s="2" t="s">
        <v>6103</v>
      </c>
      <c r="K1913" s="2" t="s">
        <v>4080</v>
      </c>
      <c r="L1913" s="3">
        <v>26.91</v>
      </c>
      <c r="M1913" s="3">
        <v>28.26</v>
      </c>
      <c r="N1913" s="3">
        <v>55.24</v>
      </c>
      <c r="O1913" s="2" t="s">
        <v>229</v>
      </c>
      <c r="P1913" s="2" t="s">
        <v>198</v>
      </c>
      <c r="Q1913" s="2" t="s">
        <v>99</v>
      </c>
      <c r="R1913" s="2" t="s">
        <v>100</v>
      </c>
      <c r="S1913" s="2" t="s">
        <v>6415</v>
      </c>
      <c r="T1913" s="2" t="s">
        <v>100</v>
      </c>
      <c r="U1913" s="2" t="s">
        <v>3531</v>
      </c>
      <c r="V1913" s="2" t="s">
        <v>1122</v>
      </c>
      <c r="W1913" s="2" t="s">
        <v>602</v>
      </c>
      <c r="X1913" s="2" t="s">
        <v>100</v>
      </c>
      <c r="Y1913" s="2" t="s">
        <v>6284</v>
      </c>
      <c r="Z1913" s="4"/>
      <c r="AA1913" s="4">
        <f>=ROUNDDOWN({0},0)</f>
      </c>
      <c r="AB1913" s="5">
        <v>3</v>
      </c>
      <c r="AC1913" s="2" t="s">
        <v>100</v>
      </c>
      <c r="AD1913" s="4"/>
      <c r="AE1913" s="4"/>
      <c r="AF1913" s="6">
        <v>63</v>
      </c>
      <c r="AG1913" s="6"/>
      <c r="AH1913" s="7">
        <v>0.6606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>
        <v>0</v>
      </c>
      <c r="AP1913" s="4">
        <v>2</v>
      </c>
      <c r="AQ1913" s="8">
        <v>56.52</v>
      </c>
      <c r="AR1913" s="4">
        <v>4</v>
      </c>
      <c r="AS1913" s="8">
        <v>123</v>
      </c>
      <c r="AT1913" s="7">
        <v>-0.5</v>
      </c>
      <c r="AU1913" s="7">
        <v>-0.5405</v>
      </c>
      <c r="AV1913" s="4">
        <v>2</v>
      </c>
      <c r="AW1913" s="8">
        <v>56.52</v>
      </c>
      <c r="AX1913" s="4">
        <v>4</v>
      </c>
      <c r="AY1913" s="8">
        <v>123</v>
      </c>
      <c r="AZ1913" s="7">
        <v>-0.5</v>
      </c>
      <c r="BA1913" s="7">
        <v>-0.5405</v>
      </c>
      <c r="BB1913" s="7">
        <v>1</v>
      </c>
      <c r="BC1913" s="4">
        <v>2</v>
      </c>
      <c r="BD1913" s="8">
        <v>56.52</v>
      </c>
      <c r="BE1913" s="4">
        <v>4</v>
      </c>
      <c r="BF1913" s="8">
        <v>123</v>
      </c>
      <c r="BG1913" s="7">
        <v>-0.5</v>
      </c>
      <c r="BH1913" s="7">
        <v>-0.5405</v>
      </c>
      <c r="BI1913" s="7">
        <v>1</v>
      </c>
      <c r="BJ1913" s="4">
        <v>60</v>
      </c>
      <c r="BK1913" s="8">
        <v>1942.78</v>
      </c>
      <c r="BL1913" s="2" t="s">
        <v>6416</v>
      </c>
      <c r="BM1913" s="7">
        <v>0.0333</v>
      </c>
      <c r="BN1913" s="7">
        <v>0.0291</v>
      </c>
      <c r="BO1913" s="4">
        <v>2</v>
      </c>
      <c r="BP1913" s="8">
        <v>56.52</v>
      </c>
      <c r="BQ1913" s="4">
        <v>4</v>
      </c>
      <c r="BR1913" s="8">
        <v>123</v>
      </c>
      <c r="BS1913" s="7">
        <v>-0.5</v>
      </c>
      <c r="BT1913" s="7">
        <v>-0.5405</v>
      </c>
      <c r="BU1913" s="2" t="s">
        <v>109</v>
      </c>
      <c r="BV1913" s="2" t="s">
        <v>552</v>
      </c>
      <c r="BW1913" s="2" t="s">
        <v>2917</v>
      </c>
      <c r="BX1913" s="2" t="s">
        <v>6050</v>
      </c>
      <c r="BY1913" s="2" t="s">
        <v>112</v>
      </c>
      <c r="BZ1913" s="2" t="s">
        <v>100</v>
      </c>
    </row>
    <row r="1914">
      <c r="A1914" s="2" t="s">
        <v>6417</v>
      </c>
      <c r="B1914" s="2" t="s">
        <v>6098</v>
      </c>
      <c r="C1914" s="2" t="s">
        <v>88</v>
      </c>
      <c r="D1914" s="2" t="s">
        <v>6099</v>
      </c>
      <c r="E1914" s="2" t="s">
        <v>6377</v>
      </c>
      <c r="F1914" s="2" t="s">
        <v>6418</v>
      </c>
      <c r="G1914" s="2" t="s">
        <v>6418</v>
      </c>
      <c r="H1914" s="2" t="s">
        <v>6418</v>
      </c>
      <c r="I1914" s="2" t="s">
        <v>6419</v>
      </c>
      <c r="J1914" s="2" t="s">
        <v>6103</v>
      </c>
      <c r="K1914" s="2" t="s">
        <v>6420</v>
      </c>
      <c r="L1914" s="3">
        <v>42.18</v>
      </c>
      <c r="M1914" s="3">
        <v>44.29</v>
      </c>
      <c r="N1914" s="3">
        <v>84.99</v>
      </c>
      <c r="O1914" s="2" t="s">
        <v>97</v>
      </c>
      <c r="P1914" s="2" t="s">
        <v>1265</v>
      </c>
      <c r="Q1914" s="2" t="s">
        <v>99</v>
      </c>
      <c r="R1914" s="2" t="s">
        <v>100</v>
      </c>
      <c r="S1914" s="2" t="s">
        <v>6421</v>
      </c>
      <c r="T1914" s="2" t="s">
        <v>100</v>
      </c>
      <c r="U1914" s="2" t="s">
        <v>3531</v>
      </c>
      <c r="V1914" s="2" t="s">
        <v>5769</v>
      </c>
      <c r="W1914" s="2" t="s">
        <v>1190</v>
      </c>
      <c r="X1914" s="2" t="s">
        <v>104</v>
      </c>
      <c r="Y1914" s="2" t="s">
        <v>6422</v>
      </c>
      <c r="Z1914" s="4">
        <v>36</v>
      </c>
      <c r="AA1914" s="4">
        <f>=ROUNDDOWN(9.23076923076923,0)</f>
      </c>
      <c r="AB1914" s="5">
        <v>3.9</v>
      </c>
      <c r="AC1914" s="2" t="s">
        <v>100</v>
      </c>
      <c r="AD1914" s="4"/>
      <c r="AE1914" s="4"/>
      <c r="AF1914" s="6">
        <v>63</v>
      </c>
      <c r="AG1914" s="6"/>
      <c r="AH1914" s="7">
        <v>0.7697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>
        <v>0</v>
      </c>
      <c r="AP1914" s="4">
        <v>1</v>
      </c>
      <c r="AQ1914" s="8">
        <v>44.3</v>
      </c>
      <c r="AR1914" s="4">
        <v>15</v>
      </c>
      <c r="AS1914" s="8">
        <v>684.14</v>
      </c>
      <c r="AT1914" s="7">
        <v>-0.9333</v>
      </c>
      <c r="AU1914" s="7">
        <v>-0.9352</v>
      </c>
      <c r="AV1914" s="4">
        <v>1</v>
      </c>
      <c r="AW1914" s="8">
        <v>44.3</v>
      </c>
      <c r="AX1914" s="4">
        <v>15</v>
      </c>
      <c r="AY1914" s="8">
        <v>684.14</v>
      </c>
      <c r="AZ1914" s="7">
        <v>-0.9333</v>
      </c>
      <c r="BA1914" s="7">
        <v>-0.9352</v>
      </c>
      <c r="BB1914" s="7">
        <v>1</v>
      </c>
      <c r="BC1914" s="4">
        <v>1</v>
      </c>
      <c r="BD1914" s="8">
        <v>44.3</v>
      </c>
      <c r="BE1914" s="4">
        <v>15</v>
      </c>
      <c r="BF1914" s="8">
        <v>684.14</v>
      </c>
      <c r="BG1914" s="7">
        <v>-0.9333</v>
      </c>
      <c r="BH1914" s="7">
        <v>-0.9352</v>
      </c>
      <c r="BI1914" s="7">
        <v>1</v>
      </c>
      <c r="BJ1914" s="4">
        <v>60</v>
      </c>
      <c r="BK1914" s="8">
        <v>3049.78</v>
      </c>
      <c r="BL1914" s="2" t="s">
        <v>6423</v>
      </c>
      <c r="BM1914" s="7">
        <v>0.0167</v>
      </c>
      <c r="BN1914" s="7">
        <v>0.0145</v>
      </c>
      <c r="BO1914" s="4">
        <v>1</v>
      </c>
      <c r="BP1914" s="8">
        <v>44.3</v>
      </c>
      <c r="BQ1914" s="4">
        <v>15</v>
      </c>
      <c r="BR1914" s="8">
        <v>684.14</v>
      </c>
      <c r="BS1914" s="7">
        <v>-0.9333</v>
      </c>
      <c r="BT1914" s="7">
        <v>-0.9352</v>
      </c>
      <c r="BU1914" s="2" t="s">
        <v>109</v>
      </c>
      <c r="BV1914" s="2" t="s">
        <v>97</v>
      </c>
      <c r="BW1914" s="2" t="s">
        <v>6110</v>
      </c>
      <c r="BX1914" s="2" t="s">
        <v>6424</v>
      </c>
      <c r="BY1914" s="2" t="s">
        <v>112</v>
      </c>
      <c r="BZ1914" s="2" t="s">
        <v>100</v>
      </c>
    </row>
    <row r="1915">
      <c r="A1915" s="2" t="s">
        <v>6425</v>
      </c>
      <c r="B1915" s="2" t="s">
        <v>6098</v>
      </c>
      <c r="C1915" s="2" t="s">
        <v>88</v>
      </c>
      <c r="D1915" s="2" t="s">
        <v>6099</v>
      </c>
      <c r="E1915" s="2" t="s">
        <v>6377</v>
      </c>
      <c r="F1915" s="2" t="s">
        <v>6426</v>
      </c>
      <c r="G1915" s="2" t="s">
        <v>6426</v>
      </c>
      <c r="H1915" s="2" t="s">
        <v>6426</v>
      </c>
      <c r="I1915" s="2" t="s">
        <v>6427</v>
      </c>
      <c r="J1915" s="2" t="s">
        <v>6103</v>
      </c>
      <c r="K1915" s="2" t="s">
        <v>123</v>
      </c>
      <c r="L1915" s="3">
        <v>76.19</v>
      </c>
      <c r="M1915" s="3">
        <v>80</v>
      </c>
      <c r="N1915" s="3">
        <v>140.24</v>
      </c>
      <c r="O1915" s="2" t="s">
        <v>97</v>
      </c>
      <c r="P1915" s="2" t="s">
        <v>182</v>
      </c>
      <c r="Q1915" s="2" t="s">
        <v>99</v>
      </c>
      <c r="R1915" s="2" t="s">
        <v>100</v>
      </c>
      <c r="S1915" s="2" t="s">
        <v>6428</v>
      </c>
      <c r="T1915" s="2" t="s">
        <v>100</v>
      </c>
      <c r="U1915" s="2" t="s">
        <v>790</v>
      </c>
      <c r="V1915" s="2" t="s">
        <v>1122</v>
      </c>
      <c r="W1915" s="2" t="s">
        <v>602</v>
      </c>
      <c r="X1915" s="2" t="s">
        <v>100</v>
      </c>
      <c r="Y1915" s="2" t="s">
        <v>2930</v>
      </c>
      <c r="Z1915" s="4">
        <v>114</v>
      </c>
      <c r="AA1915" s="4">
        <f>=ROUNDDOWN(22.8,0)</f>
      </c>
      <c r="AB1915" s="5">
        <v>5</v>
      </c>
      <c r="AC1915" s="2" t="s">
        <v>100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115</v>
      </c>
      <c r="BK1915" s="8">
        <v>10019.58</v>
      </c>
      <c r="BL1915" s="2" t="s">
        <v>6429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6185</v>
      </c>
      <c r="BV1915" s="2" t="s">
        <v>97</v>
      </c>
      <c r="BW1915" s="2" t="s">
        <v>100</v>
      </c>
      <c r="BX1915" s="2" t="s">
        <v>100</v>
      </c>
      <c r="BY1915" s="2" t="s">
        <v>112</v>
      </c>
      <c r="BZ1915" s="2" t="s">
        <v>100</v>
      </c>
    </row>
    <row r="1916">
      <c r="A1916" s="2" t="s">
        <v>6430</v>
      </c>
      <c r="B1916" s="2" t="s">
        <v>6098</v>
      </c>
      <c r="C1916" s="2" t="s">
        <v>88</v>
      </c>
      <c r="D1916" s="2" t="s">
        <v>6099</v>
      </c>
      <c r="E1916" s="2" t="s">
        <v>6377</v>
      </c>
      <c r="F1916" s="2" t="s">
        <v>6431</v>
      </c>
      <c r="G1916" s="2" t="s">
        <v>6431</v>
      </c>
      <c r="H1916" s="2" t="s">
        <v>6431</v>
      </c>
      <c r="I1916" s="2" t="s">
        <v>6432</v>
      </c>
      <c r="J1916" s="2" t="s">
        <v>6103</v>
      </c>
      <c r="K1916" s="2" t="s">
        <v>158</v>
      </c>
      <c r="L1916" s="3">
        <v>46.22</v>
      </c>
      <c r="M1916" s="3">
        <v>48.53</v>
      </c>
      <c r="N1916" s="3">
        <v>89.24</v>
      </c>
      <c r="O1916" s="2" t="s">
        <v>97</v>
      </c>
      <c r="P1916" s="2" t="s">
        <v>182</v>
      </c>
      <c r="Q1916" s="2" t="s">
        <v>99</v>
      </c>
      <c r="R1916" s="2" t="s">
        <v>100</v>
      </c>
      <c r="S1916" s="2" t="s">
        <v>6433</v>
      </c>
      <c r="T1916" s="2" t="s">
        <v>100</v>
      </c>
      <c r="U1916" s="2" t="s">
        <v>2104</v>
      </c>
      <c r="V1916" s="2" t="s">
        <v>1122</v>
      </c>
      <c r="W1916" s="2" t="s">
        <v>602</v>
      </c>
      <c r="X1916" s="2" t="s">
        <v>100</v>
      </c>
      <c r="Y1916" s="2" t="s">
        <v>5573</v>
      </c>
      <c r="Z1916" s="4">
        <v>100</v>
      </c>
      <c r="AA1916" s="4">
        <f>=ROUNDDOWN(26.3157894736842,0)</f>
      </c>
      <c r="AB1916" s="5">
        <v>3.8</v>
      </c>
      <c r="AC1916" s="2" t="s">
        <v>100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103</v>
      </c>
      <c r="BK1916" s="8">
        <v>5802.11</v>
      </c>
      <c r="BL1916" s="2" t="s">
        <v>6434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6185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6435</v>
      </c>
      <c r="B1917" s="2" t="s">
        <v>6098</v>
      </c>
      <c r="C1917" s="2" t="s">
        <v>88</v>
      </c>
      <c r="D1917" s="2" t="s">
        <v>6099</v>
      </c>
      <c r="E1917" s="2" t="s">
        <v>6377</v>
      </c>
      <c r="F1917" s="2" t="s">
        <v>6436</v>
      </c>
      <c r="G1917" s="2" t="s">
        <v>100</v>
      </c>
      <c r="H1917" s="2" t="s">
        <v>100</v>
      </c>
      <c r="I1917" s="2" t="s">
        <v>6437</v>
      </c>
      <c r="J1917" s="2" t="s">
        <v>6103</v>
      </c>
      <c r="K1917" s="2" t="s">
        <v>2066</v>
      </c>
      <c r="L1917" s="3">
        <v>26.97</v>
      </c>
      <c r="M1917" s="3">
        <v>28.32</v>
      </c>
      <c r="N1917" s="3">
        <v>59.99</v>
      </c>
      <c r="O1917" s="2" t="s">
        <v>550</v>
      </c>
      <c r="P1917" s="2" t="s">
        <v>198</v>
      </c>
      <c r="Q1917" s="2" t="s">
        <v>99</v>
      </c>
      <c r="R1917" s="2" t="s">
        <v>100</v>
      </c>
      <c r="S1917" s="2" t="s">
        <v>6438</v>
      </c>
      <c r="T1917" s="2" t="s">
        <v>100</v>
      </c>
      <c r="U1917" s="2" t="s">
        <v>1482</v>
      </c>
      <c r="V1917" s="2" t="s">
        <v>1275</v>
      </c>
      <c r="W1917" s="2" t="s">
        <v>104</v>
      </c>
      <c r="X1917" s="2" t="s">
        <v>100</v>
      </c>
      <c r="Y1917" s="2" t="s">
        <v>106</v>
      </c>
      <c r="Z1917" s="4">
        <v>9</v>
      </c>
      <c r="AA1917" s="4">
        <f>=ROUNDDOWN(18,0)</f>
      </c>
      <c r="AB1917" s="5">
        <v>0.5</v>
      </c>
      <c r="AC1917" s="2" t="s">
        <v>100</v>
      </c>
      <c r="AD1917" s="4"/>
      <c r="AE1917" s="4"/>
      <c r="AF1917" s="6">
        <v>63</v>
      </c>
      <c r="AG1917" s="6"/>
      <c r="AH1917" s="7">
        <v>0.697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4</v>
      </c>
      <c r="BK1917" s="8">
        <v>117.51</v>
      </c>
      <c r="BL1917" s="2" t="s">
        <v>6439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97</v>
      </c>
      <c r="BW1917" s="2" t="s">
        <v>2917</v>
      </c>
      <c r="BX1917" s="2" t="s">
        <v>6440</v>
      </c>
      <c r="BY1917" s="2" t="s">
        <v>112</v>
      </c>
      <c r="BZ1917" s="2" t="s">
        <v>100</v>
      </c>
    </row>
    <row r="1918">
      <c r="A1918" s="2" t="s">
        <v>6441</v>
      </c>
      <c r="B1918" s="2" t="s">
        <v>6098</v>
      </c>
      <c r="C1918" s="2" t="s">
        <v>88</v>
      </c>
      <c r="D1918" s="2" t="s">
        <v>6099</v>
      </c>
      <c r="E1918" s="2" t="s">
        <v>6377</v>
      </c>
      <c r="F1918" s="2" t="s">
        <v>6442</v>
      </c>
      <c r="G1918" s="2" t="s">
        <v>6442</v>
      </c>
      <c r="H1918" s="2" t="s">
        <v>6442</v>
      </c>
      <c r="I1918" s="2" t="s">
        <v>6443</v>
      </c>
      <c r="J1918" s="2" t="s">
        <v>6103</v>
      </c>
      <c r="K1918" s="2" t="s">
        <v>6444</v>
      </c>
      <c r="L1918" s="3">
        <v>52.38</v>
      </c>
      <c r="M1918" s="3">
        <v>55</v>
      </c>
      <c r="N1918" s="3">
        <v>109.99</v>
      </c>
      <c r="O1918" s="2" t="s">
        <v>97</v>
      </c>
      <c r="P1918" s="2" t="s">
        <v>1166</v>
      </c>
      <c r="Q1918" s="2" t="s">
        <v>99</v>
      </c>
      <c r="R1918" s="2" t="s">
        <v>100</v>
      </c>
      <c r="S1918" s="2" t="s">
        <v>100</v>
      </c>
      <c r="T1918" s="2" t="s">
        <v>100</v>
      </c>
      <c r="U1918" s="2" t="s">
        <v>3531</v>
      </c>
      <c r="V1918" s="2" t="s">
        <v>1752</v>
      </c>
      <c r="W1918" s="2" t="s">
        <v>906</v>
      </c>
      <c r="X1918" s="2" t="s">
        <v>104</v>
      </c>
      <c r="Y1918" s="2" t="s">
        <v>6445</v>
      </c>
      <c r="Z1918" s="4">
        <v>73</v>
      </c>
      <c r="AA1918" s="4">
        <f>=ROUNDDOWN({0},0)</f>
      </c>
      <c r="AB1918" s="5"/>
      <c r="AC1918" s="2" t="s">
        <v>100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17</v>
      </c>
      <c r="BK1918" s="8">
        <v>1172.2</v>
      </c>
      <c r="BL1918" s="2" t="s">
        <v>6446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6185</v>
      </c>
      <c r="BV1918" s="2" t="s">
        <v>97</v>
      </c>
      <c r="BW1918" s="2" t="s">
        <v>100</v>
      </c>
      <c r="BX1918" s="2" t="s">
        <v>100</v>
      </c>
      <c r="BY1918" s="2" t="s">
        <v>112</v>
      </c>
      <c r="BZ1918" s="2" t="s">
        <v>100</v>
      </c>
    </row>
    <row r="1919">
      <c r="A1919" s="2" t="s">
        <v>6447</v>
      </c>
      <c r="B1919" s="2" t="s">
        <v>6098</v>
      </c>
      <c r="C1919" s="2" t="s">
        <v>88</v>
      </c>
      <c r="D1919" s="2" t="s">
        <v>6099</v>
      </c>
      <c r="E1919" s="2" t="s">
        <v>6377</v>
      </c>
      <c r="F1919" s="2" t="s">
        <v>6448</v>
      </c>
      <c r="G1919" s="2" t="s">
        <v>100</v>
      </c>
      <c r="H1919" s="2" t="s">
        <v>100</v>
      </c>
      <c r="I1919" s="2" t="s">
        <v>6394</v>
      </c>
      <c r="J1919" s="2" t="s">
        <v>6103</v>
      </c>
      <c r="K1919" s="2" t="s">
        <v>158</v>
      </c>
      <c r="L1919" s="3">
        <v>24.5</v>
      </c>
      <c r="M1919" s="3">
        <v>25.72</v>
      </c>
      <c r="N1919" s="3">
        <v>50.99</v>
      </c>
      <c r="O1919" s="2" t="s">
        <v>97</v>
      </c>
      <c r="P1919" s="2" t="s">
        <v>182</v>
      </c>
      <c r="Q1919" s="2" t="s">
        <v>99</v>
      </c>
      <c r="R1919" s="2" t="s">
        <v>100</v>
      </c>
      <c r="S1919" s="2" t="s">
        <v>6449</v>
      </c>
      <c r="T1919" s="2" t="s">
        <v>100</v>
      </c>
      <c r="U1919" s="2" t="s">
        <v>1482</v>
      </c>
      <c r="V1919" s="2" t="s">
        <v>906</v>
      </c>
      <c r="W1919" s="2" t="s">
        <v>906</v>
      </c>
      <c r="X1919" s="2" t="s">
        <v>100</v>
      </c>
      <c r="Y1919" s="2" t="s">
        <v>6450</v>
      </c>
      <c r="Z1919" s="4">
        <v>7</v>
      </c>
      <c r="AA1919" s="4">
        <f>=ROUNDDOWN(1,0)</f>
      </c>
      <c r="AB1919" s="5">
        <v>7</v>
      </c>
      <c r="AC1919" s="2" t="s">
        <v>107</v>
      </c>
      <c r="AD1919" s="4">
        <v>150</v>
      </c>
      <c r="AE1919" s="4">
        <v>150</v>
      </c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181</v>
      </c>
      <c r="BK1919" s="8">
        <v>5308.52</v>
      </c>
      <c r="BL1919" s="2" t="s">
        <v>6451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97</v>
      </c>
      <c r="BW1919" s="2" t="s">
        <v>6110</v>
      </c>
      <c r="BX1919" s="2" t="s">
        <v>100</v>
      </c>
      <c r="BY1919" s="2" t="s">
        <v>112</v>
      </c>
      <c r="BZ1919" s="2" t="s">
        <v>100</v>
      </c>
    </row>
    <row r="1920">
      <c r="A1920" s="2" t="s">
        <v>6452</v>
      </c>
      <c r="B1920" s="2" t="s">
        <v>6098</v>
      </c>
      <c r="C1920" s="2" t="s">
        <v>88</v>
      </c>
      <c r="D1920" s="2" t="s">
        <v>6099</v>
      </c>
      <c r="E1920" s="2" t="s">
        <v>6377</v>
      </c>
      <c r="F1920" s="2" t="s">
        <v>6453</v>
      </c>
      <c r="G1920" s="2" t="s">
        <v>6453</v>
      </c>
      <c r="H1920" s="2" t="s">
        <v>6453</v>
      </c>
      <c r="I1920" s="2" t="s">
        <v>6454</v>
      </c>
      <c r="J1920" s="2" t="s">
        <v>6103</v>
      </c>
      <c r="K1920" s="2" t="s">
        <v>6455</v>
      </c>
      <c r="L1920" s="3">
        <v>14</v>
      </c>
      <c r="M1920" s="3">
        <v>14.7</v>
      </c>
      <c r="N1920" s="3">
        <v>34.99</v>
      </c>
      <c r="O1920" s="2" t="s">
        <v>97</v>
      </c>
      <c r="P1920" s="2" t="s">
        <v>1166</v>
      </c>
      <c r="Q1920" s="2" t="s">
        <v>99</v>
      </c>
      <c r="R1920" s="2" t="s">
        <v>100</v>
      </c>
      <c r="S1920" s="2" t="s">
        <v>100</v>
      </c>
      <c r="T1920" s="2" t="s">
        <v>100</v>
      </c>
      <c r="U1920" s="2" t="s">
        <v>3531</v>
      </c>
      <c r="V1920" s="2" t="s">
        <v>5769</v>
      </c>
      <c r="W1920" s="2" t="s">
        <v>6456</v>
      </c>
      <c r="X1920" s="2" t="s">
        <v>808</v>
      </c>
      <c r="Y1920" s="2" t="s">
        <v>3843</v>
      </c>
      <c r="Z1920" s="4">
        <v>226</v>
      </c>
      <c r="AA1920" s="4">
        <f>=ROUNDDOWN(322.857142857143,0)</f>
      </c>
      <c r="AB1920" s="5">
        <v>0.7</v>
      </c>
      <c r="AC1920" s="2" t="s">
        <v>100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100</v>
      </c>
      <c r="BD1920" s="8" t="s">
        <v>100</v>
      </c>
      <c r="BE1920" s="4" t="s">
        <v>100</v>
      </c>
      <c r="BF1920" s="8" t="s">
        <v>100</v>
      </c>
      <c r="BG1920" s="7" t="s">
        <v>100</v>
      </c>
      <c r="BH1920" s="7" t="s">
        <v>100</v>
      </c>
      <c r="BI1920" s="7"/>
      <c r="BJ1920" s="4">
        <v>14</v>
      </c>
      <c r="BK1920" s="8">
        <v>260.69</v>
      </c>
      <c r="BL1920" s="2" t="s">
        <v>6243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6185</v>
      </c>
      <c r="BV1920" s="2" t="s">
        <v>97</v>
      </c>
      <c r="BW1920" s="2" t="s">
        <v>100</v>
      </c>
      <c r="BX1920" s="2" t="s">
        <v>100</v>
      </c>
      <c r="BY1920" s="2" t="s">
        <v>112</v>
      </c>
      <c r="BZ1920" s="2" t="s">
        <v>100</v>
      </c>
    </row>
    <row r="1921">
      <c r="A1921" s="2" t="s">
        <v>6457</v>
      </c>
      <c r="B1921" s="2" t="s">
        <v>6098</v>
      </c>
      <c r="C1921" s="2" t="s">
        <v>88</v>
      </c>
      <c r="D1921" s="2" t="s">
        <v>6099</v>
      </c>
      <c r="E1921" s="2" t="s">
        <v>6377</v>
      </c>
      <c r="F1921" s="2" t="s">
        <v>6453</v>
      </c>
      <c r="G1921" s="2" t="s">
        <v>6453</v>
      </c>
      <c r="H1921" s="2" t="s">
        <v>6453</v>
      </c>
      <c r="I1921" s="2" t="s">
        <v>6458</v>
      </c>
      <c r="J1921" s="2" t="s">
        <v>6103</v>
      </c>
      <c r="K1921" s="2" t="s">
        <v>6459</v>
      </c>
      <c r="L1921" s="3">
        <v>14</v>
      </c>
      <c r="M1921" s="3">
        <v>14.7</v>
      </c>
      <c r="N1921" s="3">
        <v>34.99</v>
      </c>
      <c r="O1921" s="2" t="s">
        <v>97</v>
      </c>
      <c r="P1921" s="2" t="s">
        <v>1166</v>
      </c>
      <c r="Q1921" s="2" t="s">
        <v>99</v>
      </c>
      <c r="R1921" s="2" t="s">
        <v>100</v>
      </c>
      <c r="S1921" s="2" t="s">
        <v>100</v>
      </c>
      <c r="T1921" s="2" t="s">
        <v>100</v>
      </c>
      <c r="U1921" s="2" t="s">
        <v>3531</v>
      </c>
      <c r="V1921" s="2" t="s">
        <v>5769</v>
      </c>
      <c r="W1921" s="2" t="s">
        <v>6460</v>
      </c>
      <c r="X1921" s="2" t="s">
        <v>602</v>
      </c>
      <c r="Y1921" s="2" t="s">
        <v>3843</v>
      </c>
      <c r="Z1921" s="4">
        <v>133</v>
      </c>
      <c r="AA1921" s="4">
        <f>=ROUNDDOWN(266,0)</f>
      </c>
      <c r="AB1921" s="5">
        <v>0.5</v>
      </c>
      <c r="AC1921" s="2" t="s">
        <v>100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100</v>
      </c>
      <c r="BD1921" s="8" t="s">
        <v>100</v>
      </c>
      <c r="BE1921" s="4" t="s">
        <v>100</v>
      </c>
      <c r="BF1921" s="8" t="s">
        <v>100</v>
      </c>
      <c r="BG1921" s="7" t="s">
        <v>100</v>
      </c>
      <c r="BH1921" s="7" t="s">
        <v>100</v>
      </c>
      <c r="BI1921" s="7"/>
      <c r="BJ1921" s="4">
        <v>14</v>
      </c>
      <c r="BK1921" s="8">
        <v>231.1</v>
      </c>
      <c r="BL1921" s="2" t="s">
        <v>6291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6185</v>
      </c>
      <c r="BV1921" s="2" t="s">
        <v>97</v>
      </c>
      <c r="BW1921" s="2" t="s">
        <v>100</v>
      </c>
      <c r="BX1921" s="2" t="s">
        <v>100</v>
      </c>
      <c r="BY1921" s="2" t="s">
        <v>112</v>
      </c>
      <c r="BZ1921" s="2" t="s">
        <v>100</v>
      </c>
    </row>
    <row r="1922">
      <c r="A1922" s="2" t="s">
        <v>6461</v>
      </c>
      <c r="B1922" s="2" t="s">
        <v>6098</v>
      </c>
      <c r="C1922" s="2" t="s">
        <v>88</v>
      </c>
      <c r="D1922" s="2" t="s">
        <v>6099</v>
      </c>
      <c r="E1922" s="2" t="s">
        <v>6377</v>
      </c>
      <c r="F1922" s="2" t="s">
        <v>6453</v>
      </c>
      <c r="G1922" s="2" t="s">
        <v>6453</v>
      </c>
      <c r="H1922" s="2" t="s">
        <v>6453</v>
      </c>
      <c r="I1922" s="2" t="s">
        <v>6462</v>
      </c>
      <c r="J1922" s="2" t="s">
        <v>6103</v>
      </c>
      <c r="K1922" s="2" t="s">
        <v>6463</v>
      </c>
      <c r="L1922" s="3">
        <v>14</v>
      </c>
      <c r="M1922" s="3">
        <v>14.7</v>
      </c>
      <c r="N1922" s="3">
        <v>34.99</v>
      </c>
      <c r="O1922" s="2" t="s">
        <v>97</v>
      </c>
      <c r="P1922" s="2" t="s">
        <v>1166</v>
      </c>
      <c r="Q1922" s="2" t="s">
        <v>99</v>
      </c>
      <c r="R1922" s="2" t="s">
        <v>100</v>
      </c>
      <c r="S1922" s="2" t="s">
        <v>100</v>
      </c>
      <c r="T1922" s="2" t="s">
        <v>100</v>
      </c>
      <c r="U1922" s="2" t="s">
        <v>3531</v>
      </c>
      <c r="V1922" s="2" t="s">
        <v>5769</v>
      </c>
      <c r="W1922" s="2" t="s">
        <v>380</v>
      </c>
      <c r="X1922" s="2" t="s">
        <v>104</v>
      </c>
      <c r="Y1922" s="2" t="s">
        <v>3843</v>
      </c>
      <c r="Z1922" s="4">
        <v>95</v>
      </c>
      <c r="AA1922" s="4">
        <f>=ROUNDDOWN(27.9411764705882,0)</f>
      </c>
      <c r="AB1922" s="5">
        <v>3.4</v>
      </c>
      <c r="AC1922" s="2" t="s">
        <v>100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 t="s">
        <v>100</v>
      </c>
      <c r="BD1922" s="8" t="s">
        <v>100</v>
      </c>
      <c r="BE1922" s="4" t="s">
        <v>100</v>
      </c>
      <c r="BF1922" s="8" t="s">
        <v>100</v>
      </c>
      <c r="BG1922" s="7" t="s">
        <v>100</v>
      </c>
      <c r="BH1922" s="7" t="s">
        <v>100</v>
      </c>
      <c r="BI1922" s="7"/>
      <c r="BJ1922" s="4">
        <v>42</v>
      </c>
      <c r="BK1922" s="8">
        <v>702.87</v>
      </c>
      <c r="BL1922" s="2" t="s">
        <v>6464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6185</v>
      </c>
      <c r="BV1922" s="2" t="s">
        <v>97</v>
      </c>
      <c r="BW1922" s="2" t="s">
        <v>100</v>
      </c>
      <c r="BX1922" s="2" t="s">
        <v>100</v>
      </c>
      <c r="BY1922" s="2" t="s">
        <v>112</v>
      </c>
      <c r="BZ1922" s="2" t="s">
        <v>100</v>
      </c>
    </row>
    <row r="1923">
      <c r="A1923" s="2" t="s">
        <v>6465</v>
      </c>
      <c r="B1923" s="2" t="s">
        <v>6098</v>
      </c>
      <c r="C1923" s="2" t="s">
        <v>88</v>
      </c>
      <c r="D1923" s="2" t="s">
        <v>6099</v>
      </c>
      <c r="E1923" s="2" t="s">
        <v>6377</v>
      </c>
      <c r="F1923" s="2" t="s">
        <v>6453</v>
      </c>
      <c r="G1923" s="2" t="s">
        <v>6453</v>
      </c>
      <c r="H1923" s="2" t="s">
        <v>6453</v>
      </c>
      <c r="I1923" s="2" t="s">
        <v>6466</v>
      </c>
      <c r="J1923" s="2" t="s">
        <v>6103</v>
      </c>
      <c r="K1923" s="2" t="s">
        <v>6467</v>
      </c>
      <c r="L1923" s="3">
        <v>14</v>
      </c>
      <c r="M1923" s="3">
        <v>14.7</v>
      </c>
      <c r="N1923" s="3">
        <v>34.99</v>
      </c>
      <c r="O1923" s="2" t="s">
        <v>97</v>
      </c>
      <c r="P1923" s="2" t="s">
        <v>1166</v>
      </c>
      <c r="Q1923" s="2" t="s">
        <v>99</v>
      </c>
      <c r="R1923" s="2" t="s">
        <v>100</v>
      </c>
      <c r="S1923" s="2" t="s">
        <v>100</v>
      </c>
      <c r="T1923" s="2" t="s">
        <v>100</v>
      </c>
      <c r="U1923" s="2" t="s">
        <v>3531</v>
      </c>
      <c r="V1923" s="2" t="s">
        <v>5769</v>
      </c>
      <c r="W1923" s="2" t="s">
        <v>380</v>
      </c>
      <c r="X1923" s="2" t="s">
        <v>104</v>
      </c>
      <c r="Y1923" s="2" t="s">
        <v>3843</v>
      </c>
      <c r="Z1923" s="4">
        <v>93</v>
      </c>
      <c r="AA1923" s="4">
        <f>=ROUNDDOWN(46.5,0)</f>
      </c>
      <c r="AB1923" s="5">
        <v>2</v>
      </c>
      <c r="AC1923" s="2" t="s">
        <v>100</v>
      </c>
      <c r="AD1923" s="4"/>
      <c r="AE1923" s="4"/>
      <c r="AF1923" s="6">
        <v>63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 t="s">
        <v>100</v>
      </c>
      <c r="BD1923" s="8" t="s">
        <v>100</v>
      </c>
      <c r="BE1923" s="4" t="s">
        <v>100</v>
      </c>
      <c r="BF1923" s="8" t="s">
        <v>100</v>
      </c>
      <c r="BG1923" s="7" t="s">
        <v>100</v>
      </c>
      <c r="BH1923" s="7" t="s">
        <v>100</v>
      </c>
      <c r="BI1923" s="7"/>
      <c r="BJ1923" s="4">
        <v>36</v>
      </c>
      <c r="BK1923" s="8">
        <v>599.61</v>
      </c>
      <c r="BL1923" s="2" t="s">
        <v>6254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6185</v>
      </c>
      <c r="BV1923" s="2" t="s">
        <v>97</v>
      </c>
      <c r="BW1923" s="2" t="s">
        <v>100</v>
      </c>
      <c r="BX1923" s="2" t="s">
        <v>100</v>
      </c>
      <c r="BY1923" s="2" t="s">
        <v>112</v>
      </c>
      <c r="BZ1923" s="2" t="s">
        <v>100</v>
      </c>
    </row>
    <row r="1924">
      <c r="A1924" s="2" t="s">
        <v>6468</v>
      </c>
      <c r="B1924" s="2" t="s">
        <v>6098</v>
      </c>
      <c r="C1924" s="2" t="s">
        <v>88</v>
      </c>
      <c r="D1924" s="2" t="s">
        <v>6099</v>
      </c>
      <c r="E1924" s="2" t="s">
        <v>6377</v>
      </c>
      <c r="F1924" s="2" t="s">
        <v>6453</v>
      </c>
      <c r="G1924" s="2" t="s">
        <v>6453</v>
      </c>
      <c r="H1924" s="2" t="s">
        <v>6453</v>
      </c>
      <c r="I1924" s="2" t="s">
        <v>6469</v>
      </c>
      <c r="J1924" s="2" t="s">
        <v>6103</v>
      </c>
      <c r="K1924" s="2" t="s">
        <v>6470</v>
      </c>
      <c r="L1924" s="3">
        <v>14</v>
      </c>
      <c r="M1924" s="3">
        <v>14.7</v>
      </c>
      <c r="N1924" s="3">
        <v>34.99</v>
      </c>
      <c r="O1924" s="2" t="s">
        <v>97</v>
      </c>
      <c r="P1924" s="2" t="s">
        <v>1166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3531</v>
      </c>
      <c r="V1924" s="2" t="s">
        <v>5769</v>
      </c>
      <c r="W1924" s="2" t="s">
        <v>380</v>
      </c>
      <c r="X1924" s="2" t="s">
        <v>104</v>
      </c>
      <c r="Y1924" s="2" t="s">
        <v>3843</v>
      </c>
      <c r="Z1924" s="4">
        <v>89</v>
      </c>
      <c r="AA1924" s="4">
        <f>=ROUNDDOWN(98.8888888888889,0)</f>
      </c>
      <c r="AB1924" s="5">
        <v>0.9</v>
      </c>
      <c r="AC1924" s="2" t="s">
        <v>100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 t="s">
        <v>100</v>
      </c>
      <c r="BD1924" s="8" t="s">
        <v>100</v>
      </c>
      <c r="BE1924" s="4" t="s">
        <v>100</v>
      </c>
      <c r="BF1924" s="8" t="s">
        <v>100</v>
      </c>
      <c r="BG1924" s="7" t="s">
        <v>100</v>
      </c>
      <c r="BH1924" s="7" t="s">
        <v>100</v>
      </c>
      <c r="BI1924" s="7"/>
      <c r="BJ1924" s="4">
        <v>29</v>
      </c>
      <c r="BK1924" s="8">
        <v>499.55</v>
      </c>
      <c r="BL1924" s="2" t="s">
        <v>6471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6185</v>
      </c>
      <c r="BV1924" s="2" t="s">
        <v>97</v>
      </c>
      <c r="BW1924" s="2" t="s">
        <v>100</v>
      </c>
      <c r="BX1924" s="2" t="s">
        <v>100</v>
      </c>
      <c r="BY1924" s="2" t="s">
        <v>112</v>
      </c>
      <c r="BZ1924" s="2" t="s">
        <v>100</v>
      </c>
    </row>
    <row r="1925">
      <c r="A1925" s="2" t="s">
        <v>6472</v>
      </c>
      <c r="B1925" s="2" t="s">
        <v>6098</v>
      </c>
      <c r="C1925" s="2" t="s">
        <v>88</v>
      </c>
      <c r="D1925" s="2" t="s">
        <v>6099</v>
      </c>
      <c r="E1925" s="2" t="s">
        <v>6377</v>
      </c>
      <c r="F1925" s="2" t="s">
        <v>6453</v>
      </c>
      <c r="G1925" s="2" t="s">
        <v>6453</v>
      </c>
      <c r="H1925" s="2" t="s">
        <v>6453</v>
      </c>
      <c r="I1925" s="2" t="s">
        <v>6473</v>
      </c>
      <c r="J1925" s="2" t="s">
        <v>6103</v>
      </c>
      <c r="K1925" s="2" t="s">
        <v>6474</v>
      </c>
      <c r="L1925" s="3">
        <v>14</v>
      </c>
      <c r="M1925" s="3">
        <v>14.7</v>
      </c>
      <c r="N1925" s="3">
        <v>34.99</v>
      </c>
      <c r="O1925" s="2" t="s">
        <v>97</v>
      </c>
      <c r="P1925" s="2" t="s">
        <v>1166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3531</v>
      </c>
      <c r="V1925" s="2" t="s">
        <v>5769</v>
      </c>
      <c r="W1925" s="2" t="s">
        <v>380</v>
      </c>
      <c r="X1925" s="2" t="s">
        <v>104</v>
      </c>
      <c r="Y1925" s="2" t="s">
        <v>3843</v>
      </c>
      <c r="Z1925" s="4">
        <v>109</v>
      </c>
      <c r="AA1925" s="4">
        <f>=ROUNDDOWN(181.666666666667,0)</f>
      </c>
      <c r="AB1925" s="5">
        <v>0.6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 t="s">
        <v>100</v>
      </c>
      <c r="BD1925" s="8" t="s">
        <v>100</v>
      </c>
      <c r="BE1925" s="4" t="s">
        <v>100</v>
      </c>
      <c r="BF1925" s="8" t="s">
        <v>100</v>
      </c>
      <c r="BG1925" s="7" t="s">
        <v>100</v>
      </c>
      <c r="BH1925" s="7" t="s">
        <v>100</v>
      </c>
      <c r="BI1925" s="7"/>
      <c r="BJ1925" s="4">
        <v>37</v>
      </c>
      <c r="BK1925" s="8">
        <v>672.39</v>
      </c>
      <c r="BL1925" s="2" t="s">
        <v>6368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6185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6475</v>
      </c>
      <c r="B1926" s="2" t="s">
        <v>6098</v>
      </c>
      <c r="C1926" s="2" t="s">
        <v>88</v>
      </c>
      <c r="D1926" s="2" t="s">
        <v>6099</v>
      </c>
      <c r="E1926" s="2" t="s">
        <v>6377</v>
      </c>
      <c r="F1926" s="2" t="s">
        <v>6453</v>
      </c>
      <c r="G1926" s="2" t="s">
        <v>6453</v>
      </c>
      <c r="H1926" s="2" t="s">
        <v>6453</v>
      </c>
      <c r="I1926" s="2" t="s">
        <v>6476</v>
      </c>
      <c r="J1926" s="2" t="s">
        <v>6103</v>
      </c>
      <c r="K1926" s="2" t="s">
        <v>6477</v>
      </c>
      <c r="L1926" s="3">
        <v>14</v>
      </c>
      <c r="M1926" s="3">
        <v>14.7</v>
      </c>
      <c r="N1926" s="3">
        <v>34.99</v>
      </c>
      <c r="O1926" s="2" t="s">
        <v>97</v>
      </c>
      <c r="P1926" s="2" t="s">
        <v>182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3531</v>
      </c>
      <c r="V1926" s="2" t="s">
        <v>5769</v>
      </c>
      <c r="W1926" s="2" t="s">
        <v>284</v>
      </c>
      <c r="X1926" s="2" t="s">
        <v>1288</v>
      </c>
      <c r="Y1926" s="2" t="s">
        <v>3843</v>
      </c>
      <c r="Z1926" s="4">
        <v>133</v>
      </c>
      <c r="AA1926" s="4">
        <f>=ROUNDDOWN(33.25,0)</f>
      </c>
      <c r="AB1926" s="5">
        <v>4</v>
      </c>
      <c r="AC1926" s="2" t="s">
        <v>100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 t="s">
        <v>100</v>
      </c>
      <c r="BD1926" s="8" t="s">
        <v>100</v>
      </c>
      <c r="BE1926" s="4" t="s">
        <v>100</v>
      </c>
      <c r="BF1926" s="8" t="s">
        <v>100</v>
      </c>
      <c r="BG1926" s="7" t="s">
        <v>100</v>
      </c>
      <c r="BH1926" s="7" t="s">
        <v>100</v>
      </c>
      <c r="BI1926" s="7"/>
      <c r="BJ1926" s="4">
        <v>106</v>
      </c>
      <c r="BK1926" s="8">
        <v>1880.95</v>
      </c>
      <c r="BL1926" s="2" t="s">
        <v>6478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6185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6479</v>
      </c>
      <c r="B1927" s="2" t="s">
        <v>6098</v>
      </c>
      <c r="C1927" s="2" t="s">
        <v>88</v>
      </c>
      <c r="D1927" s="2" t="s">
        <v>6099</v>
      </c>
      <c r="E1927" s="2" t="s">
        <v>6480</v>
      </c>
      <c r="F1927" s="2" t="s">
        <v>1758</v>
      </c>
      <c r="G1927" s="2" t="s">
        <v>1758</v>
      </c>
      <c r="H1927" s="2" t="s">
        <v>1758</v>
      </c>
      <c r="I1927" s="2" t="s">
        <v>6481</v>
      </c>
      <c r="J1927" s="2" t="s">
        <v>6103</v>
      </c>
      <c r="K1927" s="2" t="s">
        <v>4776</v>
      </c>
      <c r="L1927" s="3">
        <v>21.85</v>
      </c>
      <c r="M1927" s="3">
        <v>22.94</v>
      </c>
      <c r="N1927" s="3">
        <v>50.99</v>
      </c>
      <c r="O1927" s="2" t="s">
        <v>97</v>
      </c>
      <c r="P1927" s="2" t="s">
        <v>198</v>
      </c>
      <c r="Q1927" s="2" t="s">
        <v>99</v>
      </c>
      <c r="R1927" s="2" t="s">
        <v>100</v>
      </c>
      <c r="S1927" s="2" t="s">
        <v>6482</v>
      </c>
      <c r="T1927" s="2" t="s">
        <v>100</v>
      </c>
      <c r="U1927" s="2" t="s">
        <v>2104</v>
      </c>
      <c r="V1927" s="2" t="s">
        <v>491</v>
      </c>
      <c r="W1927" s="2" t="s">
        <v>759</v>
      </c>
      <c r="X1927" s="2" t="s">
        <v>602</v>
      </c>
      <c r="Y1927" s="2" t="s">
        <v>6483</v>
      </c>
      <c r="Z1927" s="4">
        <v>10</v>
      </c>
      <c r="AA1927" s="4">
        <f>=ROUNDDOWN(3.57142857142857,0)</f>
      </c>
      <c r="AB1927" s="5">
        <v>2.8</v>
      </c>
      <c r="AC1927" s="2" t="s">
        <v>100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70</v>
      </c>
      <c r="BK1927" s="8">
        <v>1787.84</v>
      </c>
      <c r="BL1927" s="2" t="s">
        <v>6484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147</v>
      </c>
      <c r="BV1927" s="2" t="s">
        <v>97</v>
      </c>
      <c r="BW1927" s="2" t="s">
        <v>100</v>
      </c>
      <c r="BX1927" s="2" t="s">
        <v>100</v>
      </c>
      <c r="BY1927" s="2" t="s">
        <v>112</v>
      </c>
      <c r="BZ1927" s="2" t="s">
        <v>100</v>
      </c>
    </row>
    <row r="1928">
      <c r="A1928" s="2" t="s">
        <v>6485</v>
      </c>
      <c r="B1928" s="2" t="s">
        <v>6098</v>
      </c>
      <c r="C1928" s="2" t="s">
        <v>88</v>
      </c>
      <c r="D1928" s="2" t="s">
        <v>6099</v>
      </c>
      <c r="E1928" s="2" t="s">
        <v>6480</v>
      </c>
      <c r="F1928" s="2" t="s">
        <v>6486</v>
      </c>
      <c r="G1928" s="2" t="s">
        <v>6486</v>
      </c>
      <c r="H1928" s="2" t="s">
        <v>6486</v>
      </c>
      <c r="I1928" s="2" t="s">
        <v>6487</v>
      </c>
      <c r="J1928" s="2" t="s">
        <v>6103</v>
      </c>
      <c r="K1928" s="2" t="s">
        <v>1637</v>
      </c>
      <c r="L1928" s="3">
        <v>38.67</v>
      </c>
      <c r="M1928" s="3">
        <v>40.6</v>
      </c>
      <c r="N1928" s="3">
        <v>79.99</v>
      </c>
      <c r="O1928" s="2" t="s">
        <v>550</v>
      </c>
      <c r="P1928" s="2" t="s">
        <v>198</v>
      </c>
      <c r="Q1928" s="2" t="s">
        <v>99</v>
      </c>
      <c r="R1928" s="2" t="s">
        <v>100</v>
      </c>
      <c r="S1928" s="2" t="s">
        <v>100</v>
      </c>
      <c r="T1928" s="2" t="s">
        <v>100</v>
      </c>
      <c r="U1928" s="2" t="s">
        <v>2104</v>
      </c>
      <c r="V1928" s="2" t="s">
        <v>1275</v>
      </c>
      <c r="W1928" s="2" t="s">
        <v>759</v>
      </c>
      <c r="X1928" s="2" t="s">
        <v>1288</v>
      </c>
      <c r="Y1928" s="2" t="s">
        <v>6488</v>
      </c>
      <c r="Z1928" s="4">
        <v>13</v>
      </c>
      <c r="AA1928" s="4">
        <f>=ROUNDDOWN(5.65217391304348,0)</f>
      </c>
      <c r="AB1928" s="5">
        <v>2.3</v>
      </c>
      <c r="AC1928" s="2" t="s">
        <v>100</v>
      </c>
      <c r="AD1928" s="4"/>
      <c r="AE1928" s="4"/>
      <c r="AF1928" s="6">
        <v>63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47</v>
      </c>
      <c r="BK1928" s="8">
        <v>1940.64</v>
      </c>
      <c r="BL1928" s="2" t="s">
        <v>6489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147</v>
      </c>
      <c r="BV1928" s="2" t="s">
        <v>97</v>
      </c>
      <c r="BW1928" s="2" t="s">
        <v>100</v>
      </c>
      <c r="BX1928" s="2" t="s">
        <v>100</v>
      </c>
      <c r="BY1928" s="2" t="s">
        <v>112</v>
      </c>
      <c r="BZ1928" s="2" t="s">
        <v>100</v>
      </c>
    </row>
    <row r="1929">
      <c r="A1929" s="2" t="s">
        <v>6490</v>
      </c>
      <c r="B1929" s="2" t="s">
        <v>6098</v>
      </c>
      <c r="C1929" s="2" t="s">
        <v>88</v>
      </c>
      <c r="D1929" s="2" t="s">
        <v>6099</v>
      </c>
      <c r="E1929" s="2" t="s">
        <v>6480</v>
      </c>
      <c r="F1929" s="2" t="s">
        <v>6491</v>
      </c>
      <c r="G1929" s="2" t="s">
        <v>6491</v>
      </c>
      <c r="H1929" s="2" t="s">
        <v>6491</v>
      </c>
      <c r="I1929" s="2" t="s">
        <v>6492</v>
      </c>
      <c r="J1929" s="2" t="s">
        <v>6103</v>
      </c>
      <c r="K1929" s="2" t="s">
        <v>1637</v>
      </c>
      <c r="L1929" s="3">
        <v>77.71</v>
      </c>
      <c r="M1929" s="3">
        <v>81.6</v>
      </c>
      <c r="N1929" s="3">
        <v>169.99</v>
      </c>
      <c r="O1929" s="2" t="s">
        <v>97</v>
      </c>
      <c r="P1929" s="2" t="s">
        <v>1265</v>
      </c>
      <c r="Q1929" s="2" t="s">
        <v>99</v>
      </c>
      <c r="R1929" s="2" t="s">
        <v>100</v>
      </c>
      <c r="S1929" s="2" t="s">
        <v>6493</v>
      </c>
      <c r="T1929" s="2" t="s">
        <v>100</v>
      </c>
      <c r="U1929" s="2" t="s">
        <v>790</v>
      </c>
      <c r="V1929" s="2" t="s">
        <v>1122</v>
      </c>
      <c r="W1929" s="2" t="s">
        <v>602</v>
      </c>
      <c r="X1929" s="2" t="s">
        <v>1190</v>
      </c>
      <c r="Y1929" s="2" t="s">
        <v>6494</v>
      </c>
      <c r="Z1929" s="4">
        <v>53</v>
      </c>
      <c r="AA1929" s="4">
        <f>=ROUNDDOWN(19.6296296296296,0)</f>
      </c>
      <c r="AB1929" s="5">
        <v>2.7</v>
      </c>
      <c r="AC1929" s="2" t="s">
        <v>100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48</v>
      </c>
      <c r="BK1929" s="8">
        <v>4586.84</v>
      </c>
      <c r="BL1929" s="2" t="s">
        <v>6495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147</v>
      </c>
      <c r="BV1929" s="2" t="s">
        <v>97</v>
      </c>
      <c r="BW1929" s="2" t="s">
        <v>100</v>
      </c>
      <c r="BX1929" s="2" t="s">
        <v>100</v>
      </c>
      <c r="BY1929" s="2" t="s">
        <v>112</v>
      </c>
      <c r="BZ1929" s="2" t="s">
        <v>100</v>
      </c>
    </row>
    <row r="1930">
      <c r="A1930" s="2" t="s">
        <v>6496</v>
      </c>
      <c r="B1930" s="2" t="s">
        <v>6098</v>
      </c>
      <c r="C1930" s="2" t="s">
        <v>88</v>
      </c>
      <c r="D1930" s="2" t="s">
        <v>6497</v>
      </c>
      <c r="E1930" s="2" t="s">
        <v>6480</v>
      </c>
      <c r="F1930" s="2" t="s">
        <v>6498</v>
      </c>
      <c r="G1930" s="2" t="s">
        <v>6498</v>
      </c>
      <c r="H1930" s="2" t="s">
        <v>6498</v>
      </c>
      <c r="I1930" s="2" t="s">
        <v>6499</v>
      </c>
      <c r="J1930" s="2" t="s">
        <v>6103</v>
      </c>
      <c r="K1930" s="2" t="s">
        <v>1767</v>
      </c>
      <c r="L1930" s="3">
        <v>41.69</v>
      </c>
      <c r="M1930" s="3">
        <v>43.77</v>
      </c>
      <c r="N1930" s="3">
        <v>89.24</v>
      </c>
      <c r="O1930" s="2" t="s">
        <v>97</v>
      </c>
      <c r="P1930" s="2" t="s">
        <v>124</v>
      </c>
      <c r="Q1930" s="2" t="s">
        <v>99</v>
      </c>
      <c r="R1930" s="2" t="s">
        <v>100</v>
      </c>
      <c r="S1930" s="2" t="s">
        <v>100</v>
      </c>
      <c r="T1930" s="2" t="s">
        <v>100</v>
      </c>
      <c r="U1930" s="2" t="s">
        <v>2104</v>
      </c>
      <c r="V1930" s="2" t="s">
        <v>1275</v>
      </c>
      <c r="W1930" s="2" t="s">
        <v>104</v>
      </c>
      <c r="X1930" s="2" t="s">
        <v>906</v>
      </c>
      <c r="Y1930" s="2" t="s">
        <v>6500</v>
      </c>
      <c r="Z1930" s="4">
        <v>155</v>
      </c>
      <c r="AA1930" s="4">
        <f>=ROUNDDOWN(5.96153846153846,0)</f>
      </c>
      <c r="AB1930" s="5">
        <v>26</v>
      </c>
      <c r="AC1930" s="2" t="s">
        <v>6501</v>
      </c>
      <c r="AD1930" s="4">
        <v>100</v>
      </c>
      <c r="AE1930" s="4">
        <v>550</v>
      </c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>
        <v>0</v>
      </c>
      <c r="AP1930" s="4">
        <v>25</v>
      </c>
      <c r="AQ1930" s="8">
        <v>1094.5</v>
      </c>
      <c r="AR1930" s="4">
        <v>118</v>
      </c>
      <c r="AS1930" s="8">
        <v>5799.08</v>
      </c>
      <c r="AT1930" s="7">
        <v>-0.7881</v>
      </c>
      <c r="AU1930" s="7">
        <v>-0.8113</v>
      </c>
      <c r="AV1930" s="4">
        <v>25</v>
      </c>
      <c r="AW1930" s="8">
        <v>1094.5</v>
      </c>
      <c r="AX1930" s="4">
        <v>118</v>
      </c>
      <c r="AY1930" s="8">
        <v>5799.08</v>
      </c>
      <c r="AZ1930" s="7">
        <v>-0.7881</v>
      </c>
      <c r="BA1930" s="7">
        <v>-0.8113</v>
      </c>
      <c r="BB1930" s="7">
        <v>1</v>
      </c>
      <c r="BC1930" s="4">
        <v>25</v>
      </c>
      <c r="BD1930" s="8">
        <v>1094.5</v>
      </c>
      <c r="BE1930" s="4">
        <v>118</v>
      </c>
      <c r="BF1930" s="8">
        <v>5799.08</v>
      </c>
      <c r="BG1930" s="7">
        <v>-0.7881</v>
      </c>
      <c r="BH1930" s="7">
        <v>-0.8113</v>
      </c>
      <c r="BI1930" s="7">
        <v>1</v>
      </c>
      <c r="BJ1930" s="4">
        <v>736</v>
      </c>
      <c r="BK1930" s="8">
        <v>38055.83</v>
      </c>
      <c r="BL1930" s="2" t="s">
        <v>6502</v>
      </c>
      <c r="BM1930" s="7">
        <v>0.034</v>
      </c>
      <c r="BN1930" s="7">
        <v>0.0288</v>
      </c>
      <c r="BO1930" s="4">
        <v>25</v>
      </c>
      <c r="BP1930" s="8">
        <v>1094.5</v>
      </c>
      <c r="BQ1930" s="4">
        <v>118</v>
      </c>
      <c r="BR1930" s="8">
        <v>5799.08</v>
      </c>
      <c r="BS1930" s="7">
        <v>-0.7881</v>
      </c>
      <c r="BT1930" s="7">
        <v>-0.8113</v>
      </c>
      <c r="BU1930" s="2" t="s">
        <v>109</v>
      </c>
      <c r="BV1930" s="2" t="s">
        <v>97</v>
      </c>
      <c r="BW1930" s="2" t="s">
        <v>6110</v>
      </c>
      <c r="BX1930" s="2" t="s">
        <v>6130</v>
      </c>
      <c r="BY1930" s="2" t="s">
        <v>112</v>
      </c>
      <c r="BZ1930" s="2" t="s">
        <v>100</v>
      </c>
    </row>
    <row r="1931">
      <c r="A1931" s="2" t="s">
        <v>6503</v>
      </c>
      <c r="B1931" s="2" t="s">
        <v>6098</v>
      </c>
      <c r="C1931" s="2" t="s">
        <v>88</v>
      </c>
      <c r="D1931" s="2" t="s">
        <v>6497</v>
      </c>
      <c r="E1931" s="2" t="s">
        <v>6480</v>
      </c>
      <c r="F1931" s="2" t="s">
        <v>6504</v>
      </c>
      <c r="G1931" s="2" t="s">
        <v>6504</v>
      </c>
      <c r="H1931" s="2" t="s">
        <v>6504</v>
      </c>
      <c r="I1931" s="2" t="s">
        <v>6505</v>
      </c>
      <c r="J1931" s="2" t="s">
        <v>6103</v>
      </c>
      <c r="K1931" s="2" t="s">
        <v>1767</v>
      </c>
      <c r="L1931" s="3">
        <v>45.85</v>
      </c>
      <c r="M1931" s="3">
        <v>48.14</v>
      </c>
      <c r="N1931" s="3">
        <v>99.44</v>
      </c>
      <c r="O1931" s="2" t="s">
        <v>97</v>
      </c>
      <c r="P1931" s="2" t="s">
        <v>182</v>
      </c>
      <c r="Q1931" s="2" t="s">
        <v>99</v>
      </c>
      <c r="R1931" s="2" t="s">
        <v>100</v>
      </c>
      <c r="S1931" s="2" t="s">
        <v>6506</v>
      </c>
      <c r="T1931" s="2" t="s">
        <v>100</v>
      </c>
      <c r="U1931" s="2" t="s">
        <v>3531</v>
      </c>
      <c r="V1931" s="2" t="s">
        <v>991</v>
      </c>
      <c r="W1931" s="2" t="s">
        <v>104</v>
      </c>
      <c r="X1931" s="2" t="s">
        <v>100</v>
      </c>
      <c r="Y1931" s="2" t="s">
        <v>6507</v>
      </c>
      <c r="Z1931" s="4">
        <v>244</v>
      </c>
      <c r="AA1931" s="4">
        <f>=ROUNDDOWN(27.1111111111111,0)</f>
      </c>
      <c r="AB1931" s="5">
        <v>9</v>
      </c>
      <c r="AC1931" s="2" t="s">
        <v>100</v>
      </c>
      <c r="AD1931" s="4"/>
      <c r="AE1931" s="4"/>
      <c r="AF1931" s="6">
        <v>65</v>
      </c>
      <c r="AG1931" s="6"/>
      <c r="AH1931" s="7">
        <v>0.7818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>
        <v>0</v>
      </c>
      <c r="AP1931" s="4">
        <v>14</v>
      </c>
      <c r="AQ1931" s="8">
        <v>673.96</v>
      </c>
      <c r="AR1931" s="4">
        <v>7</v>
      </c>
      <c r="AS1931" s="8">
        <v>362.48</v>
      </c>
      <c r="AT1931" s="7">
        <v>1</v>
      </c>
      <c r="AU1931" s="7">
        <v>0.8593</v>
      </c>
      <c r="AV1931" s="4">
        <v>14</v>
      </c>
      <c r="AW1931" s="8">
        <v>673.96</v>
      </c>
      <c r="AX1931" s="4">
        <v>7</v>
      </c>
      <c r="AY1931" s="8">
        <v>362.48</v>
      </c>
      <c r="AZ1931" s="7">
        <v>1</v>
      </c>
      <c r="BA1931" s="7">
        <v>0.8593</v>
      </c>
      <c r="BB1931" s="7">
        <v>1</v>
      </c>
      <c r="BC1931" s="4">
        <v>14</v>
      </c>
      <c r="BD1931" s="8">
        <v>673.96</v>
      </c>
      <c r="BE1931" s="4">
        <v>7</v>
      </c>
      <c r="BF1931" s="8">
        <v>362.48</v>
      </c>
      <c r="BG1931" s="7">
        <v>1</v>
      </c>
      <c r="BH1931" s="7">
        <v>0.8593</v>
      </c>
      <c r="BI1931" s="7">
        <v>1</v>
      </c>
      <c r="BJ1931" s="4">
        <v>178</v>
      </c>
      <c r="BK1931" s="8">
        <v>8803.99</v>
      </c>
      <c r="BL1931" s="2" t="s">
        <v>6508</v>
      </c>
      <c r="BM1931" s="7">
        <v>0.0787</v>
      </c>
      <c r="BN1931" s="7">
        <v>0.0766</v>
      </c>
      <c r="BO1931" s="4">
        <v>14</v>
      </c>
      <c r="BP1931" s="8">
        <v>673.96</v>
      </c>
      <c r="BQ1931" s="4">
        <v>7</v>
      </c>
      <c r="BR1931" s="8">
        <v>362.48</v>
      </c>
      <c r="BS1931" s="7">
        <v>1</v>
      </c>
      <c r="BT1931" s="7">
        <v>0.8593</v>
      </c>
      <c r="BU1931" s="2" t="s">
        <v>109</v>
      </c>
      <c r="BV1931" s="2" t="s">
        <v>97</v>
      </c>
      <c r="BW1931" s="2" t="s">
        <v>911</v>
      </c>
      <c r="BX1931" s="2" t="s">
        <v>6391</v>
      </c>
      <c r="BY1931" s="2" t="s">
        <v>112</v>
      </c>
      <c r="BZ1931" s="2" t="s">
        <v>100</v>
      </c>
    </row>
    <row r="1932">
      <c r="A1932" s="2" t="s">
        <v>6509</v>
      </c>
      <c r="B1932" s="2" t="s">
        <v>6098</v>
      </c>
      <c r="C1932" s="2" t="s">
        <v>88</v>
      </c>
      <c r="D1932" s="2" t="s">
        <v>6497</v>
      </c>
      <c r="E1932" s="2" t="s">
        <v>6480</v>
      </c>
      <c r="F1932" s="2" t="s">
        <v>6510</v>
      </c>
      <c r="G1932" s="2" t="s">
        <v>6510</v>
      </c>
      <c r="H1932" s="2" t="s">
        <v>6510</v>
      </c>
      <c r="I1932" s="2" t="s">
        <v>6511</v>
      </c>
      <c r="J1932" s="2" t="s">
        <v>6103</v>
      </c>
      <c r="K1932" s="2" t="s">
        <v>123</v>
      </c>
      <c r="L1932" s="3">
        <v>71.15</v>
      </c>
      <c r="M1932" s="3">
        <v>74.71</v>
      </c>
      <c r="N1932" s="3">
        <v>146.19</v>
      </c>
      <c r="O1932" s="2" t="s">
        <v>97</v>
      </c>
      <c r="P1932" s="2" t="s">
        <v>143</v>
      </c>
      <c r="Q1932" s="2" t="s">
        <v>99</v>
      </c>
      <c r="R1932" s="2" t="s">
        <v>100</v>
      </c>
      <c r="S1932" s="2" t="s">
        <v>6512</v>
      </c>
      <c r="T1932" s="2" t="s">
        <v>100</v>
      </c>
      <c r="U1932" s="2" t="s">
        <v>1610</v>
      </c>
      <c r="V1932" s="2" t="s">
        <v>991</v>
      </c>
      <c r="W1932" s="2" t="s">
        <v>104</v>
      </c>
      <c r="X1932" s="2" t="s">
        <v>100</v>
      </c>
      <c r="Y1932" s="2" t="s">
        <v>6513</v>
      </c>
      <c r="Z1932" s="4">
        <v>211</v>
      </c>
      <c r="AA1932" s="4">
        <f>=ROUNDDOWN(42.2,0)</f>
      </c>
      <c r="AB1932" s="5">
        <v>5</v>
      </c>
      <c r="AC1932" s="2" t="s">
        <v>100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>
        <v>0</v>
      </c>
      <c r="AP1932" s="4">
        <v>5</v>
      </c>
      <c r="AQ1932" s="8">
        <v>373.55</v>
      </c>
      <c r="AR1932" s="4">
        <v>13</v>
      </c>
      <c r="AS1932" s="8">
        <v>997.61</v>
      </c>
      <c r="AT1932" s="7">
        <v>-0.6154</v>
      </c>
      <c r="AU1932" s="7">
        <v>-0.6256</v>
      </c>
      <c r="AV1932" s="4">
        <v>5</v>
      </c>
      <c r="AW1932" s="8">
        <v>373.55</v>
      </c>
      <c r="AX1932" s="4">
        <v>13</v>
      </c>
      <c r="AY1932" s="8">
        <v>997.61</v>
      </c>
      <c r="AZ1932" s="7">
        <v>-0.6154</v>
      </c>
      <c r="BA1932" s="7">
        <v>-0.6256</v>
      </c>
      <c r="BB1932" s="7">
        <v>1</v>
      </c>
      <c r="BC1932" s="4">
        <v>5</v>
      </c>
      <c r="BD1932" s="8">
        <v>373.55</v>
      </c>
      <c r="BE1932" s="4">
        <v>13</v>
      </c>
      <c r="BF1932" s="8">
        <v>997.61</v>
      </c>
      <c r="BG1932" s="7">
        <v>-0.6154</v>
      </c>
      <c r="BH1932" s="7">
        <v>-0.6256</v>
      </c>
      <c r="BI1932" s="7">
        <v>1</v>
      </c>
      <c r="BJ1932" s="4">
        <v>129</v>
      </c>
      <c r="BK1932" s="8">
        <v>10962.71</v>
      </c>
      <c r="BL1932" s="2" t="s">
        <v>6514</v>
      </c>
      <c r="BM1932" s="7">
        <v>0.0388</v>
      </c>
      <c r="BN1932" s="7">
        <v>0.0341</v>
      </c>
      <c r="BO1932" s="4">
        <v>5</v>
      </c>
      <c r="BP1932" s="8">
        <v>373.55</v>
      </c>
      <c r="BQ1932" s="4">
        <v>13</v>
      </c>
      <c r="BR1932" s="8">
        <v>997.61</v>
      </c>
      <c r="BS1932" s="7">
        <v>-0.6154</v>
      </c>
      <c r="BT1932" s="7">
        <v>-0.6256</v>
      </c>
      <c r="BU1932" s="2" t="s">
        <v>109</v>
      </c>
      <c r="BV1932" s="2" t="s">
        <v>97</v>
      </c>
      <c r="BW1932" s="2" t="s">
        <v>6110</v>
      </c>
      <c r="BX1932" s="2" t="s">
        <v>6163</v>
      </c>
      <c r="BY1932" s="2" t="s">
        <v>112</v>
      </c>
      <c r="BZ1932" s="2" t="s">
        <v>100</v>
      </c>
    </row>
    <row r="1933">
      <c r="A1933" s="2" t="s">
        <v>6515</v>
      </c>
      <c r="B1933" s="2" t="s">
        <v>6098</v>
      </c>
      <c r="C1933" s="2" t="s">
        <v>88</v>
      </c>
      <c r="D1933" s="2" t="s">
        <v>6497</v>
      </c>
      <c r="E1933" s="2" t="s">
        <v>6480</v>
      </c>
      <c r="F1933" s="2" t="s">
        <v>6516</v>
      </c>
      <c r="G1933" s="2" t="s">
        <v>6517</v>
      </c>
      <c r="H1933" s="2" t="s">
        <v>6518</v>
      </c>
      <c r="I1933" s="2" t="s">
        <v>6519</v>
      </c>
      <c r="J1933" s="2" t="s">
        <v>6103</v>
      </c>
      <c r="K1933" s="2" t="s">
        <v>158</v>
      </c>
      <c r="L1933" s="3">
        <v>43.01</v>
      </c>
      <c r="M1933" s="3">
        <v>45.16</v>
      </c>
      <c r="N1933" s="3">
        <v>79.04</v>
      </c>
      <c r="O1933" s="2" t="s">
        <v>97</v>
      </c>
      <c r="P1933" s="2" t="s">
        <v>143</v>
      </c>
      <c r="Q1933" s="2" t="s">
        <v>99</v>
      </c>
      <c r="R1933" s="2" t="s">
        <v>100</v>
      </c>
      <c r="S1933" s="2" t="s">
        <v>6520</v>
      </c>
      <c r="T1933" s="2" t="s">
        <v>100</v>
      </c>
      <c r="U1933" s="2" t="s">
        <v>1610</v>
      </c>
      <c r="V1933" s="2" t="s">
        <v>1275</v>
      </c>
      <c r="W1933" s="2" t="s">
        <v>104</v>
      </c>
      <c r="X1933" s="2" t="s">
        <v>100</v>
      </c>
      <c r="Y1933" s="2" t="s">
        <v>6513</v>
      </c>
      <c r="Z1933" s="4">
        <v>53</v>
      </c>
      <c r="AA1933" s="4">
        <f>=ROUNDDOWN(3.53333333333333,0)</f>
      </c>
      <c r="AB1933" s="5">
        <v>15</v>
      </c>
      <c r="AC1933" s="2" t="s">
        <v>6501</v>
      </c>
      <c r="AD1933" s="4">
        <v>100</v>
      </c>
      <c r="AE1933" s="4">
        <v>500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>
        <v>0</v>
      </c>
      <c r="AP1933" s="4">
        <v>5</v>
      </c>
      <c r="AQ1933" s="8">
        <v>225.8</v>
      </c>
      <c r="AR1933" s="4">
        <v>5</v>
      </c>
      <c r="AS1933" s="8">
        <v>257.68</v>
      </c>
      <c r="AT1933" s="7"/>
      <c r="AU1933" s="7">
        <v>-0.1237</v>
      </c>
      <c r="AV1933" s="4">
        <v>5</v>
      </c>
      <c r="AW1933" s="8">
        <v>225.8</v>
      </c>
      <c r="AX1933" s="4">
        <v>5</v>
      </c>
      <c r="AY1933" s="8">
        <v>257.68</v>
      </c>
      <c r="AZ1933" s="7"/>
      <c r="BA1933" s="7">
        <v>-0.1237</v>
      </c>
      <c r="BB1933" s="7">
        <v>1</v>
      </c>
      <c r="BC1933" s="4">
        <v>5</v>
      </c>
      <c r="BD1933" s="8">
        <v>225.8</v>
      </c>
      <c r="BE1933" s="4">
        <v>5</v>
      </c>
      <c r="BF1933" s="8">
        <v>257.68</v>
      </c>
      <c r="BG1933" s="7" t="s">
        <v>100</v>
      </c>
      <c r="BH1933" s="7">
        <v>-0.1237</v>
      </c>
      <c r="BI1933" s="7">
        <v>1</v>
      </c>
      <c r="BJ1933" s="4">
        <v>377</v>
      </c>
      <c r="BK1933" s="8">
        <v>17815.04</v>
      </c>
      <c r="BL1933" s="2" t="s">
        <v>6521</v>
      </c>
      <c r="BM1933" s="7">
        <v>0.0133</v>
      </c>
      <c r="BN1933" s="7">
        <v>0.0127</v>
      </c>
      <c r="BO1933" s="4">
        <v>5</v>
      </c>
      <c r="BP1933" s="8">
        <v>225.8</v>
      </c>
      <c r="BQ1933" s="4">
        <v>5</v>
      </c>
      <c r="BR1933" s="8">
        <v>257.68</v>
      </c>
      <c r="BS1933" s="7"/>
      <c r="BT1933" s="7">
        <v>-0.1237</v>
      </c>
      <c r="BU1933" s="2" t="s">
        <v>109</v>
      </c>
      <c r="BV1933" s="2" t="s">
        <v>97</v>
      </c>
      <c r="BW1933" s="2" t="s">
        <v>2917</v>
      </c>
      <c r="BX1933" s="2" t="s">
        <v>6163</v>
      </c>
      <c r="BY1933" s="2" t="s">
        <v>112</v>
      </c>
      <c r="BZ1933" s="2" t="s">
        <v>100</v>
      </c>
    </row>
    <row r="1934">
      <c r="A1934" s="2" t="s">
        <v>6522</v>
      </c>
      <c r="B1934" s="2" t="s">
        <v>6098</v>
      </c>
      <c r="C1934" s="2" t="s">
        <v>88</v>
      </c>
      <c r="D1934" s="2" t="s">
        <v>6497</v>
      </c>
      <c r="E1934" s="2" t="s">
        <v>6480</v>
      </c>
      <c r="F1934" s="2" t="s">
        <v>6516</v>
      </c>
      <c r="G1934" s="2" t="s">
        <v>6517</v>
      </c>
      <c r="H1934" s="2" t="s">
        <v>6518</v>
      </c>
      <c r="I1934" s="2" t="s">
        <v>6519</v>
      </c>
      <c r="J1934" s="2" t="s">
        <v>6103</v>
      </c>
      <c r="K1934" s="2" t="s">
        <v>333</v>
      </c>
      <c r="L1934" s="3">
        <v>43.01</v>
      </c>
      <c r="M1934" s="3">
        <v>45.16</v>
      </c>
      <c r="N1934" s="3">
        <v>79.04</v>
      </c>
      <c r="O1934" s="2" t="s">
        <v>97</v>
      </c>
      <c r="P1934" s="2" t="s">
        <v>182</v>
      </c>
      <c r="Q1934" s="2" t="s">
        <v>99</v>
      </c>
      <c r="R1934" s="2" t="s">
        <v>100</v>
      </c>
      <c r="S1934" s="2" t="s">
        <v>6520</v>
      </c>
      <c r="T1934" s="2" t="s">
        <v>100</v>
      </c>
      <c r="U1934" s="2" t="s">
        <v>1610</v>
      </c>
      <c r="V1934" s="2" t="s">
        <v>1275</v>
      </c>
      <c r="W1934" s="2" t="s">
        <v>104</v>
      </c>
      <c r="X1934" s="2" t="s">
        <v>602</v>
      </c>
      <c r="Y1934" s="2" t="s">
        <v>6523</v>
      </c>
      <c r="Z1934" s="4">
        <v>47</v>
      </c>
      <c r="AA1934" s="4">
        <f>=ROUNDDOWN(6.71428571428571,0)</f>
      </c>
      <c r="AB1934" s="5">
        <v>7</v>
      </c>
      <c r="AC1934" s="2" t="s">
        <v>6501</v>
      </c>
      <c r="AD1934" s="4">
        <v>100</v>
      </c>
      <c r="AE1934" s="4">
        <v>100</v>
      </c>
      <c r="AF1934" s="6">
        <v>65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 t="s">
        <v>100</v>
      </c>
      <c r="BD1934" s="8" t="s">
        <v>100</v>
      </c>
      <c r="BE1934" s="4" t="s">
        <v>100</v>
      </c>
      <c r="BF1934" s="8" t="s">
        <v>100</v>
      </c>
      <c r="BG1934" s="7" t="s">
        <v>100</v>
      </c>
      <c r="BH1934" s="7" t="s">
        <v>100</v>
      </c>
      <c r="BI1934" s="7"/>
      <c r="BJ1934" s="4">
        <v>143</v>
      </c>
      <c r="BK1934" s="8">
        <v>6228.06</v>
      </c>
      <c r="BL1934" s="2" t="s">
        <v>6524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6185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6525</v>
      </c>
      <c r="B1935" s="2" t="s">
        <v>6098</v>
      </c>
      <c r="C1935" s="2" t="s">
        <v>88</v>
      </c>
      <c r="D1935" s="2" t="s">
        <v>6497</v>
      </c>
      <c r="E1935" s="2" t="s">
        <v>6480</v>
      </c>
      <c r="F1935" s="2" t="s">
        <v>6516</v>
      </c>
      <c r="G1935" s="2" t="s">
        <v>6517</v>
      </c>
      <c r="H1935" s="2" t="s">
        <v>6518</v>
      </c>
      <c r="I1935" s="2" t="s">
        <v>6519</v>
      </c>
      <c r="J1935" s="2" t="s">
        <v>6103</v>
      </c>
      <c r="K1935" s="2" t="s">
        <v>1581</v>
      </c>
      <c r="L1935" s="3">
        <v>43.01</v>
      </c>
      <c r="M1935" s="3">
        <v>45.16</v>
      </c>
      <c r="N1935" s="3">
        <v>79.04</v>
      </c>
      <c r="O1935" s="2" t="s">
        <v>97</v>
      </c>
      <c r="P1935" s="2" t="s">
        <v>182</v>
      </c>
      <c r="Q1935" s="2" t="s">
        <v>99</v>
      </c>
      <c r="R1935" s="2" t="s">
        <v>100</v>
      </c>
      <c r="S1935" s="2" t="s">
        <v>6520</v>
      </c>
      <c r="T1935" s="2" t="s">
        <v>100</v>
      </c>
      <c r="U1935" s="2" t="s">
        <v>1610</v>
      </c>
      <c r="V1935" s="2" t="s">
        <v>1275</v>
      </c>
      <c r="W1935" s="2" t="s">
        <v>104</v>
      </c>
      <c r="X1935" s="2" t="s">
        <v>602</v>
      </c>
      <c r="Y1935" s="2" t="s">
        <v>6526</v>
      </c>
      <c r="Z1935" s="4">
        <v>56</v>
      </c>
      <c r="AA1935" s="4">
        <f>=ROUNDDOWN(8.48484848484848,0)</f>
      </c>
      <c r="AB1935" s="5">
        <v>6.6</v>
      </c>
      <c r="AC1935" s="2" t="s">
        <v>6501</v>
      </c>
      <c r="AD1935" s="4">
        <v>160</v>
      </c>
      <c r="AE1935" s="4">
        <v>160</v>
      </c>
      <c r="AF1935" s="6">
        <v>65</v>
      </c>
      <c r="AG1935" s="6"/>
      <c r="AH1935" s="7">
        <v>0.9636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100</v>
      </c>
      <c r="BD1935" s="8" t="s">
        <v>100</v>
      </c>
      <c r="BE1935" s="4" t="s">
        <v>100</v>
      </c>
      <c r="BF1935" s="8" t="s">
        <v>100</v>
      </c>
      <c r="BG1935" s="7" t="s">
        <v>100</v>
      </c>
      <c r="BH1935" s="7" t="s">
        <v>100</v>
      </c>
      <c r="BI1935" s="7"/>
      <c r="BJ1935" s="4">
        <v>149</v>
      </c>
      <c r="BK1935" s="8">
        <v>7528.46</v>
      </c>
      <c r="BL1935" s="2" t="s">
        <v>6527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6185</v>
      </c>
      <c r="BV1935" s="2" t="s">
        <v>97</v>
      </c>
      <c r="BW1935" s="2" t="s">
        <v>100</v>
      </c>
      <c r="BX1935" s="2" t="s">
        <v>100</v>
      </c>
      <c r="BY1935" s="2" t="s">
        <v>112</v>
      </c>
      <c r="BZ1935" s="2" t="s">
        <v>100</v>
      </c>
    </row>
    <row r="1936">
      <c r="A1936" s="2" t="s">
        <v>6528</v>
      </c>
      <c r="B1936" s="2" t="s">
        <v>6098</v>
      </c>
      <c r="C1936" s="2" t="s">
        <v>88</v>
      </c>
      <c r="D1936" s="2" t="s">
        <v>6497</v>
      </c>
      <c r="E1936" s="2" t="s">
        <v>6480</v>
      </c>
      <c r="F1936" s="2" t="s">
        <v>6529</v>
      </c>
      <c r="G1936" s="2" t="s">
        <v>6529</v>
      </c>
      <c r="H1936" s="2" t="s">
        <v>6529</v>
      </c>
      <c r="I1936" s="2" t="s">
        <v>6530</v>
      </c>
      <c r="J1936" s="2" t="s">
        <v>6103</v>
      </c>
      <c r="K1936" s="2" t="s">
        <v>6531</v>
      </c>
      <c r="L1936" s="3">
        <v>33.88</v>
      </c>
      <c r="M1936" s="3">
        <v>35.57</v>
      </c>
      <c r="N1936" s="3">
        <v>73.94</v>
      </c>
      <c r="O1936" s="2" t="s">
        <v>97</v>
      </c>
      <c r="P1936" s="2" t="s">
        <v>124</v>
      </c>
      <c r="Q1936" s="2" t="s">
        <v>99</v>
      </c>
      <c r="R1936" s="2" t="s">
        <v>100</v>
      </c>
      <c r="S1936" s="2" t="s">
        <v>6532</v>
      </c>
      <c r="T1936" s="2" t="s">
        <v>100</v>
      </c>
      <c r="U1936" s="2" t="s">
        <v>1610</v>
      </c>
      <c r="V1936" s="2" t="s">
        <v>455</v>
      </c>
      <c r="W1936" s="2" t="s">
        <v>1530</v>
      </c>
      <c r="X1936" s="2" t="s">
        <v>759</v>
      </c>
      <c r="Y1936" s="2" t="s">
        <v>6533</v>
      </c>
      <c r="Z1936" s="4">
        <v>343</v>
      </c>
      <c r="AA1936" s="4">
        <f>=ROUNDDOWN(14.6581196581197,0)</f>
      </c>
      <c r="AB1936" s="5">
        <v>23.4</v>
      </c>
      <c r="AC1936" s="2" t="s">
        <v>518</v>
      </c>
      <c r="AD1936" s="4">
        <v>400</v>
      </c>
      <c r="AE1936" s="4">
        <v>400</v>
      </c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>
        <v>0</v>
      </c>
      <c r="AP1936" s="4">
        <v>4</v>
      </c>
      <c r="AQ1936" s="8">
        <v>142.28</v>
      </c>
      <c r="AR1936" s="4">
        <v>15</v>
      </c>
      <c r="AS1936" s="8">
        <v>552.39</v>
      </c>
      <c r="AT1936" s="7">
        <v>-0.7333</v>
      </c>
      <c r="AU1936" s="7">
        <v>-0.7424</v>
      </c>
      <c r="AV1936" s="4">
        <v>4</v>
      </c>
      <c r="AW1936" s="8">
        <v>142.28</v>
      </c>
      <c r="AX1936" s="4">
        <v>15</v>
      </c>
      <c r="AY1936" s="8">
        <v>552.39</v>
      </c>
      <c r="AZ1936" s="7">
        <v>-0.7333</v>
      </c>
      <c r="BA1936" s="7">
        <v>-0.7424</v>
      </c>
      <c r="BB1936" s="7">
        <v>1</v>
      </c>
      <c r="BC1936" s="4">
        <v>4</v>
      </c>
      <c r="BD1936" s="8">
        <v>142.28</v>
      </c>
      <c r="BE1936" s="4">
        <v>15</v>
      </c>
      <c r="BF1936" s="8">
        <v>552.39</v>
      </c>
      <c r="BG1936" s="7">
        <v>-0.7333</v>
      </c>
      <c r="BH1936" s="7">
        <v>-0.7424</v>
      </c>
      <c r="BI1936" s="7">
        <v>1</v>
      </c>
      <c r="BJ1936" s="4">
        <v>589</v>
      </c>
      <c r="BK1936" s="8">
        <v>23362.06</v>
      </c>
      <c r="BL1936" s="2" t="s">
        <v>6534</v>
      </c>
      <c r="BM1936" s="7">
        <v>0.0068</v>
      </c>
      <c r="BN1936" s="7">
        <v>0.0061</v>
      </c>
      <c r="BO1936" s="4">
        <v>4</v>
      </c>
      <c r="BP1936" s="8">
        <v>142.28</v>
      </c>
      <c r="BQ1936" s="4">
        <v>15</v>
      </c>
      <c r="BR1936" s="8">
        <v>552.39</v>
      </c>
      <c r="BS1936" s="7">
        <v>-0.7333</v>
      </c>
      <c r="BT1936" s="7">
        <v>-0.7424</v>
      </c>
      <c r="BU1936" s="2" t="s">
        <v>109</v>
      </c>
      <c r="BV1936" s="2" t="s">
        <v>97</v>
      </c>
      <c r="BW1936" s="2" t="s">
        <v>6110</v>
      </c>
      <c r="BX1936" s="2" t="s">
        <v>2147</v>
      </c>
      <c r="BY1936" s="2" t="s">
        <v>112</v>
      </c>
      <c r="BZ1936" s="2" t="s">
        <v>100</v>
      </c>
    </row>
    <row r="1937">
      <c r="A1937" s="2" t="s">
        <v>6535</v>
      </c>
      <c r="B1937" s="2" t="s">
        <v>6098</v>
      </c>
      <c r="C1937" s="2" t="s">
        <v>88</v>
      </c>
      <c r="D1937" s="2" t="s">
        <v>6497</v>
      </c>
      <c r="E1937" s="2" t="s">
        <v>6480</v>
      </c>
      <c r="F1937" s="2" t="s">
        <v>6536</v>
      </c>
      <c r="G1937" s="2" t="s">
        <v>6536</v>
      </c>
      <c r="H1937" s="2" t="s">
        <v>6536</v>
      </c>
      <c r="I1937" s="2" t="s">
        <v>6537</v>
      </c>
      <c r="J1937" s="2" t="s">
        <v>6103</v>
      </c>
      <c r="K1937" s="2" t="s">
        <v>6531</v>
      </c>
      <c r="L1937" s="3">
        <v>46.7</v>
      </c>
      <c r="M1937" s="3">
        <v>49.04</v>
      </c>
      <c r="N1937" s="3">
        <v>92.64</v>
      </c>
      <c r="O1937" s="2" t="s">
        <v>229</v>
      </c>
      <c r="P1937" s="2" t="s">
        <v>198</v>
      </c>
      <c r="Q1937" s="2" t="s">
        <v>99</v>
      </c>
      <c r="R1937" s="2" t="s">
        <v>100</v>
      </c>
      <c r="S1937" s="2" t="s">
        <v>6538</v>
      </c>
      <c r="T1937" s="2" t="s">
        <v>100</v>
      </c>
      <c r="U1937" s="2" t="s">
        <v>1482</v>
      </c>
      <c r="V1937" s="2" t="s">
        <v>455</v>
      </c>
      <c r="W1937" s="2" t="s">
        <v>1530</v>
      </c>
      <c r="X1937" s="2" t="s">
        <v>759</v>
      </c>
      <c r="Y1937" s="2" t="s">
        <v>6533</v>
      </c>
      <c r="Z1937" s="4"/>
      <c r="AA1937" s="4">
        <f>=ROUNDDOWN({0},0)</f>
      </c>
      <c r="AB1937" s="5">
        <v>0.8</v>
      </c>
      <c r="AC1937" s="2" t="s">
        <v>100</v>
      </c>
      <c r="AD1937" s="4"/>
      <c r="AE1937" s="4"/>
      <c r="AF1937" s="6">
        <v>65</v>
      </c>
      <c r="AG1937" s="6"/>
      <c r="AH1937" s="7">
        <v>0.8061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>
        <v>0</v>
      </c>
      <c r="AP1937" s="4">
        <v>2</v>
      </c>
      <c r="AQ1937" s="8">
        <v>98.08</v>
      </c>
      <c r="AR1937" s="4">
        <v>2</v>
      </c>
      <c r="AS1937" s="8">
        <v>103.52</v>
      </c>
      <c r="AT1937" s="7"/>
      <c r="AU1937" s="7">
        <v>-0.0526</v>
      </c>
      <c r="AV1937" s="4">
        <v>2</v>
      </c>
      <c r="AW1937" s="8">
        <v>98.08</v>
      </c>
      <c r="AX1937" s="4">
        <v>2</v>
      </c>
      <c r="AY1937" s="8">
        <v>103.52</v>
      </c>
      <c r="AZ1937" s="7"/>
      <c r="BA1937" s="7">
        <v>-0.0526</v>
      </c>
      <c r="BB1937" s="7">
        <v>1</v>
      </c>
      <c r="BC1937" s="4">
        <v>2</v>
      </c>
      <c r="BD1937" s="8">
        <v>98.08</v>
      </c>
      <c r="BE1937" s="4">
        <v>2</v>
      </c>
      <c r="BF1937" s="8">
        <v>103.52</v>
      </c>
      <c r="BG1937" s="7"/>
      <c r="BH1937" s="7">
        <v>-0.0526</v>
      </c>
      <c r="BI1937" s="7">
        <v>1</v>
      </c>
      <c r="BJ1937" s="4">
        <v>73</v>
      </c>
      <c r="BK1937" s="8">
        <v>3844.83</v>
      </c>
      <c r="BL1937" s="2" t="s">
        <v>6539</v>
      </c>
      <c r="BM1937" s="7">
        <v>0.0274</v>
      </c>
      <c r="BN1937" s="7">
        <v>0.0255</v>
      </c>
      <c r="BO1937" s="4">
        <v>2</v>
      </c>
      <c r="BP1937" s="8">
        <v>98.08</v>
      </c>
      <c r="BQ1937" s="4">
        <v>2</v>
      </c>
      <c r="BR1937" s="8">
        <v>103.52</v>
      </c>
      <c r="BS1937" s="7"/>
      <c r="BT1937" s="7">
        <v>-0.0526</v>
      </c>
      <c r="BU1937" s="2" t="s">
        <v>109</v>
      </c>
      <c r="BV1937" s="2" t="s">
        <v>552</v>
      </c>
      <c r="BW1937" s="2" t="s">
        <v>6110</v>
      </c>
      <c r="BX1937" s="2" t="s">
        <v>4459</v>
      </c>
      <c r="BY1937" s="2" t="s">
        <v>112</v>
      </c>
      <c r="BZ1937" s="2" t="s">
        <v>100</v>
      </c>
    </row>
    <row r="1938">
      <c r="A1938" s="2" t="s">
        <v>6540</v>
      </c>
      <c r="B1938" s="2" t="s">
        <v>6098</v>
      </c>
      <c r="C1938" s="2" t="s">
        <v>88</v>
      </c>
      <c r="D1938" s="2" t="s">
        <v>6497</v>
      </c>
      <c r="E1938" s="2" t="s">
        <v>6480</v>
      </c>
      <c r="F1938" s="2" t="s">
        <v>6541</v>
      </c>
      <c r="G1938" s="2" t="s">
        <v>6541</v>
      </c>
      <c r="H1938" s="2" t="s">
        <v>6541</v>
      </c>
      <c r="I1938" s="2" t="s">
        <v>6542</v>
      </c>
      <c r="J1938" s="2" t="s">
        <v>6103</v>
      </c>
      <c r="K1938" s="2" t="s">
        <v>3764</v>
      </c>
      <c r="L1938" s="3">
        <v>46.1</v>
      </c>
      <c r="M1938" s="3">
        <v>48.4</v>
      </c>
      <c r="N1938" s="3">
        <v>96.04</v>
      </c>
      <c r="O1938" s="2" t="s">
        <v>97</v>
      </c>
      <c r="P1938" s="2" t="s">
        <v>143</v>
      </c>
      <c r="Q1938" s="2" t="s">
        <v>99</v>
      </c>
      <c r="R1938" s="2" t="s">
        <v>100</v>
      </c>
      <c r="S1938" s="2" t="s">
        <v>6543</v>
      </c>
      <c r="T1938" s="2" t="s">
        <v>100</v>
      </c>
      <c r="U1938" s="2" t="s">
        <v>1610</v>
      </c>
      <c r="V1938" s="2" t="s">
        <v>1275</v>
      </c>
      <c r="W1938" s="2" t="s">
        <v>104</v>
      </c>
      <c r="X1938" s="2" t="s">
        <v>100</v>
      </c>
      <c r="Y1938" s="2" t="s">
        <v>6500</v>
      </c>
      <c r="Z1938" s="4">
        <v>166</v>
      </c>
      <c r="AA1938" s="4">
        <f>=ROUNDDOWN(20.75,0)</f>
      </c>
      <c r="AB1938" s="5">
        <v>8</v>
      </c>
      <c r="AC1938" s="2" t="s">
        <v>518</v>
      </c>
      <c r="AD1938" s="4">
        <v>100</v>
      </c>
      <c r="AE1938" s="4">
        <v>100</v>
      </c>
      <c r="AF1938" s="6">
        <v>65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>
        <v>0</v>
      </c>
      <c r="AP1938" s="4">
        <v>1</v>
      </c>
      <c r="AQ1938" s="8">
        <v>48.4</v>
      </c>
      <c r="AR1938" s="4">
        <v>4</v>
      </c>
      <c r="AS1938" s="8">
        <v>202.14</v>
      </c>
      <c r="AT1938" s="7">
        <v>-0.75</v>
      </c>
      <c r="AU1938" s="7">
        <v>-0.7606</v>
      </c>
      <c r="AV1938" s="4">
        <v>1</v>
      </c>
      <c r="AW1938" s="8">
        <v>48.4</v>
      </c>
      <c r="AX1938" s="4">
        <v>4</v>
      </c>
      <c r="AY1938" s="8">
        <v>202.14</v>
      </c>
      <c r="AZ1938" s="7">
        <v>-0.75</v>
      </c>
      <c r="BA1938" s="7">
        <v>-0.7606</v>
      </c>
      <c r="BB1938" s="7">
        <v>1</v>
      </c>
      <c r="BC1938" s="4">
        <v>1</v>
      </c>
      <c r="BD1938" s="8">
        <v>48.4</v>
      </c>
      <c r="BE1938" s="4">
        <v>4</v>
      </c>
      <c r="BF1938" s="8">
        <v>202.14</v>
      </c>
      <c r="BG1938" s="7">
        <v>-0.75</v>
      </c>
      <c r="BH1938" s="7">
        <v>-0.7606</v>
      </c>
      <c r="BI1938" s="7">
        <v>1</v>
      </c>
      <c r="BJ1938" s="4">
        <v>174</v>
      </c>
      <c r="BK1938" s="8">
        <v>8181.47</v>
      </c>
      <c r="BL1938" s="2" t="s">
        <v>6544</v>
      </c>
      <c r="BM1938" s="7">
        <v>0.0057</v>
      </c>
      <c r="BN1938" s="7">
        <v>0.0059</v>
      </c>
      <c r="BO1938" s="4">
        <v>1</v>
      </c>
      <c r="BP1938" s="8">
        <v>48.4</v>
      </c>
      <c r="BQ1938" s="4">
        <v>4</v>
      </c>
      <c r="BR1938" s="8">
        <v>202.14</v>
      </c>
      <c r="BS1938" s="7">
        <v>-0.75</v>
      </c>
      <c r="BT1938" s="7">
        <v>-0.7606</v>
      </c>
      <c r="BU1938" s="2" t="s">
        <v>109</v>
      </c>
      <c r="BV1938" s="2" t="s">
        <v>97</v>
      </c>
      <c r="BW1938" s="2" t="s">
        <v>2917</v>
      </c>
      <c r="BX1938" s="2" t="s">
        <v>6545</v>
      </c>
      <c r="BY1938" s="2" t="s">
        <v>112</v>
      </c>
      <c r="BZ1938" s="2" t="s">
        <v>100</v>
      </c>
    </row>
    <row r="1939">
      <c r="A1939" s="2" t="s">
        <v>6546</v>
      </c>
      <c r="B1939" s="2" t="s">
        <v>6098</v>
      </c>
      <c r="C1939" s="2" t="s">
        <v>88</v>
      </c>
      <c r="D1939" s="2" t="s">
        <v>6497</v>
      </c>
      <c r="E1939" s="2" t="s">
        <v>6480</v>
      </c>
      <c r="F1939" s="2" t="s">
        <v>6547</v>
      </c>
      <c r="G1939" s="2" t="s">
        <v>6547</v>
      </c>
      <c r="H1939" s="2" t="s">
        <v>6547</v>
      </c>
      <c r="I1939" s="2" t="s">
        <v>6548</v>
      </c>
      <c r="J1939" s="2" t="s">
        <v>6103</v>
      </c>
      <c r="K1939" s="2" t="s">
        <v>6549</v>
      </c>
      <c r="L1939" s="3">
        <v>40.07</v>
      </c>
      <c r="M1939" s="3">
        <v>42.07</v>
      </c>
      <c r="N1939" s="3">
        <v>76.49</v>
      </c>
      <c r="O1939" s="2" t="s">
        <v>97</v>
      </c>
      <c r="P1939" s="2" t="s">
        <v>124</v>
      </c>
      <c r="Q1939" s="2" t="s">
        <v>99</v>
      </c>
      <c r="R1939" s="2" t="s">
        <v>100</v>
      </c>
      <c r="S1939" s="2" t="s">
        <v>6550</v>
      </c>
      <c r="T1939" s="2" t="s">
        <v>100</v>
      </c>
      <c r="U1939" s="2" t="s">
        <v>2104</v>
      </c>
      <c r="V1939" s="2" t="s">
        <v>1275</v>
      </c>
      <c r="W1939" s="2" t="s">
        <v>602</v>
      </c>
      <c r="X1939" s="2" t="s">
        <v>906</v>
      </c>
      <c r="Y1939" s="2" t="s">
        <v>2421</v>
      </c>
      <c r="Z1939" s="4">
        <v>624</v>
      </c>
      <c r="AA1939" s="4">
        <f>=ROUNDDOWN(12.48,0)</f>
      </c>
      <c r="AB1939" s="5">
        <v>50</v>
      </c>
      <c r="AC1939" s="2" t="s">
        <v>6501</v>
      </c>
      <c r="AD1939" s="4">
        <v>200</v>
      </c>
      <c r="AE1939" s="4">
        <v>1150</v>
      </c>
      <c r="AF1939" s="6">
        <v>65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1164</v>
      </c>
      <c r="BK1939" s="8">
        <v>53886.34</v>
      </c>
      <c r="BL1939" s="2" t="s">
        <v>6551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6185</v>
      </c>
      <c r="BV1939" s="2" t="s">
        <v>97</v>
      </c>
      <c r="BW1939" s="2" t="s">
        <v>100</v>
      </c>
      <c r="BX1939" s="2" t="s">
        <v>100</v>
      </c>
      <c r="BY1939" s="2" t="s">
        <v>112</v>
      </c>
      <c r="BZ1939" s="2" t="s">
        <v>100</v>
      </c>
    </row>
    <row r="1940">
      <c r="A1940" s="2" t="s">
        <v>6552</v>
      </c>
      <c r="B1940" s="2" t="s">
        <v>6098</v>
      </c>
      <c r="C1940" s="2" t="s">
        <v>88</v>
      </c>
      <c r="D1940" s="2" t="s">
        <v>6497</v>
      </c>
      <c r="E1940" s="2" t="s">
        <v>6480</v>
      </c>
      <c r="F1940" s="2" t="s">
        <v>6553</v>
      </c>
      <c r="G1940" s="2" t="s">
        <v>6553</v>
      </c>
      <c r="H1940" s="2" t="s">
        <v>6553</v>
      </c>
      <c r="I1940" s="2" t="s">
        <v>6554</v>
      </c>
      <c r="J1940" s="2" t="s">
        <v>6103</v>
      </c>
      <c r="K1940" s="2" t="s">
        <v>666</v>
      </c>
      <c r="L1940" s="3">
        <v>20.4</v>
      </c>
      <c r="M1940" s="3">
        <v>21.42</v>
      </c>
      <c r="N1940" s="3">
        <v>42.49</v>
      </c>
      <c r="O1940" s="2" t="s">
        <v>97</v>
      </c>
      <c r="P1940" s="2" t="s">
        <v>1265</v>
      </c>
      <c r="Q1940" s="2" t="s">
        <v>99</v>
      </c>
      <c r="R1940" s="2" t="s">
        <v>100</v>
      </c>
      <c r="S1940" s="2" t="s">
        <v>6555</v>
      </c>
      <c r="T1940" s="2" t="s">
        <v>100</v>
      </c>
      <c r="U1940" s="2" t="s">
        <v>3531</v>
      </c>
      <c r="V1940" s="2" t="s">
        <v>455</v>
      </c>
      <c r="W1940" s="2" t="s">
        <v>1530</v>
      </c>
      <c r="X1940" s="2" t="s">
        <v>100</v>
      </c>
      <c r="Y1940" s="2" t="s">
        <v>6556</v>
      </c>
      <c r="Z1940" s="4">
        <v>170</v>
      </c>
      <c r="AA1940" s="4">
        <f>=ROUNDDOWN(42.5,0)</f>
      </c>
      <c r="AB1940" s="5">
        <v>4</v>
      </c>
      <c r="AC1940" s="2" t="s">
        <v>100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87</v>
      </c>
      <c r="BK1940" s="8">
        <v>2223.82</v>
      </c>
      <c r="BL1940" s="2" t="s">
        <v>6557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6110</v>
      </c>
      <c r="BX1940" s="2" t="s">
        <v>100</v>
      </c>
      <c r="BY1940" s="2" t="s">
        <v>112</v>
      </c>
      <c r="BZ1940" s="2" t="s">
        <v>100</v>
      </c>
    </row>
    <row r="1941">
      <c r="A1941" s="2" t="s">
        <v>6558</v>
      </c>
      <c r="B1941" s="2" t="s">
        <v>6098</v>
      </c>
      <c r="C1941" s="2" t="s">
        <v>88</v>
      </c>
      <c r="D1941" s="2" t="s">
        <v>6497</v>
      </c>
      <c r="E1941" s="2" t="s">
        <v>6480</v>
      </c>
      <c r="F1941" s="2" t="s">
        <v>6559</v>
      </c>
      <c r="G1941" s="2" t="s">
        <v>6559</v>
      </c>
      <c r="H1941" s="2" t="s">
        <v>6559</v>
      </c>
      <c r="I1941" s="2" t="s">
        <v>6560</v>
      </c>
      <c r="J1941" s="2" t="s">
        <v>6103</v>
      </c>
      <c r="K1941" s="2" t="s">
        <v>6561</v>
      </c>
      <c r="L1941" s="3">
        <v>47.23</v>
      </c>
      <c r="M1941" s="3">
        <v>49.59</v>
      </c>
      <c r="N1941" s="3">
        <v>92.14</v>
      </c>
      <c r="O1941" s="2" t="s">
        <v>97</v>
      </c>
      <c r="P1941" s="2" t="s">
        <v>143</v>
      </c>
      <c r="Q1941" s="2" t="s">
        <v>99</v>
      </c>
      <c r="R1941" s="2" t="s">
        <v>100</v>
      </c>
      <c r="S1941" s="2" t="s">
        <v>6562</v>
      </c>
      <c r="T1941" s="2" t="s">
        <v>100</v>
      </c>
      <c r="U1941" s="2" t="s">
        <v>2104</v>
      </c>
      <c r="V1941" s="2" t="s">
        <v>1275</v>
      </c>
      <c r="W1941" s="2" t="s">
        <v>104</v>
      </c>
      <c r="X1941" s="2" t="s">
        <v>1530</v>
      </c>
      <c r="Y1941" s="2" t="s">
        <v>6563</v>
      </c>
      <c r="Z1941" s="4">
        <v>125</v>
      </c>
      <c r="AA1941" s="4">
        <f>=ROUNDDOWN(13.8888888888889,0)</f>
      </c>
      <c r="AB1941" s="5">
        <v>9</v>
      </c>
      <c r="AC1941" s="2" t="s">
        <v>527</v>
      </c>
      <c r="AD1941" s="4">
        <v>120</v>
      </c>
      <c r="AE1941" s="4">
        <v>120</v>
      </c>
      <c r="AF1941" s="6">
        <v>65</v>
      </c>
      <c r="AG1941" s="6"/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/>
      <c r="BJ1941" s="4">
        <v>250</v>
      </c>
      <c r="BK1941" s="8">
        <v>13384.49</v>
      </c>
      <c r="BL1941" s="2" t="s">
        <v>6564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6185</v>
      </c>
      <c r="BV1941" s="2" t="s">
        <v>97</v>
      </c>
      <c r="BW1941" s="2" t="s">
        <v>100</v>
      </c>
      <c r="BX1941" s="2" t="s">
        <v>100</v>
      </c>
      <c r="BY1941" s="2" t="s">
        <v>112</v>
      </c>
      <c r="BZ1941" s="2" t="s">
        <v>100</v>
      </c>
    </row>
    <row r="1942">
      <c r="A1942" s="2" t="s">
        <v>6565</v>
      </c>
      <c r="B1942" s="2" t="s">
        <v>6098</v>
      </c>
      <c r="C1942" s="2" t="s">
        <v>88</v>
      </c>
      <c r="D1942" s="2" t="s">
        <v>6497</v>
      </c>
      <c r="E1942" s="2" t="s">
        <v>6480</v>
      </c>
      <c r="F1942" s="2" t="s">
        <v>6559</v>
      </c>
      <c r="G1942" s="2" t="s">
        <v>6559</v>
      </c>
      <c r="H1942" s="2" t="s">
        <v>6559</v>
      </c>
      <c r="I1942" s="2" t="s">
        <v>6560</v>
      </c>
      <c r="J1942" s="2" t="s">
        <v>6103</v>
      </c>
      <c r="K1942" s="2" t="s">
        <v>6566</v>
      </c>
      <c r="L1942" s="3">
        <v>47.23</v>
      </c>
      <c r="M1942" s="3">
        <v>49.59</v>
      </c>
      <c r="N1942" s="3">
        <v>92.14</v>
      </c>
      <c r="O1942" s="2" t="s">
        <v>97</v>
      </c>
      <c r="P1942" s="2" t="s">
        <v>124</v>
      </c>
      <c r="Q1942" s="2" t="s">
        <v>99</v>
      </c>
      <c r="R1942" s="2" t="s">
        <v>100</v>
      </c>
      <c r="S1942" s="2" t="s">
        <v>6562</v>
      </c>
      <c r="T1942" s="2" t="s">
        <v>100</v>
      </c>
      <c r="U1942" s="2" t="s">
        <v>2104</v>
      </c>
      <c r="V1942" s="2" t="s">
        <v>1275</v>
      </c>
      <c r="W1942" s="2" t="s">
        <v>104</v>
      </c>
      <c r="X1942" s="2" t="s">
        <v>1530</v>
      </c>
      <c r="Y1942" s="2" t="s">
        <v>6563</v>
      </c>
      <c r="Z1942" s="4">
        <v>155</v>
      </c>
      <c r="AA1942" s="4">
        <f>=ROUNDDOWN(10.3333333333333,0)</f>
      </c>
      <c r="AB1942" s="5">
        <v>15</v>
      </c>
      <c r="AC1942" s="2" t="s">
        <v>527</v>
      </c>
      <c r="AD1942" s="4">
        <v>120</v>
      </c>
      <c r="AE1942" s="4">
        <v>270</v>
      </c>
      <c r="AF1942" s="6">
        <v>65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/>
      <c r="BJ1942" s="4">
        <v>343</v>
      </c>
      <c r="BK1942" s="8">
        <v>17581.64</v>
      </c>
      <c r="BL1942" s="2" t="s">
        <v>6567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6185</v>
      </c>
      <c r="BV1942" s="2" t="s">
        <v>97</v>
      </c>
      <c r="BW1942" s="2" t="s">
        <v>100</v>
      </c>
      <c r="BX1942" s="2" t="s">
        <v>100</v>
      </c>
      <c r="BY1942" s="2" t="s">
        <v>112</v>
      </c>
      <c r="BZ1942" s="2" t="s">
        <v>100</v>
      </c>
    </row>
    <row r="1943">
      <c r="A1943" s="2" t="s">
        <v>6568</v>
      </c>
      <c r="B1943" s="2" t="s">
        <v>6098</v>
      </c>
      <c r="C1943" s="2" t="s">
        <v>88</v>
      </c>
      <c r="D1943" s="2" t="s">
        <v>6497</v>
      </c>
      <c r="E1943" s="2" t="s">
        <v>6480</v>
      </c>
      <c r="F1943" s="2" t="s">
        <v>6559</v>
      </c>
      <c r="G1943" s="2" t="s">
        <v>6559</v>
      </c>
      <c r="H1943" s="2" t="s">
        <v>6559</v>
      </c>
      <c r="I1943" s="2" t="s">
        <v>6560</v>
      </c>
      <c r="J1943" s="2" t="s">
        <v>6103</v>
      </c>
      <c r="K1943" s="2" t="s">
        <v>666</v>
      </c>
      <c r="L1943" s="3">
        <v>47.23</v>
      </c>
      <c r="M1943" s="3">
        <v>49.59</v>
      </c>
      <c r="N1943" s="3">
        <v>92.14</v>
      </c>
      <c r="O1943" s="2" t="s">
        <v>97</v>
      </c>
      <c r="P1943" s="2" t="s">
        <v>124</v>
      </c>
      <c r="Q1943" s="2" t="s">
        <v>99</v>
      </c>
      <c r="R1943" s="2" t="s">
        <v>100</v>
      </c>
      <c r="S1943" s="2" t="s">
        <v>6569</v>
      </c>
      <c r="T1943" s="2" t="s">
        <v>100</v>
      </c>
      <c r="U1943" s="2" t="s">
        <v>2104</v>
      </c>
      <c r="V1943" s="2" t="s">
        <v>1275</v>
      </c>
      <c r="W1943" s="2" t="s">
        <v>104</v>
      </c>
      <c r="X1943" s="2" t="s">
        <v>100</v>
      </c>
      <c r="Y1943" s="2" t="s">
        <v>3167</v>
      </c>
      <c r="Z1943" s="4">
        <v>356</v>
      </c>
      <c r="AA1943" s="4">
        <f>=ROUNDDOWN(19.7777777777778,0)</f>
      </c>
      <c r="AB1943" s="5">
        <v>18</v>
      </c>
      <c r="AC1943" s="2" t="s">
        <v>518</v>
      </c>
      <c r="AD1943" s="4">
        <v>150</v>
      </c>
      <c r="AE1943" s="4">
        <v>150</v>
      </c>
      <c r="AF1943" s="6">
        <v>65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/>
      <c r="BJ1943" s="4">
        <v>370</v>
      </c>
      <c r="BK1943" s="8">
        <v>18935.77</v>
      </c>
      <c r="BL1943" s="2" t="s">
        <v>6570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6185</v>
      </c>
      <c r="BV1943" s="2" t="s">
        <v>97</v>
      </c>
      <c r="BW1943" s="2" t="s">
        <v>100</v>
      </c>
      <c r="BX1943" s="2" t="s">
        <v>100</v>
      </c>
      <c r="BY1943" s="2" t="s">
        <v>112</v>
      </c>
      <c r="BZ1943" s="2" t="s">
        <v>100</v>
      </c>
    </row>
    <row r="1944">
      <c r="A1944" s="2" t="s">
        <v>6571</v>
      </c>
      <c r="B1944" s="2" t="s">
        <v>6098</v>
      </c>
      <c r="C1944" s="2" t="s">
        <v>88</v>
      </c>
      <c r="D1944" s="2" t="s">
        <v>6497</v>
      </c>
      <c r="E1944" s="2" t="s">
        <v>6480</v>
      </c>
      <c r="F1944" s="2" t="s">
        <v>6572</v>
      </c>
      <c r="G1944" s="2" t="s">
        <v>6572</v>
      </c>
      <c r="H1944" s="2" t="s">
        <v>6572</v>
      </c>
      <c r="I1944" s="2" t="s">
        <v>6573</v>
      </c>
      <c r="J1944" s="2" t="s">
        <v>6103</v>
      </c>
      <c r="K1944" s="2" t="s">
        <v>6574</v>
      </c>
      <c r="L1944" s="3">
        <v>28.22</v>
      </c>
      <c r="M1944" s="3">
        <v>29.63</v>
      </c>
      <c r="N1944" s="3">
        <v>59.49</v>
      </c>
      <c r="O1944" s="2" t="s">
        <v>97</v>
      </c>
      <c r="P1944" s="2" t="s">
        <v>182</v>
      </c>
      <c r="Q1944" s="2" t="s">
        <v>99</v>
      </c>
      <c r="R1944" s="2" t="s">
        <v>100</v>
      </c>
      <c r="S1944" s="2" t="s">
        <v>6575</v>
      </c>
      <c r="T1944" s="2" t="s">
        <v>100</v>
      </c>
      <c r="U1944" s="2" t="s">
        <v>3531</v>
      </c>
      <c r="V1944" s="2" t="s">
        <v>4714</v>
      </c>
      <c r="W1944" s="2" t="s">
        <v>1288</v>
      </c>
      <c r="X1944" s="2" t="s">
        <v>100</v>
      </c>
      <c r="Y1944" s="2" t="s">
        <v>3167</v>
      </c>
      <c r="Z1944" s="4">
        <v>88</v>
      </c>
      <c r="AA1944" s="4">
        <f>=ROUNDDOWN(8.8,0)</f>
      </c>
      <c r="AB1944" s="5">
        <v>10</v>
      </c>
      <c r="AC1944" s="2" t="s">
        <v>518</v>
      </c>
      <c r="AD1944" s="4">
        <v>150</v>
      </c>
      <c r="AE1944" s="4">
        <v>150</v>
      </c>
      <c r="AF1944" s="6">
        <v>65</v>
      </c>
      <c r="AG1944" s="6"/>
      <c r="AH1944" s="7">
        <v>1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244</v>
      </c>
      <c r="BK1944" s="8">
        <v>8250.84</v>
      </c>
      <c r="BL1944" s="2" t="s">
        <v>6576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6577</v>
      </c>
      <c r="BX1944" s="2" t="s">
        <v>100</v>
      </c>
      <c r="BY1944" s="2" t="s">
        <v>112</v>
      </c>
      <c r="BZ1944" s="2" t="s">
        <v>100</v>
      </c>
    </row>
    <row r="1945">
      <c r="A1945" s="2" t="s">
        <v>6578</v>
      </c>
      <c r="B1945" s="2" t="s">
        <v>6098</v>
      </c>
      <c r="C1945" s="2" t="s">
        <v>88</v>
      </c>
      <c r="D1945" s="2" t="s">
        <v>6497</v>
      </c>
      <c r="E1945" s="2" t="s">
        <v>6480</v>
      </c>
      <c r="F1945" s="2" t="s">
        <v>6579</v>
      </c>
      <c r="G1945" s="2" t="s">
        <v>6579</v>
      </c>
      <c r="H1945" s="2" t="s">
        <v>6579</v>
      </c>
      <c r="I1945" s="2" t="s">
        <v>6580</v>
      </c>
      <c r="J1945" s="2" t="s">
        <v>6103</v>
      </c>
      <c r="K1945" s="2" t="s">
        <v>1637</v>
      </c>
      <c r="L1945" s="3">
        <v>58.83</v>
      </c>
      <c r="M1945" s="3">
        <v>61.77</v>
      </c>
      <c r="N1945" s="3">
        <v>118.74</v>
      </c>
      <c r="O1945" s="2" t="s">
        <v>97</v>
      </c>
      <c r="P1945" s="2" t="s">
        <v>124</v>
      </c>
      <c r="Q1945" s="2" t="s">
        <v>99</v>
      </c>
      <c r="R1945" s="2" t="s">
        <v>100</v>
      </c>
      <c r="S1945" s="2" t="s">
        <v>6581</v>
      </c>
      <c r="T1945" s="2" t="s">
        <v>100</v>
      </c>
      <c r="U1945" s="2" t="s">
        <v>1610</v>
      </c>
      <c r="V1945" s="2" t="s">
        <v>991</v>
      </c>
      <c r="W1945" s="2" t="s">
        <v>104</v>
      </c>
      <c r="X1945" s="2" t="s">
        <v>1288</v>
      </c>
      <c r="Y1945" s="2" t="s">
        <v>6507</v>
      </c>
      <c r="Z1945" s="4">
        <v>157</v>
      </c>
      <c r="AA1945" s="4">
        <f>=ROUNDDOWN(7.47619047619048,0)</f>
      </c>
      <c r="AB1945" s="5">
        <v>21</v>
      </c>
      <c r="AC1945" s="2" t="s">
        <v>527</v>
      </c>
      <c r="AD1945" s="4">
        <v>200</v>
      </c>
      <c r="AE1945" s="4">
        <v>450</v>
      </c>
      <c r="AF1945" s="6">
        <v>65</v>
      </c>
      <c r="AG1945" s="6"/>
      <c r="AH1945" s="7">
        <v>0.7636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363</v>
      </c>
      <c r="BK1945" s="8">
        <v>20287.37</v>
      </c>
      <c r="BL1945" s="2" t="s">
        <v>6582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6185</v>
      </c>
      <c r="BV1945" s="2" t="s">
        <v>97</v>
      </c>
      <c r="BW1945" s="2" t="s">
        <v>100</v>
      </c>
      <c r="BX1945" s="2" t="s">
        <v>100</v>
      </c>
      <c r="BY1945" s="2" t="s">
        <v>112</v>
      </c>
      <c r="BZ1945" s="2" t="s">
        <v>100</v>
      </c>
    </row>
    <row r="1946">
      <c r="A1946" s="2" t="s">
        <v>6583</v>
      </c>
      <c r="B1946" s="2" t="s">
        <v>6098</v>
      </c>
      <c r="C1946" s="2" t="s">
        <v>88</v>
      </c>
      <c r="D1946" s="2" t="s">
        <v>6497</v>
      </c>
      <c r="E1946" s="2" t="s">
        <v>6480</v>
      </c>
      <c r="F1946" s="2" t="s">
        <v>6584</v>
      </c>
      <c r="G1946" s="2" t="s">
        <v>6584</v>
      </c>
      <c r="H1946" s="2" t="s">
        <v>6584</v>
      </c>
      <c r="I1946" s="2" t="s">
        <v>6585</v>
      </c>
      <c r="J1946" s="2" t="s">
        <v>6103</v>
      </c>
      <c r="K1946" s="2" t="s">
        <v>6531</v>
      </c>
      <c r="L1946" s="3">
        <v>31.08</v>
      </c>
      <c r="M1946" s="3">
        <v>32.63</v>
      </c>
      <c r="N1946" s="3">
        <v>65.44</v>
      </c>
      <c r="O1946" s="2" t="s">
        <v>97</v>
      </c>
      <c r="P1946" s="2" t="s">
        <v>198</v>
      </c>
      <c r="Q1946" s="2" t="s">
        <v>99</v>
      </c>
      <c r="R1946" s="2" t="s">
        <v>100</v>
      </c>
      <c r="S1946" s="2" t="s">
        <v>6586</v>
      </c>
      <c r="T1946" s="2" t="s">
        <v>100</v>
      </c>
      <c r="U1946" s="2" t="s">
        <v>3531</v>
      </c>
      <c r="V1946" s="2" t="s">
        <v>991</v>
      </c>
      <c r="W1946" s="2" t="s">
        <v>602</v>
      </c>
      <c r="X1946" s="2" t="s">
        <v>759</v>
      </c>
      <c r="Y1946" s="2" t="s">
        <v>6523</v>
      </c>
      <c r="Z1946" s="4">
        <v>76</v>
      </c>
      <c r="AA1946" s="4">
        <f>=ROUNDDOWN(34.5454545454545,0)</f>
      </c>
      <c r="AB1946" s="5">
        <v>2.2</v>
      </c>
      <c r="AC1946" s="2" t="s">
        <v>100</v>
      </c>
      <c r="AD1946" s="4"/>
      <c r="AE1946" s="4"/>
      <c r="AF1946" s="6">
        <v>65</v>
      </c>
      <c r="AG1946" s="6"/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>
        <v>64</v>
      </c>
      <c r="BK1946" s="8">
        <v>2254.53</v>
      </c>
      <c r="BL1946" s="2" t="s">
        <v>6587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147</v>
      </c>
      <c r="BV1946" s="2" t="s">
        <v>97</v>
      </c>
      <c r="BW1946" s="2" t="s">
        <v>100</v>
      </c>
      <c r="BX1946" s="2" t="s">
        <v>100</v>
      </c>
      <c r="BY1946" s="2" t="s">
        <v>112</v>
      </c>
      <c r="BZ1946" s="2" t="s">
        <v>100</v>
      </c>
    </row>
    <row r="1947">
      <c r="A1947" s="2" t="s">
        <v>6588</v>
      </c>
      <c r="B1947" s="2" t="s">
        <v>6098</v>
      </c>
      <c r="C1947" s="2" t="s">
        <v>88</v>
      </c>
      <c r="D1947" s="2" t="s">
        <v>6497</v>
      </c>
      <c r="E1947" s="2" t="s">
        <v>6480</v>
      </c>
      <c r="F1947" s="2" t="s">
        <v>6589</v>
      </c>
      <c r="G1947" s="2" t="s">
        <v>6589</v>
      </c>
      <c r="H1947" s="2" t="s">
        <v>6589</v>
      </c>
      <c r="I1947" s="2" t="s">
        <v>6590</v>
      </c>
      <c r="J1947" s="2" t="s">
        <v>6103</v>
      </c>
      <c r="K1947" s="2" t="s">
        <v>6591</v>
      </c>
      <c r="L1947" s="3">
        <v>36.42</v>
      </c>
      <c r="M1947" s="3">
        <v>38.24</v>
      </c>
      <c r="N1947" s="3">
        <v>76.49</v>
      </c>
      <c r="O1947" s="2" t="s">
        <v>97</v>
      </c>
      <c r="P1947" s="2" t="s">
        <v>143</v>
      </c>
      <c r="Q1947" s="2" t="s">
        <v>99</v>
      </c>
      <c r="R1947" s="2" t="s">
        <v>100</v>
      </c>
      <c r="S1947" s="2" t="s">
        <v>6592</v>
      </c>
      <c r="T1947" s="2" t="s">
        <v>100</v>
      </c>
      <c r="U1947" s="2" t="s">
        <v>2104</v>
      </c>
      <c r="V1947" s="2" t="s">
        <v>1275</v>
      </c>
      <c r="W1947" s="2" t="s">
        <v>602</v>
      </c>
      <c r="X1947" s="2" t="s">
        <v>104</v>
      </c>
      <c r="Y1947" s="2" t="s">
        <v>3424</v>
      </c>
      <c r="Z1947" s="4">
        <v>381</v>
      </c>
      <c r="AA1947" s="4">
        <f>=ROUNDDOWN(31.75,0)</f>
      </c>
      <c r="AB1947" s="5">
        <v>12</v>
      </c>
      <c r="AC1947" s="2" t="s">
        <v>100</v>
      </c>
      <c r="AD1947" s="4"/>
      <c r="AE1947" s="4"/>
      <c r="AF1947" s="6">
        <v>65</v>
      </c>
      <c r="AG1947" s="6"/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316</v>
      </c>
      <c r="BK1947" s="8">
        <v>13559.86</v>
      </c>
      <c r="BL1947" s="2" t="s">
        <v>6593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6185</v>
      </c>
      <c r="BV1947" s="2" t="s">
        <v>97</v>
      </c>
      <c r="BW1947" s="2" t="s">
        <v>100</v>
      </c>
      <c r="BX1947" s="2" t="s">
        <v>100</v>
      </c>
      <c r="BY1947" s="2" t="s">
        <v>112</v>
      </c>
      <c r="BZ1947" s="2" t="s">
        <v>100</v>
      </c>
    </row>
    <row r="1948">
      <c r="A1948" s="2" t="s">
        <v>6594</v>
      </c>
      <c r="B1948" s="2" t="s">
        <v>6098</v>
      </c>
      <c r="C1948" s="2" t="s">
        <v>88</v>
      </c>
      <c r="D1948" s="2" t="s">
        <v>6497</v>
      </c>
      <c r="E1948" s="2" t="s">
        <v>6480</v>
      </c>
      <c r="F1948" s="2" t="s">
        <v>6595</v>
      </c>
      <c r="G1948" s="2" t="s">
        <v>6595</v>
      </c>
      <c r="H1948" s="2" t="s">
        <v>6595</v>
      </c>
      <c r="I1948" s="2" t="s">
        <v>6596</v>
      </c>
      <c r="J1948" s="2" t="s">
        <v>6103</v>
      </c>
      <c r="K1948" s="2" t="s">
        <v>333</v>
      </c>
      <c r="L1948" s="3">
        <v>27.5</v>
      </c>
      <c r="M1948" s="3">
        <v>28.88</v>
      </c>
      <c r="N1948" s="3">
        <v>59.99</v>
      </c>
      <c r="O1948" s="2" t="s">
        <v>229</v>
      </c>
      <c r="P1948" s="2" t="s">
        <v>198</v>
      </c>
      <c r="Q1948" s="2" t="s">
        <v>99</v>
      </c>
      <c r="R1948" s="2" t="s">
        <v>100</v>
      </c>
      <c r="S1948" s="2" t="s">
        <v>6597</v>
      </c>
      <c r="T1948" s="2" t="s">
        <v>100</v>
      </c>
      <c r="U1948" s="2" t="s">
        <v>3531</v>
      </c>
      <c r="V1948" s="2" t="s">
        <v>455</v>
      </c>
      <c r="W1948" s="2" t="s">
        <v>1530</v>
      </c>
      <c r="X1948" s="2" t="s">
        <v>100</v>
      </c>
      <c r="Y1948" s="2" t="s">
        <v>3167</v>
      </c>
      <c r="Z1948" s="4"/>
      <c r="AA1948" s="4">
        <f>=ROUNDDOWN({0},0)</f>
      </c>
      <c r="AB1948" s="5">
        <v>0.2</v>
      </c>
      <c r="AC1948" s="2" t="s">
        <v>100</v>
      </c>
      <c r="AD1948" s="4"/>
      <c r="AE1948" s="4"/>
      <c r="AF1948" s="6">
        <v>65</v>
      </c>
      <c r="AG1948" s="6"/>
      <c r="AH1948" s="7">
        <v>0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>
        <v>0</v>
      </c>
      <c r="AP1948" s="4"/>
      <c r="AQ1948" s="8"/>
      <c r="AR1948" s="4">
        <v>3</v>
      </c>
      <c r="AS1948" s="8">
        <v>86.64</v>
      </c>
      <c r="AT1948" s="7">
        <v>-1</v>
      </c>
      <c r="AU1948" s="7">
        <v>-1</v>
      </c>
      <c r="AV1948" s="4"/>
      <c r="AW1948" s="8"/>
      <c r="AX1948" s="4">
        <v>3</v>
      </c>
      <c r="AY1948" s="8">
        <v>86.64</v>
      </c>
      <c r="AZ1948" s="7">
        <v>-1</v>
      </c>
      <c r="BA1948" s="7">
        <v>-1</v>
      </c>
      <c r="BB1948" s="7"/>
      <c r="BC1948" s="4"/>
      <c r="BD1948" s="8"/>
      <c r="BE1948" s="4">
        <v>3</v>
      </c>
      <c r="BF1948" s="8">
        <v>86.64</v>
      </c>
      <c r="BG1948" s="7">
        <v>-1</v>
      </c>
      <c r="BH1948" s="7">
        <v>-1</v>
      </c>
      <c r="BI1948" s="7"/>
      <c r="BJ1948" s="4"/>
      <c r="BK1948" s="8"/>
      <c r="BL1948" s="2" t="s">
        <v>6598</v>
      </c>
      <c r="BM1948" s="7"/>
      <c r="BN1948" s="7"/>
      <c r="BO1948" s="4"/>
      <c r="BP1948" s="8"/>
      <c r="BQ1948" s="4">
        <v>3</v>
      </c>
      <c r="BR1948" s="8">
        <v>86.64</v>
      </c>
      <c r="BS1948" s="7">
        <v>-1</v>
      </c>
      <c r="BT1948" s="7">
        <v>-1</v>
      </c>
      <c r="BU1948" s="2" t="s">
        <v>109</v>
      </c>
      <c r="BV1948" s="2" t="s">
        <v>552</v>
      </c>
      <c r="BW1948" s="2" t="s">
        <v>2917</v>
      </c>
      <c r="BX1948" s="2" t="s">
        <v>3853</v>
      </c>
      <c r="BY1948" s="2" t="s">
        <v>112</v>
      </c>
      <c r="BZ1948" s="2" t="s">
        <v>100</v>
      </c>
    </row>
    <row r="1949">
      <c r="A1949" s="2" t="s">
        <v>6599</v>
      </c>
      <c r="B1949" s="2" t="s">
        <v>6098</v>
      </c>
      <c r="C1949" s="2" t="s">
        <v>88</v>
      </c>
      <c r="D1949" s="2" t="s">
        <v>6497</v>
      </c>
      <c r="E1949" s="2" t="s">
        <v>6480</v>
      </c>
      <c r="F1949" s="2" t="s">
        <v>6600</v>
      </c>
      <c r="G1949" s="2" t="s">
        <v>6600</v>
      </c>
      <c r="H1949" s="2" t="s">
        <v>6600</v>
      </c>
      <c r="I1949" s="2" t="s">
        <v>6601</v>
      </c>
      <c r="J1949" s="2" t="s">
        <v>6103</v>
      </c>
      <c r="K1949" s="2" t="s">
        <v>333</v>
      </c>
      <c r="L1949" s="3">
        <v>23.99</v>
      </c>
      <c r="M1949" s="3">
        <v>25.19</v>
      </c>
      <c r="N1949" s="3">
        <v>52.69</v>
      </c>
      <c r="O1949" s="2" t="s">
        <v>97</v>
      </c>
      <c r="P1949" s="2" t="s">
        <v>143</v>
      </c>
      <c r="Q1949" s="2" t="s">
        <v>99</v>
      </c>
      <c r="R1949" s="2" t="s">
        <v>100</v>
      </c>
      <c r="S1949" s="2" t="s">
        <v>6602</v>
      </c>
      <c r="T1949" s="2" t="s">
        <v>100</v>
      </c>
      <c r="U1949" s="2" t="s">
        <v>3531</v>
      </c>
      <c r="V1949" s="2" t="s">
        <v>1275</v>
      </c>
      <c r="W1949" s="2" t="s">
        <v>104</v>
      </c>
      <c r="X1949" s="2" t="s">
        <v>602</v>
      </c>
      <c r="Y1949" s="2" t="s">
        <v>6523</v>
      </c>
      <c r="Z1949" s="4">
        <v>164</v>
      </c>
      <c r="AA1949" s="4">
        <f>=ROUNDDOWN(12.6153846153846,0)</f>
      </c>
      <c r="AB1949" s="5">
        <v>13</v>
      </c>
      <c r="AC1949" s="2" t="s">
        <v>6501</v>
      </c>
      <c r="AD1949" s="4">
        <v>150</v>
      </c>
      <c r="AE1949" s="4">
        <v>250</v>
      </c>
      <c r="AF1949" s="6">
        <v>65</v>
      </c>
      <c r="AG1949" s="6"/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/>
      <c r="BJ1949" s="4">
        <v>307</v>
      </c>
      <c r="BK1949" s="8">
        <v>9813.87</v>
      </c>
      <c r="BL1949" s="2" t="s">
        <v>6603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6185</v>
      </c>
      <c r="BV1949" s="2" t="s">
        <v>97</v>
      </c>
      <c r="BW1949" s="2" t="s">
        <v>100</v>
      </c>
      <c r="BX1949" s="2" t="s">
        <v>100</v>
      </c>
      <c r="BY1949" s="2" t="s">
        <v>112</v>
      </c>
      <c r="BZ1949" s="2" t="s">
        <v>100</v>
      </c>
    </row>
    <row r="1950">
      <c r="A1950" s="2" t="s">
        <v>6604</v>
      </c>
      <c r="B1950" s="2" t="s">
        <v>6098</v>
      </c>
      <c r="C1950" s="2" t="s">
        <v>88</v>
      </c>
      <c r="D1950" s="2" t="s">
        <v>6497</v>
      </c>
      <c r="E1950" s="2" t="s">
        <v>6480</v>
      </c>
      <c r="F1950" s="2" t="s">
        <v>6600</v>
      </c>
      <c r="G1950" s="2" t="s">
        <v>6600</v>
      </c>
      <c r="H1950" s="2" t="s">
        <v>6600</v>
      </c>
      <c r="I1950" s="2" t="s">
        <v>6601</v>
      </c>
      <c r="J1950" s="2" t="s">
        <v>6103</v>
      </c>
      <c r="K1950" s="2" t="s">
        <v>123</v>
      </c>
      <c r="L1950" s="3">
        <v>23.99</v>
      </c>
      <c r="M1950" s="3">
        <v>25.19</v>
      </c>
      <c r="N1950" s="3">
        <v>52.69</v>
      </c>
      <c r="O1950" s="2" t="s">
        <v>97</v>
      </c>
      <c r="P1950" s="2" t="s">
        <v>143</v>
      </c>
      <c r="Q1950" s="2" t="s">
        <v>99</v>
      </c>
      <c r="R1950" s="2" t="s">
        <v>100</v>
      </c>
      <c r="S1950" s="2" t="s">
        <v>6605</v>
      </c>
      <c r="T1950" s="2" t="s">
        <v>100</v>
      </c>
      <c r="U1950" s="2" t="s">
        <v>3531</v>
      </c>
      <c r="V1950" s="2" t="s">
        <v>1275</v>
      </c>
      <c r="W1950" s="2" t="s">
        <v>104</v>
      </c>
      <c r="X1950" s="2" t="s">
        <v>602</v>
      </c>
      <c r="Y1950" s="2" t="s">
        <v>6523</v>
      </c>
      <c r="Z1950" s="4">
        <v>244</v>
      </c>
      <c r="AA1950" s="4">
        <f>=ROUNDDOWN(11.0909090909091,0)</f>
      </c>
      <c r="AB1950" s="5">
        <v>22</v>
      </c>
      <c r="AC1950" s="2" t="s">
        <v>6501</v>
      </c>
      <c r="AD1950" s="4">
        <v>150</v>
      </c>
      <c r="AE1950" s="4">
        <v>350</v>
      </c>
      <c r="AF1950" s="6">
        <v>65</v>
      </c>
      <c r="AG1950" s="6"/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/>
      <c r="BJ1950" s="4">
        <v>453</v>
      </c>
      <c r="BK1950" s="8">
        <v>13812.6</v>
      </c>
      <c r="BL1950" s="2" t="s">
        <v>6606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6185</v>
      </c>
      <c r="BV1950" s="2" t="s">
        <v>97</v>
      </c>
      <c r="BW1950" s="2" t="s">
        <v>100</v>
      </c>
      <c r="BX1950" s="2" t="s">
        <v>100</v>
      </c>
      <c r="BY1950" s="2" t="s">
        <v>112</v>
      </c>
      <c r="BZ1950" s="2" t="s">
        <v>100</v>
      </c>
    </row>
    <row r="1951">
      <c r="A1951" s="2" t="s">
        <v>6607</v>
      </c>
      <c r="B1951" s="2" t="s">
        <v>6098</v>
      </c>
      <c r="C1951" s="2" t="s">
        <v>88</v>
      </c>
      <c r="D1951" s="2" t="s">
        <v>6497</v>
      </c>
      <c r="E1951" s="2" t="s">
        <v>6480</v>
      </c>
      <c r="F1951" s="2" t="s">
        <v>1825</v>
      </c>
      <c r="G1951" s="2" t="s">
        <v>6608</v>
      </c>
      <c r="H1951" s="2" t="s">
        <v>1825</v>
      </c>
      <c r="I1951" s="2" t="s">
        <v>6609</v>
      </c>
      <c r="J1951" s="2" t="s">
        <v>6103</v>
      </c>
      <c r="K1951" s="2" t="s">
        <v>6531</v>
      </c>
      <c r="L1951" s="3">
        <v>34.2</v>
      </c>
      <c r="M1951" s="3">
        <v>35.91</v>
      </c>
      <c r="N1951" s="3">
        <v>67.99</v>
      </c>
      <c r="O1951" s="2" t="s">
        <v>97</v>
      </c>
      <c r="P1951" s="2" t="s">
        <v>182</v>
      </c>
      <c r="Q1951" s="2" t="s">
        <v>99</v>
      </c>
      <c r="R1951" s="2" t="s">
        <v>100</v>
      </c>
      <c r="S1951" s="2" t="s">
        <v>6610</v>
      </c>
      <c r="T1951" s="2" t="s">
        <v>100</v>
      </c>
      <c r="U1951" s="2" t="s">
        <v>3531</v>
      </c>
      <c r="V1951" s="2" t="s">
        <v>455</v>
      </c>
      <c r="W1951" s="2" t="s">
        <v>1530</v>
      </c>
      <c r="X1951" s="2" t="s">
        <v>759</v>
      </c>
      <c r="Y1951" s="2" t="s">
        <v>6523</v>
      </c>
      <c r="Z1951" s="4">
        <v>106</v>
      </c>
      <c r="AA1951" s="4">
        <f>=ROUNDDOWN(34.1935483870968,0)</f>
      </c>
      <c r="AB1951" s="5">
        <v>3.1</v>
      </c>
      <c r="AC1951" s="2" t="s">
        <v>100</v>
      </c>
      <c r="AD1951" s="4"/>
      <c r="AE1951" s="4"/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>
        <v>123</v>
      </c>
      <c r="BK1951" s="8">
        <v>5334.66</v>
      </c>
      <c r="BL1951" s="2" t="s">
        <v>6611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6185</v>
      </c>
      <c r="BV1951" s="2" t="s">
        <v>97</v>
      </c>
      <c r="BW1951" s="2" t="s">
        <v>100</v>
      </c>
      <c r="BX1951" s="2" t="s">
        <v>100</v>
      </c>
      <c r="BY1951" s="2" t="s">
        <v>112</v>
      </c>
      <c r="BZ1951" s="2" t="s">
        <v>100</v>
      </c>
    </row>
    <row r="1952">
      <c r="A1952" s="2" t="s">
        <v>6612</v>
      </c>
      <c r="B1952" s="2" t="s">
        <v>6098</v>
      </c>
      <c r="C1952" s="2" t="s">
        <v>88</v>
      </c>
      <c r="D1952" s="2" t="s">
        <v>6497</v>
      </c>
      <c r="E1952" s="2" t="s">
        <v>6480</v>
      </c>
      <c r="F1952" s="2" t="s">
        <v>6613</v>
      </c>
      <c r="G1952" s="2" t="s">
        <v>6613</v>
      </c>
      <c r="H1952" s="2" t="s">
        <v>6613</v>
      </c>
      <c r="I1952" s="2" t="s">
        <v>6614</v>
      </c>
      <c r="J1952" s="2" t="s">
        <v>6103</v>
      </c>
      <c r="K1952" s="2" t="s">
        <v>123</v>
      </c>
      <c r="L1952" s="3">
        <v>30.6</v>
      </c>
      <c r="M1952" s="3">
        <v>32.13</v>
      </c>
      <c r="N1952" s="3">
        <v>65.44</v>
      </c>
      <c r="O1952" s="2" t="s">
        <v>97</v>
      </c>
      <c r="P1952" s="2" t="s">
        <v>182</v>
      </c>
      <c r="Q1952" s="2" t="s">
        <v>99</v>
      </c>
      <c r="R1952" s="2" t="s">
        <v>100</v>
      </c>
      <c r="S1952" s="2" t="s">
        <v>100</v>
      </c>
      <c r="T1952" s="2" t="s">
        <v>100</v>
      </c>
      <c r="U1952" s="2" t="s">
        <v>3531</v>
      </c>
      <c r="V1952" s="2" t="s">
        <v>1275</v>
      </c>
      <c r="W1952" s="2" t="s">
        <v>104</v>
      </c>
      <c r="X1952" s="2" t="s">
        <v>100</v>
      </c>
      <c r="Y1952" s="2" t="s">
        <v>6615</v>
      </c>
      <c r="Z1952" s="4">
        <v>1</v>
      </c>
      <c r="AA1952" s="4">
        <f>=ROUNDDOWN(0.125,0)</f>
      </c>
      <c r="AB1952" s="5">
        <v>8</v>
      </c>
      <c r="AC1952" s="2" t="s">
        <v>527</v>
      </c>
      <c r="AD1952" s="4">
        <v>180</v>
      </c>
      <c r="AE1952" s="4">
        <v>180</v>
      </c>
      <c r="AF1952" s="6">
        <v>65</v>
      </c>
      <c r="AG1952" s="6"/>
      <c r="AH1952" s="7">
        <v>0.8909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/>
      <c r="BD1952" s="8"/>
      <c r="BE1952" s="4"/>
      <c r="BF1952" s="8"/>
      <c r="BG1952" s="7"/>
      <c r="BH1952" s="7"/>
      <c r="BI1952" s="7"/>
      <c r="BJ1952" s="4">
        <v>168</v>
      </c>
      <c r="BK1952" s="8">
        <v>6392.97</v>
      </c>
      <c r="BL1952" s="2" t="s">
        <v>6616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109</v>
      </c>
      <c r="BV1952" s="2" t="s">
        <v>97</v>
      </c>
      <c r="BW1952" s="2" t="s">
        <v>6617</v>
      </c>
      <c r="BX1952" s="2" t="s">
        <v>100</v>
      </c>
      <c r="BY1952" s="2" t="s">
        <v>112</v>
      </c>
      <c r="BZ1952" s="2" t="s">
        <v>100</v>
      </c>
    </row>
    <row r="1953">
      <c r="A1953" s="2" t="s">
        <v>6618</v>
      </c>
      <c r="B1953" s="2" t="s">
        <v>6098</v>
      </c>
      <c r="C1953" s="2" t="s">
        <v>88</v>
      </c>
      <c r="D1953" s="2" t="s">
        <v>6497</v>
      </c>
      <c r="E1953" s="2" t="s">
        <v>6619</v>
      </c>
      <c r="F1953" s="2" t="s">
        <v>6620</v>
      </c>
      <c r="G1953" s="2" t="s">
        <v>6620</v>
      </c>
      <c r="H1953" s="2" t="s">
        <v>6620</v>
      </c>
      <c r="I1953" s="2" t="s">
        <v>6621</v>
      </c>
      <c r="J1953" s="2" t="s">
        <v>6103</v>
      </c>
      <c r="K1953" s="2" t="s">
        <v>5415</v>
      </c>
      <c r="L1953" s="3">
        <v>16.99</v>
      </c>
      <c r="M1953" s="3">
        <v>17.84</v>
      </c>
      <c r="N1953" s="3">
        <v>42.49</v>
      </c>
      <c r="O1953" s="2" t="s">
        <v>97</v>
      </c>
      <c r="P1953" s="2" t="s">
        <v>143</v>
      </c>
      <c r="Q1953" s="2" t="s">
        <v>99</v>
      </c>
      <c r="R1953" s="2" t="s">
        <v>100</v>
      </c>
      <c r="S1953" s="2" t="s">
        <v>100</v>
      </c>
      <c r="T1953" s="2" t="s">
        <v>100</v>
      </c>
      <c r="U1953" s="2" t="s">
        <v>3531</v>
      </c>
      <c r="V1953" s="2" t="s">
        <v>5769</v>
      </c>
      <c r="W1953" s="2" t="s">
        <v>405</v>
      </c>
      <c r="X1953" s="2" t="s">
        <v>100</v>
      </c>
      <c r="Y1953" s="2" t="s">
        <v>4263</v>
      </c>
      <c r="Z1953" s="4">
        <v>65</v>
      </c>
      <c r="AA1953" s="4">
        <f>=ROUNDDOWN(5.55555555555556,0)</f>
      </c>
      <c r="AB1953" s="5">
        <v>11.7</v>
      </c>
      <c r="AC1953" s="2" t="s">
        <v>382</v>
      </c>
      <c r="AD1953" s="4">
        <v>400</v>
      </c>
      <c r="AE1953" s="4">
        <v>400</v>
      </c>
      <c r="AF1953" s="6">
        <v>63</v>
      </c>
      <c r="AG1953" s="6"/>
      <c r="AH1953" s="7">
        <v>0.903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>
        <v>0</v>
      </c>
      <c r="AP1953" s="4">
        <v>9</v>
      </c>
      <c r="AQ1953" s="8">
        <v>160.56</v>
      </c>
      <c r="AR1953" s="4">
        <v>10</v>
      </c>
      <c r="AS1953" s="8">
        <v>194.15</v>
      </c>
      <c r="AT1953" s="7">
        <v>-0.1</v>
      </c>
      <c r="AU1953" s="7">
        <v>-0.173</v>
      </c>
      <c r="AV1953" s="4">
        <v>9</v>
      </c>
      <c r="AW1953" s="8">
        <v>160.56</v>
      </c>
      <c r="AX1953" s="4">
        <v>10</v>
      </c>
      <c r="AY1953" s="8">
        <v>194.15</v>
      </c>
      <c r="AZ1953" s="7">
        <v>-0.1</v>
      </c>
      <c r="BA1953" s="7">
        <v>-0.173</v>
      </c>
      <c r="BB1953" s="7">
        <v>1</v>
      </c>
      <c r="BC1953" s="4">
        <v>9</v>
      </c>
      <c r="BD1953" s="8">
        <v>160.56</v>
      </c>
      <c r="BE1953" s="4">
        <v>10</v>
      </c>
      <c r="BF1953" s="8">
        <v>194.15</v>
      </c>
      <c r="BG1953" s="7">
        <v>-0.1</v>
      </c>
      <c r="BH1953" s="7">
        <v>-0.173</v>
      </c>
      <c r="BI1953" s="7">
        <v>1</v>
      </c>
      <c r="BJ1953" s="4">
        <v>486</v>
      </c>
      <c r="BK1953" s="8">
        <v>10473.89</v>
      </c>
      <c r="BL1953" s="2" t="s">
        <v>6622</v>
      </c>
      <c r="BM1953" s="7">
        <v>0.0185</v>
      </c>
      <c r="BN1953" s="7">
        <v>0.0153</v>
      </c>
      <c r="BO1953" s="4">
        <v>9</v>
      </c>
      <c r="BP1953" s="8">
        <v>160.56</v>
      </c>
      <c r="BQ1953" s="4">
        <v>10</v>
      </c>
      <c r="BR1953" s="8">
        <v>194.15</v>
      </c>
      <c r="BS1953" s="7">
        <v>-0.1</v>
      </c>
      <c r="BT1953" s="7">
        <v>-0.173</v>
      </c>
      <c r="BU1953" s="2" t="s">
        <v>109</v>
      </c>
      <c r="BV1953" s="2" t="s">
        <v>97</v>
      </c>
      <c r="BW1953" s="2" t="s">
        <v>6110</v>
      </c>
      <c r="BX1953" s="2" t="s">
        <v>5308</v>
      </c>
      <c r="BY1953" s="2" t="s">
        <v>112</v>
      </c>
      <c r="BZ1953" s="2" t="s">
        <v>100</v>
      </c>
    </row>
    <row r="1954">
      <c r="A1954" s="2" t="s">
        <v>6623</v>
      </c>
      <c r="B1954" s="2" t="s">
        <v>6098</v>
      </c>
      <c r="C1954" s="2" t="s">
        <v>88</v>
      </c>
      <c r="D1954" s="2" t="s">
        <v>6497</v>
      </c>
      <c r="E1954" s="2" t="s">
        <v>6619</v>
      </c>
      <c r="F1954" s="2" t="s">
        <v>6624</v>
      </c>
      <c r="G1954" s="2" t="s">
        <v>6624</v>
      </c>
      <c r="H1954" s="2" t="s">
        <v>6624</v>
      </c>
      <c r="I1954" s="2" t="s">
        <v>6625</v>
      </c>
      <c r="J1954" s="2" t="s">
        <v>6103</v>
      </c>
      <c r="K1954" s="2" t="s">
        <v>6591</v>
      </c>
      <c r="L1954" s="3">
        <v>41.73</v>
      </c>
      <c r="M1954" s="3">
        <v>43.82</v>
      </c>
      <c r="N1954" s="3">
        <v>90.94</v>
      </c>
      <c r="O1954" s="2" t="s">
        <v>229</v>
      </c>
      <c r="P1954" s="2" t="s">
        <v>198</v>
      </c>
      <c r="Q1954" s="2" t="s">
        <v>99</v>
      </c>
      <c r="R1954" s="2" t="s">
        <v>100</v>
      </c>
      <c r="S1954" s="2" t="s">
        <v>100</v>
      </c>
      <c r="T1954" s="2" t="s">
        <v>100</v>
      </c>
      <c r="U1954" s="2" t="s">
        <v>2104</v>
      </c>
      <c r="V1954" s="2" t="s">
        <v>1275</v>
      </c>
      <c r="W1954" s="2" t="s">
        <v>104</v>
      </c>
      <c r="X1954" s="2" t="s">
        <v>100</v>
      </c>
      <c r="Y1954" s="2" t="s">
        <v>6626</v>
      </c>
      <c r="Z1954" s="4"/>
      <c r="AA1954" s="4">
        <f>=ROUNDDOWN({0},0)</f>
      </c>
      <c r="AB1954" s="5"/>
      <c r="AC1954" s="2" t="s">
        <v>100</v>
      </c>
      <c r="AD1954" s="4"/>
      <c r="AE1954" s="4"/>
      <c r="AF1954" s="6">
        <v>63</v>
      </c>
      <c r="AG1954" s="6"/>
      <c r="AH1954" s="7">
        <v>0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>
        <v>0</v>
      </c>
      <c r="AP1954" s="4"/>
      <c r="AQ1954" s="8"/>
      <c r="AR1954" s="4">
        <v>3</v>
      </c>
      <c r="AS1954" s="8">
        <v>154.62</v>
      </c>
      <c r="AT1954" s="7">
        <v>-1</v>
      </c>
      <c r="AU1954" s="7">
        <v>-1</v>
      </c>
      <c r="AV1954" s="4"/>
      <c r="AW1954" s="8"/>
      <c r="AX1954" s="4">
        <v>3</v>
      </c>
      <c r="AY1954" s="8">
        <v>154.62</v>
      </c>
      <c r="AZ1954" s="7">
        <v>-1</v>
      </c>
      <c r="BA1954" s="7">
        <v>-1</v>
      </c>
      <c r="BB1954" s="7"/>
      <c r="BC1954" s="4"/>
      <c r="BD1954" s="8"/>
      <c r="BE1954" s="4">
        <v>3</v>
      </c>
      <c r="BF1954" s="8">
        <v>154.62</v>
      </c>
      <c r="BG1954" s="7">
        <v>-1</v>
      </c>
      <c r="BH1954" s="7">
        <v>-1</v>
      </c>
      <c r="BI1954" s="7"/>
      <c r="BJ1954" s="4"/>
      <c r="BK1954" s="8"/>
      <c r="BL1954" s="2" t="s">
        <v>6627</v>
      </c>
      <c r="BM1954" s="7"/>
      <c r="BN1954" s="7"/>
      <c r="BO1954" s="4"/>
      <c r="BP1954" s="8"/>
      <c r="BQ1954" s="4">
        <v>3</v>
      </c>
      <c r="BR1954" s="8">
        <v>154.62</v>
      </c>
      <c r="BS1954" s="7">
        <v>-1</v>
      </c>
      <c r="BT1954" s="7">
        <v>-1</v>
      </c>
      <c r="BU1954" s="2" t="s">
        <v>109</v>
      </c>
      <c r="BV1954" s="2" t="s">
        <v>552</v>
      </c>
      <c r="BW1954" s="2" t="s">
        <v>6110</v>
      </c>
      <c r="BX1954" s="2" t="s">
        <v>2968</v>
      </c>
      <c r="BY1954" s="2" t="s">
        <v>112</v>
      </c>
      <c r="BZ1954" s="2" t="s">
        <v>100</v>
      </c>
    </row>
    <row r="1955">
      <c r="A1955" s="2" t="s">
        <v>6628</v>
      </c>
      <c r="B1955" s="2" t="s">
        <v>6098</v>
      </c>
      <c r="C1955" s="2" t="s">
        <v>88</v>
      </c>
      <c r="D1955" s="2" t="s">
        <v>6497</v>
      </c>
      <c r="E1955" s="2" t="s">
        <v>6619</v>
      </c>
      <c r="F1955" s="2" t="s">
        <v>6629</v>
      </c>
      <c r="G1955" s="2" t="s">
        <v>6629</v>
      </c>
      <c r="H1955" s="2" t="s">
        <v>6629</v>
      </c>
      <c r="I1955" s="2" t="s">
        <v>6630</v>
      </c>
      <c r="J1955" s="2" t="s">
        <v>6103</v>
      </c>
      <c r="K1955" s="2" t="s">
        <v>123</v>
      </c>
      <c r="L1955" s="3">
        <v>40.47</v>
      </c>
      <c r="M1955" s="3">
        <v>42.49</v>
      </c>
      <c r="N1955" s="3">
        <v>84.99</v>
      </c>
      <c r="O1955" s="2" t="s">
        <v>550</v>
      </c>
      <c r="P1955" s="2" t="s">
        <v>198</v>
      </c>
      <c r="Q1955" s="2" t="s">
        <v>99</v>
      </c>
      <c r="R1955" s="2" t="s">
        <v>100</v>
      </c>
      <c r="S1955" s="2" t="s">
        <v>6631</v>
      </c>
      <c r="T1955" s="2" t="s">
        <v>100</v>
      </c>
      <c r="U1955" s="2" t="s">
        <v>3531</v>
      </c>
      <c r="V1955" s="2" t="s">
        <v>455</v>
      </c>
      <c r="W1955" s="2" t="s">
        <v>602</v>
      </c>
      <c r="X1955" s="2" t="s">
        <v>759</v>
      </c>
      <c r="Y1955" s="2" t="s">
        <v>6632</v>
      </c>
      <c r="Z1955" s="4">
        <v>21</v>
      </c>
      <c r="AA1955" s="4">
        <f>=ROUNDDOWN(21,0)</f>
      </c>
      <c r="AB1955" s="5">
        <v>1</v>
      </c>
      <c r="AC1955" s="2" t="s">
        <v>100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/>
      <c r="BD1955" s="8"/>
      <c r="BE1955" s="4"/>
      <c r="BF1955" s="8"/>
      <c r="BG1955" s="7"/>
      <c r="BH1955" s="7"/>
      <c r="BI1955" s="7"/>
      <c r="BJ1955" s="4">
        <v>17</v>
      </c>
      <c r="BK1955" s="8">
        <v>769.7</v>
      </c>
      <c r="BL1955" s="2" t="s">
        <v>6633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147</v>
      </c>
      <c r="BV1955" s="2" t="s">
        <v>97</v>
      </c>
      <c r="BW1955" s="2" t="s">
        <v>100</v>
      </c>
      <c r="BX1955" s="2" t="s">
        <v>100</v>
      </c>
      <c r="BY1955" s="2" t="s">
        <v>112</v>
      </c>
      <c r="BZ1955" s="2" t="s">
        <v>100</v>
      </c>
    </row>
    <row r="1956">
      <c r="A1956" s="2" t="s">
        <v>6634</v>
      </c>
      <c r="B1956" s="2" t="s">
        <v>6098</v>
      </c>
      <c r="C1956" s="2" t="s">
        <v>88</v>
      </c>
      <c r="D1956" s="2" t="s">
        <v>6497</v>
      </c>
      <c r="E1956" s="2" t="s">
        <v>6619</v>
      </c>
      <c r="F1956" s="2" t="s">
        <v>6635</v>
      </c>
      <c r="G1956" s="2" t="s">
        <v>6635</v>
      </c>
      <c r="H1956" s="2" t="s">
        <v>6635</v>
      </c>
      <c r="I1956" s="2" t="s">
        <v>6636</v>
      </c>
      <c r="J1956" s="2" t="s">
        <v>6103</v>
      </c>
      <c r="K1956" s="2" t="s">
        <v>2066</v>
      </c>
      <c r="L1956" s="3">
        <v>32.38</v>
      </c>
      <c r="M1956" s="3">
        <v>34</v>
      </c>
      <c r="N1956" s="3">
        <v>67.99</v>
      </c>
      <c r="O1956" s="2" t="s">
        <v>97</v>
      </c>
      <c r="P1956" s="2" t="s">
        <v>182</v>
      </c>
      <c r="Q1956" s="2" t="s">
        <v>99</v>
      </c>
      <c r="R1956" s="2" t="s">
        <v>100</v>
      </c>
      <c r="S1956" s="2" t="s">
        <v>100</v>
      </c>
      <c r="T1956" s="2" t="s">
        <v>100</v>
      </c>
      <c r="U1956" s="2" t="s">
        <v>2104</v>
      </c>
      <c r="V1956" s="2" t="s">
        <v>1752</v>
      </c>
      <c r="W1956" s="2" t="s">
        <v>1190</v>
      </c>
      <c r="X1956" s="2" t="s">
        <v>602</v>
      </c>
      <c r="Y1956" s="2" t="s">
        <v>3683</v>
      </c>
      <c r="Z1956" s="4">
        <v>230</v>
      </c>
      <c r="AA1956" s="4">
        <f>=ROUNDDOWN(28.75,0)</f>
      </c>
      <c r="AB1956" s="5">
        <v>8</v>
      </c>
      <c r="AC1956" s="2" t="s">
        <v>100</v>
      </c>
      <c r="AD1956" s="4"/>
      <c r="AE1956" s="4"/>
      <c r="AF1956" s="6">
        <v>65</v>
      </c>
      <c r="AG1956" s="6"/>
      <c r="AH1956" s="7">
        <v>0.3697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91</v>
      </c>
      <c r="BK1956" s="8">
        <v>2970.2</v>
      </c>
      <c r="BL1956" s="2" t="s">
        <v>6637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6185</v>
      </c>
      <c r="BV1956" s="2" t="s">
        <v>97</v>
      </c>
      <c r="BW1956" s="2" t="s">
        <v>100</v>
      </c>
      <c r="BX1956" s="2" t="s">
        <v>100</v>
      </c>
      <c r="BY1956" s="2" t="s">
        <v>112</v>
      </c>
      <c r="BZ1956" s="2" t="s">
        <v>100</v>
      </c>
    </row>
    <row r="1957">
      <c r="A1957" s="2" t="s">
        <v>6638</v>
      </c>
      <c r="B1957" s="2" t="s">
        <v>6098</v>
      </c>
      <c r="C1957" s="2" t="s">
        <v>88</v>
      </c>
      <c r="D1957" s="2" t="s">
        <v>6497</v>
      </c>
      <c r="E1957" s="2" t="s">
        <v>6619</v>
      </c>
      <c r="F1957" s="2" t="s">
        <v>6639</v>
      </c>
      <c r="G1957" s="2" t="s">
        <v>6639</v>
      </c>
      <c r="H1957" s="2" t="s">
        <v>6639</v>
      </c>
      <c r="I1957" s="2" t="s">
        <v>6640</v>
      </c>
      <c r="J1957" s="2" t="s">
        <v>6103</v>
      </c>
      <c r="K1957" s="2" t="s">
        <v>1935</v>
      </c>
      <c r="L1957" s="3">
        <v>61.9</v>
      </c>
      <c r="M1957" s="3">
        <v>65</v>
      </c>
      <c r="N1957" s="3">
        <v>129.9</v>
      </c>
      <c r="O1957" s="2" t="s">
        <v>97</v>
      </c>
      <c r="P1957" s="2" t="s">
        <v>1166</v>
      </c>
      <c r="Q1957" s="2" t="s">
        <v>99</v>
      </c>
      <c r="R1957" s="2" t="s">
        <v>100</v>
      </c>
      <c r="S1957" s="2" t="s">
        <v>100</v>
      </c>
      <c r="T1957" s="2" t="s">
        <v>100</v>
      </c>
      <c r="U1957" s="2" t="s">
        <v>3531</v>
      </c>
      <c r="V1957" s="2" t="s">
        <v>906</v>
      </c>
      <c r="W1957" s="2" t="s">
        <v>906</v>
      </c>
      <c r="X1957" s="2" t="s">
        <v>759</v>
      </c>
      <c r="Y1957" s="2" t="s">
        <v>6641</v>
      </c>
      <c r="Z1957" s="4">
        <v>94</v>
      </c>
      <c r="AA1957" s="4">
        <f>=ROUNDDOWN(47,0)</f>
      </c>
      <c r="AB1957" s="5">
        <v>2</v>
      </c>
      <c r="AC1957" s="2" t="s">
        <v>100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6</v>
      </c>
      <c r="BK1957" s="8">
        <v>405.58</v>
      </c>
      <c r="BL1957" s="2" t="s">
        <v>6642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6185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6643</v>
      </c>
      <c r="B1958" s="2" t="s">
        <v>6098</v>
      </c>
      <c r="C1958" s="2" t="s">
        <v>88</v>
      </c>
      <c r="D1958" s="2" t="s">
        <v>6497</v>
      </c>
      <c r="E1958" s="2" t="s">
        <v>6377</v>
      </c>
      <c r="F1958" s="2" t="s">
        <v>6644</v>
      </c>
      <c r="G1958" s="2" t="s">
        <v>6644</v>
      </c>
      <c r="H1958" s="2" t="s">
        <v>6644</v>
      </c>
      <c r="I1958" s="2" t="s">
        <v>6645</v>
      </c>
      <c r="J1958" s="2" t="s">
        <v>6103</v>
      </c>
      <c r="K1958" s="2" t="s">
        <v>298</v>
      </c>
      <c r="L1958" s="3">
        <v>18.83</v>
      </c>
      <c r="M1958" s="3">
        <v>19.77</v>
      </c>
      <c r="N1958" s="3">
        <v>38.24</v>
      </c>
      <c r="O1958" s="2" t="s">
        <v>229</v>
      </c>
      <c r="P1958" s="2" t="s">
        <v>198</v>
      </c>
      <c r="Q1958" s="2" t="s">
        <v>99</v>
      </c>
      <c r="R1958" s="2" t="s">
        <v>100</v>
      </c>
      <c r="S1958" s="2" t="s">
        <v>6646</v>
      </c>
      <c r="T1958" s="2" t="s">
        <v>100</v>
      </c>
      <c r="U1958" s="2" t="s">
        <v>1610</v>
      </c>
      <c r="V1958" s="2" t="s">
        <v>4714</v>
      </c>
      <c r="W1958" s="2" t="s">
        <v>1530</v>
      </c>
      <c r="X1958" s="2" t="s">
        <v>100</v>
      </c>
      <c r="Y1958" s="2" t="s">
        <v>106</v>
      </c>
      <c r="Z1958" s="4">
        <v>708</v>
      </c>
      <c r="AA1958" s="4">
        <f>=ROUNDDOWN(47.5167785234899,0)</f>
      </c>
      <c r="AB1958" s="5">
        <v>14.9</v>
      </c>
      <c r="AC1958" s="2" t="s">
        <v>100</v>
      </c>
      <c r="AD1958" s="4"/>
      <c r="AE1958" s="4"/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>
        <v>0</v>
      </c>
      <c r="AP1958" s="4">
        <v>4</v>
      </c>
      <c r="AQ1958" s="8">
        <v>79.08</v>
      </c>
      <c r="AR1958" s="4">
        <v>16</v>
      </c>
      <c r="AS1958" s="8">
        <v>354.71</v>
      </c>
      <c r="AT1958" s="7">
        <v>-0.75</v>
      </c>
      <c r="AU1958" s="7">
        <v>-0.7771</v>
      </c>
      <c r="AV1958" s="4">
        <v>4</v>
      </c>
      <c r="AW1958" s="8">
        <v>79.08</v>
      </c>
      <c r="AX1958" s="4">
        <v>16</v>
      </c>
      <c r="AY1958" s="8">
        <v>354.71</v>
      </c>
      <c r="AZ1958" s="7">
        <v>-0.75</v>
      </c>
      <c r="BA1958" s="7">
        <v>-0.7771</v>
      </c>
      <c r="BB1958" s="7">
        <v>1</v>
      </c>
      <c r="BC1958" s="4">
        <v>4</v>
      </c>
      <c r="BD1958" s="8">
        <v>79.08</v>
      </c>
      <c r="BE1958" s="4">
        <v>16</v>
      </c>
      <c r="BF1958" s="8">
        <v>354.71</v>
      </c>
      <c r="BG1958" s="7">
        <v>-0.75</v>
      </c>
      <c r="BH1958" s="7">
        <v>-0.7771</v>
      </c>
      <c r="BI1958" s="7">
        <v>1</v>
      </c>
      <c r="BJ1958" s="4">
        <v>185</v>
      </c>
      <c r="BK1958" s="8">
        <v>3535.64</v>
      </c>
      <c r="BL1958" s="2" t="s">
        <v>6647</v>
      </c>
      <c r="BM1958" s="7">
        <v>0.0216</v>
      </c>
      <c r="BN1958" s="7">
        <v>0.0224</v>
      </c>
      <c r="BO1958" s="4">
        <v>4</v>
      </c>
      <c r="BP1958" s="8">
        <v>79.08</v>
      </c>
      <c r="BQ1958" s="4">
        <v>16</v>
      </c>
      <c r="BR1958" s="8">
        <v>354.71</v>
      </c>
      <c r="BS1958" s="7">
        <v>-0.75</v>
      </c>
      <c r="BT1958" s="7">
        <v>-0.7771</v>
      </c>
      <c r="BU1958" s="2" t="s">
        <v>109</v>
      </c>
      <c r="BV1958" s="2" t="s">
        <v>97</v>
      </c>
      <c r="BW1958" s="2" t="s">
        <v>2917</v>
      </c>
      <c r="BX1958" s="2" t="s">
        <v>4328</v>
      </c>
      <c r="BY1958" s="2" t="s">
        <v>112</v>
      </c>
      <c r="BZ1958" s="2" t="s">
        <v>100</v>
      </c>
    </row>
    <row r="1959">
      <c r="A1959" s="2" t="s">
        <v>6648</v>
      </c>
      <c r="B1959" s="2" t="s">
        <v>6098</v>
      </c>
      <c r="C1959" s="2" t="s">
        <v>88</v>
      </c>
      <c r="D1959" s="2" t="s">
        <v>6497</v>
      </c>
      <c r="E1959" s="2" t="s">
        <v>6377</v>
      </c>
      <c r="F1959" s="2" t="s">
        <v>6644</v>
      </c>
      <c r="G1959" s="2" t="s">
        <v>6644</v>
      </c>
      <c r="H1959" s="2" t="s">
        <v>6644</v>
      </c>
      <c r="I1959" s="2" t="s">
        <v>6649</v>
      </c>
      <c r="J1959" s="2" t="s">
        <v>6103</v>
      </c>
      <c r="K1959" s="2" t="s">
        <v>197</v>
      </c>
      <c r="L1959" s="3">
        <v>18.83</v>
      </c>
      <c r="M1959" s="3">
        <v>19.77</v>
      </c>
      <c r="N1959" s="3">
        <v>38.24</v>
      </c>
      <c r="O1959" s="2" t="s">
        <v>97</v>
      </c>
      <c r="P1959" s="2" t="s">
        <v>1265</v>
      </c>
      <c r="Q1959" s="2" t="s">
        <v>99</v>
      </c>
      <c r="R1959" s="2" t="s">
        <v>100</v>
      </c>
      <c r="S1959" s="2" t="s">
        <v>6650</v>
      </c>
      <c r="T1959" s="2" t="s">
        <v>100</v>
      </c>
      <c r="U1959" s="2" t="s">
        <v>1610</v>
      </c>
      <c r="V1959" s="2" t="s">
        <v>455</v>
      </c>
      <c r="W1959" s="2" t="s">
        <v>1530</v>
      </c>
      <c r="X1959" s="2" t="s">
        <v>759</v>
      </c>
      <c r="Y1959" s="2" t="s">
        <v>2689</v>
      </c>
      <c r="Z1959" s="4">
        <v>11</v>
      </c>
      <c r="AA1959" s="4">
        <f>=ROUNDDOWN(1.375,0)</f>
      </c>
      <c r="AB1959" s="5">
        <v>8</v>
      </c>
      <c r="AC1959" s="2" t="s">
        <v>382</v>
      </c>
      <c r="AD1959" s="4">
        <v>100</v>
      </c>
      <c r="AE1959" s="4">
        <v>100</v>
      </c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100</v>
      </c>
      <c r="BD1959" s="8" t="s">
        <v>100</v>
      </c>
      <c r="BE1959" s="4" t="s">
        <v>100</v>
      </c>
      <c r="BF1959" s="8" t="s">
        <v>100</v>
      </c>
      <c r="BG1959" s="7" t="s">
        <v>100</v>
      </c>
      <c r="BH1959" s="7" t="s">
        <v>100</v>
      </c>
      <c r="BI1959" s="7"/>
      <c r="BJ1959" s="4">
        <v>186</v>
      </c>
      <c r="BK1959" s="8">
        <v>4854.58</v>
      </c>
      <c r="BL1959" s="2" t="s">
        <v>6651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147</v>
      </c>
      <c r="BV1959" s="2" t="s">
        <v>97</v>
      </c>
      <c r="BW1959" s="2" t="s">
        <v>100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6652</v>
      </c>
      <c r="B1960" s="2" t="s">
        <v>6098</v>
      </c>
      <c r="C1960" s="2" t="s">
        <v>88</v>
      </c>
      <c r="D1960" s="2" t="s">
        <v>6497</v>
      </c>
      <c r="E1960" s="2" t="s">
        <v>6377</v>
      </c>
      <c r="F1960" s="2" t="s">
        <v>6653</v>
      </c>
      <c r="G1960" s="2" t="s">
        <v>6653</v>
      </c>
      <c r="H1960" s="2" t="s">
        <v>6653</v>
      </c>
      <c r="I1960" s="2" t="s">
        <v>6654</v>
      </c>
      <c r="J1960" s="2" t="s">
        <v>6103</v>
      </c>
      <c r="K1960" s="2" t="s">
        <v>4776</v>
      </c>
      <c r="L1960" s="3">
        <v>18.83</v>
      </c>
      <c r="M1960" s="3">
        <v>19.77</v>
      </c>
      <c r="N1960" s="3">
        <v>38.24</v>
      </c>
      <c r="O1960" s="2" t="s">
        <v>97</v>
      </c>
      <c r="P1960" s="2" t="s">
        <v>1265</v>
      </c>
      <c r="Q1960" s="2" t="s">
        <v>99</v>
      </c>
      <c r="R1960" s="2" t="s">
        <v>100</v>
      </c>
      <c r="S1960" s="2" t="s">
        <v>6655</v>
      </c>
      <c r="T1960" s="2" t="s">
        <v>100</v>
      </c>
      <c r="U1960" s="2" t="s">
        <v>1610</v>
      </c>
      <c r="V1960" s="2" t="s">
        <v>455</v>
      </c>
      <c r="W1960" s="2" t="s">
        <v>1530</v>
      </c>
      <c r="X1960" s="2" t="s">
        <v>759</v>
      </c>
      <c r="Y1960" s="2" t="s">
        <v>2163</v>
      </c>
      <c r="Z1960" s="4">
        <v>29</v>
      </c>
      <c r="AA1960" s="4">
        <f>=ROUNDDOWN(5.8,0)</f>
      </c>
      <c r="AB1960" s="5">
        <v>5</v>
      </c>
      <c r="AC1960" s="2" t="s">
        <v>107</v>
      </c>
      <c r="AD1960" s="4">
        <v>100</v>
      </c>
      <c r="AE1960" s="4">
        <v>100</v>
      </c>
      <c r="AF1960" s="6">
        <v>63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>
        <v>0</v>
      </c>
      <c r="AP1960" s="4">
        <v>1</v>
      </c>
      <c r="AQ1960" s="8">
        <v>19.77</v>
      </c>
      <c r="AR1960" s="4">
        <v>3</v>
      </c>
      <c r="AS1960" s="8">
        <v>62.8</v>
      </c>
      <c r="AT1960" s="7">
        <v>-0.6667</v>
      </c>
      <c r="AU1960" s="7">
        <v>-0.6852</v>
      </c>
      <c r="AV1960" s="4">
        <v>1</v>
      </c>
      <c r="AW1960" s="8">
        <v>19.77</v>
      </c>
      <c r="AX1960" s="4">
        <v>3</v>
      </c>
      <c r="AY1960" s="8">
        <v>62.8</v>
      </c>
      <c r="AZ1960" s="7">
        <v>-0.6667</v>
      </c>
      <c r="BA1960" s="7">
        <v>-0.6852</v>
      </c>
      <c r="BB1960" s="7">
        <v>1</v>
      </c>
      <c r="BC1960" s="4">
        <v>1</v>
      </c>
      <c r="BD1960" s="8">
        <v>19.77</v>
      </c>
      <c r="BE1960" s="4">
        <v>3</v>
      </c>
      <c r="BF1960" s="8">
        <v>62.8</v>
      </c>
      <c r="BG1960" s="7">
        <v>-0.6667</v>
      </c>
      <c r="BH1960" s="7">
        <v>-0.6852</v>
      </c>
      <c r="BI1960" s="7">
        <v>1</v>
      </c>
      <c r="BJ1960" s="4">
        <v>117</v>
      </c>
      <c r="BK1960" s="8">
        <v>2863.54</v>
      </c>
      <c r="BL1960" s="2" t="s">
        <v>6656</v>
      </c>
      <c r="BM1960" s="7">
        <v>0.0085</v>
      </c>
      <c r="BN1960" s="7">
        <v>0.0069</v>
      </c>
      <c r="BO1960" s="4">
        <v>1</v>
      </c>
      <c r="BP1960" s="8">
        <v>19.77</v>
      </c>
      <c r="BQ1960" s="4">
        <v>3</v>
      </c>
      <c r="BR1960" s="8">
        <v>62.8</v>
      </c>
      <c r="BS1960" s="7">
        <v>-0.6667</v>
      </c>
      <c r="BT1960" s="7">
        <v>-0.6852</v>
      </c>
      <c r="BU1960" s="2" t="s">
        <v>109</v>
      </c>
      <c r="BV1960" s="2" t="s">
        <v>97</v>
      </c>
      <c r="BW1960" s="2" t="s">
        <v>2917</v>
      </c>
      <c r="BX1960" s="2" t="s">
        <v>4328</v>
      </c>
      <c r="BY1960" s="2" t="s">
        <v>112</v>
      </c>
      <c r="BZ1960" s="2" t="s">
        <v>100</v>
      </c>
    </row>
    <row r="1961">
      <c r="A1961" s="2" t="s">
        <v>6657</v>
      </c>
      <c r="B1961" s="2" t="s">
        <v>6098</v>
      </c>
      <c r="C1961" s="2" t="s">
        <v>88</v>
      </c>
      <c r="D1961" s="2" t="s">
        <v>6497</v>
      </c>
      <c r="E1961" s="2" t="s">
        <v>6377</v>
      </c>
      <c r="F1961" s="2" t="s">
        <v>6658</v>
      </c>
      <c r="G1961" s="2" t="s">
        <v>6658</v>
      </c>
      <c r="H1961" s="2" t="s">
        <v>6658</v>
      </c>
      <c r="I1961" s="2" t="s">
        <v>6659</v>
      </c>
      <c r="J1961" s="2" t="s">
        <v>6103</v>
      </c>
      <c r="K1961" s="2" t="s">
        <v>6660</v>
      </c>
      <c r="L1961" s="3">
        <v>54.4</v>
      </c>
      <c r="M1961" s="3">
        <v>57.12</v>
      </c>
      <c r="N1961" s="3">
        <v>114.74</v>
      </c>
      <c r="O1961" s="2" t="s">
        <v>97</v>
      </c>
      <c r="P1961" s="2" t="s">
        <v>1265</v>
      </c>
      <c r="Q1961" s="2" t="s">
        <v>99</v>
      </c>
      <c r="R1961" s="2" t="s">
        <v>100</v>
      </c>
      <c r="S1961" s="2" t="s">
        <v>6661</v>
      </c>
      <c r="T1961" s="2" t="s">
        <v>100</v>
      </c>
      <c r="U1961" s="2" t="s">
        <v>2104</v>
      </c>
      <c r="V1961" s="2" t="s">
        <v>1122</v>
      </c>
      <c r="W1961" s="2" t="s">
        <v>602</v>
      </c>
      <c r="X1961" s="2" t="s">
        <v>906</v>
      </c>
      <c r="Y1961" s="2" t="s">
        <v>6662</v>
      </c>
      <c r="Z1961" s="4">
        <v>100</v>
      </c>
      <c r="AA1961" s="4">
        <f>=ROUNDDOWN(66.6666666666667,0)</f>
      </c>
      <c r="AB1961" s="5">
        <v>1.5</v>
      </c>
      <c r="AC1961" s="2" t="s">
        <v>100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62</v>
      </c>
      <c r="BK1961" s="8">
        <v>4139.14</v>
      </c>
      <c r="BL1961" s="2" t="s">
        <v>6663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6185</v>
      </c>
      <c r="BV1961" s="2" t="s">
        <v>97</v>
      </c>
      <c r="BW1961" s="2" t="s">
        <v>100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6664</v>
      </c>
      <c r="B1962" s="2" t="s">
        <v>6098</v>
      </c>
      <c r="C1962" s="2" t="s">
        <v>88</v>
      </c>
      <c r="D1962" s="2" t="s">
        <v>6497</v>
      </c>
      <c r="E1962" s="2" t="s">
        <v>6377</v>
      </c>
      <c r="F1962" s="2" t="s">
        <v>6665</v>
      </c>
      <c r="G1962" s="2" t="s">
        <v>6665</v>
      </c>
      <c r="H1962" s="2" t="s">
        <v>6665</v>
      </c>
      <c r="I1962" s="2" t="s">
        <v>6666</v>
      </c>
      <c r="J1962" s="2" t="s">
        <v>6103</v>
      </c>
      <c r="K1962" s="2" t="s">
        <v>1767</v>
      </c>
      <c r="L1962" s="3">
        <v>27.82</v>
      </c>
      <c r="M1962" s="3">
        <v>29.21</v>
      </c>
      <c r="N1962" s="3">
        <v>61.74</v>
      </c>
      <c r="O1962" s="2" t="s">
        <v>97</v>
      </c>
      <c r="P1962" s="2" t="s">
        <v>182</v>
      </c>
      <c r="Q1962" s="2" t="s">
        <v>99</v>
      </c>
      <c r="R1962" s="2" t="s">
        <v>100</v>
      </c>
      <c r="S1962" s="2" t="s">
        <v>6667</v>
      </c>
      <c r="T1962" s="2" t="s">
        <v>100</v>
      </c>
      <c r="U1962" s="2" t="s">
        <v>2104</v>
      </c>
      <c r="V1962" s="2" t="s">
        <v>491</v>
      </c>
      <c r="W1962" s="2" t="s">
        <v>1288</v>
      </c>
      <c r="X1962" s="2" t="s">
        <v>808</v>
      </c>
      <c r="Y1962" s="2" t="s">
        <v>136</v>
      </c>
      <c r="Z1962" s="4">
        <v>162</v>
      </c>
      <c r="AA1962" s="4">
        <f>=ROUNDDOWN(16.2,0)</f>
      </c>
      <c r="AB1962" s="5">
        <v>10</v>
      </c>
      <c r="AC1962" s="2" t="s">
        <v>107</v>
      </c>
      <c r="AD1962" s="4">
        <v>100</v>
      </c>
      <c r="AE1962" s="4">
        <v>100</v>
      </c>
      <c r="AF1962" s="6">
        <v>63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249</v>
      </c>
      <c r="BK1962" s="8">
        <v>8118.03</v>
      </c>
      <c r="BL1962" s="2" t="s">
        <v>6668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97</v>
      </c>
      <c r="BW1962" s="2" t="s">
        <v>6669</v>
      </c>
      <c r="BX1962" s="2" t="s">
        <v>100</v>
      </c>
      <c r="BY1962" s="2" t="s">
        <v>112</v>
      </c>
      <c r="BZ1962" s="2" t="s">
        <v>100</v>
      </c>
    </row>
    <row r="1963">
      <c r="A1963" s="2" t="s">
        <v>6670</v>
      </c>
      <c r="B1963" s="2" t="s">
        <v>6098</v>
      </c>
      <c r="C1963" s="2" t="s">
        <v>88</v>
      </c>
      <c r="D1963" s="2" t="s">
        <v>6497</v>
      </c>
      <c r="E1963" s="2" t="s">
        <v>6377</v>
      </c>
      <c r="F1963" s="2" t="s">
        <v>6671</v>
      </c>
      <c r="G1963" s="2" t="s">
        <v>6671</v>
      </c>
      <c r="H1963" s="2" t="s">
        <v>6671</v>
      </c>
      <c r="I1963" s="2" t="s">
        <v>6672</v>
      </c>
      <c r="J1963" s="2" t="s">
        <v>6103</v>
      </c>
      <c r="K1963" s="2" t="s">
        <v>1935</v>
      </c>
      <c r="L1963" s="3">
        <v>85.48</v>
      </c>
      <c r="M1963" s="3">
        <v>89.75</v>
      </c>
      <c r="N1963" s="3">
        <v>178.49</v>
      </c>
      <c r="O1963" s="2" t="s">
        <v>97</v>
      </c>
      <c r="P1963" s="2" t="s">
        <v>124</v>
      </c>
      <c r="Q1963" s="2" t="s">
        <v>99</v>
      </c>
      <c r="R1963" s="2" t="s">
        <v>100</v>
      </c>
      <c r="S1963" s="2" t="s">
        <v>6673</v>
      </c>
      <c r="T1963" s="2" t="s">
        <v>100</v>
      </c>
      <c r="U1963" s="2" t="s">
        <v>1610</v>
      </c>
      <c r="V1963" s="2" t="s">
        <v>1275</v>
      </c>
      <c r="W1963" s="2" t="s">
        <v>906</v>
      </c>
      <c r="X1963" s="2" t="s">
        <v>759</v>
      </c>
      <c r="Y1963" s="2" t="s">
        <v>6674</v>
      </c>
      <c r="Z1963" s="4">
        <v>109</v>
      </c>
      <c r="AA1963" s="4">
        <f>=ROUNDDOWN(6.8125,0)</f>
      </c>
      <c r="AB1963" s="5">
        <v>16</v>
      </c>
      <c r="AC1963" s="2" t="s">
        <v>527</v>
      </c>
      <c r="AD1963" s="4">
        <v>200</v>
      </c>
      <c r="AE1963" s="4">
        <v>450</v>
      </c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/>
      <c r="BD1963" s="8"/>
      <c r="BE1963" s="4"/>
      <c r="BF1963" s="8"/>
      <c r="BG1963" s="7"/>
      <c r="BH1963" s="7"/>
      <c r="BI1963" s="7"/>
      <c r="BJ1963" s="4">
        <v>404</v>
      </c>
      <c r="BK1963" s="8">
        <v>39558.05</v>
      </c>
      <c r="BL1963" s="2" t="s">
        <v>6675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6185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6676</v>
      </c>
      <c r="B1964" s="2" t="s">
        <v>6098</v>
      </c>
      <c r="C1964" s="2" t="s">
        <v>88</v>
      </c>
      <c r="D1964" s="2" t="s">
        <v>6497</v>
      </c>
      <c r="E1964" s="2" t="s">
        <v>6377</v>
      </c>
      <c r="F1964" s="2" t="s">
        <v>6639</v>
      </c>
      <c r="G1964" s="2" t="s">
        <v>6639</v>
      </c>
      <c r="H1964" s="2" t="s">
        <v>6639</v>
      </c>
      <c r="I1964" s="2" t="s">
        <v>6677</v>
      </c>
      <c r="J1964" s="2" t="s">
        <v>6103</v>
      </c>
      <c r="K1964" s="2" t="s">
        <v>1935</v>
      </c>
      <c r="L1964" s="3">
        <v>77.71</v>
      </c>
      <c r="M1964" s="3">
        <v>81.6</v>
      </c>
      <c r="N1964" s="3">
        <v>169.99</v>
      </c>
      <c r="O1964" s="2" t="s">
        <v>97</v>
      </c>
      <c r="P1964" s="2" t="s">
        <v>143</v>
      </c>
      <c r="Q1964" s="2" t="s">
        <v>99</v>
      </c>
      <c r="R1964" s="2" t="s">
        <v>100</v>
      </c>
      <c r="S1964" s="2" t="s">
        <v>6678</v>
      </c>
      <c r="T1964" s="2" t="s">
        <v>100</v>
      </c>
      <c r="U1964" s="2" t="s">
        <v>1610</v>
      </c>
      <c r="V1964" s="2" t="s">
        <v>906</v>
      </c>
      <c r="W1964" s="2" t="s">
        <v>906</v>
      </c>
      <c r="X1964" s="2" t="s">
        <v>759</v>
      </c>
      <c r="Y1964" s="2" t="s">
        <v>6674</v>
      </c>
      <c r="Z1964" s="4">
        <v>188</v>
      </c>
      <c r="AA1964" s="4">
        <f>=ROUNDDOWN(31.3333333333333,0)</f>
      </c>
      <c r="AB1964" s="5">
        <v>6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163</v>
      </c>
      <c r="BK1964" s="8">
        <v>14805.22</v>
      </c>
      <c r="BL1964" s="2" t="s">
        <v>6679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6185</v>
      </c>
      <c r="BV1964" s="2" t="s">
        <v>97</v>
      </c>
      <c r="BW1964" s="2" t="s">
        <v>100</v>
      </c>
      <c r="BX1964" s="2" t="s">
        <v>100</v>
      </c>
      <c r="BY1964" s="2" t="s">
        <v>112</v>
      </c>
      <c r="BZ1964" s="2" t="s">
        <v>100</v>
      </c>
    </row>
    <row r="1965">
      <c r="A1965" s="2" t="s">
        <v>6680</v>
      </c>
      <c r="B1965" s="2" t="s">
        <v>6098</v>
      </c>
      <c r="C1965" s="2" t="s">
        <v>88</v>
      </c>
      <c r="D1965" s="2" t="s">
        <v>6497</v>
      </c>
      <c r="E1965" s="2" t="s">
        <v>6377</v>
      </c>
      <c r="F1965" s="2" t="s">
        <v>6681</v>
      </c>
      <c r="G1965" s="2" t="s">
        <v>6681</v>
      </c>
      <c r="H1965" s="2" t="s">
        <v>6681</v>
      </c>
      <c r="I1965" s="2" t="s">
        <v>6682</v>
      </c>
      <c r="J1965" s="2" t="s">
        <v>6103</v>
      </c>
      <c r="K1965" s="2" t="s">
        <v>1935</v>
      </c>
      <c r="L1965" s="3">
        <v>57.35</v>
      </c>
      <c r="M1965" s="3">
        <v>60.22</v>
      </c>
      <c r="N1965" s="3">
        <v>118.99</v>
      </c>
      <c r="O1965" s="2" t="s">
        <v>97</v>
      </c>
      <c r="P1965" s="2" t="s">
        <v>182</v>
      </c>
      <c r="Q1965" s="2" t="s">
        <v>99</v>
      </c>
      <c r="R1965" s="2" t="s">
        <v>100</v>
      </c>
      <c r="S1965" s="2" t="s">
        <v>6683</v>
      </c>
      <c r="T1965" s="2" t="s">
        <v>100</v>
      </c>
      <c r="U1965" s="2" t="s">
        <v>2104</v>
      </c>
      <c r="V1965" s="2" t="s">
        <v>4714</v>
      </c>
      <c r="W1965" s="2" t="s">
        <v>1530</v>
      </c>
      <c r="X1965" s="2" t="s">
        <v>759</v>
      </c>
      <c r="Y1965" s="2" t="s">
        <v>5209</v>
      </c>
      <c r="Z1965" s="4">
        <v>99</v>
      </c>
      <c r="AA1965" s="4">
        <f>=ROUNDDOWN(14.1428571428571,0)</f>
      </c>
      <c r="AB1965" s="5">
        <v>7</v>
      </c>
      <c r="AC1965" s="2" t="s">
        <v>130</v>
      </c>
      <c r="AD1965" s="4">
        <v>100</v>
      </c>
      <c r="AE1965" s="4">
        <v>220</v>
      </c>
      <c r="AF1965" s="6">
        <v>65</v>
      </c>
      <c r="AG1965" s="6"/>
      <c r="AH1965" s="7">
        <v>0.9879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/>
      <c r="BD1965" s="8"/>
      <c r="BE1965" s="4"/>
      <c r="BF1965" s="8"/>
      <c r="BG1965" s="7"/>
      <c r="BH1965" s="7"/>
      <c r="BI1965" s="7"/>
      <c r="BJ1965" s="4">
        <v>184</v>
      </c>
      <c r="BK1965" s="8">
        <v>11737.05</v>
      </c>
      <c r="BL1965" s="2" t="s">
        <v>6684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6185</v>
      </c>
      <c r="BV1965" s="2" t="s">
        <v>97</v>
      </c>
      <c r="BW1965" s="2" t="s">
        <v>100</v>
      </c>
      <c r="BX1965" s="2" t="s">
        <v>100</v>
      </c>
      <c r="BY1965" s="2" t="s">
        <v>112</v>
      </c>
      <c r="BZ1965" s="2" t="s">
        <v>100</v>
      </c>
    </row>
    <row r="1966">
      <c r="A1966" s="2" t="s">
        <v>6685</v>
      </c>
      <c r="B1966" s="2" t="s">
        <v>6098</v>
      </c>
      <c r="C1966" s="2" t="s">
        <v>88</v>
      </c>
      <c r="D1966" s="2" t="s">
        <v>6686</v>
      </c>
      <c r="E1966" s="2" t="s">
        <v>6377</v>
      </c>
      <c r="F1966" s="2" t="s">
        <v>6687</v>
      </c>
      <c r="G1966" s="2" t="s">
        <v>6687</v>
      </c>
      <c r="H1966" s="2" t="s">
        <v>6687</v>
      </c>
      <c r="I1966" s="2" t="s">
        <v>6688</v>
      </c>
      <c r="J1966" s="2" t="s">
        <v>6103</v>
      </c>
      <c r="K1966" s="2" t="s">
        <v>158</v>
      </c>
      <c r="L1966" s="3">
        <v>59.5</v>
      </c>
      <c r="M1966" s="3">
        <v>62.48</v>
      </c>
      <c r="N1966" s="3">
        <v>127.49</v>
      </c>
      <c r="O1966" s="2" t="s">
        <v>97</v>
      </c>
      <c r="P1966" s="2" t="s">
        <v>143</v>
      </c>
      <c r="Q1966" s="2" t="s">
        <v>99</v>
      </c>
      <c r="R1966" s="2" t="s">
        <v>100</v>
      </c>
      <c r="S1966" s="2" t="s">
        <v>6689</v>
      </c>
      <c r="T1966" s="2" t="s">
        <v>100</v>
      </c>
      <c r="U1966" s="2" t="s">
        <v>3531</v>
      </c>
      <c r="V1966" s="2" t="s">
        <v>4714</v>
      </c>
      <c r="W1966" s="2" t="s">
        <v>1530</v>
      </c>
      <c r="X1966" s="2" t="s">
        <v>100</v>
      </c>
      <c r="Y1966" s="2" t="s">
        <v>106</v>
      </c>
      <c r="Z1966" s="4">
        <v>57</v>
      </c>
      <c r="AA1966" s="4">
        <f>=ROUNDDOWN(6.33333333333333,0)</f>
      </c>
      <c r="AB1966" s="5">
        <v>9</v>
      </c>
      <c r="AC1966" s="2" t="s">
        <v>4747</v>
      </c>
      <c r="AD1966" s="4">
        <v>110</v>
      </c>
      <c r="AE1966" s="4">
        <v>380</v>
      </c>
      <c r="AF1966" s="6">
        <v>63</v>
      </c>
      <c r="AG1966" s="6"/>
      <c r="AH1966" s="7">
        <v>0.8909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>
        <v>0</v>
      </c>
      <c r="AP1966" s="4">
        <v>4</v>
      </c>
      <c r="AQ1966" s="8">
        <v>249.92</v>
      </c>
      <c r="AR1966" s="4">
        <v>5</v>
      </c>
      <c r="AS1966" s="8">
        <v>345.46</v>
      </c>
      <c r="AT1966" s="7">
        <v>-0.2</v>
      </c>
      <c r="AU1966" s="7">
        <v>-0.2766</v>
      </c>
      <c r="AV1966" s="4">
        <v>4</v>
      </c>
      <c r="AW1966" s="8">
        <v>249.92</v>
      </c>
      <c r="AX1966" s="4">
        <v>5</v>
      </c>
      <c r="AY1966" s="8">
        <v>345.46</v>
      </c>
      <c r="AZ1966" s="7">
        <v>-0.2</v>
      </c>
      <c r="BA1966" s="7">
        <v>-0.2766</v>
      </c>
      <c r="BB1966" s="7">
        <v>1</v>
      </c>
      <c r="BC1966" s="4">
        <v>5</v>
      </c>
      <c r="BD1966" s="8">
        <v>312.4</v>
      </c>
      <c r="BE1966" s="4">
        <v>6</v>
      </c>
      <c r="BF1966" s="8">
        <v>418.96</v>
      </c>
      <c r="BG1966" s="7">
        <v>-0.1667</v>
      </c>
      <c r="BH1966" s="7">
        <v>-0.2543</v>
      </c>
      <c r="BI1966" s="7">
        <v>0.8</v>
      </c>
      <c r="BJ1966" s="4">
        <v>205</v>
      </c>
      <c r="BK1966" s="8">
        <v>13888.31</v>
      </c>
      <c r="BL1966" s="2" t="s">
        <v>6690</v>
      </c>
      <c r="BM1966" s="7">
        <v>0.0195</v>
      </c>
      <c r="BN1966" s="7">
        <v>0.018</v>
      </c>
      <c r="BO1966" s="4">
        <v>4</v>
      </c>
      <c r="BP1966" s="8">
        <v>249.92</v>
      </c>
      <c r="BQ1966" s="4">
        <v>5</v>
      </c>
      <c r="BR1966" s="8">
        <v>345.46</v>
      </c>
      <c r="BS1966" s="7">
        <v>-0.2</v>
      </c>
      <c r="BT1966" s="7">
        <v>-0.2766</v>
      </c>
      <c r="BU1966" s="2" t="s">
        <v>109</v>
      </c>
      <c r="BV1966" s="2" t="s">
        <v>97</v>
      </c>
      <c r="BW1966" s="2" t="s">
        <v>2917</v>
      </c>
      <c r="BX1966" s="2" t="s">
        <v>6130</v>
      </c>
      <c r="BY1966" s="2" t="s">
        <v>112</v>
      </c>
      <c r="BZ1966" s="2" t="s">
        <v>100</v>
      </c>
    </row>
    <row r="1967">
      <c r="A1967" s="2" t="s">
        <v>6691</v>
      </c>
      <c r="B1967" s="2" t="s">
        <v>6098</v>
      </c>
      <c r="C1967" s="2" t="s">
        <v>88</v>
      </c>
      <c r="D1967" s="2" t="s">
        <v>6686</v>
      </c>
      <c r="E1967" s="2" t="s">
        <v>6377</v>
      </c>
      <c r="F1967" s="2" t="s">
        <v>6687</v>
      </c>
      <c r="G1967" s="2" t="s">
        <v>6687</v>
      </c>
      <c r="H1967" s="2" t="s">
        <v>6687</v>
      </c>
      <c r="I1967" s="2" t="s">
        <v>6688</v>
      </c>
      <c r="J1967" s="2" t="s">
        <v>6103</v>
      </c>
      <c r="K1967" s="2" t="s">
        <v>123</v>
      </c>
      <c r="L1967" s="3">
        <v>59.5</v>
      </c>
      <c r="M1967" s="3">
        <v>62.48</v>
      </c>
      <c r="N1967" s="3">
        <v>135.99</v>
      </c>
      <c r="O1967" s="2" t="s">
        <v>97</v>
      </c>
      <c r="P1967" s="2" t="s">
        <v>198</v>
      </c>
      <c r="Q1967" s="2" t="s">
        <v>99</v>
      </c>
      <c r="R1967" s="2" t="s">
        <v>100</v>
      </c>
      <c r="S1967" s="2" t="s">
        <v>6692</v>
      </c>
      <c r="T1967" s="2" t="s">
        <v>100</v>
      </c>
      <c r="U1967" s="2" t="s">
        <v>3531</v>
      </c>
      <c r="V1967" s="2" t="s">
        <v>4714</v>
      </c>
      <c r="W1967" s="2" t="s">
        <v>1530</v>
      </c>
      <c r="X1967" s="2" t="s">
        <v>100</v>
      </c>
      <c r="Y1967" s="2" t="s">
        <v>106</v>
      </c>
      <c r="Z1967" s="4">
        <v>5</v>
      </c>
      <c r="AA1967" s="4">
        <f>=ROUNDDOWN(1,0)</f>
      </c>
      <c r="AB1967" s="5">
        <v>5</v>
      </c>
      <c r="AC1967" s="2" t="s">
        <v>100</v>
      </c>
      <c r="AD1967" s="4"/>
      <c r="AE1967" s="4"/>
      <c r="AF1967" s="6">
        <v>63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>
        <v>0</v>
      </c>
      <c r="AP1967" s="4">
        <v>1</v>
      </c>
      <c r="AQ1967" s="8">
        <v>62.48</v>
      </c>
      <c r="AR1967" s="4">
        <v>1</v>
      </c>
      <c r="AS1967" s="8">
        <v>73.5</v>
      </c>
      <c r="AT1967" s="7"/>
      <c r="AU1967" s="7">
        <v>-0.1499</v>
      </c>
      <c r="AV1967" s="4">
        <v>1</v>
      </c>
      <c r="AW1967" s="8">
        <v>62.48</v>
      </c>
      <c r="AX1967" s="4">
        <v>1</v>
      </c>
      <c r="AY1967" s="8">
        <v>73.5</v>
      </c>
      <c r="AZ1967" s="7"/>
      <c r="BA1967" s="7">
        <v>-0.1499</v>
      </c>
      <c r="BB1967" s="7">
        <v>1</v>
      </c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>
        <v>0.2</v>
      </c>
      <c r="BJ1967" s="4">
        <v>78</v>
      </c>
      <c r="BK1967" s="8">
        <v>4982.19</v>
      </c>
      <c r="BL1967" s="2" t="s">
        <v>6693</v>
      </c>
      <c r="BM1967" s="7">
        <v>0.0128</v>
      </c>
      <c r="BN1967" s="7">
        <v>0.0125</v>
      </c>
      <c r="BO1967" s="4">
        <v>1</v>
      </c>
      <c r="BP1967" s="8">
        <v>62.48</v>
      </c>
      <c r="BQ1967" s="4">
        <v>1</v>
      </c>
      <c r="BR1967" s="8">
        <v>73.5</v>
      </c>
      <c r="BS1967" s="7"/>
      <c r="BT1967" s="7">
        <v>-0.1499</v>
      </c>
      <c r="BU1967" s="2" t="s">
        <v>109</v>
      </c>
      <c r="BV1967" s="2" t="s">
        <v>97</v>
      </c>
      <c r="BW1967" s="2" t="s">
        <v>6110</v>
      </c>
      <c r="BX1967" s="2" t="s">
        <v>6694</v>
      </c>
      <c r="BY1967" s="2" t="s">
        <v>112</v>
      </c>
      <c r="BZ1967" s="2" t="s">
        <v>100</v>
      </c>
    </row>
    <row r="1968">
      <c r="A1968" s="2" t="s">
        <v>6695</v>
      </c>
      <c r="B1968" s="2" t="s">
        <v>6098</v>
      </c>
      <c r="C1968" s="2" t="s">
        <v>88</v>
      </c>
      <c r="D1968" s="2" t="s">
        <v>6686</v>
      </c>
      <c r="E1968" s="2" t="s">
        <v>6377</v>
      </c>
      <c r="F1968" s="2" t="s">
        <v>6696</v>
      </c>
      <c r="G1968" s="2" t="s">
        <v>6696</v>
      </c>
      <c r="H1968" s="2" t="s">
        <v>6696</v>
      </c>
      <c r="I1968" s="2" t="s">
        <v>6697</v>
      </c>
      <c r="J1968" s="2" t="s">
        <v>6103</v>
      </c>
      <c r="K1968" s="2" t="s">
        <v>4776</v>
      </c>
      <c r="L1968" s="3">
        <v>25.25</v>
      </c>
      <c r="M1968" s="3">
        <v>26.51</v>
      </c>
      <c r="N1968" s="3">
        <v>53.54</v>
      </c>
      <c r="O1968" s="2" t="s">
        <v>97</v>
      </c>
      <c r="P1968" s="2" t="s">
        <v>182</v>
      </c>
      <c r="Q1968" s="2" t="s">
        <v>99</v>
      </c>
      <c r="R1968" s="2" t="s">
        <v>100</v>
      </c>
      <c r="S1968" s="2" t="s">
        <v>6698</v>
      </c>
      <c r="T1968" s="2" t="s">
        <v>100</v>
      </c>
      <c r="U1968" s="2" t="s">
        <v>2104</v>
      </c>
      <c r="V1968" s="2" t="s">
        <v>6699</v>
      </c>
      <c r="W1968" s="2" t="s">
        <v>602</v>
      </c>
      <c r="X1968" s="2" t="s">
        <v>100</v>
      </c>
      <c r="Y1968" s="2" t="s">
        <v>6700</v>
      </c>
      <c r="Z1968" s="4">
        <v>125</v>
      </c>
      <c r="AA1968" s="4">
        <f>=ROUNDDOWN(8.33333333333333,0)</f>
      </c>
      <c r="AB1968" s="5">
        <v>15</v>
      </c>
      <c r="AC1968" s="2" t="s">
        <v>382</v>
      </c>
      <c r="AD1968" s="4">
        <v>50</v>
      </c>
      <c r="AE1968" s="4">
        <v>380</v>
      </c>
      <c r="AF1968" s="6">
        <v>63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>
        <v>0</v>
      </c>
      <c r="AP1968" s="4">
        <v>7</v>
      </c>
      <c r="AQ1968" s="8">
        <v>185.57</v>
      </c>
      <c r="AR1968" s="4">
        <v>17</v>
      </c>
      <c r="AS1968" s="8">
        <v>516.05</v>
      </c>
      <c r="AT1968" s="7">
        <v>-0.5882</v>
      </c>
      <c r="AU1968" s="7">
        <v>-0.6404</v>
      </c>
      <c r="AV1968" s="4">
        <v>7</v>
      </c>
      <c r="AW1968" s="8">
        <v>185.57</v>
      </c>
      <c r="AX1968" s="4">
        <v>17</v>
      </c>
      <c r="AY1968" s="8">
        <v>516.05</v>
      </c>
      <c r="AZ1968" s="7">
        <v>-0.5882</v>
      </c>
      <c r="BA1968" s="7">
        <v>-0.6404</v>
      </c>
      <c r="BB1968" s="7">
        <v>1</v>
      </c>
      <c r="BC1968" s="4">
        <v>7</v>
      </c>
      <c r="BD1968" s="8">
        <v>185.57</v>
      </c>
      <c r="BE1968" s="4">
        <v>17</v>
      </c>
      <c r="BF1968" s="8">
        <v>516.05</v>
      </c>
      <c r="BG1968" s="7">
        <v>-0.5882</v>
      </c>
      <c r="BH1968" s="7">
        <v>-0.6404</v>
      </c>
      <c r="BI1968" s="7">
        <v>1</v>
      </c>
      <c r="BJ1968" s="4">
        <v>367</v>
      </c>
      <c r="BK1968" s="8">
        <v>9372.89</v>
      </c>
      <c r="BL1968" s="2" t="s">
        <v>6701</v>
      </c>
      <c r="BM1968" s="7">
        <v>0.0191</v>
      </c>
      <c r="BN1968" s="7">
        <v>0.0198</v>
      </c>
      <c r="BO1968" s="4">
        <v>7</v>
      </c>
      <c r="BP1968" s="8">
        <v>185.57</v>
      </c>
      <c r="BQ1968" s="4">
        <v>17</v>
      </c>
      <c r="BR1968" s="8">
        <v>516.05</v>
      </c>
      <c r="BS1968" s="7">
        <v>-0.5882</v>
      </c>
      <c r="BT1968" s="7">
        <v>-0.6404</v>
      </c>
      <c r="BU1968" s="2" t="s">
        <v>109</v>
      </c>
      <c r="BV1968" s="2" t="s">
        <v>97</v>
      </c>
      <c r="BW1968" s="2" t="s">
        <v>6110</v>
      </c>
      <c r="BX1968" s="2" t="s">
        <v>553</v>
      </c>
      <c r="BY1968" s="2" t="s">
        <v>112</v>
      </c>
      <c r="BZ1968" s="2" t="s">
        <v>100</v>
      </c>
    </row>
    <row r="1969">
      <c r="A1969" s="2" t="s">
        <v>6702</v>
      </c>
      <c r="B1969" s="2" t="s">
        <v>6098</v>
      </c>
      <c r="C1969" s="2" t="s">
        <v>88</v>
      </c>
      <c r="D1969" s="2" t="s">
        <v>6686</v>
      </c>
      <c r="E1969" s="2" t="s">
        <v>6377</v>
      </c>
      <c r="F1969" s="2" t="s">
        <v>6703</v>
      </c>
      <c r="G1969" s="2" t="s">
        <v>6703</v>
      </c>
      <c r="H1969" s="2" t="s">
        <v>6703</v>
      </c>
      <c r="I1969" s="2" t="s">
        <v>6704</v>
      </c>
      <c r="J1969" s="2" t="s">
        <v>6103</v>
      </c>
      <c r="K1969" s="2" t="s">
        <v>123</v>
      </c>
      <c r="L1969" s="3">
        <v>21.78</v>
      </c>
      <c r="M1969" s="3">
        <v>22.87</v>
      </c>
      <c r="N1969" s="3">
        <v>46.74</v>
      </c>
      <c r="O1969" s="2" t="s">
        <v>97</v>
      </c>
      <c r="P1969" s="2" t="s">
        <v>1265</v>
      </c>
      <c r="Q1969" s="2" t="s">
        <v>99</v>
      </c>
      <c r="R1969" s="2" t="s">
        <v>100</v>
      </c>
      <c r="S1969" s="2" t="s">
        <v>100</v>
      </c>
      <c r="T1969" s="2" t="s">
        <v>100</v>
      </c>
      <c r="U1969" s="2" t="s">
        <v>2104</v>
      </c>
      <c r="V1969" s="2" t="s">
        <v>1275</v>
      </c>
      <c r="W1969" s="2" t="s">
        <v>1288</v>
      </c>
      <c r="X1969" s="2" t="s">
        <v>759</v>
      </c>
      <c r="Y1969" s="2" t="s">
        <v>6705</v>
      </c>
      <c r="Z1969" s="4">
        <v>62</v>
      </c>
      <c r="AA1969" s="4">
        <f>=ROUNDDOWN(17.7142857142857,0)</f>
      </c>
      <c r="AB1969" s="5">
        <v>3.5</v>
      </c>
      <c r="AC1969" s="2" t="s">
        <v>107</v>
      </c>
      <c r="AD1969" s="4">
        <v>100</v>
      </c>
      <c r="AE1969" s="4">
        <v>100</v>
      </c>
      <c r="AF1969" s="6">
        <v>63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>
        <v>0</v>
      </c>
      <c r="AP1969" s="4">
        <v>8</v>
      </c>
      <c r="AQ1969" s="8">
        <v>182.96</v>
      </c>
      <c r="AR1969" s="4">
        <v>7</v>
      </c>
      <c r="AS1969" s="8">
        <v>165.17</v>
      </c>
      <c r="AT1969" s="7">
        <v>0.1429</v>
      </c>
      <c r="AU1969" s="7">
        <v>0.1077</v>
      </c>
      <c r="AV1969" s="4">
        <v>8</v>
      </c>
      <c r="AW1969" s="8">
        <v>182.96</v>
      </c>
      <c r="AX1969" s="4">
        <v>7</v>
      </c>
      <c r="AY1969" s="8">
        <v>165.17</v>
      </c>
      <c r="AZ1969" s="7">
        <v>0.1429</v>
      </c>
      <c r="BA1969" s="7">
        <v>0.1077</v>
      </c>
      <c r="BB1969" s="7">
        <v>1</v>
      </c>
      <c r="BC1969" s="4">
        <v>8</v>
      </c>
      <c r="BD1969" s="8">
        <v>182.96</v>
      </c>
      <c r="BE1969" s="4">
        <v>7</v>
      </c>
      <c r="BF1969" s="8">
        <v>165.17</v>
      </c>
      <c r="BG1969" s="7">
        <v>0.1429</v>
      </c>
      <c r="BH1969" s="7">
        <v>0.1077</v>
      </c>
      <c r="BI1969" s="7">
        <v>1</v>
      </c>
      <c r="BJ1969" s="4">
        <v>116</v>
      </c>
      <c r="BK1969" s="8">
        <v>3049.5</v>
      </c>
      <c r="BL1969" s="2" t="s">
        <v>6706</v>
      </c>
      <c r="BM1969" s="7">
        <v>0.069</v>
      </c>
      <c r="BN1969" s="7">
        <v>0.06</v>
      </c>
      <c r="BO1969" s="4">
        <v>8</v>
      </c>
      <c r="BP1969" s="8">
        <v>182.96</v>
      </c>
      <c r="BQ1969" s="4">
        <v>7</v>
      </c>
      <c r="BR1969" s="8">
        <v>165.17</v>
      </c>
      <c r="BS1969" s="7">
        <v>0.1429</v>
      </c>
      <c r="BT1969" s="7">
        <v>0.1077</v>
      </c>
      <c r="BU1969" s="2" t="s">
        <v>109</v>
      </c>
      <c r="BV1969" s="2" t="s">
        <v>97</v>
      </c>
      <c r="BW1969" s="2" t="s">
        <v>2917</v>
      </c>
      <c r="BX1969" s="2" t="s">
        <v>6707</v>
      </c>
      <c r="BY1969" s="2" t="s">
        <v>112</v>
      </c>
      <c r="BZ1969" s="2" t="s">
        <v>100</v>
      </c>
    </row>
    <row r="1970">
      <c r="A1970" s="2" t="s">
        <v>6708</v>
      </c>
      <c r="B1970" s="2" t="s">
        <v>6098</v>
      </c>
      <c r="C1970" s="2" t="s">
        <v>88</v>
      </c>
      <c r="D1970" s="2" t="s">
        <v>6686</v>
      </c>
      <c r="E1970" s="2" t="s">
        <v>6377</v>
      </c>
      <c r="F1970" s="2" t="s">
        <v>6709</v>
      </c>
      <c r="G1970" s="2" t="s">
        <v>6709</v>
      </c>
      <c r="H1970" s="2" t="s">
        <v>6709</v>
      </c>
      <c r="I1970" s="2" t="s">
        <v>6710</v>
      </c>
      <c r="J1970" s="2" t="s">
        <v>6103</v>
      </c>
      <c r="K1970" s="2" t="s">
        <v>1637</v>
      </c>
      <c r="L1970" s="3">
        <v>42.43</v>
      </c>
      <c r="M1970" s="3">
        <v>44.55</v>
      </c>
      <c r="N1970" s="3">
        <v>89.99</v>
      </c>
      <c r="O1970" s="2" t="s">
        <v>97</v>
      </c>
      <c r="P1970" s="2" t="s">
        <v>182</v>
      </c>
      <c r="Q1970" s="2" t="s">
        <v>99</v>
      </c>
      <c r="R1970" s="2" t="s">
        <v>100</v>
      </c>
      <c r="S1970" s="2" t="s">
        <v>6711</v>
      </c>
      <c r="T1970" s="2" t="s">
        <v>100</v>
      </c>
      <c r="U1970" s="2" t="s">
        <v>3531</v>
      </c>
      <c r="V1970" s="2" t="s">
        <v>1122</v>
      </c>
      <c r="W1970" s="2" t="s">
        <v>602</v>
      </c>
      <c r="X1970" s="2" t="s">
        <v>100</v>
      </c>
      <c r="Y1970" s="2" t="s">
        <v>3599</v>
      </c>
      <c r="Z1970" s="4">
        <v>175</v>
      </c>
      <c r="AA1970" s="4">
        <f>=ROUNDDOWN(21.875,0)</f>
      </c>
      <c r="AB1970" s="5">
        <v>8</v>
      </c>
      <c r="AC1970" s="2" t="s">
        <v>100</v>
      </c>
      <c r="AD1970" s="4"/>
      <c r="AE1970" s="4"/>
      <c r="AF1970" s="6">
        <v>63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>
        <v>0</v>
      </c>
      <c r="AP1970" s="4">
        <v>4</v>
      </c>
      <c r="AQ1970" s="8">
        <v>178.2</v>
      </c>
      <c r="AR1970" s="4">
        <v>2</v>
      </c>
      <c r="AS1970" s="8">
        <v>89.1</v>
      </c>
      <c r="AT1970" s="7">
        <v>1</v>
      </c>
      <c r="AU1970" s="7">
        <v>1</v>
      </c>
      <c r="AV1970" s="4">
        <v>4</v>
      </c>
      <c r="AW1970" s="8">
        <v>178.2</v>
      </c>
      <c r="AX1970" s="4">
        <v>2</v>
      </c>
      <c r="AY1970" s="8">
        <v>89.1</v>
      </c>
      <c r="AZ1970" s="7">
        <v>1</v>
      </c>
      <c r="BA1970" s="7">
        <v>1</v>
      </c>
      <c r="BB1970" s="7">
        <v>1</v>
      </c>
      <c r="BC1970" s="4">
        <v>4</v>
      </c>
      <c r="BD1970" s="8">
        <v>178.2</v>
      </c>
      <c r="BE1970" s="4">
        <v>2</v>
      </c>
      <c r="BF1970" s="8">
        <v>89.1</v>
      </c>
      <c r="BG1970" s="7">
        <v>1</v>
      </c>
      <c r="BH1970" s="7">
        <v>1</v>
      </c>
      <c r="BI1970" s="7">
        <v>1</v>
      </c>
      <c r="BJ1970" s="4">
        <v>185</v>
      </c>
      <c r="BK1970" s="8">
        <v>8592.8</v>
      </c>
      <c r="BL1970" s="2" t="s">
        <v>6712</v>
      </c>
      <c r="BM1970" s="7">
        <v>0.0216</v>
      </c>
      <c r="BN1970" s="7">
        <v>0.0207</v>
      </c>
      <c r="BO1970" s="4">
        <v>4</v>
      </c>
      <c r="BP1970" s="8">
        <v>178.2</v>
      </c>
      <c r="BQ1970" s="4">
        <v>2</v>
      </c>
      <c r="BR1970" s="8">
        <v>89.1</v>
      </c>
      <c r="BS1970" s="7">
        <v>1</v>
      </c>
      <c r="BT1970" s="7">
        <v>1</v>
      </c>
      <c r="BU1970" s="2" t="s">
        <v>109</v>
      </c>
      <c r="BV1970" s="2" t="s">
        <v>97</v>
      </c>
      <c r="BW1970" s="2" t="s">
        <v>4720</v>
      </c>
      <c r="BX1970" s="2" t="s">
        <v>938</v>
      </c>
      <c r="BY1970" s="2" t="s">
        <v>112</v>
      </c>
      <c r="BZ1970" s="2" t="s">
        <v>100</v>
      </c>
    </row>
    <row r="1971">
      <c r="A1971" s="2" t="s">
        <v>6713</v>
      </c>
      <c r="B1971" s="2" t="s">
        <v>6098</v>
      </c>
      <c r="C1971" s="2" t="s">
        <v>88</v>
      </c>
      <c r="D1971" s="2" t="s">
        <v>6686</v>
      </c>
      <c r="E1971" s="2" t="s">
        <v>6377</v>
      </c>
      <c r="F1971" s="2" t="s">
        <v>6714</v>
      </c>
      <c r="G1971" s="2" t="s">
        <v>6714</v>
      </c>
      <c r="H1971" s="2" t="s">
        <v>6714</v>
      </c>
      <c r="I1971" s="2" t="s">
        <v>6688</v>
      </c>
      <c r="J1971" s="2" t="s">
        <v>6103</v>
      </c>
      <c r="K1971" s="2" t="s">
        <v>158</v>
      </c>
      <c r="L1971" s="3">
        <v>25.02</v>
      </c>
      <c r="M1971" s="3">
        <v>26.27</v>
      </c>
      <c r="N1971" s="3">
        <v>55.24</v>
      </c>
      <c r="O1971" s="2" t="s">
        <v>97</v>
      </c>
      <c r="P1971" s="2" t="s">
        <v>198</v>
      </c>
      <c r="Q1971" s="2" t="s">
        <v>99</v>
      </c>
      <c r="R1971" s="2" t="s">
        <v>100</v>
      </c>
      <c r="S1971" s="2" t="s">
        <v>6715</v>
      </c>
      <c r="T1971" s="2" t="s">
        <v>100</v>
      </c>
      <c r="U1971" s="2" t="s">
        <v>3531</v>
      </c>
      <c r="V1971" s="2" t="s">
        <v>4714</v>
      </c>
      <c r="W1971" s="2" t="s">
        <v>1530</v>
      </c>
      <c r="X1971" s="2" t="s">
        <v>100</v>
      </c>
      <c r="Y1971" s="2" t="s">
        <v>3327</v>
      </c>
      <c r="Z1971" s="4">
        <v>68</v>
      </c>
      <c r="AA1971" s="4">
        <f>=ROUNDDOWN(28.3333333333333,0)</f>
      </c>
      <c r="AB1971" s="5">
        <v>2.4</v>
      </c>
      <c r="AC1971" s="2" t="s">
        <v>100</v>
      </c>
      <c r="AD1971" s="4"/>
      <c r="AE1971" s="4"/>
      <c r="AF1971" s="6">
        <v>63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>
        <v>0</v>
      </c>
      <c r="AP1971" s="4">
        <v>3</v>
      </c>
      <c r="AQ1971" s="8">
        <v>78.81</v>
      </c>
      <c r="AR1971" s="4">
        <v>3</v>
      </c>
      <c r="AS1971" s="8">
        <v>83.44</v>
      </c>
      <c r="AT1971" s="7"/>
      <c r="AU1971" s="7">
        <v>-0.0555</v>
      </c>
      <c r="AV1971" s="4">
        <v>3</v>
      </c>
      <c r="AW1971" s="8">
        <v>78.81</v>
      </c>
      <c r="AX1971" s="4">
        <v>3</v>
      </c>
      <c r="AY1971" s="8">
        <v>83.44</v>
      </c>
      <c r="AZ1971" s="7"/>
      <c r="BA1971" s="7">
        <v>-0.0555</v>
      </c>
      <c r="BB1971" s="7">
        <v>1</v>
      </c>
      <c r="BC1971" s="4">
        <v>3</v>
      </c>
      <c r="BD1971" s="8">
        <v>78.81</v>
      </c>
      <c r="BE1971" s="4">
        <v>5</v>
      </c>
      <c r="BF1971" s="8">
        <v>140.61</v>
      </c>
      <c r="BG1971" s="7">
        <v>-0.4</v>
      </c>
      <c r="BH1971" s="7">
        <v>-0.4395</v>
      </c>
      <c r="BI1971" s="7">
        <v>1</v>
      </c>
      <c r="BJ1971" s="4">
        <v>45</v>
      </c>
      <c r="BK1971" s="8">
        <v>1046.03</v>
      </c>
      <c r="BL1971" s="2" t="s">
        <v>6716</v>
      </c>
      <c r="BM1971" s="7">
        <v>0.0667</v>
      </c>
      <c r="BN1971" s="7">
        <v>0.0753</v>
      </c>
      <c r="BO1971" s="4">
        <v>3</v>
      </c>
      <c r="BP1971" s="8">
        <v>78.81</v>
      </c>
      <c r="BQ1971" s="4">
        <v>3</v>
      </c>
      <c r="BR1971" s="8">
        <v>83.44</v>
      </c>
      <c r="BS1971" s="7"/>
      <c r="BT1971" s="7">
        <v>-0.0555</v>
      </c>
      <c r="BU1971" s="2" t="s">
        <v>109</v>
      </c>
      <c r="BV1971" s="2" t="s">
        <v>97</v>
      </c>
      <c r="BW1971" s="2" t="s">
        <v>2917</v>
      </c>
      <c r="BX1971" s="2" t="s">
        <v>6545</v>
      </c>
      <c r="BY1971" s="2" t="s">
        <v>112</v>
      </c>
      <c r="BZ1971" s="2" t="s">
        <v>100</v>
      </c>
    </row>
    <row r="1972">
      <c r="A1972" s="2" t="s">
        <v>6717</v>
      </c>
      <c r="B1972" s="2" t="s">
        <v>6098</v>
      </c>
      <c r="C1972" s="2" t="s">
        <v>88</v>
      </c>
      <c r="D1972" s="2" t="s">
        <v>6686</v>
      </c>
      <c r="E1972" s="2" t="s">
        <v>6377</v>
      </c>
      <c r="F1972" s="2" t="s">
        <v>6714</v>
      </c>
      <c r="G1972" s="2" t="s">
        <v>6714</v>
      </c>
      <c r="H1972" s="2" t="s">
        <v>6714</v>
      </c>
      <c r="I1972" s="2" t="s">
        <v>6688</v>
      </c>
      <c r="J1972" s="2" t="s">
        <v>6103</v>
      </c>
      <c r="K1972" s="2" t="s">
        <v>123</v>
      </c>
      <c r="L1972" s="3">
        <v>25.02</v>
      </c>
      <c r="M1972" s="3">
        <v>26.27</v>
      </c>
      <c r="N1972" s="3">
        <v>55.24</v>
      </c>
      <c r="O1972" s="2" t="s">
        <v>229</v>
      </c>
      <c r="P1972" s="2" t="s">
        <v>198</v>
      </c>
      <c r="Q1972" s="2" t="s">
        <v>99</v>
      </c>
      <c r="R1972" s="2" t="s">
        <v>100</v>
      </c>
      <c r="S1972" s="2" t="s">
        <v>6718</v>
      </c>
      <c r="T1972" s="2" t="s">
        <v>100</v>
      </c>
      <c r="U1972" s="2" t="s">
        <v>3531</v>
      </c>
      <c r="V1972" s="2" t="s">
        <v>4714</v>
      </c>
      <c r="W1972" s="2" t="s">
        <v>1530</v>
      </c>
      <c r="X1972" s="2" t="s">
        <v>100</v>
      </c>
      <c r="Y1972" s="2" t="s">
        <v>106</v>
      </c>
      <c r="Z1972" s="4"/>
      <c r="AA1972" s="4">
        <f>=ROUNDDOWN({0},0)</f>
      </c>
      <c r="AB1972" s="5"/>
      <c r="AC1972" s="2" t="s">
        <v>100</v>
      </c>
      <c r="AD1972" s="4"/>
      <c r="AE1972" s="4"/>
      <c r="AF1972" s="6">
        <v>63</v>
      </c>
      <c r="AG1972" s="6"/>
      <c r="AH1972" s="7">
        <v>0.0242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>
        <v>0</v>
      </c>
      <c r="AP1972" s="4"/>
      <c r="AQ1972" s="8"/>
      <c r="AR1972" s="4">
        <v>2</v>
      </c>
      <c r="AS1972" s="8">
        <v>57.17</v>
      </c>
      <c r="AT1972" s="7">
        <v>-1</v>
      </c>
      <c r="AU1972" s="7">
        <v>-1</v>
      </c>
      <c r="AV1972" s="4"/>
      <c r="AW1972" s="8"/>
      <c r="AX1972" s="4">
        <v>2</v>
      </c>
      <c r="AY1972" s="8">
        <v>57.17</v>
      </c>
      <c r="AZ1972" s="7">
        <v>-1</v>
      </c>
      <c r="BA1972" s="7">
        <v>-1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/>
      <c r="BJ1972" s="4">
        <v>1</v>
      </c>
      <c r="BK1972" s="8">
        <v>31.33</v>
      </c>
      <c r="BL1972" s="2" t="s">
        <v>6719</v>
      </c>
      <c r="BM1972" s="7"/>
      <c r="BN1972" s="7"/>
      <c r="BO1972" s="4"/>
      <c r="BP1972" s="8"/>
      <c r="BQ1972" s="4">
        <v>2</v>
      </c>
      <c r="BR1972" s="8">
        <v>57.17</v>
      </c>
      <c r="BS1972" s="7">
        <v>-1</v>
      </c>
      <c r="BT1972" s="7">
        <v>-1</v>
      </c>
      <c r="BU1972" s="2" t="s">
        <v>109</v>
      </c>
      <c r="BV1972" s="2" t="s">
        <v>552</v>
      </c>
      <c r="BW1972" s="2" t="s">
        <v>2917</v>
      </c>
      <c r="BX1972" s="2" t="s">
        <v>2147</v>
      </c>
      <c r="BY1972" s="2" t="s">
        <v>112</v>
      </c>
      <c r="BZ1972" s="2" t="s">
        <v>100</v>
      </c>
    </row>
    <row r="1973">
      <c r="A1973" s="2" t="s">
        <v>6720</v>
      </c>
      <c r="B1973" s="2" t="s">
        <v>6098</v>
      </c>
      <c r="C1973" s="2" t="s">
        <v>88</v>
      </c>
      <c r="D1973" s="2" t="s">
        <v>6686</v>
      </c>
      <c r="E1973" s="2" t="s">
        <v>6377</v>
      </c>
      <c r="F1973" s="2" t="s">
        <v>6721</v>
      </c>
      <c r="G1973" s="2" t="s">
        <v>6721</v>
      </c>
      <c r="H1973" s="2" t="s">
        <v>6721</v>
      </c>
      <c r="I1973" s="2" t="s">
        <v>6722</v>
      </c>
      <c r="J1973" s="2" t="s">
        <v>6103</v>
      </c>
      <c r="K1973" s="2" t="s">
        <v>142</v>
      </c>
      <c r="L1973" s="3">
        <v>32.38</v>
      </c>
      <c r="M1973" s="3">
        <v>34</v>
      </c>
      <c r="N1973" s="3">
        <v>67.99</v>
      </c>
      <c r="O1973" s="2" t="s">
        <v>97</v>
      </c>
      <c r="P1973" s="2" t="s">
        <v>198</v>
      </c>
      <c r="Q1973" s="2" t="s">
        <v>99</v>
      </c>
      <c r="R1973" s="2" t="s">
        <v>100</v>
      </c>
      <c r="S1973" s="2" t="s">
        <v>100</v>
      </c>
      <c r="T1973" s="2" t="s">
        <v>100</v>
      </c>
      <c r="U1973" s="2" t="s">
        <v>3531</v>
      </c>
      <c r="V1973" s="2" t="s">
        <v>1122</v>
      </c>
      <c r="W1973" s="2" t="s">
        <v>104</v>
      </c>
      <c r="X1973" s="2" t="s">
        <v>602</v>
      </c>
      <c r="Y1973" s="2" t="s">
        <v>6723</v>
      </c>
      <c r="Z1973" s="4">
        <v>58</v>
      </c>
      <c r="AA1973" s="4">
        <f>=ROUNDDOWN(41.4285714285714,0)</f>
      </c>
      <c r="AB1973" s="5">
        <v>1.4</v>
      </c>
      <c r="AC1973" s="2" t="s">
        <v>100</v>
      </c>
      <c r="AD1973" s="4"/>
      <c r="AE1973" s="4"/>
      <c r="AF1973" s="6">
        <v>63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/>
      <c r="AW1973" s="8"/>
      <c r="AX1973" s="4"/>
      <c r="AY1973" s="8"/>
      <c r="AZ1973" s="7"/>
      <c r="BA1973" s="7"/>
      <c r="BB1973" s="7"/>
      <c r="BC1973" s="4"/>
      <c r="BD1973" s="8"/>
      <c r="BE1973" s="4"/>
      <c r="BF1973" s="8"/>
      <c r="BG1973" s="7"/>
      <c r="BH1973" s="7"/>
      <c r="BI1973" s="7"/>
      <c r="BJ1973" s="4">
        <v>18</v>
      </c>
      <c r="BK1973" s="8">
        <v>697.12</v>
      </c>
      <c r="BL1973" s="2" t="s">
        <v>6724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6185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6725</v>
      </c>
      <c r="B1974" s="2" t="s">
        <v>6098</v>
      </c>
      <c r="C1974" s="2" t="s">
        <v>88</v>
      </c>
      <c r="D1974" s="2" t="s">
        <v>6686</v>
      </c>
      <c r="E1974" s="2" t="s">
        <v>6377</v>
      </c>
      <c r="F1974" s="2" t="s">
        <v>6726</v>
      </c>
      <c r="G1974" s="2" t="s">
        <v>6726</v>
      </c>
      <c r="H1974" s="2" t="s">
        <v>6726</v>
      </c>
      <c r="I1974" s="2" t="s">
        <v>6727</v>
      </c>
      <c r="J1974" s="2" t="s">
        <v>6103</v>
      </c>
      <c r="K1974" s="2" t="s">
        <v>158</v>
      </c>
      <c r="L1974" s="3">
        <v>45.33</v>
      </c>
      <c r="M1974" s="3">
        <v>47.6</v>
      </c>
      <c r="N1974" s="3">
        <v>101.99</v>
      </c>
      <c r="O1974" s="2" t="s">
        <v>97</v>
      </c>
      <c r="P1974" s="2" t="s">
        <v>143</v>
      </c>
      <c r="Q1974" s="2" t="s">
        <v>99</v>
      </c>
      <c r="R1974" s="2" t="s">
        <v>100</v>
      </c>
      <c r="S1974" s="2" t="s">
        <v>100</v>
      </c>
      <c r="T1974" s="2" t="s">
        <v>100</v>
      </c>
      <c r="U1974" s="2" t="s">
        <v>3531</v>
      </c>
      <c r="V1974" s="2" t="s">
        <v>1122</v>
      </c>
      <c r="W1974" s="2" t="s">
        <v>602</v>
      </c>
      <c r="X1974" s="2" t="s">
        <v>100</v>
      </c>
      <c r="Y1974" s="2" t="s">
        <v>6728</v>
      </c>
      <c r="Z1974" s="4">
        <v>119</v>
      </c>
      <c r="AA1974" s="4">
        <f>=ROUNDDOWN(17,0)</f>
      </c>
      <c r="AB1974" s="5">
        <v>7</v>
      </c>
      <c r="AC1974" s="2" t="s">
        <v>130</v>
      </c>
      <c r="AD1974" s="4">
        <v>120</v>
      </c>
      <c r="AE1974" s="4">
        <v>240</v>
      </c>
      <c r="AF1974" s="6">
        <v>65</v>
      </c>
      <c r="AG1974" s="6"/>
      <c r="AH1974" s="7">
        <v>0.8727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/>
      <c r="AW1974" s="8"/>
      <c r="AX1974" s="4"/>
      <c r="AY1974" s="8"/>
      <c r="AZ1974" s="7"/>
      <c r="BA1974" s="7"/>
      <c r="BB1974" s="7"/>
      <c r="BC1974" s="4"/>
      <c r="BD1974" s="8"/>
      <c r="BE1974" s="4"/>
      <c r="BF1974" s="8"/>
      <c r="BG1974" s="7"/>
      <c r="BH1974" s="7"/>
      <c r="BI1974" s="7"/>
      <c r="BJ1974" s="4">
        <v>167</v>
      </c>
      <c r="BK1974" s="8">
        <v>9319.05</v>
      </c>
      <c r="BL1974" s="2" t="s">
        <v>6729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6185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6730</v>
      </c>
      <c r="B1975" s="2" t="s">
        <v>6098</v>
      </c>
      <c r="C1975" s="2" t="s">
        <v>88</v>
      </c>
      <c r="D1975" s="2" t="s">
        <v>6686</v>
      </c>
      <c r="E1975" s="2" t="s">
        <v>6377</v>
      </c>
      <c r="F1975" s="2" t="s">
        <v>6731</v>
      </c>
      <c r="G1975" s="2" t="s">
        <v>6731</v>
      </c>
      <c r="H1975" s="2" t="s">
        <v>6731</v>
      </c>
      <c r="I1975" s="2" t="s">
        <v>6732</v>
      </c>
      <c r="J1975" s="2" t="s">
        <v>6103</v>
      </c>
      <c r="K1975" s="2" t="s">
        <v>6733</v>
      </c>
      <c r="L1975" s="3">
        <v>62.86</v>
      </c>
      <c r="M1975" s="3">
        <v>66</v>
      </c>
      <c r="N1975" s="3">
        <v>139.99</v>
      </c>
      <c r="O1975" s="2" t="s">
        <v>550</v>
      </c>
      <c r="P1975" s="2" t="s">
        <v>198</v>
      </c>
      <c r="Q1975" s="2" t="s">
        <v>99</v>
      </c>
      <c r="R1975" s="2" t="s">
        <v>100</v>
      </c>
      <c r="S1975" s="2" t="s">
        <v>100</v>
      </c>
      <c r="T1975" s="2" t="s">
        <v>100</v>
      </c>
      <c r="U1975" s="2" t="s">
        <v>3531</v>
      </c>
      <c r="V1975" s="2" t="s">
        <v>6169</v>
      </c>
      <c r="W1975" s="2" t="s">
        <v>104</v>
      </c>
      <c r="X1975" s="2" t="s">
        <v>808</v>
      </c>
      <c r="Y1975" s="2" t="s">
        <v>6728</v>
      </c>
      <c r="Z1975" s="4">
        <v>37</v>
      </c>
      <c r="AA1975" s="4">
        <f>=ROUNDDOWN(33.6363636363636,0)</f>
      </c>
      <c r="AB1975" s="5">
        <v>1.1</v>
      </c>
      <c r="AC1975" s="2" t="s">
        <v>100</v>
      </c>
      <c r="AD1975" s="4"/>
      <c r="AE1975" s="4"/>
      <c r="AF1975" s="6">
        <v>63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/>
      <c r="AW1975" s="8"/>
      <c r="AX1975" s="4"/>
      <c r="AY1975" s="8"/>
      <c r="AZ1975" s="7"/>
      <c r="BA1975" s="7"/>
      <c r="BB1975" s="7"/>
      <c r="BC1975" s="4"/>
      <c r="BD1975" s="8"/>
      <c r="BE1975" s="4"/>
      <c r="BF1975" s="8"/>
      <c r="BG1975" s="7"/>
      <c r="BH1975" s="7"/>
      <c r="BI1975" s="7"/>
      <c r="BJ1975" s="4">
        <v>14</v>
      </c>
      <c r="BK1975" s="8">
        <v>1041.49</v>
      </c>
      <c r="BL1975" s="2" t="s">
        <v>6734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147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6735</v>
      </c>
      <c r="B1976" s="2" t="s">
        <v>6098</v>
      </c>
      <c r="C1976" s="2" t="s">
        <v>88</v>
      </c>
      <c r="D1976" s="2" t="s">
        <v>6686</v>
      </c>
      <c r="E1976" s="2" t="s">
        <v>6377</v>
      </c>
      <c r="F1976" s="2" t="s">
        <v>6736</v>
      </c>
      <c r="G1976" s="2" t="s">
        <v>6736</v>
      </c>
      <c r="H1976" s="2" t="s">
        <v>6736</v>
      </c>
      <c r="I1976" s="2" t="s">
        <v>6737</v>
      </c>
      <c r="J1976" s="2" t="s">
        <v>6103</v>
      </c>
      <c r="K1976" s="2" t="s">
        <v>168</v>
      </c>
      <c r="L1976" s="3">
        <v>24.52</v>
      </c>
      <c r="M1976" s="3">
        <v>25.75</v>
      </c>
      <c r="N1976" s="3">
        <v>54.99</v>
      </c>
      <c r="O1976" s="2" t="s">
        <v>550</v>
      </c>
      <c r="P1976" s="2" t="s">
        <v>198</v>
      </c>
      <c r="Q1976" s="2" t="s">
        <v>99</v>
      </c>
      <c r="R1976" s="2" t="s">
        <v>100</v>
      </c>
      <c r="S1976" s="2" t="s">
        <v>6738</v>
      </c>
      <c r="T1976" s="2" t="s">
        <v>100</v>
      </c>
      <c r="U1976" s="2" t="s">
        <v>3531</v>
      </c>
      <c r="V1976" s="2" t="s">
        <v>491</v>
      </c>
      <c r="W1976" s="2" t="s">
        <v>104</v>
      </c>
      <c r="X1976" s="2" t="s">
        <v>100</v>
      </c>
      <c r="Y1976" s="2" t="s">
        <v>6135</v>
      </c>
      <c r="Z1976" s="4"/>
      <c r="AA1976" s="4">
        <f>=ROUNDDOWN({0},0)</f>
      </c>
      <c r="AB1976" s="5">
        <v>2</v>
      </c>
      <c r="AC1976" s="2" t="s">
        <v>100</v>
      </c>
      <c r="AD1976" s="4"/>
      <c r="AE1976" s="4"/>
      <c r="AF1976" s="6">
        <v>63</v>
      </c>
      <c r="AG1976" s="6"/>
      <c r="AH1976" s="7">
        <v>0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>
        <v>0</v>
      </c>
      <c r="AP1976" s="4"/>
      <c r="AQ1976" s="8"/>
      <c r="AR1976" s="4">
        <v>1</v>
      </c>
      <c r="AS1976" s="8">
        <v>25.75</v>
      </c>
      <c r="AT1976" s="7">
        <v>-1</v>
      </c>
      <c r="AU1976" s="7">
        <v>-1</v>
      </c>
      <c r="AV1976" s="4"/>
      <c r="AW1976" s="8"/>
      <c r="AX1976" s="4">
        <v>1</v>
      </c>
      <c r="AY1976" s="8">
        <v>25.75</v>
      </c>
      <c r="AZ1976" s="7">
        <v>-1</v>
      </c>
      <c r="BA1976" s="7">
        <v>-1</v>
      </c>
      <c r="BB1976" s="7"/>
      <c r="BC1976" s="4"/>
      <c r="BD1976" s="8"/>
      <c r="BE1976" s="4">
        <v>1</v>
      </c>
      <c r="BF1976" s="8">
        <v>25.75</v>
      </c>
      <c r="BG1976" s="7">
        <v>-1</v>
      </c>
      <c r="BH1976" s="7">
        <v>-1</v>
      </c>
      <c r="BI1976" s="7"/>
      <c r="BJ1976" s="4"/>
      <c r="BK1976" s="8"/>
      <c r="BL1976" s="2" t="s">
        <v>6739</v>
      </c>
      <c r="BM1976" s="7"/>
      <c r="BN1976" s="7"/>
      <c r="BO1976" s="4"/>
      <c r="BP1976" s="8"/>
      <c r="BQ1976" s="4">
        <v>1</v>
      </c>
      <c r="BR1976" s="8">
        <v>25.75</v>
      </c>
      <c r="BS1976" s="7">
        <v>-1</v>
      </c>
      <c r="BT1976" s="7">
        <v>-1</v>
      </c>
      <c r="BU1976" s="2" t="s">
        <v>109</v>
      </c>
      <c r="BV1976" s="2" t="s">
        <v>552</v>
      </c>
      <c r="BW1976" s="2" t="s">
        <v>6110</v>
      </c>
      <c r="BX1976" s="2" t="s">
        <v>6740</v>
      </c>
      <c r="BY1976" s="2" t="s">
        <v>112</v>
      </c>
      <c r="BZ1976" s="2" t="s">
        <v>100</v>
      </c>
    </row>
    <row r="1977">
      <c r="A1977" s="2" t="s">
        <v>6741</v>
      </c>
      <c r="B1977" s="2" t="s">
        <v>6098</v>
      </c>
      <c r="C1977" s="2" t="s">
        <v>88</v>
      </c>
      <c r="D1977" s="2" t="s">
        <v>6686</v>
      </c>
      <c r="E1977" s="2" t="s">
        <v>6377</v>
      </c>
      <c r="F1977" s="2" t="s">
        <v>6742</v>
      </c>
      <c r="G1977" s="2" t="s">
        <v>6742</v>
      </c>
      <c r="H1977" s="2" t="s">
        <v>6742</v>
      </c>
      <c r="I1977" s="2" t="s">
        <v>6743</v>
      </c>
      <c r="J1977" s="2" t="s">
        <v>6103</v>
      </c>
      <c r="K1977" s="2" t="s">
        <v>142</v>
      </c>
      <c r="L1977" s="3">
        <v>38.57</v>
      </c>
      <c r="M1977" s="3">
        <v>40.5</v>
      </c>
      <c r="N1977" s="3">
        <v>89.99</v>
      </c>
      <c r="O1977" s="2" t="s">
        <v>550</v>
      </c>
      <c r="P1977" s="2" t="s">
        <v>198</v>
      </c>
      <c r="Q1977" s="2" t="s">
        <v>99</v>
      </c>
      <c r="R1977" s="2" t="s">
        <v>100</v>
      </c>
      <c r="S1977" s="2" t="s">
        <v>6744</v>
      </c>
      <c r="T1977" s="2" t="s">
        <v>100</v>
      </c>
      <c r="U1977" s="2" t="s">
        <v>2104</v>
      </c>
      <c r="V1977" s="2" t="s">
        <v>1122</v>
      </c>
      <c r="W1977" s="2" t="s">
        <v>602</v>
      </c>
      <c r="X1977" s="2" t="s">
        <v>104</v>
      </c>
      <c r="Y1977" s="2" t="s">
        <v>3599</v>
      </c>
      <c r="Z1977" s="4">
        <v>21</v>
      </c>
      <c r="AA1977" s="4">
        <f>=ROUNDDOWN(19.0909090909091,0)</f>
      </c>
      <c r="AB1977" s="5">
        <v>1.1</v>
      </c>
      <c r="AC1977" s="2" t="s">
        <v>100</v>
      </c>
      <c r="AD1977" s="4"/>
      <c r="AE1977" s="4"/>
      <c r="AF1977" s="6">
        <v>63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/>
      <c r="AW1977" s="8"/>
      <c r="AX1977" s="4"/>
      <c r="AY1977" s="8"/>
      <c r="AZ1977" s="7"/>
      <c r="BA1977" s="7"/>
      <c r="BB1977" s="7"/>
      <c r="BC1977" s="4"/>
      <c r="BD1977" s="8"/>
      <c r="BE1977" s="4"/>
      <c r="BF1977" s="8"/>
      <c r="BG1977" s="7"/>
      <c r="BH1977" s="7"/>
      <c r="BI1977" s="7"/>
      <c r="BJ1977" s="4">
        <v>30</v>
      </c>
      <c r="BK1977" s="8">
        <v>1367.03</v>
      </c>
      <c r="BL1977" s="2" t="s">
        <v>6745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147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6746</v>
      </c>
      <c r="B1978" s="2" t="s">
        <v>6098</v>
      </c>
      <c r="C1978" s="2" t="s">
        <v>88</v>
      </c>
      <c r="D1978" s="2" t="s">
        <v>6686</v>
      </c>
      <c r="E1978" s="2" t="s">
        <v>6377</v>
      </c>
      <c r="F1978" s="2" t="s">
        <v>6747</v>
      </c>
      <c r="G1978" s="2" t="s">
        <v>6747</v>
      </c>
      <c r="H1978" s="2" t="s">
        <v>6747</v>
      </c>
      <c r="I1978" s="2" t="s">
        <v>6748</v>
      </c>
      <c r="J1978" s="2" t="s">
        <v>6103</v>
      </c>
      <c r="K1978" s="2" t="s">
        <v>158</v>
      </c>
      <c r="L1978" s="3">
        <v>36.42</v>
      </c>
      <c r="M1978" s="3">
        <v>38.24</v>
      </c>
      <c r="N1978" s="3">
        <v>76.49</v>
      </c>
      <c r="O1978" s="2" t="s">
        <v>97</v>
      </c>
      <c r="P1978" s="2" t="s">
        <v>1166</v>
      </c>
      <c r="Q1978" s="2" t="s">
        <v>99</v>
      </c>
      <c r="R1978" s="2" t="s">
        <v>100</v>
      </c>
      <c r="S1978" s="2" t="s">
        <v>100</v>
      </c>
      <c r="T1978" s="2" t="s">
        <v>100</v>
      </c>
      <c r="U1978" s="2" t="s">
        <v>3531</v>
      </c>
      <c r="V1978" s="2" t="s">
        <v>906</v>
      </c>
      <c r="W1978" s="2" t="s">
        <v>906</v>
      </c>
      <c r="X1978" s="2" t="s">
        <v>104</v>
      </c>
      <c r="Y1978" s="2" t="s">
        <v>6749</v>
      </c>
      <c r="Z1978" s="4">
        <v>34</v>
      </c>
      <c r="AA1978" s="4">
        <f>=ROUNDDOWN(11.3333333333333,0)</f>
      </c>
      <c r="AB1978" s="5">
        <v>3</v>
      </c>
      <c r="AC1978" s="2" t="s">
        <v>4747</v>
      </c>
      <c r="AD1978" s="4">
        <v>100</v>
      </c>
      <c r="AE1978" s="4">
        <v>100</v>
      </c>
      <c r="AF1978" s="6">
        <v>63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/>
      <c r="AW1978" s="8"/>
      <c r="AX1978" s="4"/>
      <c r="AY1978" s="8"/>
      <c r="AZ1978" s="7"/>
      <c r="BA1978" s="7"/>
      <c r="BB1978" s="7"/>
      <c r="BC1978" s="4"/>
      <c r="BD1978" s="8"/>
      <c r="BE1978" s="4"/>
      <c r="BF1978" s="8"/>
      <c r="BG1978" s="7"/>
      <c r="BH1978" s="7"/>
      <c r="BI1978" s="7"/>
      <c r="BJ1978" s="4">
        <v>47</v>
      </c>
      <c r="BK1978" s="8">
        <v>2181.93</v>
      </c>
      <c r="BL1978" s="2" t="s">
        <v>6750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6185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6751</v>
      </c>
      <c r="B1979" s="2" t="s">
        <v>6098</v>
      </c>
      <c r="C1979" s="2" t="s">
        <v>88</v>
      </c>
      <c r="D1979" s="2" t="s">
        <v>6686</v>
      </c>
      <c r="E1979" s="2" t="s">
        <v>6480</v>
      </c>
      <c r="F1979" s="2" t="s">
        <v>6752</v>
      </c>
      <c r="G1979" s="2" t="s">
        <v>6752</v>
      </c>
      <c r="H1979" s="2" t="s">
        <v>6752</v>
      </c>
      <c r="I1979" s="2" t="s">
        <v>6753</v>
      </c>
      <c r="J1979" s="2" t="s">
        <v>6103</v>
      </c>
      <c r="K1979" s="2" t="s">
        <v>142</v>
      </c>
      <c r="L1979" s="3">
        <v>40.71</v>
      </c>
      <c r="M1979" s="3">
        <v>42.75</v>
      </c>
      <c r="N1979" s="3">
        <v>89.99</v>
      </c>
      <c r="O1979" s="2" t="s">
        <v>229</v>
      </c>
      <c r="P1979" s="2" t="s">
        <v>198</v>
      </c>
      <c r="Q1979" s="2" t="s">
        <v>99</v>
      </c>
      <c r="R1979" s="2" t="s">
        <v>100</v>
      </c>
      <c r="S1979" s="2" t="s">
        <v>6754</v>
      </c>
      <c r="T1979" s="2" t="s">
        <v>100</v>
      </c>
      <c r="U1979" s="2" t="s">
        <v>3531</v>
      </c>
      <c r="V1979" s="2" t="s">
        <v>1122</v>
      </c>
      <c r="W1979" s="2" t="s">
        <v>602</v>
      </c>
      <c r="X1979" s="2" t="s">
        <v>100</v>
      </c>
      <c r="Y1979" s="2" t="s">
        <v>6755</v>
      </c>
      <c r="Z1979" s="4">
        <v>73</v>
      </c>
      <c r="AA1979" s="4">
        <f>=ROUNDDOWN(81.1111111111111,0)</f>
      </c>
      <c r="AB1979" s="5">
        <v>0.9</v>
      </c>
      <c r="AC1979" s="2" t="s">
        <v>100</v>
      </c>
      <c r="AD1979" s="4"/>
      <c r="AE1979" s="4"/>
      <c r="AF1979" s="6">
        <v>63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/>
      <c r="AW1979" s="8"/>
      <c r="AX1979" s="4"/>
      <c r="AY1979" s="8"/>
      <c r="AZ1979" s="7"/>
      <c r="BA1979" s="7"/>
      <c r="BB1979" s="7"/>
      <c r="BC1979" s="4"/>
      <c r="BD1979" s="8"/>
      <c r="BE1979" s="4"/>
      <c r="BF1979" s="8"/>
      <c r="BG1979" s="7"/>
      <c r="BH1979" s="7"/>
      <c r="BI1979" s="7"/>
      <c r="BJ1979" s="4">
        <v>28</v>
      </c>
      <c r="BK1979" s="8">
        <v>1366.68</v>
      </c>
      <c r="BL1979" s="2" t="s">
        <v>6756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147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6757</v>
      </c>
      <c r="B1980" s="2" t="s">
        <v>6098</v>
      </c>
      <c r="C1980" s="2" t="s">
        <v>88</v>
      </c>
      <c r="D1980" s="2" t="s">
        <v>6686</v>
      </c>
      <c r="E1980" s="2" t="s">
        <v>6480</v>
      </c>
      <c r="F1980" s="2" t="s">
        <v>6758</v>
      </c>
      <c r="G1980" s="2" t="s">
        <v>6758</v>
      </c>
      <c r="H1980" s="2" t="s">
        <v>6758</v>
      </c>
      <c r="I1980" s="2" t="s">
        <v>6759</v>
      </c>
      <c r="J1980" s="2" t="s">
        <v>6103</v>
      </c>
      <c r="K1980" s="2" t="s">
        <v>1412</v>
      </c>
      <c r="L1980" s="3">
        <v>21.31</v>
      </c>
      <c r="M1980" s="3">
        <v>22.38</v>
      </c>
      <c r="N1980" s="3">
        <v>50.99</v>
      </c>
      <c r="O1980" s="2" t="s">
        <v>97</v>
      </c>
      <c r="P1980" s="2" t="s">
        <v>182</v>
      </c>
      <c r="Q1980" s="2" t="s">
        <v>99</v>
      </c>
      <c r="R1980" s="2" t="s">
        <v>100</v>
      </c>
      <c r="S1980" s="2" t="s">
        <v>6760</v>
      </c>
      <c r="T1980" s="2" t="s">
        <v>100</v>
      </c>
      <c r="U1980" s="2" t="s">
        <v>1610</v>
      </c>
      <c r="V1980" s="2" t="s">
        <v>1275</v>
      </c>
      <c r="W1980" s="2" t="s">
        <v>759</v>
      </c>
      <c r="X1980" s="2" t="s">
        <v>104</v>
      </c>
      <c r="Y1980" s="2" t="s">
        <v>6755</v>
      </c>
      <c r="Z1980" s="4">
        <v>6</v>
      </c>
      <c r="AA1980" s="4">
        <f>=ROUNDDOWN(0.555555555555556,0)</f>
      </c>
      <c r="AB1980" s="5">
        <v>10.8</v>
      </c>
      <c r="AC1980" s="2" t="s">
        <v>107</v>
      </c>
      <c r="AD1980" s="4">
        <v>100</v>
      </c>
      <c r="AE1980" s="4">
        <v>420</v>
      </c>
      <c r="AF1980" s="6">
        <v>63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/>
      <c r="AW1980" s="8"/>
      <c r="AX1980" s="4"/>
      <c r="AY1980" s="8"/>
      <c r="AZ1980" s="7"/>
      <c r="BA1980" s="7"/>
      <c r="BB1980" s="7"/>
      <c r="BC1980" s="4"/>
      <c r="BD1980" s="8"/>
      <c r="BE1980" s="4"/>
      <c r="BF1980" s="8"/>
      <c r="BG1980" s="7"/>
      <c r="BH1980" s="7"/>
      <c r="BI1980" s="7"/>
      <c r="BJ1980" s="4">
        <v>322</v>
      </c>
      <c r="BK1980" s="8">
        <v>9004.34</v>
      </c>
      <c r="BL1980" s="2" t="s">
        <v>6761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6185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6762</v>
      </c>
      <c r="B1981" s="2" t="s">
        <v>6098</v>
      </c>
      <c r="C1981" s="2" t="s">
        <v>88</v>
      </c>
      <c r="D1981" s="2" t="s">
        <v>6763</v>
      </c>
      <c r="E1981" s="2" t="s">
        <v>6764</v>
      </c>
      <c r="F1981" s="2" t="s">
        <v>6765</v>
      </c>
      <c r="G1981" s="2" t="s">
        <v>6765</v>
      </c>
      <c r="H1981" s="2" t="s">
        <v>6765</v>
      </c>
      <c r="I1981" s="2" t="s">
        <v>6766</v>
      </c>
      <c r="J1981" s="2" t="s">
        <v>6767</v>
      </c>
      <c r="K1981" s="2" t="s">
        <v>2066</v>
      </c>
      <c r="L1981" s="3">
        <v>50.43</v>
      </c>
      <c r="M1981" s="3">
        <v>52.95</v>
      </c>
      <c r="N1981" s="3">
        <v>93.49</v>
      </c>
      <c r="O1981" s="2" t="s">
        <v>97</v>
      </c>
      <c r="P1981" s="2" t="s">
        <v>143</v>
      </c>
      <c r="Q1981" s="2" t="s">
        <v>99</v>
      </c>
      <c r="R1981" s="2" t="s">
        <v>100</v>
      </c>
      <c r="S1981" s="2" t="s">
        <v>100</v>
      </c>
      <c r="T1981" s="2" t="s">
        <v>100</v>
      </c>
      <c r="U1981" s="2" t="s">
        <v>3531</v>
      </c>
      <c r="V1981" s="2" t="s">
        <v>1122</v>
      </c>
      <c r="W1981" s="2" t="s">
        <v>100</v>
      </c>
      <c r="X1981" s="2" t="s">
        <v>100</v>
      </c>
      <c r="Y1981" s="2" t="s">
        <v>1322</v>
      </c>
      <c r="Z1981" s="4">
        <v>155</v>
      </c>
      <c r="AA1981" s="4">
        <f>=ROUNDDOWN(11.9230769230769,0)</f>
      </c>
      <c r="AB1981" s="5">
        <v>13</v>
      </c>
      <c r="AC1981" s="2" t="s">
        <v>527</v>
      </c>
      <c r="AD1981" s="4">
        <v>120</v>
      </c>
      <c r="AE1981" s="4">
        <v>280</v>
      </c>
      <c r="AF1981" s="6">
        <v>65</v>
      </c>
      <c r="AG1981" s="6"/>
      <c r="AH1981" s="7">
        <v>0.9455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>
        <v>0</v>
      </c>
      <c r="AP1981" s="4">
        <v>2</v>
      </c>
      <c r="AQ1981" s="8">
        <v>105.9</v>
      </c>
      <c r="AR1981" s="4">
        <v>14</v>
      </c>
      <c r="AS1981" s="8">
        <v>844.15</v>
      </c>
      <c r="AT1981" s="7">
        <v>-0.8571</v>
      </c>
      <c r="AU1981" s="7">
        <v>-0.8745</v>
      </c>
      <c r="AV1981" s="4">
        <v>5</v>
      </c>
      <c r="AW1981" s="8">
        <v>165.63</v>
      </c>
      <c r="AX1981" s="4">
        <v>17</v>
      </c>
      <c r="AY1981" s="8">
        <v>903.88</v>
      </c>
      <c r="AZ1981" s="7">
        <v>-0.7059</v>
      </c>
      <c r="BA1981" s="7">
        <v>-0.8168</v>
      </c>
      <c r="BB1981" s="7">
        <v>0.6394</v>
      </c>
      <c r="BC1981" s="4">
        <v>7</v>
      </c>
      <c r="BD1981" s="8">
        <v>271.53</v>
      </c>
      <c r="BE1981" s="4">
        <v>29</v>
      </c>
      <c r="BF1981" s="8">
        <v>1595.38</v>
      </c>
      <c r="BG1981" s="7">
        <v>-0.7586</v>
      </c>
      <c r="BH1981" s="7">
        <v>-0.8298</v>
      </c>
      <c r="BI1981" s="7">
        <v>0.61</v>
      </c>
      <c r="BJ1981" s="4">
        <v>293</v>
      </c>
      <c r="BK1981" s="8">
        <v>16546.67</v>
      </c>
      <c r="BL1981" s="2" t="s">
        <v>6768</v>
      </c>
      <c r="BM1981" s="7">
        <v>0.0068</v>
      </c>
      <c r="BN1981" s="7">
        <v>0.0064</v>
      </c>
      <c r="BO1981" s="4">
        <v>2</v>
      </c>
      <c r="BP1981" s="8">
        <v>105.9</v>
      </c>
      <c r="BQ1981" s="4">
        <v>14</v>
      </c>
      <c r="BR1981" s="8">
        <v>844.15</v>
      </c>
      <c r="BS1981" s="7">
        <v>-0.8571</v>
      </c>
      <c r="BT1981" s="7">
        <v>-0.8745</v>
      </c>
      <c r="BU1981" s="2" t="s">
        <v>109</v>
      </c>
      <c r="BV1981" s="2" t="s">
        <v>97</v>
      </c>
      <c r="BW1981" s="2" t="s">
        <v>2917</v>
      </c>
      <c r="BX1981" s="2" t="s">
        <v>6391</v>
      </c>
      <c r="BY1981" s="2" t="s">
        <v>112</v>
      </c>
      <c r="BZ1981" s="2" t="s">
        <v>100</v>
      </c>
    </row>
    <row r="1982">
      <c r="A1982" s="2" t="s">
        <v>6769</v>
      </c>
      <c r="B1982" s="2" t="s">
        <v>6098</v>
      </c>
      <c r="C1982" s="2" t="s">
        <v>88</v>
      </c>
      <c r="D1982" s="2" t="s">
        <v>6763</v>
      </c>
      <c r="E1982" s="2" t="s">
        <v>6764</v>
      </c>
      <c r="F1982" s="2" t="s">
        <v>6765</v>
      </c>
      <c r="G1982" s="2" t="s">
        <v>6765</v>
      </c>
      <c r="H1982" s="2" t="s">
        <v>6765</v>
      </c>
      <c r="I1982" s="2" t="s">
        <v>6770</v>
      </c>
      <c r="J1982" s="2" t="s">
        <v>6771</v>
      </c>
      <c r="K1982" s="2" t="s">
        <v>2066</v>
      </c>
      <c r="L1982" s="3">
        <v>18.95</v>
      </c>
      <c r="M1982" s="3">
        <v>19.9</v>
      </c>
      <c r="N1982" s="3">
        <v>42.49</v>
      </c>
      <c r="O1982" s="2" t="s">
        <v>97</v>
      </c>
      <c r="P1982" s="2" t="s">
        <v>182</v>
      </c>
      <c r="Q1982" s="2" t="s">
        <v>99</v>
      </c>
      <c r="R1982" s="2" t="s">
        <v>100</v>
      </c>
      <c r="S1982" s="2" t="s">
        <v>100</v>
      </c>
      <c r="T1982" s="2" t="s">
        <v>100</v>
      </c>
      <c r="U1982" s="2" t="s">
        <v>3531</v>
      </c>
      <c r="V1982" s="2" t="s">
        <v>1122</v>
      </c>
      <c r="W1982" s="2" t="s">
        <v>100</v>
      </c>
      <c r="X1982" s="2" t="s">
        <v>100</v>
      </c>
      <c r="Y1982" s="2" t="s">
        <v>1322</v>
      </c>
      <c r="Z1982" s="4">
        <v>213</v>
      </c>
      <c r="AA1982" s="4">
        <f>=ROUNDDOWN(14.8951048951049,0)</f>
      </c>
      <c r="AB1982" s="5">
        <v>14.3</v>
      </c>
      <c r="AC1982" s="2" t="s">
        <v>527</v>
      </c>
      <c r="AD1982" s="4">
        <v>200</v>
      </c>
      <c r="AE1982" s="4">
        <v>200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>
        <v>0</v>
      </c>
      <c r="AP1982" s="4">
        <v>3</v>
      </c>
      <c r="AQ1982" s="8">
        <v>59.73</v>
      </c>
      <c r="AR1982" s="4">
        <v>3</v>
      </c>
      <c r="AS1982" s="8">
        <v>59.73</v>
      </c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>
        <v>0.3606</v>
      </c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 t="s">
        <v>100</v>
      </c>
      <c r="BJ1982" s="4">
        <v>413</v>
      </c>
      <c r="BK1982" s="8">
        <v>9181.36</v>
      </c>
      <c r="BL1982" s="2" t="s">
        <v>6772</v>
      </c>
      <c r="BM1982" s="7">
        <v>0.0073</v>
      </c>
      <c r="BN1982" s="7">
        <v>0.0065</v>
      </c>
      <c r="BO1982" s="4">
        <v>3</v>
      </c>
      <c r="BP1982" s="8">
        <v>59.73</v>
      </c>
      <c r="BQ1982" s="4">
        <v>3</v>
      </c>
      <c r="BR1982" s="8">
        <v>59.73</v>
      </c>
      <c r="BS1982" s="7"/>
      <c r="BT1982" s="7"/>
      <c r="BU1982" s="2" t="s">
        <v>109</v>
      </c>
      <c r="BV1982" s="2" t="s">
        <v>97</v>
      </c>
      <c r="BW1982" s="2" t="s">
        <v>2917</v>
      </c>
      <c r="BX1982" s="2" t="s">
        <v>4736</v>
      </c>
      <c r="BY1982" s="2" t="s">
        <v>112</v>
      </c>
      <c r="BZ1982" s="2" t="s">
        <v>100</v>
      </c>
    </row>
    <row r="1983">
      <c r="A1983" s="2" t="s">
        <v>6773</v>
      </c>
      <c r="B1983" s="2" t="s">
        <v>6098</v>
      </c>
      <c r="C1983" s="2" t="s">
        <v>88</v>
      </c>
      <c r="D1983" s="2" t="s">
        <v>6763</v>
      </c>
      <c r="E1983" s="2" t="s">
        <v>6764</v>
      </c>
      <c r="F1983" s="2" t="s">
        <v>6765</v>
      </c>
      <c r="G1983" s="2" t="s">
        <v>6765</v>
      </c>
      <c r="H1983" s="2" t="s">
        <v>6765</v>
      </c>
      <c r="I1983" s="2" t="s">
        <v>6766</v>
      </c>
      <c r="J1983" s="2" t="s">
        <v>6767</v>
      </c>
      <c r="K1983" s="2" t="s">
        <v>1660</v>
      </c>
      <c r="L1983" s="3">
        <v>50.43</v>
      </c>
      <c r="M1983" s="3">
        <v>52.95</v>
      </c>
      <c r="N1983" s="3">
        <v>93.49</v>
      </c>
      <c r="O1983" s="2" t="s">
        <v>97</v>
      </c>
      <c r="P1983" s="2" t="s">
        <v>182</v>
      </c>
      <c r="Q1983" s="2" t="s">
        <v>99</v>
      </c>
      <c r="R1983" s="2" t="s">
        <v>100</v>
      </c>
      <c r="S1983" s="2" t="s">
        <v>6774</v>
      </c>
      <c r="T1983" s="2" t="s">
        <v>100</v>
      </c>
      <c r="U1983" s="2" t="s">
        <v>3531</v>
      </c>
      <c r="V1983" s="2" t="s">
        <v>1122</v>
      </c>
      <c r="W1983" s="2" t="s">
        <v>602</v>
      </c>
      <c r="X1983" s="2" t="s">
        <v>1190</v>
      </c>
      <c r="Y1983" s="2" t="s">
        <v>5209</v>
      </c>
      <c r="Z1983" s="4">
        <v>67</v>
      </c>
      <c r="AA1983" s="4">
        <f>=ROUNDDOWN(22.3333333333333,0)</f>
      </c>
      <c r="AB1983" s="5">
        <v>3</v>
      </c>
      <c r="AC1983" s="2" t="s">
        <v>527</v>
      </c>
      <c r="AD1983" s="4">
        <v>100</v>
      </c>
      <c r="AE1983" s="4">
        <v>100</v>
      </c>
      <c r="AF1983" s="6">
        <v>65</v>
      </c>
      <c r="AG1983" s="6"/>
      <c r="AH1983" s="7">
        <v>0.7576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>
        <v>0</v>
      </c>
      <c r="AP1983" s="4">
        <v>2</v>
      </c>
      <c r="AQ1983" s="8">
        <v>105.9</v>
      </c>
      <c r="AR1983" s="4">
        <v>12</v>
      </c>
      <c r="AS1983" s="8">
        <v>691.5</v>
      </c>
      <c r="AT1983" s="7">
        <v>-0.8333</v>
      </c>
      <c r="AU1983" s="7">
        <v>-0.8469</v>
      </c>
      <c r="AV1983" s="4">
        <v>2</v>
      </c>
      <c r="AW1983" s="8">
        <v>105.9</v>
      </c>
      <c r="AX1983" s="4">
        <v>12</v>
      </c>
      <c r="AY1983" s="8">
        <v>691.5</v>
      </c>
      <c r="AZ1983" s="7">
        <v>-0.8333</v>
      </c>
      <c r="BA1983" s="7">
        <v>-0.8469</v>
      </c>
      <c r="BB1983" s="7">
        <v>1</v>
      </c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>
        <v>0.39</v>
      </c>
      <c r="BJ1983" s="4">
        <v>59</v>
      </c>
      <c r="BK1983" s="8">
        <v>3748.61</v>
      </c>
      <c r="BL1983" s="2" t="s">
        <v>6775</v>
      </c>
      <c r="BM1983" s="7">
        <v>0.0339</v>
      </c>
      <c r="BN1983" s="7">
        <v>0.0283</v>
      </c>
      <c r="BO1983" s="4">
        <v>2</v>
      </c>
      <c r="BP1983" s="8">
        <v>105.9</v>
      </c>
      <c r="BQ1983" s="4">
        <v>12</v>
      </c>
      <c r="BR1983" s="8">
        <v>691.5</v>
      </c>
      <c r="BS1983" s="7">
        <v>-0.8333</v>
      </c>
      <c r="BT1983" s="7">
        <v>-0.8469</v>
      </c>
      <c r="BU1983" s="2" t="s">
        <v>109</v>
      </c>
      <c r="BV1983" s="2" t="s">
        <v>97</v>
      </c>
      <c r="BW1983" s="2" t="s">
        <v>6728</v>
      </c>
      <c r="BX1983" s="2" t="s">
        <v>6424</v>
      </c>
      <c r="BY1983" s="2" t="s">
        <v>112</v>
      </c>
      <c r="BZ1983" s="2" t="s">
        <v>100</v>
      </c>
    </row>
    <row r="1984">
      <c r="A1984" s="2" t="s">
        <v>6776</v>
      </c>
      <c r="B1984" s="2" t="s">
        <v>6098</v>
      </c>
      <c r="C1984" s="2" t="s">
        <v>88</v>
      </c>
      <c r="D1984" s="2" t="s">
        <v>6763</v>
      </c>
      <c r="E1984" s="2" t="s">
        <v>6764</v>
      </c>
      <c r="F1984" s="2" t="s">
        <v>1635</v>
      </c>
      <c r="G1984" s="2" t="s">
        <v>1635</v>
      </c>
      <c r="H1984" s="2" t="s">
        <v>1635</v>
      </c>
      <c r="I1984" s="2" t="s">
        <v>6777</v>
      </c>
      <c r="J1984" s="2" t="s">
        <v>6103</v>
      </c>
      <c r="K1984" s="2" t="s">
        <v>123</v>
      </c>
      <c r="L1984" s="3">
        <v>57.85</v>
      </c>
      <c r="M1984" s="3">
        <v>60.74</v>
      </c>
      <c r="N1984" s="3">
        <v>114.74</v>
      </c>
      <c r="O1984" s="2" t="s">
        <v>97</v>
      </c>
      <c r="P1984" s="2" t="s">
        <v>182</v>
      </c>
      <c r="Q1984" s="2" t="s">
        <v>99</v>
      </c>
      <c r="R1984" s="2" t="s">
        <v>100</v>
      </c>
      <c r="S1984" s="2" t="s">
        <v>6778</v>
      </c>
      <c r="T1984" s="2" t="s">
        <v>100</v>
      </c>
      <c r="U1984" s="2" t="s">
        <v>3531</v>
      </c>
      <c r="V1984" s="2" t="s">
        <v>601</v>
      </c>
      <c r="W1984" s="2" t="s">
        <v>906</v>
      </c>
      <c r="X1984" s="2" t="s">
        <v>759</v>
      </c>
      <c r="Y1984" s="2" t="s">
        <v>6523</v>
      </c>
      <c r="Z1984" s="4">
        <v>130</v>
      </c>
      <c r="AA1984" s="4">
        <f>=ROUNDDOWN(21.6666666666667,0)</f>
      </c>
      <c r="AB1984" s="5">
        <v>6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/>
      <c r="AW1984" s="8"/>
      <c r="AX1984" s="4"/>
      <c r="AY1984" s="8"/>
      <c r="AZ1984" s="7"/>
      <c r="BA1984" s="7"/>
      <c r="BB1984" s="7"/>
      <c r="BC1984" s="4"/>
      <c r="BD1984" s="8"/>
      <c r="BE1984" s="4"/>
      <c r="BF1984" s="8"/>
      <c r="BG1984" s="7"/>
      <c r="BH1984" s="7"/>
      <c r="BI1984" s="7"/>
      <c r="BJ1984" s="4">
        <v>119</v>
      </c>
      <c r="BK1984" s="8">
        <v>7936.68</v>
      </c>
      <c r="BL1984" s="2" t="s">
        <v>6779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6185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6780</v>
      </c>
      <c r="B1985" s="2" t="s">
        <v>6098</v>
      </c>
      <c r="C1985" s="2" t="s">
        <v>88</v>
      </c>
      <c r="D1985" s="2" t="s">
        <v>6763</v>
      </c>
      <c r="E1985" s="2" t="s">
        <v>6781</v>
      </c>
      <c r="F1985" s="2" t="s">
        <v>6782</v>
      </c>
      <c r="G1985" s="2" t="s">
        <v>6782</v>
      </c>
      <c r="H1985" s="2" t="s">
        <v>6782</v>
      </c>
      <c r="I1985" s="2" t="s">
        <v>6783</v>
      </c>
      <c r="J1985" s="2" t="s">
        <v>6784</v>
      </c>
      <c r="K1985" s="2" t="s">
        <v>2066</v>
      </c>
      <c r="L1985" s="3">
        <v>40.47</v>
      </c>
      <c r="M1985" s="3">
        <v>42.49</v>
      </c>
      <c r="N1985" s="3">
        <v>84.99</v>
      </c>
      <c r="O1985" s="2" t="s">
        <v>97</v>
      </c>
      <c r="P1985" s="2" t="s">
        <v>182</v>
      </c>
      <c r="Q1985" s="2" t="s">
        <v>99</v>
      </c>
      <c r="R1985" s="2" t="s">
        <v>100</v>
      </c>
      <c r="S1985" s="2" t="s">
        <v>100</v>
      </c>
      <c r="T1985" s="2" t="s">
        <v>100</v>
      </c>
      <c r="U1985" s="2" t="s">
        <v>3531</v>
      </c>
      <c r="V1985" s="2" t="s">
        <v>1752</v>
      </c>
      <c r="W1985" s="2" t="s">
        <v>1190</v>
      </c>
      <c r="X1985" s="2" t="s">
        <v>100</v>
      </c>
      <c r="Y1985" s="2" t="s">
        <v>435</v>
      </c>
      <c r="Z1985" s="4">
        <v>111</v>
      </c>
      <c r="AA1985" s="4">
        <f>=ROUNDDOWN(22.6530612244898,0)</f>
      </c>
      <c r="AB1985" s="5">
        <v>4.9</v>
      </c>
      <c r="AC1985" s="2" t="s">
        <v>100</v>
      </c>
      <c r="AD1985" s="4"/>
      <c r="AE1985" s="4"/>
      <c r="AF1985" s="6">
        <v>65</v>
      </c>
      <c r="AG1985" s="6"/>
      <c r="AH1985" s="7">
        <v>0.6485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78</v>
      </c>
      <c r="BK1985" s="8">
        <v>4055.46</v>
      </c>
      <c r="BL1985" s="2" t="s">
        <v>6785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6185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6786</v>
      </c>
      <c r="B1986" s="2" t="s">
        <v>6098</v>
      </c>
      <c r="C1986" s="2" t="s">
        <v>88</v>
      </c>
      <c r="D1986" s="2" t="s">
        <v>6763</v>
      </c>
      <c r="E1986" s="2" t="s">
        <v>6781</v>
      </c>
      <c r="F1986" s="2" t="s">
        <v>6782</v>
      </c>
      <c r="G1986" s="2" t="s">
        <v>6782</v>
      </c>
      <c r="H1986" s="2" t="s">
        <v>6782</v>
      </c>
      <c r="I1986" s="2" t="s">
        <v>6783</v>
      </c>
      <c r="J1986" s="2" t="s">
        <v>6787</v>
      </c>
      <c r="K1986" s="2" t="s">
        <v>2066</v>
      </c>
      <c r="L1986" s="3">
        <v>47.62</v>
      </c>
      <c r="M1986" s="3">
        <v>50</v>
      </c>
      <c r="N1986" s="3">
        <v>99.99</v>
      </c>
      <c r="O1986" s="2" t="s">
        <v>97</v>
      </c>
      <c r="P1986" s="2" t="s">
        <v>1166</v>
      </c>
      <c r="Q1986" s="2" t="s">
        <v>99</v>
      </c>
      <c r="R1986" s="2" t="s">
        <v>100</v>
      </c>
      <c r="S1986" s="2" t="s">
        <v>100</v>
      </c>
      <c r="T1986" s="2" t="s">
        <v>100</v>
      </c>
      <c r="U1986" s="2" t="s">
        <v>3531</v>
      </c>
      <c r="V1986" s="2" t="s">
        <v>1752</v>
      </c>
      <c r="W1986" s="2" t="s">
        <v>1190</v>
      </c>
      <c r="X1986" s="2" t="s">
        <v>100</v>
      </c>
      <c r="Y1986" s="2" t="s">
        <v>100</v>
      </c>
      <c r="Z1986" s="4"/>
      <c r="AA1986" s="4">
        <f>=ROUNDDOWN({0},0)</f>
      </c>
      <c r="AB1986" s="5"/>
      <c r="AC1986" s="2" t="s">
        <v>6501</v>
      </c>
      <c r="AD1986" s="4">
        <v>100</v>
      </c>
      <c r="AE1986" s="4">
        <v>100</v>
      </c>
      <c r="AF1986" s="6">
        <v>65</v>
      </c>
      <c r="AG1986" s="6"/>
      <c r="AH1986" s="7">
        <v>0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/>
      <c r="BK1986" s="8"/>
      <c r="BL1986" s="2" t="s">
        <v>100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147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6788</v>
      </c>
      <c r="B1987" s="2" t="s">
        <v>6098</v>
      </c>
      <c r="C1987" s="2" t="s">
        <v>88</v>
      </c>
      <c r="D1987" s="2" t="s">
        <v>6763</v>
      </c>
      <c r="E1987" s="2" t="s">
        <v>6781</v>
      </c>
      <c r="F1987" s="2" t="s">
        <v>6789</v>
      </c>
      <c r="G1987" s="2" t="s">
        <v>6789</v>
      </c>
      <c r="H1987" s="2" t="s">
        <v>6789</v>
      </c>
      <c r="I1987" s="2" t="s">
        <v>6790</v>
      </c>
      <c r="J1987" s="2" t="s">
        <v>6103</v>
      </c>
      <c r="K1987" s="2" t="s">
        <v>2066</v>
      </c>
      <c r="L1987" s="3">
        <v>40.47</v>
      </c>
      <c r="M1987" s="3">
        <v>42.49</v>
      </c>
      <c r="N1987" s="3">
        <v>84.99</v>
      </c>
      <c r="O1987" s="2" t="s">
        <v>97</v>
      </c>
      <c r="P1987" s="2" t="s">
        <v>182</v>
      </c>
      <c r="Q1987" s="2" t="s">
        <v>99</v>
      </c>
      <c r="R1987" s="2" t="s">
        <v>100</v>
      </c>
      <c r="S1987" s="2" t="s">
        <v>100</v>
      </c>
      <c r="T1987" s="2" t="s">
        <v>100</v>
      </c>
      <c r="U1987" s="2" t="s">
        <v>3531</v>
      </c>
      <c r="V1987" s="2" t="s">
        <v>1752</v>
      </c>
      <c r="W1987" s="2" t="s">
        <v>1190</v>
      </c>
      <c r="X1987" s="2" t="s">
        <v>405</v>
      </c>
      <c r="Y1987" s="2" t="s">
        <v>3683</v>
      </c>
      <c r="Z1987" s="4">
        <v>228</v>
      </c>
      <c r="AA1987" s="4">
        <f>=ROUNDDOWN(16.2857142857143,0)</f>
      </c>
      <c r="AB1987" s="5">
        <v>14</v>
      </c>
      <c r="AC1987" s="2" t="s">
        <v>847</v>
      </c>
      <c r="AD1987" s="4">
        <v>230</v>
      </c>
      <c r="AE1987" s="4">
        <v>230</v>
      </c>
      <c r="AF1987" s="6">
        <v>65</v>
      </c>
      <c r="AG1987" s="6"/>
      <c r="AH1987" s="7">
        <v>0.4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211</v>
      </c>
      <c r="BK1987" s="8">
        <v>9691.67</v>
      </c>
      <c r="BL1987" s="2" t="s">
        <v>6791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6185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6792</v>
      </c>
      <c r="B1988" s="2" t="s">
        <v>6098</v>
      </c>
      <c r="C1988" s="2" t="s">
        <v>88</v>
      </c>
      <c r="D1988" s="2" t="s">
        <v>6763</v>
      </c>
      <c r="E1988" s="2" t="s">
        <v>6781</v>
      </c>
      <c r="F1988" s="2" t="s">
        <v>6793</v>
      </c>
      <c r="G1988" s="2" t="s">
        <v>6793</v>
      </c>
      <c r="H1988" s="2" t="s">
        <v>6793</v>
      </c>
      <c r="I1988" s="2" t="s">
        <v>6794</v>
      </c>
      <c r="J1988" s="2" t="s">
        <v>6103</v>
      </c>
      <c r="K1988" s="2" t="s">
        <v>2066</v>
      </c>
      <c r="L1988" s="3">
        <v>57.14</v>
      </c>
      <c r="M1988" s="3">
        <v>60</v>
      </c>
      <c r="N1988" s="3">
        <v>119.99</v>
      </c>
      <c r="O1988" s="2" t="s">
        <v>97</v>
      </c>
      <c r="P1988" s="2" t="s">
        <v>1166</v>
      </c>
      <c r="Q1988" s="2" t="s">
        <v>99</v>
      </c>
      <c r="R1988" s="2" t="s">
        <v>100</v>
      </c>
      <c r="S1988" s="2" t="s">
        <v>100</v>
      </c>
      <c r="T1988" s="2" t="s">
        <v>100</v>
      </c>
      <c r="U1988" s="2" t="s">
        <v>3531</v>
      </c>
      <c r="V1988" s="2" t="s">
        <v>1752</v>
      </c>
      <c r="W1988" s="2" t="s">
        <v>1190</v>
      </c>
      <c r="X1988" s="2" t="s">
        <v>405</v>
      </c>
      <c r="Y1988" s="2" t="s">
        <v>1781</v>
      </c>
      <c r="Z1988" s="4">
        <v>99</v>
      </c>
      <c r="AA1988" s="4">
        <f>=ROUNDDOWN(247.5,0)</f>
      </c>
      <c r="AB1988" s="5">
        <v>0.4</v>
      </c>
      <c r="AC1988" s="2" t="s">
        <v>100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/>
      <c r="AW1988" s="8"/>
      <c r="AX1988" s="4"/>
      <c r="AY1988" s="8"/>
      <c r="AZ1988" s="7"/>
      <c r="BA1988" s="7"/>
      <c r="BB1988" s="7"/>
      <c r="BC1988" s="4"/>
      <c r="BD1988" s="8"/>
      <c r="BE1988" s="4"/>
      <c r="BF1988" s="8"/>
      <c r="BG1988" s="7"/>
      <c r="BH1988" s="7"/>
      <c r="BI1988" s="7"/>
      <c r="BJ1988" s="4">
        <v>1</v>
      </c>
      <c r="BK1988" s="8">
        <v>65.71</v>
      </c>
      <c r="BL1988" s="2" t="s">
        <v>6795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147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6796</v>
      </c>
      <c r="B1989" s="2" t="s">
        <v>6098</v>
      </c>
      <c r="C1989" s="2" t="s">
        <v>88</v>
      </c>
      <c r="D1989" s="2" t="s">
        <v>6763</v>
      </c>
      <c r="E1989" s="2" t="s">
        <v>6781</v>
      </c>
      <c r="F1989" s="2" t="s">
        <v>6797</v>
      </c>
      <c r="G1989" s="2" t="s">
        <v>6797</v>
      </c>
      <c r="H1989" s="2" t="s">
        <v>6797</v>
      </c>
      <c r="I1989" s="2" t="s">
        <v>6798</v>
      </c>
      <c r="J1989" s="2" t="s">
        <v>6103</v>
      </c>
      <c r="K1989" s="2" t="s">
        <v>2066</v>
      </c>
      <c r="L1989" s="3">
        <v>76.9</v>
      </c>
      <c r="M1989" s="3">
        <v>80.74</v>
      </c>
      <c r="N1989" s="3">
        <v>161.49</v>
      </c>
      <c r="O1989" s="2" t="s">
        <v>97</v>
      </c>
      <c r="P1989" s="2" t="s">
        <v>143</v>
      </c>
      <c r="Q1989" s="2" t="s">
        <v>99</v>
      </c>
      <c r="R1989" s="2" t="s">
        <v>100</v>
      </c>
      <c r="S1989" s="2" t="s">
        <v>100</v>
      </c>
      <c r="T1989" s="2" t="s">
        <v>100</v>
      </c>
      <c r="U1989" s="2" t="s">
        <v>3531</v>
      </c>
      <c r="V1989" s="2" t="s">
        <v>1752</v>
      </c>
      <c r="W1989" s="2" t="s">
        <v>1190</v>
      </c>
      <c r="X1989" s="2" t="s">
        <v>405</v>
      </c>
      <c r="Y1989" s="2" t="s">
        <v>3683</v>
      </c>
      <c r="Z1989" s="4">
        <v>89</v>
      </c>
      <c r="AA1989" s="4">
        <f>=ROUNDDOWN(12.7142857142857,0)</f>
      </c>
      <c r="AB1989" s="5">
        <v>7</v>
      </c>
      <c r="AC1989" s="2" t="s">
        <v>527</v>
      </c>
      <c r="AD1989" s="4">
        <v>120</v>
      </c>
      <c r="AE1989" s="4">
        <v>120</v>
      </c>
      <c r="AF1989" s="6">
        <v>65</v>
      </c>
      <c r="AG1989" s="6"/>
      <c r="AH1989" s="7">
        <v>0.5636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/>
      <c r="AW1989" s="8"/>
      <c r="AX1989" s="4"/>
      <c r="AY1989" s="8"/>
      <c r="AZ1989" s="7"/>
      <c r="BA1989" s="7"/>
      <c r="BB1989" s="7"/>
      <c r="BC1989" s="4"/>
      <c r="BD1989" s="8"/>
      <c r="BE1989" s="4"/>
      <c r="BF1989" s="8"/>
      <c r="BG1989" s="7"/>
      <c r="BH1989" s="7"/>
      <c r="BI1989" s="7"/>
      <c r="BJ1989" s="4">
        <v>91</v>
      </c>
      <c r="BK1989" s="8">
        <v>9409.42</v>
      </c>
      <c r="BL1989" s="2" t="s">
        <v>6799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6185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6800</v>
      </c>
      <c r="B1990" s="2" t="s">
        <v>6098</v>
      </c>
      <c r="C1990" s="2" t="s">
        <v>88</v>
      </c>
      <c r="D1990" s="2" t="s">
        <v>6763</v>
      </c>
      <c r="E1990" s="2" t="s">
        <v>6781</v>
      </c>
      <c r="F1990" s="2" t="s">
        <v>6801</v>
      </c>
      <c r="G1990" s="2" t="s">
        <v>6801</v>
      </c>
      <c r="H1990" s="2" t="s">
        <v>6801</v>
      </c>
      <c r="I1990" s="2" t="s">
        <v>6802</v>
      </c>
      <c r="J1990" s="2" t="s">
        <v>6103</v>
      </c>
      <c r="K1990" s="2" t="s">
        <v>2066</v>
      </c>
      <c r="L1990" s="3">
        <v>71.42</v>
      </c>
      <c r="M1990" s="3">
        <v>75</v>
      </c>
      <c r="N1990" s="3">
        <v>149.99</v>
      </c>
      <c r="O1990" s="2" t="s">
        <v>97</v>
      </c>
      <c r="P1990" s="2" t="s">
        <v>1166</v>
      </c>
      <c r="Q1990" s="2" t="s">
        <v>99</v>
      </c>
      <c r="R1990" s="2" t="s">
        <v>100</v>
      </c>
      <c r="S1990" s="2" t="s">
        <v>100</v>
      </c>
      <c r="T1990" s="2" t="s">
        <v>100</v>
      </c>
      <c r="U1990" s="2" t="s">
        <v>3531</v>
      </c>
      <c r="V1990" s="2" t="s">
        <v>1752</v>
      </c>
      <c r="W1990" s="2" t="s">
        <v>1190</v>
      </c>
      <c r="X1990" s="2" t="s">
        <v>1190</v>
      </c>
      <c r="Y1990" s="2" t="s">
        <v>1012</v>
      </c>
      <c r="Z1990" s="4">
        <v>91</v>
      </c>
      <c r="AA1990" s="4">
        <f>=ROUNDDOWN(45.5,0)</f>
      </c>
      <c r="AB1990" s="5">
        <v>2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/>
      <c r="BD1990" s="8"/>
      <c r="BE1990" s="4"/>
      <c r="BF1990" s="8"/>
      <c r="BG1990" s="7"/>
      <c r="BH1990" s="7"/>
      <c r="BI1990" s="7"/>
      <c r="BJ1990" s="4">
        <v>9</v>
      </c>
      <c r="BK1990" s="8">
        <v>717.19</v>
      </c>
      <c r="BL1990" s="2" t="s">
        <v>6803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147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6804</v>
      </c>
      <c r="B1991" s="2" t="s">
        <v>6098</v>
      </c>
      <c r="C1991" s="2" t="s">
        <v>88</v>
      </c>
      <c r="D1991" s="2" t="s">
        <v>6805</v>
      </c>
      <c r="E1991" s="2" t="s">
        <v>6806</v>
      </c>
      <c r="F1991" s="2" t="s">
        <v>6807</v>
      </c>
      <c r="G1991" s="2" t="s">
        <v>6808</v>
      </c>
      <c r="H1991" s="2" t="s">
        <v>6809</v>
      </c>
      <c r="I1991" s="2" t="s">
        <v>6810</v>
      </c>
      <c r="J1991" s="2" t="s">
        <v>6103</v>
      </c>
      <c r="K1991" s="2" t="s">
        <v>3764</v>
      </c>
      <c r="L1991" s="3">
        <v>34.24</v>
      </c>
      <c r="M1991" s="3">
        <v>35.95</v>
      </c>
      <c r="N1991" s="3">
        <v>69.69</v>
      </c>
      <c r="O1991" s="2" t="s">
        <v>97</v>
      </c>
      <c r="P1991" s="2" t="s">
        <v>1265</v>
      </c>
      <c r="Q1991" s="2" t="s">
        <v>99</v>
      </c>
      <c r="R1991" s="2" t="s">
        <v>100</v>
      </c>
      <c r="S1991" s="2" t="s">
        <v>6811</v>
      </c>
      <c r="T1991" s="2" t="s">
        <v>100</v>
      </c>
      <c r="U1991" s="2" t="s">
        <v>1610</v>
      </c>
      <c r="V1991" s="2" t="s">
        <v>601</v>
      </c>
      <c r="W1991" s="2" t="s">
        <v>104</v>
      </c>
      <c r="X1991" s="2" t="s">
        <v>100</v>
      </c>
      <c r="Y1991" s="2" t="s">
        <v>1604</v>
      </c>
      <c r="Z1991" s="4">
        <v>222</v>
      </c>
      <c r="AA1991" s="4">
        <f>=ROUNDDOWN(37,0)</f>
      </c>
      <c r="AB1991" s="5">
        <v>6</v>
      </c>
      <c r="AC1991" s="2" t="s">
        <v>100</v>
      </c>
      <c r="AD1991" s="4"/>
      <c r="AE1991" s="4"/>
      <c r="AF1991" s="6">
        <v>65</v>
      </c>
      <c r="AG1991" s="6"/>
      <c r="AH1991" s="7">
        <v>0.8485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>
        <v>0</v>
      </c>
      <c r="AP1991" s="4">
        <v>2</v>
      </c>
      <c r="AQ1991" s="8">
        <v>71.9</v>
      </c>
      <c r="AR1991" s="4">
        <v>9</v>
      </c>
      <c r="AS1991" s="8">
        <v>361.59</v>
      </c>
      <c r="AT1991" s="7">
        <v>-0.7778</v>
      </c>
      <c r="AU1991" s="7">
        <v>-0.8012</v>
      </c>
      <c r="AV1991" s="4">
        <v>2</v>
      </c>
      <c r="AW1991" s="8">
        <v>71.9</v>
      </c>
      <c r="AX1991" s="4">
        <v>9</v>
      </c>
      <c r="AY1991" s="8">
        <v>361.59</v>
      </c>
      <c r="AZ1991" s="7">
        <v>-0.7778</v>
      </c>
      <c r="BA1991" s="7">
        <v>-0.8012</v>
      </c>
      <c r="BB1991" s="7">
        <v>1</v>
      </c>
      <c r="BC1991" s="4">
        <v>2</v>
      </c>
      <c r="BD1991" s="8">
        <v>71.9</v>
      </c>
      <c r="BE1991" s="4">
        <v>9</v>
      </c>
      <c r="BF1991" s="8">
        <v>361.59</v>
      </c>
      <c r="BG1991" s="7">
        <v>-0.7778</v>
      </c>
      <c r="BH1991" s="7">
        <v>-0.8012</v>
      </c>
      <c r="BI1991" s="7">
        <v>1</v>
      </c>
      <c r="BJ1991" s="4">
        <v>107</v>
      </c>
      <c r="BK1991" s="8">
        <v>3853.14</v>
      </c>
      <c r="BL1991" s="2" t="s">
        <v>6812</v>
      </c>
      <c r="BM1991" s="7">
        <v>0.0187</v>
      </c>
      <c r="BN1991" s="7">
        <v>0.0187</v>
      </c>
      <c r="BO1991" s="4">
        <v>2</v>
      </c>
      <c r="BP1991" s="8">
        <v>71.9</v>
      </c>
      <c r="BQ1991" s="4">
        <v>9</v>
      </c>
      <c r="BR1991" s="8">
        <v>361.59</v>
      </c>
      <c r="BS1991" s="7">
        <v>-0.7778</v>
      </c>
      <c r="BT1991" s="7">
        <v>-0.8012</v>
      </c>
      <c r="BU1991" s="2" t="s">
        <v>109</v>
      </c>
      <c r="BV1991" s="2" t="s">
        <v>97</v>
      </c>
      <c r="BW1991" s="2" t="s">
        <v>2917</v>
      </c>
      <c r="BX1991" s="2" t="s">
        <v>6545</v>
      </c>
      <c r="BY1991" s="2" t="s">
        <v>112</v>
      </c>
      <c r="BZ1991" s="2" t="s">
        <v>100</v>
      </c>
    </row>
    <row r="1992">
      <c r="A1992" s="2" t="s">
        <v>6813</v>
      </c>
      <c r="B1992" s="2" t="s">
        <v>6098</v>
      </c>
      <c r="C1992" s="2" t="s">
        <v>88</v>
      </c>
      <c r="D1992" s="2" t="s">
        <v>6805</v>
      </c>
      <c r="E1992" s="2" t="s">
        <v>6806</v>
      </c>
      <c r="F1992" s="2" t="s">
        <v>6814</v>
      </c>
      <c r="G1992" s="2" t="s">
        <v>6814</v>
      </c>
      <c r="H1992" s="2" t="s">
        <v>6814</v>
      </c>
      <c r="I1992" s="2" t="s">
        <v>6815</v>
      </c>
      <c r="J1992" s="2" t="s">
        <v>6816</v>
      </c>
      <c r="K1992" s="2" t="s">
        <v>6817</v>
      </c>
      <c r="L1992" s="3">
        <v>14.7</v>
      </c>
      <c r="M1992" s="3">
        <v>15.44</v>
      </c>
      <c r="N1992" s="3">
        <v>34.99</v>
      </c>
      <c r="O1992" s="2" t="s">
        <v>550</v>
      </c>
      <c r="P1992" s="2" t="s">
        <v>198</v>
      </c>
      <c r="Q1992" s="2" t="s">
        <v>99</v>
      </c>
      <c r="R1992" s="2" t="s">
        <v>100</v>
      </c>
      <c r="S1992" s="2" t="s">
        <v>100</v>
      </c>
      <c r="T1992" s="2" t="s">
        <v>100</v>
      </c>
      <c r="U1992" s="2" t="s">
        <v>3531</v>
      </c>
      <c r="V1992" s="2" t="s">
        <v>5769</v>
      </c>
      <c r="W1992" s="2" t="s">
        <v>104</v>
      </c>
      <c r="X1992" s="2" t="s">
        <v>100</v>
      </c>
      <c r="Y1992" s="2" t="s">
        <v>3848</v>
      </c>
      <c r="Z1992" s="4">
        <v>13</v>
      </c>
      <c r="AA1992" s="4">
        <f>=ROUNDDOWN(65,0)</f>
      </c>
      <c r="AB1992" s="5">
        <v>0.2</v>
      </c>
      <c r="AC1992" s="2" t="s">
        <v>100</v>
      </c>
      <c r="AD1992" s="4"/>
      <c r="AE1992" s="4"/>
      <c r="AF1992" s="6"/>
      <c r="AG1992" s="6"/>
      <c r="AH1992" s="7">
        <v>0.697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/>
      <c r="BD1992" s="8"/>
      <c r="BE1992" s="4"/>
      <c r="BF1992" s="8"/>
      <c r="BG1992" s="7"/>
      <c r="BH1992" s="7"/>
      <c r="BI1992" s="7"/>
      <c r="BJ1992" s="4">
        <v>6</v>
      </c>
      <c r="BK1992" s="8">
        <v>67.32</v>
      </c>
      <c r="BL1992" s="2" t="s">
        <v>3542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147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6818</v>
      </c>
      <c r="B1993" s="2" t="s">
        <v>6098</v>
      </c>
      <c r="C1993" s="2" t="s">
        <v>88</v>
      </c>
      <c r="D1993" s="2" t="s">
        <v>6819</v>
      </c>
      <c r="E1993" s="2" t="s">
        <v>6820</v>
      </c>
      <c r="F1993" s="2" t="s">
        <v>6821</v>
      </c>
      <c r="G1993" s="2" t="s">
        <v>6821</v>
      </c>
      <c r="H1993" s="2" t="s">
        <v>6821</v>
      </c>
      <c r="I1993" s="2" t="s">
        <v>6139</v>
      </c>
      <c r="J1993" s="2" t="s">
        <v>6103</v>
      </c>
      <c r="K1993" s="2" t="s">
        <v>6822</v>
      </c>
      <c r="L1993" s="3">
        <v>56.03</v>
      </c>
      <c r="M1993" s="3">
        <v>58.83</v>
      </c>
      <c r="N1993" s="3">
        <v>116.99</v>
      </c>
      <c r="O1993" s="2" t="s">
        <v>97</v>
      </c>
      <c r="P1993" s="2" t="s">
        <v>182</v>
      </c>
      <c r="Q1993" s="2" t="s">
        <v>99</v>
      </c>
      <c r="R1993" s="2" t="s">
        <v>100</v>
      </c>
      <c r="S1993" s="2" t="s">
        <v>6823</v>
      </c>
      <c r="T1993" s="2" t="s">
        <v>100</v>
      </c>
      <c r="U1993" s="2" t="s">
        <v>1610</v>
      </c>
      <c r="V1993" s="2" t="s">
        <v>455</v>
      </c>
      <c r="W1993" s="2" t="s">
        <v>1530</v>
      </c>
      <c r="X1993" s="2" t="s">
        <v>759</v>
      </c>
      <c r="Y1993" s="2" t="s">
        <v>6824</v>
      </c>
      <c r="Z1993" s="4">
        <v>79</v>
      </c>
      <c r="AA1993" s="4">
        <f>=ROUNDDOWN(13.1666666666667,0)</f>
      </c>
      <c r="AB1993" s="5">
        <v>6</v>
      </c>
      <c r="AC1993" s="2" t="s">
        <v>518</v>
      </c>
      <c r="AD1993" s="4">
        <v>100</v>
      </c>
      <c r="AE1993" s="4">
        <v>100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>
        <v>0</v>
      </c>
      <c r="AP1993" s="4">
        <v>1</v>
      </c>
      <c r="AQ1993" s="8">
        <v>58.83</v>
      </c>
      <c r="AR1993" s="4">
        <v>10</v>
      </c>
      <c r="AS1993" s="8">
        <v>647.07</v>
      </c>
      <c r="AT1993" s="7">
        <v>-0.9</v>
      </c>
      <c r="AU1993" s="7">
        <v>-0.9091</v>
      </c>
      <c r="AV1993" s="4">
        <v>1</v>
      </c>
      <c r="AW1993" s="8">
        <v>58.83</v>
      </c>
      <c r="AX1993" s="4">
        <v>10</v>
      </c>
      <c r="AY1993" s="8">
        <v>647.07</v>
      </c>
      <c r="AZ1993" s="7">
        <v>-0.9</v>
      </c>
      <c r="BA1993" s="7">
        <v>-0.9091</v>
      </c>
      <c r="BB1993" s="7">
        <v>1</v>
      </c>
      <c r="BC1993" s="4">
        <v>1</v>
      </c>
      <c r="BD1993" s="8">
        <v>58.83</v>
      </c>
      <c r="BE1993" s="4">
        <v>10</v>
      </c>
      <c r="BF1993" s="8">
        <v>647.07</v>
      </c>
      <c r="BG1993" s="7">
        <v>-0.9</v>
      </c>
      <c r="BH1993" s="7">
        <v>-0.9091</v>
      </c>
      <c r="BI1993" s="7">
        <v>1</v>
      </c>
      <c r="BJ1993" s="4">
        <v>135</v>
      </c>
      <c r="BK1993" s="8">
        <v>8397.98</v>
      </c>
      <c r="BL1993" s="2" t="s">
        <v>6825</v>
      </c>
      <c r="BM1993" s="7">
        <v>0.0074</v>
      </c>
      <c r="BN1993" s="7">
        <v>0.007</v>
      </c>
      <c r="BO1993" s="4">
        <v>1</v>
      </c>
      <c r="BP1993" s="8">
        <v>58.83</v>
      </c>
      <c r="BQ1993" s="4">
        <v>10</v>
      </c>
      <c r="BR1993" s="8">
        <v>647.07</v>
      </c>
      <c r="BS1993" s="7">
        <v>-0.9</v>
      </c>
      <c r="BT1993" s="7">
        <v>-0.9091</v>
      </c>
      <c r="BU1993" s="2" t="s">
        <v>109</v>
      </c>
      <c r="BV1993" s="2" t="s">
        <v>97</v>
      </c>
      <c r="BW1993" s="2" t="s">
        <v>2917</v>
      </c>
      <c r="BX1993" s="2" t="s">
        <v>4360</v>
      </c>
      <c r="BY1993" s="2" t="s">
        <v>112</v>
      </c>
      <c r="BZ1993" s="2" t="s">
        <v>100</v>
      </c>
    </row>
    <row r="1994">
      <c r="A1994" s="2" t="s">
        <v>6826</v>
      </c>
      <c r="B1994" s="2" t="s">
        <v>6098</v>
      </c>
      <c r="C1994" s="2" t="s">
        <v>88</v>
      </c>
      <c r="D1994" s="2" t="s">
        <v>6819</v>
      </c>
      <c r="E1994" s="2" t="s">
        <v>6820</v>
      </c>
      <c r="F1994" s="2" t="s">
        <v>6827</v>
      </c>
      <c r="G1994" s="2" t="s">
        <v>100</v>
      </c>
      <c r="H1994" s="2" t="s">
        <v>100</v>
      </c>
      <c r="I1994" s="2" t="s">
        <v>6828</v>
      </c>
      <c r="J1994" s="2" t="s">
        <v>6103</v>
      </c>
      <c r="K1994" s="2" t="s">
        <v>96</v>
      </c>
      <c r="L1994" s="3">
        <v>39.47</v>
      </c>
      <c r="M1994" s="3">
        <v>41.44</v>
      </c>
      <c r="N1994" s="3">
        <v>81.99</v>
      </c>
      <c r="O1994" s="2" t="s">
        <v>97</v>
      </c>
      <c r="P1994" s="2" t="s">
        <v>182</v>
      </c>
      <c r="Q1994" s="2" t="s">
        <v>99</v>
      </c>
      <c r="R1994" s="2" t="s">
        <v>100</v>
      </c>
      <c r="S1994" s="2" t="s">
        <v>6829</v>
      </c>
      <c r="T1994" s="2" t="s">
        <v>100</v>
      </c>
      <c r="U1994" s="2" t="s">
        <v>1482</v>
      </c>
      <c r="V1994" s="2" t="s">
        <v>4714</v>
      </c>
      <c r="W1994" s="2" t="s">
        <v>1530</v>
      </c>
      <c r="X1994" s="2" t="s">
        <v>100</v>
      </c>
      <c r="Y1994" s="2" t="s">
        <v>106</v>
      </c>
      <c r="Z1994" s="4">
        <v>101</v>
      </c>
      <c r="AA1994" s="4">
        <f>=ROUNDDOWN(21.9565217391304,0)</f>
      </c>
      <c r="AB1994" s="5">
        <v>4.6</v>
      </c>
      <c r="AC1994" s="2" t="s">
        <v>4747</v>
      </c>
      <c r="AD1994" s="4">
        <v>100</v>
      </c>
      <c r="AE1994" s="4">
        <v>100</v>
      </c>
      <c r="AF1994" s="6">
        <v>63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/>
      <c r="BD1994" s="8"/>
      <c r="BE1994" s="4"/>
      <c r="BF1994" s="8"/>
      <c r="BG1994" s="7"/>
      <c r="BH1994" s="7"/>
      <c r="BI1994" s="7"/>
      <c r="BJ1994" s="4">
        <v>138</v>
      </c>
      <c r="BK1994" s="8">
        <v>5239.87</v>
      </c>
      <c r="BL1994" s="2" t="s">
        <v>6830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109</v>
      </c>
      <c r="BV1994" s="2" t="s">
        <v>97</v>
      </c>
      <c r="BW1994" s="2" t="s">
        <v>2917</v>
      </c>
      <c r="BX1994" s="2" t="s">
        <v>4360</v>
      </c>
      <c r="BY1994" s="2" t="s">
        <v>112</v>
      </c>
      <c r="BZ1994" s="2" t="s">
        <v>100</v>
      </c>
    </row>
    <row r="1995">
      <c r="A1995" s="2" t="s">
        <v>6831</v>
      </c>
      <c r="B1995" s="2" t="s">
        <v>6098</v>
      </c>
      <c r="C1995" s="2" t="s">
        <v>88</v>
      </c>
      <c r="D1995" s="2" t="s">
        <v>6832</v>
      </c>
      <c r="E1995" s="2" t="s">
        <v>6833</v>
      </c>
      <c r="F1995" s="2" t="s">
        <v>2661</v>
      </c>
      <c r="G1995" s="2" t="s">
        <v>2661</v>
      </c>
      <c r="H1995" s="2" t="s">
        <v>2661</v>
      </c>
      <c r="I1995" s="2" t="s">
        <v>6834</v>
      </c>
      <c r="J1995" s="2" t="s">
        <v>6103</v>
      </c>
      <c r="K1995" s="2" t="s">
        <v>142</v>
      </c>
      <c r="L1995" s="3">
        <v>62.4</v>
      </c>
      <c r="M1995" s="3">
        <v>65.52</v>
      </c>
      <c r="N1995" s="3">
        <v>129.99</v>
      </c>
      <c r="O1995" s="2" t="s">
        <v>550</v>
      </c>
      <c r="P1995" s="2" t="s">
        <v>198</v>
      </c>
      <c r="Q1995" s="2" t="s">
        <v>99</v>
      </c>
      <c r="R1995" s="2" t="s">
        <v>100</v>
      </c>
      <c r="S1995" s="2" t="s">
        <v>100</v>
      </c>
      <c r="T1995" s="2" t="s">
        <v>100</v>
      </c>
      <c r="U1995" s="2" t="s">
        <v>100</v>
      </c>
      <c r="V1995" s="2" t="s">
        <v>1752</v>
      </c>
      <c r="W1995" s="2" t="s">
        <v>104</v>
      </c>
      <c r="X1995" s="2" t="s">
        <v>100</v>
      </c>
      <c r="Y1995" s="2" t="s">
        <v>1322</v>
      </c>
      <c r="Z1995" s="4"/>
      <c r="AA1995" s="4">
        <f>=ROUNDDOWN({0},0)</f>
      </c>
      <c r="AB1995" s="5"/>
      <c r="AC1995" s="2" t="s">
        <v>100</v>
      </c>
      <c r="AD1995" s="4"/>
      <c r="AE1995" s="4"/>
      <c r="AF1995" s="6"/>
      <c r="AG1995" s="6"/>
      <c r="AH1995" s="7">
        <v>0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/>
      <c r="AW1995" s="8"/>
      <c r="AX1995" s="4"/>
      <c r="AY1995" s="8"/>
      <c r="AZ1995" s="7"/>
      <c r="BA1995" s="7"/>
      <c r="BB1995" s="7"/>
      <c r="BC1995" s="4"/>
      <c r="BD1995" s="8"/>
      <c r="BE1995" s="4"/>
      <c r="BF1995" s="8"/>
      <c r="BG1995" s="7"/>
      <c r="BH1995" s="7"/>
      <c r="BI1995" s="7"/>
      <c r="BJ1995" s="4"/>
      <c r="BK1995" s="8"/>
      <c r="BL1995" s="2" t="s">
        <v>100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147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6835</v>
      </c>
      <c r="B1996" s="2" t="s">
        <v>6098</v>
      </c>
      <c r="C1996" s="2" t="s">
        <v>88</v>
      </c>
      <c r="D1996" s="2" t="s">
        <v>6836</v>
      </c>
      <c r="E1996" s="2" t="s">
        <v>6837</v>
      </c>
      <c r="F1996" s="2" t="s">
        <v>987</v>
      </c>
      <c r="G1996" s="2" t="s">
        <v>987</v>
      </c>
      <c r="H1996" s="2" t="s">
        <v>987</v>
      </c>
      <c r="I1996" s="2" t="s">
        <v>6838</v>
      </c>
      <c r="J1996" s="2" t="s">
        <v>6103</v>
      </c>
      <c r="K1996" s="2" t="s">
        <v>933</v>
      </c>
      <c r="L1996" s="3">
        <v>40.19</v>
      </c>
      <c r="M1996" s="3">
        <v>42.2</v>
      </c>
      <c r="N1996" s="3">
        <v>89.99</v>
      </c>
      <c r="O1996" s="2" t="s">
        <v>229</v>
      </c>
      <c r="P1996" s="2" t="s">
        <v>198</v>
      </c>
      <c r="Q1996" s="2" t="s">
        <v>99</v>
      </c>
      <c r="R1996" s="2" t="s">
        <v>100</v>
      </c>
      <c r="S1996" s="2" t="s">
        <v>6839</v>
      </c>
      <c r="T1996" s="2" t="s">
        <v>100</v>
      </c>
      <c r="U1996" s="2" t="s">
        <v>3531</v>
      </c>
      <c r="V1996" s="2" t="s">
        <v>601</v>
      </c>
      <c r="W1996" s="2" t="s">
        <v>602</v>
      </c>
      <c r="X1996" s="2" t="s">
        <v>1190</v>
      </c>
      <c r="Y1996" s="2" t="s">
        <v>6840</v>
      </c>
      <c r="Z1996" s="4">
        <v>42</v>
      </c>
      <c r="AA1996" s="4">
        <f>=ROUNDDOWN(42,0)</f>
      </c>
      <c r="AB1996" s="5">
        <v>1</v>
      </c>
      <c r="AC1996" s="2" t="s">
        <v>100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/>
      <c r="AW1996" s="8"/>
      <c r="AX1996" s="4"/>
      <c r="AY1996" s="8"/>
      <c r="AZ1996" s="7"/>
      <c r="BA1996" s="7"/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101</v>
      </c>
      <c r="BK1996" s="8">
        <v>3627.41</v>
      </c>
      <c r="BL1996" s="2" t="s">
        <v>6841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147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6842</v>
      </c>
      <c r="B1997" s="2" t="s">
        <v>6098</v>
      </c>
      <c r="C1997" s="2" t="s">
        <v>88</v>
      </c>
      <c r="D1997" s="2" t="s">
        <v>6836</v>
      </c>
      <c r="E1997" s="2" t="s">
        <v>6837</v>
      </c>
      <c r="F1997" s="2" t="s">
        <v>987</v>
      </c>
      <c r="G1997" s="2" t="s">
        <v>987</v>
      </c>
      <c r="H1997" s="2" t="s">
        <v>987</v>
      </c>
      <c r="I1997" s="2" t="s">
        <v>6838</v>
      </c>
      <c r="J1997" s="2" t="s">
        <v>6103</v>
      </c>
      <c r="K1997" s="2" t="s">
        <v>6843</v>
      </c>
      <c r="L1997" s="3">
        <v>40.19</v>
      </c>
      <c r="M1997" s="3">
        <v>42.2</v>
      </c>
      <c r="N1997" s="3">
        <v>89.99</v>
      </c>
      <c r="O1997" s="2" t="s">
        <v>97</v>
      </c>
      <c r="P1997" s="2" t="s">
        <v>182</v>
      </c>
      <c r="Q1997" s="2" t="s">
        <v>99</v>
      </c>
      <c r="R1997" s="2" t="s">
        <v>100</v>
      </c>
      <c r="S1997" s="2" t="s">
        <v>6839</v>
      </c>
      <c r="T1997" s="2" t="s">
        <v>100</v>
      </c>
      <c r="U1997" s="2" t="s">
        <v>3531</v>
      </c>
      <c r="V1997" s="2" t="s">
        <v>601</v>
      </c>
      <c r="W1997" s="2" t="s">
        <v>602</v>
      </c>
      <c r="X1997" s="2" t="s">
        <v>1288</v>
      </c>
      <c r="Y1997" s="2" t="s">
        <v>6840</v>
      </c>
      <c r="Z1997" s="4">
        <v>137</v>
      </c>
      <c r="AA1997" s="4">
        <f>=ROUNDDOWN(44.1935483870968,0)</f>
      </c>
      <c r="AB1997" s="5">
        <v>3.1</v>
      </c>
      <c r="AC1997" s="2" t="s">
        <v>100</v>
      </c>
      <c r="AD1997" s="4"/>
      <c r="AE1997" s="4"/>
      <c r="AF1997" s="6">
        <v>65</v>
      </c>
      <c r="AG1997" s="6"/>
      <c r="AH1997" s="7">
        <v>0.7333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>
        <v>91</v>
      </c>
      <c r="BK1997" s="8">
        <v>4301.51</v>
      </c>
      <c r="BL1997" s="2" t="s">
        <v>6844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6185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6845</v>
      </c>
      <c r="B1998" s="2" t="s">
        <v>6098</v>
      </c>
      <c r="C1998" s="2" t="s">
        <v>88</v>
      </c>
      <c r="D1998" s="2" t="s">
        <v>6836</v>
      </c>
      <c r="E1998" s="2" t="s">
        <v>6837</v>
      </c>
      <c r="F1998" s="2" t="s">
        <v>987</v>
      </c>
      <c r="G1998" s="2" t="s">
        <v>987</v>
      </c>
      <c r="H1998" s="2" t="s">
        <v>987</v>
      </c>
      <c r="I1998" s="2" t="s">
        <v>6838</v>
      </c>
      <c r="J1998" s="2" t="s">
        <v>6103</v>
      </c>
      <c r="K1998" s="2" t="s">
        <v>6846</v>
      </c>
      <c r="L1998" s="3">
        <v>40.19</v>
      </c>
      <c r="M1998" s="3">
        <v>42.2</v>
      </c>
      <c r="N1998" s="3">
        <v>89.99</v>
      </c>
      <c r="O1998" s="2" t="s">
        <v>97</v>
      </c>
      <c r="P1998" s="2" t="s">
        <v>143</v>
      </c>
      <c r="Q1998" s="2" t="s">
        <v>99</v>
      </c>
      <c r="R1998" s="2" t="s">
        <v>100</v>
      </c>
      <c r="S1998" s="2" t="s">
        <v>6847</v>
      </c>
      <c r="T1998" s="2" t="s">
        <v>100</v>
      </c>
      <c r="U1998" s="2" t="s">
        <v>3531</v>
      </c>
      <c r="V1998" s="2" t="s">
        <v>601</v>
      </c>
      <c r="W1998" s="2" t="s">
        <v>602</v>
      </c>
      <c r="X1998" s="2" t="s">
        <v>100</v>
      </c>
      <c r="Y1998" s="2" t="s">
        <v>6848</v>
      </c>
      <c r="Z1998" s="4">
        <v>373</v>
      </c>
      <c r="AA1998" s="4">
        <f>=ROUNDDOWN(37.3,0)</f>
      </c>
      <c r="AB1998" s="5">
        <v>10</v>
      </c>
      <c r="AC1998" s="2" t="s">
        <v>100</v>
      </c>
      <c r="AD1998" s="4"/>
      <c r="AE1998" s="4"/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294</v>
      </c>
      <c r="BK1998" s="8">
        <v>13996.18</v>
      </c>
      <c r="BL1998" s="2" t="s">
        <v>6849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6185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6850</v>
      </c>
      <c r="B1999" s="2" t="s">
        <v>6098</v>
      </c>
      <c r="C1999" s="2" t="s">
        <v>6851</v>
      </c>
      <c r="D1999" s="2" t="s">
        <v>6099</v>
      </c>
      <c r="E1999" s="2" t="s">
        <v>6377</v>
      </c>
      <c r="F1999" s="2" t="s">
        <v>6852</v>
      </c>
      <c r="G1999" s="2" t="s">
        <v>6852</v>
      </c>
      <c r="H1999" s="2" t="s">
        <v>6852</v>
      </c>
      <c r="I1999" s="2" t="s">
        <v>6427</v>
      </c>
      <c r="J1999" s="2" t="s">
        <v>6103</v>
      </c>
      <c r="K1999" s="2" t="s">
        <v>1767</v>
      </c>
      <c r="L1999" s="3">
        <v>79.42</v>
      </c>
      <c r="M1999" s="3">
        <v>83.39</v>
      </c>
      <c r="N1999" s="3">
        <v>157.24</v>
      </c>
      <c r="O1999" s="2" t="s">
        <v>97</v>
      </c>
      <c r="P1999" s="2" t="s">
        <v>143</v>
      </c>
      <c r="Q1999" s="2" t="s">
        <v>99</v>
      </c>
      <c r="R1999" s="2" t="s">
        <v>100</v>
      </c>
      <c r="S1999" s="2" t="s">
        <v>6853</v>
      </c>
      <c r="T1999" s="2" t="s">
        <v>100</v>
      </c>
      <c r="U1999" s="2" t="s">
        <v>790</v>
      </c>
      <c r="V1999" s="2" t="s">
        <v>1122</v>
      </c>
      <c r="W1999" s="2" t="s">
        <v>602</v>
      </c>
      <c r="X1999" s="2" t="s">
        <v>6854</v>
      </c>
      <c r="Y1999" s="2" t="s">
        <v>2932</v>
      </c>
      <c r="Z1999" s="4">
        <v>67</v>
      </c>
      <c r="AA1999" s="4">
        <f>=ROUNDDOWN(8.375,0)</f>
      </c>
      <c r="AB1999" s="5">
        <v>8</v>
      </c>
      <c r="AC1999" s="2" t="s">
        <v>107</v>
      </c>
      <c r="AD1999" s="4">
        <v>80</v>
      </c>
      <c r="AE1999" s="4">
        <v>200</v>
      </c>
      <c r="AF1999" s="6">
        <v>63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>
        <v>0</v>
      </c>
      <c r="AP1999" s="4">
        <v>35</v>
      </c>
      <c r="AQ1999" s="8">
        <v>2918.65</v>
      </c>
      <c r="AR1999" s="4">
        <v>41</v>
      </c>
      <c r="AS1999" s="8">
        <v>3659.75</v>
      </c>
      <c r="AT1999" s="7">
        <v>-0.1463</v>
      </c>
      <c r="AU1999" s="7">
        <v>-0.2025</v>
      </c>
      <c r="AV1999" s="4">
        <v>35</v>
      </c>
      <c r="AW1999" s="8">
        <v>2918.65</v>
      </c>
      <c r="AX1999" s="4">
        <v>41</v>
      </c>
      <c r="AY1999" s="8">
        <v>3659.75</v>
      </c>
      <c r="AZ1999" s="7">
        <v>-0.1463</v>
      </c>
      <c r="BA1999" s="7">
        <v>-0.2025</v>
      </c>
      <c r="BB1999" s="7">
        <v>1</v>
      </c>
      <c r="BC1999" s="4">
        <v>35</v>
      </c>
      <c r="BD1999" s="8">
        <v>2918.65</v>
      </c>
      <c r="BE1999" s="4">
        <v>41</v>
      </c>
      <c r="BF1999" s="8">
        <v>3659.75</v>
      </c>
      <c r="BG1999" s="7">
        <v>-0.1463</v>
      </c>
      <c r="BH1999" s="7">
        <v>-0.2025</v>
      </c>
      <c r="BI1999" s="7">
        <v>1</v>
      </c>
      <c r="BJ1999" s="4">
        <v>186</v>
      </c>
      <c r="BK1999" s="8">
        <v>16842.64</v>
      </c>
      <c r="BL1999" s="2" t="s">
        <v>6855</v>
      </c>
      <c r="BM1999" s="7">
        <v>0.1882</v>
      </c>
      <c r="BN1999" s="7">
        <v>0.1733</v>
      </c>
      <c r="BO1999" s="4">
        <v>35</v>
      </c>
      <c r="BP1999" s="8">
        <v>2918.65</v>
      </c>
      <c r="BQ1999" s="4">
        <v>41</v>
      </c>
      <c r="BR1999" s="8">
        <v>3659.75</v>
      </c>
      <c r="BS1999" s="7">
        <v>-0.1463</v>
      </c>
      <c r="BT1999" s="7">
        <v>-0.2025</v>
      </c>
      <c r="BU1999" s="2" t="s">
        <v>109</v>
      </c>
      <c r="BV1999" s="2" t="s">
        <v>97</v>
      </c>
      <c r="BW1999" s="2" t="s">
        <v>6110</v>
      </c>
      <c r="BX1999" s="2" t="s">
        <v>6545</v>
      </c>
      <c r="BY1999" s="2" t="s">
        <v>112</v>
      </c>
      <c r="BZ1999" s="2" t="s">
        <v>100</v>
      </c>
    </row>
    <row r="2000">
      <c r="A2000" s="2" t="s">
        <v>6856</v>
      </c>
      <c r="B2000" s="2" t="s">
        <v>6098</v>
      </c>
      <c r="C2000" s="2" t="s">
        <v>6851</v>
      </c>
      <c r="D2000" s="2" t="s">
        <v>6099</v>
      </c>
      <c r="E2000" s="2" t="s">
        <v>6377</v>
      </c>
      <c r="F2000" s="2" t="s">
        <v>6857</v>
      </c>
      <c r="G2000" s="2" t="s">
        <v>6857</v>
      </c>
      <c r="H2000" s="2" t="s">
        <v>6857</v>
      </c>
      <c r="I2000" s="2" t="s">
        <v>6858</v>
      </c>
      <c r="J2000" s="2" t="s">
        <v>6103</v>
      </c>
      <c r="K2000" s="2" t="s">
        <v>181</v>
      </c>
      <c r="L2000" s="3">
        <v>63.6</v>
      </c>
      <c r="M2000" s="3">
        <v>66.78</v>
      </c>
      <c r="N2000" s="3">
        <v>124.94</v>
      </c>
      <c r="O2000" s="2" t="s">
        <v>97</v>
      </c>
      <c r="P2000" s="2" t="s">
        <v>124</v>
      </c>
      <c r="Q2000" s="2" t="s">
        <v>99</v>
      </c>
      <c r="R2000" s="2" t="s">
        <v>100</v>
      </c>
      <c r="S2000" s="2" t="s">
        <v>100</v>
      </c>
      <c r="T2000" s="2" t="s">
        <v>100</v>
      </c>
      <c r="U2000" s="2" t="s">
        <v>1482</v>
      </c>
      <c r="V2000" s="2" t="s">
        <v>1275</v>
      </c>
      <c r="W2000" s="2" t="s">
        <v>104</v>
      </c>
      <c r="X2000" s="2" t="s">
        <v>6859</v>
      </c>
      <c r="Y2000" s="2" t="s">
        <v>6860</v>
      </c>
      <c r="Z2000" s="4">
        <v>139</v>
      </c>
      <c r="AA2000" s="4">
        <f>=ROUNDDOWN(6.95,0)</f>
      </c>
      <c r="AB2000" s="5">
        <v>20</v>
      </c>
      <c r="AC2000" s="2" t="s">
        <v>107</v>
      </c>
      <c r="AD2000" s="4">
        <v>110</v>
      </c>
      <c r="AE2000" s="4">
        <v>610</v>
      </c>
      <c r="AF2000" s="6">
        <v>63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>
        <v>0</v>
      </c>
      <c r="AP2000" s="4">
        <v>3</v>
      </c>
      <c r="AQ2000" s="8">
        <v>200.34</v>
      </c>
      <c r="AR2000" s="4">
        <v>3</v>
      </c>
      <c r="AS2000" s="8">
        <v>235.68</v>
      </c>
      <c r="AT2000" s="7"/>
      <c r="AU2000" s="7">
        <v>-0.1499</v>
      </c>
      <c r="AV2000" s="4">
        <v>3</v>
      </c>
      <c r="AW2000" s="8">
        <v>200.34</v>
      </c>
      <c r="AX2000" s="4">
        <v>3</v>
      </c>
      <c r="AY2000" s="8">
        <v>235.68</v>
      </c>
      <c r="AZ2000" s="7"/>
      <c r="BA2000" s="7">
        <v>-0.1499</v>
      </c>
      <c r="BB2000" s="7">
        <v>1</v>
      </c>
      <c r="BC2000" s="4">
        <v>3</v>
      </c>
      <c r="BD2000" s="8">
        <v>200.34</v>
      </c>
      <c r="BE2000" s="4">
        <v>3</v>
      </c>
      <c r="BF2000" s="8">
        <v>235.68</v>
      </c>
      <c r="BG2000" s="7"/>
      <c r="BH2000" s="7">
        <v>-0.1499</v>
      </c>
      <c r="BI2000" s="7">
        <v>1</v>
      </c>
      <c r="BJ2000" s="4">
        <v>439</v>
      </c>
      <c r="BK2000" s="8">
        <v>33456.86</v>
      </c>
      <c r="BL2000" s="2" t="s">
        <v>6861</v>
      </c>
      <c r="BM2000" s="7">
        <v>0.0068</v>
      </c>
      <c r="BN2000" s="7">
        <v>0.006</v>
      </c>
      <c r="BO2000" s="4">
        <v>3</v>
      </c>
      <c r="BP2000" s="8">
        <v>200.34</v>
      </c>
      <c r="BQ2000" s="4">
        <v>3</v>
      </c>
      <c r="BR2000" s="8">
        <v>235.68</v>
      </c>
      <c r="BS2000" s="7"/>
      <c r="BT2000" s="7">
        <v>-0.1499</v>
      </c>
      <c r="BU2000" s="2" t="s">
        <v>109</v>
      </c>
      <c r="BV2000" s="2" t="s">
        <v>97</v>
      </c>
      <c r="BW2000" s="2" t="s">
        <v>2917</v>
      </c>
      <c r="BX2000" s="2" t="s">
        <v>6545</v>
      </c>
      <c r="BY2000" s="2" t="s">
        <v>112</v>
      </c>
      <c r="BZ2000" s="2" t="s">
        <v>100</v>
      </c>
    </row>
    <row r="2001">
      <c r="A2001" s="2" t="s">
        <v>6862</v>
      </c>
      <c r="B2001" s="2" t="s">
        <v>6098</v>
      </c>
      <c r="C2001" s="2" t="s">
        <v>6851</v>
      </c>
      <c r="D2001" s="2" t="s">
        <v>6099</v>
      </c>
      <c r="E2001" s="2" t="s">
        <v>6377</v>
      </c>
      <c r="F2001" s="2" t="s">
        <v>6863</v>
      </c>
      <c r="G2001" s="2" t="s">
        <v>6863</v>
      </c>
      <c r="H2001" s="2" t="s">
        <v>6863</v>
      </c>
      <c r="I2001" s="2" t="s">
        <v>6864</v>
      </c>
      <c r="J2001" s="2" t="s">
        <v>6103</v>
      </c>
      <c r="K2001" s="2" t="s">
        <v>1767</v>
      </c>
      <c r="L2001" s="3">
        <v>87.35</v>
      </c>
      <c r="M2001" s="3">
        <v>91.72</v>
      </c>
      <c r="N2001" s="3">
        <v>161.49</v>
      </c>
      <c r="O2001" s="2" t="s">
        <v>97</v>
      </c>
      <c r="P2001" s="2" t="s">
        <v>143</v>
      </c>
      <c r="Q2001" s="2" t="s">
        <v>99</v>
      </c>
      <c r="R2001" s="2" t="s">
        <v>100</v>
      </c>
      <c r="S2001" s="2" t="s">
        <v>6865</v>
      </c>
      <c r="T2001" s="2" t="s">
        <v>100</v>
      </c>
      <c r="U2001" s="2" t="s">
        <v>790</v>
      </c>
      <c r="V2001" s="2" t="s">
        <v>6169</v>
      </c>
      <c r="W2001" s="2" t="s">
        <v>104</v>
      </c>
      <c r="X2001" s="2" t="s">
        <v>6859</v>
      </c>
      <c r="Y2001" s="2" t="s">
        <v>6866</v>
      </c>
      <c r="Z2001" s="4">
        <v>72</v>
      </c>
      <c r="AA2001" s="4">
        <f>=ROUNDDOWN(10.2857142857143,0)</f>
      </c>
      <c r="AB2001" s="5">
        <v>7</v>
      </c>
      <c r="AC2001" s="2" t="s">
        <v>382</v>
      </c>
      <c r="AD2001" s="4">
        <v>50</v>
      </c>
      <c r="AE2001" s="4">
        <v>100</v>
      </c>
      <c r="AF2001" s="6">
        <v>63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>
        <v>0</v>
      </c>
      <c r="AP2001" s="4">
        <v>2</v>
      </c>
      <c r="AQ2001" s="8">
        <v>183.46</v>
      </c>
      <c r="AR2001" s="4">
        <v>10</v>
      </c>
      <c r="AS2001" s="8">
        <v>937.68</v>
      </c>
      <c r="AT2001" s="7">
        <v>-0.8</v>
      </c>
      <c r="AU2001" s="7">
        <v>-0.8043</v>
      </c>
      <c r="AV2001" s="4">
        <v>2</v>
      </c>
      <c r="AW2001" s="8">
        <v>183.46</v>
      </c>
      <c r="AX2001" s="4">
        <v>10</v>
      </c>
      <c r="AY2001" s="8">
        <v>937.68</v>
      </c>
      <c r="AZ2001" s="7">
        <v>-0.8</v>
      </c>
      <c r="BA2001" s="7">
        <v>-0.8043</v>
      </c>
      <c r="BB2001" s="7">
        <v>1</v>
      </c>
      <c r="BC2001" s="4">
        <v>2</v>
      </c>
      <c r="BD2001" s="8">
        <v>183.46</v>
      </c>
      <c r="BE2001" s="4">
        <v>10</v>
      </c>
      <c r="BF2001" s="8">
        <v>937.68</v>
      </c>
      <c r="BG2001" s="7">
        <v>-0.8</v>
      </c>
      <c r="BH2001" s="7">
        <v>-0.8043</v>
      </c>
      <c r="BI2001" s="7">
        <v>1</v>
      </c>
      <c r="BJ2001" s="4">
        <v>149</v>
      </c>
      <c r="BK2001" s="8">
        <v>14918.61</v>
      </c>
      <c r="BL2001" s="2" t="s">
        <v>6867</v>
      </c>
      <c r="BM2001" s="7">
        <v>0.0134</v>
      </c>
      <c r="BN2001" s="7">
        <v>0.0123</v>
      </c>
      <c r="BO2001" s="4">
        <v>2</v>
      </c>
      <c r="BP2001" s="8">
        <v>183.46</v>
      </c>
      <c r="BQ2001" s="4">
        <v>10</v>
      </c>
      <c r="BR2001" s="8">
        <v>937.68</v>
      </c>
      <c r="BS2001" s="7">
        <v>-0.8</v>
      </c>
      <c r="BT2001" s="7">
        <v>-0.8043</v>
      </c>
      <c r="BU2001" s="2" t="s">
        <v>109</v>
      </c>
      <c r="BV2001" s="2" t="s">
        <v>97</v>
      </c>
      <c r="BW2001" s="2" t="s">
        <v>6669</v>
      </c>
      <c r="BX2001" s="2" t="s">
        <v>2525</v>
      </c>
      <c r="BY2001" s="2" t="s">
        <v>112</v>
      </c>
      <c r="BZ2001" s="2" t="s">
        <v>100</v>
      </c>
    </row>
    <row r="2002">
      <c r="A2002" s="2" t="s">
        <v>6868</v>
      </c>
      <c r="B2002" s="2" t="s">
        <v>6098</v>
      </c>
      <c r="C2002" s="2" t="s">
        <v>6851</v>
      </c>
      <c r="D2002" s="2" t="s">
        <v>6099</v>
      </c>
      <c r="E2002" s="2" t="s">
        <v>6377</v>
      </c>
      <c r="F2002" s="2" t="s">
        <v>6869</v>
      </c>
      <c r="G2002" s="2" t="s">
        <v>6869</v>
      </c>
      <c r="H2002" s="2" t="s">
        <v>6869</v>
      </c>
      <c r="I2002" s="2" t="s">
        <v>6870</v>
      </c>
      <c r="J2002" s="2" t="s">
        <v>6103</v>
      </c>
      <c r="K2002" s="2" t="s">
        <v>1767</v>
      </c>
      <c r="L2002" s="3">
        <v>29.92</v>
      </c>
      <c r="M2002" s="3">
        <v>31.42</v>
      </c>
      <c r="N2002" s="3">
        <v>63.74</v>
      </c>
      <c r="O2002" s="2" t="s">
        <v>97</v>
      </c>
      <c r="P2002" s="2" t="s">
        <v>182</v>
      </c>
      <c r="Q2002" s="2" t="s">
        <v>99</v>
      </c>
      <c r="R2002" s="2" t="s">
        <v>100</v>
      </c>
      <c r="S2002" s="2" t="s">
        <v>100</v>
      </c>
      <c r="T2002" s="2" t="s">
        <v>100</v>
      </c>
      <c r="U2002" s="2" t="s">
        <v>2104</v>
      </c>
      <c r="V2002" s="2" t="s">
        <v>1275</v>
      </c>
      <c r="W2002" s="2" t="s">
        <v>104</v>
      </c>
      <c r="X2002" s="2" t="s">
        <v>6859</v>
      </c>
      <c r="Y2002" s="2" t="s">
        <v>4346</v>
      </c>
      <c r="Z2002" s="4">
        <v>33</v>
      </c>
      <c r="AA2002" s="4">
        <f>=ROUNDDOWN(5.5,0)</f>
      </c>
      <c r="AB2002" s="5">
        <v>6</v>
      </c>
      <c r="AC2002" s="2" t="s">
        <v>382</v>
      </c>
      <c r="AD2002" s="4">
        <v>100</v>
      </c>
      <c r="AE2002" s="4">
        <v>200</v>
      </c>
      <c r="AF2002" s="6">
        <v>63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>
        <v>0</v>
      </c>
      <c r="AP2002" s="4">
        <v>4</v>
      </c>
      <c r="AQ2002" s="8">
        <v>125.68</v>
      </c>
      <c r="AR2002" s="4">
        <v>2</v>
      </c>
      <c r="AS2002" s="8">
        <v>73.92</v>
      </c>
      <c r="AT2002" s="7">
        <v>1</v>
      </c>
      <c r="AU2002" s="7">
        <v>0.7002</v>
      </c>
      <c r="AV2002" s="4">
        <v>4</v>
      </c>
      <c r="AW2002" s="8">
        <v>125.68</v>
      </c>
      <c r="AX2002" s="4">
        <v>2</v>
      </c>
      <c r="AY2002" s="8">
        <v>73.92</v>
      </c>
      <c r="AZ2002" s="7">
        <v>1</v>
      </c>
      <c r="BA2002" s="7">
        <v>0.7002</v>
      </c>
      <c r="BB2002" s="7">
        <v>1</v>
      </c>
      <c r="BC2002" s="4">
        <v>4</v>
      </c>
      <c r="BD2002" s="8">
        <v>125.68</v>
      </c>
      <c r="BE2002" s="4">
        <v>2</v>
      </c>
      <c r="BF2002" s="8">
        <v>73.92</v>
      </c>
      <c r="BG2002" s="7">
        <v>1</v>
      </c>
      <c r="BH2002" s="7">
        <v>0.7002</v>
      </c>
      <c r="BI2002" s="7">
        <v>1</v>
      </c>
      <c r="BJ2002" s="4">
        <v>133</v>
      </c>
      <c r="BK2002" s="8">
        <v>4742.66</v>
      </c>
      <c r="BL2002" s="2" t="s">
        <v>6871</v>
      </c>
      <c r="BM2002" s="7">
        <v>0.0301</v>
      </c>
      <c r="BN2002" s="7">
        <v>0.0265</v>
      </c>
      <c r="BO2002" s="4">
        <v>4</v>
      </c>
      <c r="BP2002" s="8">
        <v>125.68</v>
      </c>
      <c r="BQ2002" s="4">
        <v>2</v>
      </c>
      <c r="BR2002" s="8">
        <v>73.92</v>
      </c>
      <c r="BS2002" s="7">
        <v>1</v>
      </c>
      <c r="BT2002" s="7">
        <v>0.7002</v>
      </c>
      <c r="BU2002" s="2" t="s">
        <v>109</v>
      </c>
      <c r="BV2002" s="2" t="s">
        <v>97</v>
      </c>
      <c r="BW2002" s="2" t="s">
        <v>2917</v>
      </c>
      <c r="BX2002" s="2" t="s">
        <v>6872</v>
      </c>
      <c r="BY2002" s="2" t="s">
        <v>112</v>
      </c>
      <c r="BZ2002" s="2" t="s">
        <v>100</v>
      </c>
    </row>
    <row r="2003">
      <c r="A2003" s="2" t="s">
        <v>6873</v>
      </c>
      <c r="B2003" s="2" t="s">
        <v>6098</v>
      </c>
      <c r="C2003" s="2" t="s">
        <v>6851</v>
      </c>
      <c r="D2003" s="2" t="s">
        <v>6099</v>
      </c>
      <c r="E2003" s="2" t="s">
        <v>6377</v>
      </c>
      <c r="F2003" s="2" t="s">
        <v>6874</v>
      </c>
      <c r="G2003" s="2" t="s">
        <v>6874</v>
      </c>
      <c r="H2003" s="2" t="s">
        <v>6874</v>
      </c>
      <c r="I2003" s="2" t="s">
        <v>6875</v>
      </c>
      <c r="J2003" s="2" t="s">
        <v>6103</v>
      </c>
      <c r="K2003" s="2" t="s">
        <v>1767</v>
      </c>
      <c r="L2003" s="3">
        <v>26.03</v>
      </c>
      <c r="M2003" s="3">
        <v>27.33</v>
      </c>
      <c r="N2003" s="3">
        <v>59.49</v>
      </c>
      <c r="O2003" s="2" t="s">
        <v>97</v>
      </c>
      <c r="P2003" s="2" t="s">
        <v>143</v>
      </c>
      <c r="Q2003" s="2" t="s">
        <v>99</v>
      </c>
      <c r="R2003" s="2" t="s">
        <v>100</v>
      </c>
      <c r="S2003" s="2" t="s">
        <v>6876</v>
      </c>
      <c r="T2003" s="2" t="s">
        <v>100</v>
      </c>
      <c r="U2003" s="2" t="s">
        <v>3531</v>
      </c>
      <c r="V2003" s="2" t="s">
        <v>6169</v>
      </c>
      <c r="W2003" s="2" t="s">
        <v>405</v>
      </c>
      <c r="X2003" s="2" t="s">
        <v>6859</v>
      </c>
      <c r="Y2003" s="2" t="s">
        <v>6700</v>
      </c>
      <c r="Z2003" s="4">
        <v>169</v>
      </c>
      <c r="AA2003" s="4">
        <f>=ROUNDDOWN(11.2666666666667,0)</f>
      </c>
      <c r="AB2003" s="5">
        <v>15</v>
      </c>
      <c r="AC2003" s="2" t="s">
        <v>6199</v>
      </c>
      <c r="AD2003" s="4">
        <v>400</v>
      </c>
      <c r="AE2003" s="4">
        <v>400</v>
      </c>
      <c r="AF2003" s="6">
        <v>63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>
        <v>0</v>
      </c>
      <c r="AP2003" s="4">
        <v>4</v>
      </c>
      <c r="AQ2003" s="8">
        <v>109.32</v>
      </c>
      <c r="AR2003" s="4">
        <v>4</v>
      </c>
      <c r="AS2003" s="8">
        <v>118.96</v>
      </c>
      <c r="AT2003" s="7"/>
      <c r="AU2003" s="7">
        <v>-0.081</v>
      </c>
      <c r="AV2003" s="4">
        <v>4</v>
      </c>
      <c r="AW2003" s="8">
        <v>109.32</v>
      </c>
      <c r="AX2003" s="4">
        <v>4</v>
      </c>
      <c r="AY2003" s="8">
        <v>118.96</v>
      </c>
      <c r="AZ2003" s="7"/>
      <c r="BA2003" s="7">
        <v>-0.081</v>
      </c>
      <c r="BB2003" s="7">
        <v>1</v>
      </c>
      <c r="BC2003" s="4">
        <v>4</v>
      </c>
      <c r="BD2003" s="8">
        <v>109.32</v>
      </c>
      <c r="BE2003" s="4">
        <v>4</v>
      </c>
      <c r="BF2003" s="8">
        <v>118.96</v>
      </c>
      <c r="BG2003" s="7"/>
      <c r="BH2003" s="7">
        <v>-0.081</v>
      </c>
      <c r="BI2003" s="7">
        <v>1</v>
      </c>
      <c r="BJ2003" s="4">
        <v>344</v>
      </c>
      <c r="BK2003" s="8">
        <v>12435.23</v>
      </c>
      <c r="BL2003" s="2" t="s">
        <v>6877</v>
      </c>
      <c r="BM2003" s="7">
        <v>0.0116</v>
      </c>
      <c r="BN2003" s="7">
        <v>0.0088</v>
      </c>
      <c r="BO2003" s="4">
        <v>4</v>
      </c>
      <c r="BP2003" s="8">
        <v>109.32</v>
      </c>
      <c r="BQ2003" s="4">
        <v>4</v>
      </c>
      <c r="BR2003" s="8">
        <v>118.96</v>
      </c>
      <c r="BS2003" s="7"/>
      <c r="BT2003" s="7">
        <v>-0.081</v>
      </c>
      <c r="BU2003" s="2" t="s">
        <v>109</v>
      </c>
      <c r="BV2003" s="2" t="s">
        <v>97</v>
      </c>
      <c r="BW2003" s="2" t="s">
        <v>2917</v>
      </c>
      <c r="BX2003" s="2" t="s">
        <v>6872</v>
      </c>
      <c r="BY2003" s="2" t="s">
        <v>112</v>
      </c>
      <c r="BZ2003" s="2" t="s">
        <v>100</v>
      </c>
    </row>
    <row r="2004">
      <c r="A2004" s="2" t="s">
        <v>6878</v>
      </c>
      <c r="B2004" s="2" t="s">
        <v>6098</v>
      </c>
      <c r="C2004" s="2" t="s">
        <v>6851</v>
      </c>
      <c r="D2004" s="2" t="s">
        <v>6099</v>
      </c>
      <c r="E2004" s="2" t="s">
        <v>6377</v>
      </c>
      <c r="F2004" s="2" t="s">
        <v>6879</v>
      </c>
      <c r="G2004" s="2" t="s">
        <v>6879</v>
      </c>
      <c r="H2004" s="2" t="s">
        <v>6879</v>
      </c>
      <c r="I2004" s="2" t="s">
        <v>6875</v>
      </c>
      <c r="J2004" s="2" t="s">
        <v>6103</v>
      </c>
      <c r="K2004" s="2" t="s">
        <v>1767</v>
      </c>
      <c r="L2004" s="3">
        <v>27.4</v>
      </c>
      <c r="M2004" s="3">
        <v>28.77</v>
      </c>
      <c r="N2004" s="3">
        <v>59.49</v>
      </c>
      <c r="O2004" s="2" t="s">
        <v>97</v>
      </c>
      <c r="P2004" s="2" t="s">
        <v>198</v>
      </c>
      <c r="Q2004" s="2" t="s">
        <v>99</v>
      </c>
      <c r="R2004" s="2" t="s">
        <v>100</v>
      </c>
      <c r="S2004" s="2" t="s">
        <v>6880</v>
      </c>
      <c r="T2004" s="2" t="s">
        <v>100</v>
      </c>
      <c r="U2004" s="2" t="s">
        <v>3531</v>
      </c>
      <c r="V2004" s="2" t="s">
        <v>6169</v>
      </c>
      <c r="W2004" s="2" t="s">
        <v>405</v>
      </c>
      <c r="X2004" s="2" t="s">
        <v>6859</v>
      </c>
      <c r="Y2004" s="2" t="s">
        <v>6700</v>
      </c>
      <c r="Z2004" s="4">
        <v>55</v>
      </c>
      <c r="AA2004" s="4">
        <f>=ROUNDDOWN(28.9473684210526,0)</f>
      </c>
      <c r="AB2004" s="5">
        <v>1.9</v>
      </c>
      <c r="AC2004" s="2" t="s">
        <v>100</v>
      </c>
      <c r="AD2004" s="4"/>
      <c r="AE2004" s="4"/>
      <c r="AF2004" s="6">
        <v>63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>
        <v>0</v>
      </c>
      <c r="AP2004" s="4">
        <v>1</v>
      </c>
      <c r="AQ2004" s="8">
        <v>28.76</v>
      </c>
      <c r="AR2004" s="4">
        <v>1</v>
      </c>
      <c r="AS2004" s="8">
        <v>33.84</v>
      </c>
      <c r="AT2004" s="7"/>
      <c r="AU2004" s="7">
        <v>-0.1501</v>
      </c>
      <c r="AV2004" s="4">
        <v>1</v>
      </c>
      <c r="AW2004" s="8">
        <v>28.76</v>
      </c>
      <c r="AX2004" s="4">
        <v>1</v>
      </c>
      <c r="AY2004" s="8">
        <v>33.84</v>
      </c>
      <c r="AZ2004" s="7"/>
      <c r="BA2004" s="7">
        <v>-0.1501</v>
      </c>
      <c r="BB2004" s="7">
        <v>1</v>
      </c>
      <c r="BC2004" s="4">
        <v>1</v>
      </c>
      <c r="BD2004" s="8">
        <v>28.76</v>
      </c>
      <c r="BE2004" s="4">
        <v>1</v>
      </c>
      <c r="BF2004" s="8">
        <v>33.84</v>
      </c>
      <c r="BG2004" s="7"/>
      <c r="BH2004" s="7">
        <v>-0.1501</v>
      </c>
      <c r="BI2004" s="7">
        <v>1</v>
      </c>
      <c r="BJ2004" s="4">
        <v>40</v>
      </c>
      <c r="BK2004" s="8">
        <v>1418.7</v>
      </c>
      <c r="BL2004" s="2" t="s">
        <v>6881</v>
      </c>
      <c r="BM2004" s="7">
        <v>0.025</v>
      </c>
      <c r="BN2004" s="7">
        <v>0.0203</v>
      </c>
      <c r="BO2004" s="4">
        <v>1</v>
      </c>
      <c r="BP2004" s="8">
        <v>28.76</v>
      </c>
      <c r="BQ2004" s="4">
        <v>1</v>
      </c>
      <c r="BR2004" s="8">
        <v>33.84</v>
      </c>
      <c r="BS2004" s="7"/>
      <c r="BT2004" s="7">
        <v>-0.1501</v>
      </c>
      <c r="BU2004" s="2" t="s">
        <v>109</v>
      </c>
      <c r="BV2004" s="2" t="s">
        <v>97</v>
      </c>
      <c r="BW2004" s="2" t="s">
        <v>2917</v>
      </c>
      <c r="BX2004" s="2" t="s">
        <v>164</v>
      </c>
      <c r="BY2004" s="2" t="s">
        <v>112</v>
      </c>
      <c r="BZ2004" s="2" t="s">
        <v>100</v>
      </c>
    </row>
    <row r="2005">
      <c r="A2005" s="2" t="s">
        <v>6882</v>
      </c>
      <c r="B2005" s="2" t="s">
        <v>6098</v>
      </c>
      <c r="C2005" s="2" t="s">
        <v>6851</v>
      </c>
      <c r="D2005" s="2" t="s">
        <v>6099</v>
      </c>
      <c r="E2005" s="2" t="s">
        <v>6377</v>
      </c>
      <c r="F2005" s="2" t="s">
        <v>6883</v>
      </c>
      <c r="G2005" s="2" t="s">
        <v>6883</v>
      </c>
      <c r="H2005" s="2" t="s">
        <v>6883</v>
      </c>
      <c r="I2005" s="2" t="s">
        <v>6875</v>
      </c>
      <c r="J2005" s="2" t="s">
        <v>6103</v>
      </c>
      <c r="K2005" s="2" t="s">
        <v>1767</v>
      </c>
      <c r="L2005" s="3">
        <v>15.92</v>
      </c>
      <c r="M2005" s="3">
        <v>16.72</v>
      </c>
      <c r="N2005" s="3">
        <v>38.24</v>
      </c>
      <c r="O2005" s="2" t="s">
        <v>97</v>
      </c>
      <c r="P2005" s="2" t="s">
        <v>198</v>
      </c>
      <c r="Q2005" s="2" t="s">
        <v>99</v>
      </c>
      <c r="R2005" s="2" t="s">
        <v>100</v>
      </c>
      <c r="S2005" s="2" t="s">
        <v>6884</v>
      </c>
      <c r="T2005" s="2" t="s">
        <v>100</v>
      </c>
      <c r="U2005" s="2" t="s">
        <v>3531</v>
      </c>
      <c r="V2005" s="2" t="s">
        <v>6169</v>
      </c>
      <c r="W2005" s="2" t="s">
        <v>405</v>
      </c>
      <c r="X2005" s="2" t="s">
        <v>6859</v>
      </c>
      <c r="Y2005" s="2" t="s">
        <v>6700</v>
      </c>
      <c r="Z2005" s="4">
        <v>61</v>
      </c>
      <c r="AA2005" s="4">
        <f>=ROUNDDOWN(14.1860465116279,0)</f>
      </c>
      <c r="AB2005" s="5">
        <v>4.3</v>
      </c>
      <c r="AC2005" s="2" t="s">
        <v>100</v>
      </c>
      <c r="AD2005" s="4"/>
      <c r="AE2005" s="4"/>
      <c r="AF2005" s="6">
        <v>63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/>
      <c r="AW2005" s="8"/>
      <c r="AX2005" s="4"/>
      <c r="AY2005" s="8"/>
      <c r="AZ2005" s="7"/>
      <c r="BA2005" s="7"/>
      <c r="BB2005" s="7"/>
      <c r="BC2005" s="4"/>
      <c r="BD2005" s="8"/>
      <c r="BE2005" s="4"/>
      <c r="BF2005" s="8"/>
      <c r="BG2005" s="7"/>
      <c r="BH2005" s="7"/>
      <c r="BI2005" s="7"/>
      <c r="BJ2005" s="4">
        <v>84</v>
      </c>
      <c r="BK2005" s="8">
        <v>1871.07</v>
      </c>
      <c r="BL2005" s="2" t="s">
        <v>6885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109</v>
      </c>
      <c r="BV2005" s="2" t="s">
        <v>97</v>
      </c>
      <c r="BW2005" s="2" t="s">
        <v>2917</v>
      </c>
      <c r="BX2005" s="2" t="s">
        <v>100</v>
      </c>
      <c r="BY2005" s="2" t="s">
        <v>112</v>
      </c>
      <c r="BZ2005" s="2" t="s">
        <v>100</v>
      </c>
    </row>
    <row r="2006">
      <c r="A2006" s="2" t="s">
        <v>6886</v>
      </c>
      <c r="B2006" s="2" t="s">
        <v>6098</v>
      </c>
      <c r="C2006" s="2" t="s">
        <v>6851</v>
      </c>
      <c r="D2006" s="2" t="s">
        <v>6099</v>
      </c>
      <c r="E2006" s="2" t="s">
        <v>6377</v>
      </c>
      <c r="F2006" s="2" t="s">
        <v>6887</v>
      </c>
      <c r="G2006" s="2" t="s">
        <v>6887</v>
      </c>
      <c r="H2006" s="2" t="s">
        <v>6887</v>
      </c>
      <c r="I2006" s="2" t="s">
        <v>6888</v>
      </c>
      <c r="J2006" s="2" t="s">
        <v>6103</v>
      </c>
      <c r="K2006" s="2" t="s">
        <v>158</v>
      </c>
      <c r="L2006" s="3">
        <v>38.15</v>
      </c>
      <c r="M2006" s="3">
        <v>40.06</v>
      </c>
      <c r="N2006" s="3">
        <v>84.99</v>
      </c>
      <c r="O2006" s="2" t="s">
        <v>229</v>
      </c>
      <c r="P2006" s="2" t="s">
        <v>198</v>
      </c>
      <c r="Q2006" s="2" t="s">
        <v>99</v>
      </c>
      <c r="R2006" s="2" t="s">
        <v>100</v>
      </c>
      <c r="S2006" s="2" t="s">
        <v>6889</v>
      </c>
      <c r="T2006" s="2" t="s">
        <v>100</v>
      </c>
      <c r="U2006" s="2" t="s">
        <v>3531</v>
      </c>
      <c r="V2006" s="2" t="s">
        <v>1122</v>
      </c>
      <c r="W2006" s="2" t="s">
        <v>602</v>
      </c>
      <c r="X2006" s="2" t="s">
        <v>6854</v>
      </c>
      <c r="Y2006" s="2" t="s">
        <v>6700</v>
      </c>
      <c r="Z2006" s="4"/>
      <c r="AA2006" s="4">
        <f>=ROUNDDOWN({0},0)</f>
      </c>
      <c r="AB2006" s="5"/>
      <c r="AC2006" s="2" t="s">
        <v>100</v>
      </c>
      <c r="AD2006" s="4"/>
      <c r="AE2006" s="4"/>
      <c r="AF2006" s="6">
        <v>63</v>
      </c>
      <c r="AG2006" s="6"/>
      <c r="AH2006" s="7">
        <v>0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>
        <v>0</v>
      </c>
      <c r="AP2006" s="4"/>
      <c r="AQ2006" s="8"/>
      <c r="AR2006" s="4">
        <v>1</v>
      </c>
      <c r="AS2006" s="8">
        <v>40.06</v>
      </c>
      <c r="AT2006" s="7">
        <v>-1</v>
      </c>
      <c r="AU2006" s="7">
        <v>-1</v>
      </c>
      <c r="AV2006" s="4"/>
      <c r="AW2006" s="8"/>
      <c r="AX2006" s="4">
        <v>1</v>
      </c>
      <c r="AY2006" s="8">
        <v>40.06</v>
      </c>
      <c r="AZ2006" s="7">
        <v>-1</v>
      </c>
      <c r="BA2006" s="7">
        <v>-1</v>
      </c>
      <c r="BB2006" s="7"/>
      <c r="BC2006" s="4"/>
      <c r="BD2006" s="8"/>
      <c r="BE2006" s="4">
        <v>1</v>
      </c>
      <c r="BF2006" s="8">
        <v>40.06</v>
      </c>
      <c r="BG2006" s="7">
        <v>-1</v>
      </c>
      <c r="BH2006" s="7">
        <v>-1</v>
      </c>
      <c r="BI2006" s="7"/>
      <c r="BJ2006" s="4"/>
      <c r="BK2006" s="8"/>
      <c r="BL2006" s="2" t="s">
        <v>6890</v>
      </c>
      <c r="BM2006" s="7"/>
      <c r="BN2006" s="7"/>
      <c r="BO2006" s="4"/>
      <c r="BP2006" s="8"/>
      <c r="BQ2006" s="4">
        <v>1</v>
      </c>
      <c r="BR2006" s="8">
        <v>40.06</v>
      </c>
      <c r="BS2006" s="7">
        <v>-1</v>
      </c>
      <c r="BT2006" s="7">
        <v>-1</v>
      </c>
      <c r="BU2006" s="2" t="s">
        <v>109</v>
      </c>
      <c r="BV2006" s="2" t="s">
        <v>552</v>
      </c>
      <c r="BW2006" s="2" t="s">
        <v>918</v>
      </c>
      <c r="BX2006" s="2" t="s">
        <v>2728</v>
      </c>
      <c r="BY2006" s="2" t="s">
        <v>112</v>
      </c>
      <c r="BZ2006" s="2" t="s">
        <v>100</v>
      </c>
    </row>
    <row r="2007">
      <c r="A2007" s="2" t="s">
        <v>6891</v>
      </c>
      <c r="B2007" s="2" t="s">
        <v>6098</v>
      </c>
      <c r="C2007" s="2" t="s">
        <v>6851</v>
      </c>
      <c r="D2007" s="2" t="s">
        <v>6099</v>
      </c>
      <c r="E2007" s="2" t="s">
        <v>6377</v>
      </c>
      <c r="F2007" s="2" t="s">
        <v>6892</v>
      </c>
      <c r="G2007" s="2" t="s">
        <v>6892</v>
      </c>
      <c r="H2007" s="2" t="s">
        <v>6892</v>
      </c>
      <c r="I2007" s="2" t="s">
        <v>6893</v>
      </c>
      <c r="J2007" s="2" t="s">
        <v>6103</v>
      </c>
      <c r="K2007" s="2" t="s">
        <v>1767</v>
      </c>
      <c r="L2007" s="3">
        <v>41.95</v>
      </c>
      <c r="M2007" s="3">
        <v>44.05</v>
      </c>
      <c r="N2007" s="3">
        <v>89.99</v>
      </c>
      <c r="O2007" s="2" t="s">
        <v>229</v>
      </c>
      <c r="P2007" s="2" t="s">
        <v>198</v>
      </c>
      <c r="Q2007" s="2" t="s">
        <v>99</v>
      </c>
      <c r="R2007" s="2" t="s">
        <v>100</v>
      </c>
      <c r="S2007" s="2" t="s">
        <v>100</v>
      </c>
      <c r="T2007" s="2" t="s">
        <v>100</v>
      </c>
      <c r="U2007" s="2" t="s">
        <v>3531</v>
      </c>
      <c r="V2007" s="2" t="s">
        <v>1122</v>
      </c>
      <c r="W2007" s="2" t="s">
        <v>602</v>
      </c>
      <c r="X2007" s="2" t="s">
        <v>6854</v>
      </c>
      <c r="Y2007" s="2" t="s">
        <v>4346</v>
      </c>
      <c r="Z2007" s="4"/>
      <c r="AA2007" s="4">
        <f>=ROUNDDOWN({0},0)</f>
      </c>
      <c r="AB2007" s="5">
        <v>5</v>
      </c>
      <c r="AC2007" s="2" t="s">
        <v>100</v>
      </c>
      <c r="AD2007" s="4"/>
      <c r="AE2007" s="4"/>
      <c r="AF2007" s="6">
        <v>63</v>
      </c>
      <c r="AG2007" s="6"/>
      <c r="AH2007" s="7">
        <v>0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>
        <v>0</v>
      </c>
      <c r="AP2007" s="4"/>
      <c r="AQ2007" s="8"/>
      <c r="AR2007" s="4">
        <v>2</v>
      </c>
      <c r="AS2007" s="8">
        <v>88.1</v>
      </c>
      <c r="AT2007" s="7">
        <v>-1</v>
      </c>
      <c r="AU2007" s="7">
        <v>-1</v>
      </c>
      <c r="AV2007" s="4"/>
      <c r="AW2007" s="8"/>
      <c r="AX2007" s="4">
        <v>2</v>
      </c>
      <c r="AY2007" s="8">
        <v>88.1</v>
      </c>
      <c r="AZ2007" s="7">
        <v>-1</v>
      </c>
      <c r="BA2007" s="7">
        <v>-1</v>
      </c>
      <c r="BB2007" s="7"/>
      <c r="BC2007" s="4"/>
      <c r="BD2007" s="8"/>
      <c r="BE2007" s="4">
        <v>2</v>
      </c>
      <c r="BF2007" s="8">
        <v>88.1</v>
      </c>
      <c r="BG2007" s="7">
        <v>-1</v>
      </c>
      <c r="BH2007" s="7">
        <v>-1</v>
      </c>
      <c r="BI2007" s="7"/>
      <c r="BJ2007" s="4"/>
      <c r="BK2007" s="8"/>
      <c r="BL2007" s="2" t="s">
        <v>6894</v>
      </c>
      <c r="BM2007" s="7"/>
      <c r="BN2007" s="7"/>
      <c r="BO2007" s="4"/>
      <c r="BP2007" s="8"/>
      <c r="BQ2007" s="4">
        <v>2</v>
      </c>
      <c r="BR2007" s="8">
        <v>88.1</v>
      </c>
      <c r="BS2007" s="7">
        <v>-1</v>
      </c>
      <c r="BT2007" s="7">
        <v>-1</v>
      </c>
      <c r="BU2007" s="2" t="s">
        <v>109</v>
      </c>
      <c r="BV2007" s="2" t="s">
        <v>552</v>
      </c>
      <c r="BW2007" s="2" t="s">
        <v>918</v>
      </c>
      <c r="BX2007" s="2" t="s">
        <v>5076</v>
      </c>
      <c r="BY2007" s="2" t="s">
        <v>112</v>
      </c>
      <c r="BZ2007" s="2" t="s">
        <v>100</v>
      </c>
    </row>
    <row r="2008">
      <c r="A2008" s="2" t="s">
        <v>6895</v>
      </c>
      <c r="B2008" s="2" t="s">
        <v>6098</v>
      </c>
      <c r="C2008" s="2" t="s">
        <v>6851</v>
      </c>
      <c r="D2008" s="2" t="s">
        <v>6099</v>
      </c>
      <c r="E2008" s="2" t="s">
        <v>6377</v>
      </c>
      <c r="F2008" s="2" t="s">
        <v>6896</v>
      </c>
      <c r="G2008" s="2" t="s">
        <v>6896</v>
      </c>
      <c r="H2008" s="2" t="s">
        <v>6896</v>
      </c>
      <c r="I2008" s="2" t="s">
        <v>6897</v>
      </c>
      <c r="J2008" s="2" t="s">
        <v>6103</v>
      </c>
      <c r="K2008" s="2" t="s">
        <v>1767</v>
      </c>
      <c r="L2008" s="3">
        <v>42</v>
      </c>
      <c r="M2008" s="3">
        <v>44.1</v>
      </c>
      <c r="N2008" s="3">
        <v>89.99</v>
      </c>
      <c r="O2008" s="2" t="s">
        <v>550</v>
      </c>
      <c r="P2008" s="2" t="s">
        <v>198</v>
      </c>
      <c r="Q2008" s="2" t="s">
        <v>99</v>
      </c>
      <c r="R2008" s="2" t="s">
        <v>100</v>
      </c>
      <c r="S2008" s="2" t="s">
        <v>100</v>
      </c>
      <c r="T2008" s="2" t="s">
        <v>100</v>
      </c>
      <c r="U2008" s="2" t="s">
        <v>3531</v>
      </c>
      <c r="V2008" s="2" t="s">
        <v>1122</v>
      </c>
      <c r="W2008" s="2" t="s">
        <v>602</v>
      </c>
      <c r="X2008" s="2" t="s">
        <v>6854</v>
      </c>
      <c r="Y2008" s="2" t="s">
        <v>4346</v>
      </c>
      <c r="Z2008" s="4"/>
      <c r="AA2008" s="4">
        <f>=ROUNDDOWN({0},0)</f>
      </c>
      <c r="AB2008" s="5"/>
      <c r="AC2008" s="2" t="s">
        <v>100</v>
      </c>
      <c r="AD2008" s="4"/>
      <c r="AE2008" s="4"/>
      <c r="AF2008" s="6">
        <v>63</v>
      </c>
      <c r="AG2008" s="6"/>
      <c r="AH2008" s="7">
        <v>0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>
        <v>0</v>
      </c>
      <c r="AP2008" s="4"/>
      <c r="AQ2008" s="8"/>
      <c r="AR2008" s="4">
        <v>1</v>
      </c>
      <c r="AS2008" s="8">
        <v>44.1</v>
      </c>
      <c r="AT2008" s="7">
        <v>-1</v>
      </c>
      <c r="AU2008" s="7">
        <v>-1</v>
      </c>
      <c r="AV2008" s="4"/>
      <c r="AW2008" s="8"/>
      <c r="AX2008" s="4">
        <v>1</v>
      </c>
      <c r="AY2008" s="8">
        <v>44.1</v>
      </c>
      <c r="AZ2008" s="7">
        <v>-1</v>
      </c>
      <c r="BA2008" s="7">
        <v>-1</v>
      </c>
      <c r="BB2008" s="7"/>
      <c r="BC2008" s="4"/>
      <c r="BD2008" s="8"/>
      <c r="BE2008" s="4">
        <v>1</v>
      </c>
      <c r="BF2008" s="8">
        <v>44.1</v>
      </c>
      <c r="BG2008" s="7">
        <v>-1</v>
      </c>
      <c r="BH2008" s="7">
        <v>-1</v>
      </c>
      <c r="BI2008" s="7"/>
      <c r="BJ2008" s="4"/>
      <c r="BK2008" s="8"/>
      <c r="BL2008" s="2" t="s">
        <v>6898</v>
      </c>
      <c r="BM2008" s="7"/>
      <c r="BN2008" s="7"/>
      <c r="BO2008" s="4"/>
      <c r="BP2008" s="8"/>
      <c r="BQ2008" s="4">
        <v>1</v>
      </c>
      <c r="BR2008" s="8">
        <v>44.1</v>
      </c>
      <c r="BS2008" s="7">
        <v>-1</v>
      </c>
      <c r="BT2008" s="7">
        <v>-1</v>
      </c>
      <c r="BU2008" s="2" t="s">
        <v>109</v>
      </c>
      <c r="BV2008" s="2" t="s">
        <v>552</v>
      </c>
      <c r="BW2008" s="2" t="s">
        <v>918</v>
      </c>
      <c r="BX2008" s="2" t="s">
        <v>5003</v>
      </c>
      <c r="BY2008" s="2" t="s">
        <v>112</v>
      </c>
      <c r="BZ2008" s="2" t="s">
        <v>100</v>
      </c>
    </row>
    <row r="2009">
      <c r="A2009" s="2" t="s">
        <v>6899</v>
      </c>
      <c r="B2009" s="2" t="s">
        <v>6098</v>
      </c>
      <c r="C2009" s="2" t="s">
        <v>6851</v>
      </c>
      <c r="D2009" s="2" t="s">
        <v>6497</v>
      </c>
      <c r="E2009" s="2" t="s">
        <v>6480</v>
      </c>
      <c r="F2009" s="2" t="s">
        <v>6900</v>
      </c>
      <c r="G2009" s="2" t="s">
        <v>6900</v>
      </c>
      <c r="H2009" s="2" t="s">
        <v>6900</v>
      </c>
      <c r="I2009" s="2" t="s">
        <v>6901</v>
      </c>
      <c r="J2009" s="2" t="s">
        <v>6103</v>
      </c>
      <c r="K2009" s="2" t="s">
        <v>2066</v>
      </c>
      <c r="L2009" s="3">
        <v>37.19</v>
      </c>
      <c r="M2009" s="3">
        <v>39.05</v>
      </c>
      <c r="N2009" s="3">
        <v>76.49</v>
      </c>
      <c r="O2009" s="2" t="s">
        <v>97</v>
      </c>
      <c r="P2009" s="2" t="s">
        <v>124</v>
      </c>
      <c r="Q2009" s="2" t="s">
        <v>99</v>
      </c>
      <c r="R2009" s="2" t="s">
        <v>100</v>
      </c>
      <c r="S2009" s="2" t="s">
        <v>100</v>
      </c>
      <c r="T2009" s="2" t="s">
        <v>100</v>
      </c>
      <c r="U2009" s="2" t="s">
        <v>3531</v>
      </c>
      <c r="V2009" s="2" t="s">
        <v>601</v>
      </c>
      <c r="W2009" s="2" t="s">
        <v>104</v>
      </c>
      <c r="X2009" s="2" t="s">
        <v>6854</v>
      </c>
      <c r="Y2009" s="2" t="s">
        <v>6902</v>
      </c>
      <c r="Z2009" s="4">
        <v>289</v>
      </c>
      <c r="AA2009" s="4">
        <f>=ROUNDDOWN(15.2105263157895,0)</f>
      </c>
      <c r="AB2009" s="5">
        <v>19</v>
      </c>
      <c r="AC2009" s="2" t="s">
        <v>527</v>
      </c>
      <c r="AD2009" s="4">
        <v>200</v>
      </c>
      <c r="AE2009" s="4">
        <v>350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>
        <v>0</v>
      </c>
      <c r="AP2009" s="4">
        <v>11</v>
      </c>
      <c r="AQ2009" s="8">
        <v>429.55</v>
      </c>
      <c r="AR2009" s="4">
        <v>13</v>
      </c>
      <c r="AS2009" s="8">
        <v>542.1</v>
      </c>
      <c r="AT2009" s="7">
        <v>-0.1538</v>
      </c>
      <c r="AU2009" s="7">
        <v>-0.2076</v>
      </c>
      <c r="AV2009" s="4">
        <v>11</v>
      </c>
      <c r="AW2009" s="8">
        <v>429.55</v>
      </c>
      <c r="AX2009" s="4">
        <v>13</v>
      </c>
      <c r="AY2009" s="8">
        <v>542.1</v>
      </c>
      <c r="AZ2009" s="7">
        <v>-0.1538</v>
      </c>
      <c r="BA2009" s="7">
        <v>-0.2076</v>
      </c>
      <c r="BB2009" s="7">
        <v>1</v>
      </c>
      <c r="BC2009" s="4">
        <v>11</v>
      </c>
      <c r="BD2009" s="8">
        <v>429.55</v>
      </c>
      <c r="BE2009" s="4">
        <v>13</v>
      </c>
      <c r="BF2009" s="8">
        <v>542.1</v>
      </c>
      <c r="BG2009" s="7">
        <v>-0.1538</v>
      </c>
      <c r="BH2009" s="7">
        <v>-0.2076</v>
      </c>
      <c r="BI2009" s="7">
        <v>1</v>
      </c>
      <c r="BJ2009" s="4">
        <v>473</v>
      </c>
      <c r="BK2009" s="8">
        <v>20895.24</v>
      </c>
      <c r="BL2009" s="2" t="s">
        <v>6903</v>
      </c>
      <c r="BM2009" s="7">
        <v>0.0233</v>
      </c>
      <c r="BN2009" s="7">
        <v>0.0206</v>
      </c>
      <c r="BO2009" s="4">
        <v>11</v>
      </c>
      <c r="BP2009" s="8">
        <v>429.55</v>
      </c>
      <c r="BQ2009" s="4">
        <v>13</v>
      </c>
      <c r="BR2009" s="8">
        <v>542.1</v>
      </c>
      <c r="BS2009" s="7">
        <v>-0.1538</v>
      </c>
      <c r="BT2009" s="7">
        <v>-0.2076</v>
      </c>
      <c r="BU2009" s="2" t="s">
        <v>109</v>
      </c>
      <c r="BV2009" s="2" t="s">
        <v>97</v>
      </c>
      <c r="BW2009" s="2" t="s">
        <v>6110</v>
      </c>
      <c r="BX2009" s="2" t="s">
        <v>6904</v>
      </c>
      <c r="BY2009" s="2" t="s">
        <v>112</v>
      </c>
      <c r="BZ2009" s="2" t="s">
        <v>100</v>
      </c>
    </row>
    <row r="2010">
      <c r="A2010" s="2" t="s">
        <v>6905</v>
      </c>
      <c r="B2010" s="2" t="s">
        <v>6098</v>
      </c>
      <c r="C2010" s="2" t="s">
        <v>6851</v>
      </c>
      <c r="D2010" s="2" t="s">
        <v>6497</v>
      </c>
      <c r="E2010" s="2" t="s">
        <v>6480</v>
      </c>
      <c r="F2010" s="2" t="s">
        <v>6906</v>
      </c>
      <c r="G2010" s="2" t="s">
        <v>6906</v>
      </c>
      <c r="H2010" s="2" t="s">
        <v>6906</v>
      </c>
      <c r="I2010" s="2" t="s">
        <v>6907</v>
      </c>
      <c r="J2010" s="2" t="s">
        <v>6103</v>
      </c>
      <c r="K2010" s="2" t="s">
        <v>158</v>
      </c>
      <c r="L2010" s="3">
        <v>32</v>
      </c>
      <c r="M2010" s="3">
        <v>33.6</v>
      </c>
      <c r="N2010" s="3">
        <v>69.99</v>
      </c>
      <c r="O2010" s="2" t="s">
        <v>97</v>
      </c>
      <c r="P2010" s="2" t="s">
        <v>1166</v>
      </c>
      <c r="Q2010" s="2" t="s">
        <v>99</v>
      </c>
      <c r="R2010" s="2" t="s">
        <v>100</v>
      </c>
      <c r="S2010" s="2" t="s">
        <v>100</v>
      </c>
      <c r="T2010" s="2" t="s">
        <v>100</v>
      </c>
      <c r="U2010" s="2" t="s">
        <v>3531</v>
      </c>
      <c r="V2010" s="2" t="s">
        <v>1122</v>
      </c>
      <c r="W2010" s="2" t="s">
        <v>6908</v>
      </c>
      <c r="X2010" s="2" t="s">
        <v>602</v>
      </c>
      <c r="Y2010" s="2" t="s">
        <v>6641</v>
      </c>
      <c r="Z2010" s="4">
        <v>97</v>
      </c>
      <c r="AA2010" s="4">
        <f>=ROUNDDOWN(32.3333333333333,0)</f>
      </c>
      <c r="AB2010" s="5">
        <v>3</v>
      </c>
      <c r="AC2010" s="2" t="s">
        <v>100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3</v>
      </c>
      <c r="BK2010" s="8">
        <v>111.23</v>
      </c>
      <c r="BL2010" s="2" t="s">
        <v>6909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6185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6910</v>
      </c>
      <c r="B2011" s="2" t="s">
        <v>6098</v>
      </c>
      <c r="C2011" s="2" t="s">
        <v>6851</v>
      </c>
      <c r="D2011" s="2" t="s">
        <v>6497</v>
      </c>
      <c r="E2011" s="2" t="s">
        <v>6480</v>
      </c>
      <c r="F2011" s="2" t="s">
        <v>6906</v>
      </c>
      <c r="G2011" s="2" t="s">
        <v>6906</v>
      </c>
      <c r="H2011" s="2" t="s">
        <v>6906</v>
      </c>
      <c r="I2011" s="2" t="s">
        <v>6911</v>
      </c>
      <c r="J2011" s="2" t="s">
        <v>6103</v>
      </c>
      <c r="K2011" s="2" t="s">
        <v>1935</v>
      </c>
      <c r="L2011" s="3">
        <v>32</v>
      </c>
      <c r="M2011" s="3">
        <v>33.6</v>
      </c>
      <c r="N2011" s="3">
        <v>69.99</v>
      </c>
      <c r="O2011" s="2" t="s">
        <v>97</v>
      </c>
      <c r="P2011" s="2" t="s">
        <v>1166</v>
      </c>
      <c r="Q2011" s="2" t="s">
        <v>99</v>
      </c>
      <c r="R2011" s="2" t="s">
        <v>100</v>
      </c>
      <c r="S2011" s="2" t="s">
        <v>100</v>
      </c>
      <c r="T2011" s="2" t="s">
        <v>100</v>
      </c>
      <c r="U2011" s="2" t="s">
        <v>3531</v>
      </c>
      <c r="V2011" s="2" t="s">
        <v>1122</v>
      </c>
      <c r="W2011" s="2" t="s">
        <v>6908</v>
      </c>
      <c r="X2011" s="2" t="s">
        <v>602</v>
      </c>
      <c r="Y2011" s="2" t="s">
        <v>6641</v>
      </c>
      <c r="Z2011" s="4">
        <v>95</v>
      </c>
      <c r="AA2011" s="4">
        <f>=ROUNDDOWN(86.3636363636364,0)</f>
      </c>
      <c r="AB2011" s="5">
        <v>1.1</v>
      </c>
      <c r="AC2011" s="2" t="s">
        <v>100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5</v>
      </c>
      <c r="BK2011" s="8">
        <v>175.23</v>
      </c>
      <c r="BL2011" s="2" t="s">
        <v>6912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6185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6913</v>
      </c>
      <c r="B2012" s="2" t="s">
        <v>6098</v>
      </c>
      <c r="C2012" s="2" t="s">
        <v>6851</v>
      </c>
      <c r="D2012" s="2" t="s">
        <v>6497</v>
      </c>
      <c r="E2012" s="2" t="s">
        <v>6619</v>
      </c>
      <c r="F2012" s="2" t="s">
        <v>6914</v>
      </c>
      <c r="G2012" s="2" t="s">
        <v>6914</v>
      </c>
      <c r="H2012" s="2" t="s">
        <v>6914</v>
      </c>
      <c r="I2012" s="2" t="s">
        <v>6915</v>
      </c>
      <c r="J2012" s="2" t="s">
        <v>6103</v>
      </c>
      <c r="K2012" s="2" t="s">
        <v>1637</v>
      </c>
      <c r="L2012" s="3">
        <v>70.13</v>
      </c>
      <c r="M2012" s="3">
        <v>73.64</v>
      </c>
      <c r="N2012" s="3">
        <v>144.49</v>
      </c>
      <c r="O2012" s="2" t="s">
        <v>97</v>
      </c>
      <c r="P2012" s="2" t="s">
        <v>182</v>
      </c>
      <c r="Q2012" s="2" t="s">
        <v>99</v>
      </c>
      <c r="R2012" s="2" t="s">
        <v>100</v>
      </c>
      <c r="S2012" s="2" t="s">
        <v>100</v>
      </c>
      <c r="T2012" s="2" t="s">
        <v>100</v>
      </c>
      <c r="U2012" s="2" t="s">
        <v>1610</v>
      </c>
      <c r="V2012" s="2" t="s">
        <v>991</v>
      </c>
      <c r="W2012" s="2" t="s">
        <v>602</v>
      </c>
      <c r="X2012" s="2" t="s">
        <v>6854</v>
      </c>
      <c r="Y2012" s="2" t="s">
        <v>369</v>
      </c>
      <c r="Z2012" s="4">
        <v>40</v>
      </c>
      <c r="AA2012" s="4">
        <f>=ROUNDDOWN(10,0)</f>
      </c>
      <c r="AB2012" s="5">
        <v>4</v>
      </c>
      <c r="AC2012" s="2" t="s">
        <v>382</v>
      </c>
      <c r="AD2012" s="4">
        <v>100</v>
      </c>
      <c r="AE2012" s="4">
        <v>100</v>
      </c>
      <c r="AF2012" s="6">
        <v>63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>
        <v>77</v>
      </c>
      <c r="BK2012" s="8">
        <v>6172.45</v>
      </c>
      <c r="BL2012" s="2" t="s">
        <v>6916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147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6917</v>
      </c>
      <c r="B2013" s="2" t="s">
        <v>6098</v>
      </c>
      <c r="C2013" s="2" t="s">
        <v>6851</v>
      </c>
      <c r="D2013" s="2" t="s">
        <v>6497</v>
      </c>
      <c r="E2013" s="2" t="s">
        <v>6619</v>
      </c>
      <c r="F2013" s="2" t="s">
        <v>1295</v>
      </c>
      <c r="G2013" s="2" t="s">
        <v>1295</v>
      </c>
      <c r="H2013" s="2" t="s">
        <v>1295</v>
      </c>
      <c r="I2013" s="2" t="s">
        <v>6918</v>
      </c>
      <c r="J2013" s="2" t="s">
        <v>6103</v>
      </c>
      <c r="K2013" s="2" t="s">
        <v>1935</v>
      </c>
      <c r="L2013" s="3">
        <v>40.47</v>
      </c>
      <c r="M2013" s="3">
        <v>42.49</v>
      </c>
      <c r="N2013" s="3">
        <v>84.99</v>
      </c>
      <c r="O2013" s="2" t="s">
        <v>97</v>
      </c>
      <c r="P2013" s="2" t="s">
        <v>1166</v>
      </c>
      <c r="Q2013" s="2" t="s">
        <v>99</v>
      </c>
      <c r="R2013" s="2" t="s">
        <v>100</v>
      </c>
      <c r="S2013" s="2" t="s">
        <v>100</v>
      </c>
      <c r="T2013" s="2" t="s">
        <v>100</v>
      </c>
      <c r="U2013" s="2" t="s">
        <v>3531</v>
      </c>
      <c r="V2013" s="2" t="s">
        <v>1275</v>
      </c>
      <c r="W2013" s="2" t="s">
        <v>6908</v>
      </c>
      <c r="X2013" s="2" t="s">
        <v>1288</v>
      </c>
      <c r="Y2013" s="2" t="s">
        <v>3683</v>
      </c>
      <c r="Z2013" s="4">
        <v>57</v>
      </c>
      <c r="AA2013" s="4">
        <f>=ROUNDDOWN(43.8461538461538,0)</f>
      </c>
      <c r="AB2013" s="5">
        <v>1.3</v>
      </c>
      <c r="AC2013" s="2" t="s">
        <v>100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31</v>
      </c>
      <c r="BK2013" s="8">
        <v>1462.47</v>
      </c>
      <c r="BL2013" s="2" t="s">
        <v>6919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6185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6920</v>
      </c>
      <c r="B2014" s="2" t="s">
        <v>6098</v>
      </c>
      <c r="C2014" s="2" t="s">
        <v>6851</v>
      </c>
      <c r="D2014" s="2" t="s">
        <v>6497</v>
      </c>
      <c r="E2014" s="2" t="s">
        <v>6377</v>
      </c>
      <c r="F2014" s="2" t="s">
        <v>6921</v>
      </c>
      <c r="G2014" s="2" t="s">
        <v>6921</v>
      </c>
      <c r="H2014" s="2" t="s">
        <v>6921</v>
      </c>
      <c r="I2014" s="2" t="s">
        <v>6922</v>
      </c>
      <c r="J2014" s="2" t="s">
        <v>6103</v>
      </c>
      <c r="K2014" s="2" t="s">
        <v>158</v>
      </c>
      <c r="L2014" s="3">
        <v>38.46</v>
      </c>
      <c r="M2014" s="3">
        <v>40.38</v>
      </c>
      <c r="N2014" s="3">
        <v>84.99</v>
      </c>
      <c r="O2014" s="2" t="s">
        <v>97</v>
      </c>
      <c r="P2014" s="2" t="s">
        <v>143</v>
      </c>
      <c r="Q2014" s="2" t="s">
        <v>99</v>
      </c>
      <c r="R2014" s="2" t="s">
        <v>100</v>
      </c>
      <c r="S2014" s="2" t="s">
        <v>6923</v>
      </c>
      <c r="T2014" s="2" t="s">
        <v>100</v>
      </c>
      <c r="U2014" s="2" t="s">
        <v>3531</v>
      </c>
      <c r="V2014" s="2" t="s">
        <v>1122</v>
      </c>
      <c r="W2014" s="2" t="s">
        <v>602</v>
      </c>
      <c r="X2014" s="2" t="s">
        <v>6854</v>
      </c>
      <c r="Y2014" s="2" t="s">
        <v>6924</v>
      </c>
      <c r="Z2014" s="4">
        <v>120</v>
      </c>
      <c r="AA2014" s="4">
        <f>=ROUNDDOWN(5.45454545454545,0)</f>
      </c>
      <c r="AB2014" s="5">
        <v>22</v>
      </c>
      <c r="AC2014" s="2" t="s">
        <v>527</v>
      </c>
      <c r="AD2014" s="4">
        <v>160</v>
      </c>
      <c r="AE2014" s="4">
        <v>580</v>
      </c>
      <c r="AF2014" s="6">
        <v>65</v>
      </c>
      <c r="AG2014" s="6"/>
      <c r="AH2014" s="7">
        <v>0.9333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>
        <v>519</v>
      </c>
      <c r="BK2014" s="8">
        <v>23798.9</v>
      </c>
      <c r="BL2014" s="2" t="s">
        <v>6925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6185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6926</v>
      </c>
      <c r="B2015" s="2" t="s">
        <v>6098</v>
      </c>
      <c r="C2015" s="2" t="s">
        <v>6851</v>
      </c>
      <c r="D2015" s="2" t="s">
        <v>6497</v>
      </c>
      <c r="E2015" s="2" t="s">
        <v>6377</v>
      </c>
      <c r="F2015" s="2" t="s">
        <v>6927</v>
      </c>
      <c r="G2015" s="2" t="s">
        <v>6927</v>
      </c>
      <c r="H2015" s="2" t="s">
        <v>6927</v>
      </c>
      <c r="I2015" s="2" t="s">
        <v>6928</v>
      </c>
      <c r="J2015" s="2" t="s">
        <v>6103</v>
      </c>
      <c r="K2015" s="2" t="s">
        <v>158</v>
      </c>
      <c r="L2015" s="3">
        <v>40.8</v>
      </c>
      <c r="M2015" s="3">
        <v>42.84</v>
      </c>
      <c r="N2015" s="3">
        <v>84.99</v>
      </c>
      <c r="O2015" s="2" t="s">
        <v>97</v>
      </c>
      <c r="P2015" s="2" t="s">
        <v>1265</v>
      </c>
      <c r="Q2015" s="2" t="s">
        <v>99</v>
      </c>
      <c r="R2015" s="2" t="s">
        <v>100</v>
      </c>
      <c r="S2015" s="2" t="s">
        <v>6929</v>
      </c>
      <c r="T2015" s="2" t="s">
        <v>100</v>
      </c>
      <c r="U2015" s="2" t="s">
        <v>3531</v>
      </c>
      <c r="V2015" s="2" t="s">
        <v>906</v>
      </c>
      <c r="W2015" s="2" t="s">
        <v>602</v>
      </c>
      <c r="X2015" s="2" t="s">
        <v>6854</v>
      </c>
      <c r="Y2015" s="2" t="s">
        <v>6924</v>
      </c>
      <c r="Z2015" s="4">
        <v>39</v>
      </c>
      <c r="AA2015" s="4">
        <f>=ROUNDDOWN(11.4705882352941,0)</f>
      </c>
      <c r="AB2015" s="5">
        <v>3.4</v>
      </c>
      <c r="AC2015" s="2" t="s">
        <v>6501</v>
      </c>
      <c r="AD2015" s="4">
        <v>100</v>
      </c>
      <c r="AE2015" s="4">
        <v>100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84</v>
      </c>
      <c r="BK2015" s="8">
        <v>3735.26</v>
      </c>
      <c r="BL2015" s="2" t="s">
        <v>6930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6185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6931</v>
      </c>
      <c r="B2016" s="2" t="s">
        <v>6098</v>
      </c>
      <c r="C2016" s="2" t="s">
        <v>6851</v>
      </c>
      <c r="D2016" s="2" t="s">
        <v>6763</v>
      </c>
      <c r="E2016" s="2" t="s">
        <v>6781</v>
      </c>
      <c r="F2016" s="2" t="s">
        <v>3979</v>
      </c>
      <c r="G2016" s="2" t="s">
        <v>3979</v>
      </c>
      <c r="H2016" s="2" t="s">
        <v>3979</v>
      </c>
      <c r="I2016" s="2" t="s">
        <v>6932</v>
      </c>
      <c r="J2016" s="2" t="s">
        <v>6103</v>
      </c>
      <c r="K2016" s="2" t="s">
        <v>2066</v>
      </c>
      <c r="L2016" s="3">
        <v>62.26</v>
      </c>
      <c r="M2016" s="3">
        <v>65.37</v>
      </c>
      <c r="N2016" s="3">
        <v>130.04</v>
      </c>
      <c r="O2016" s="2" t="s">
        <v>97</v>
      </c>
      <c r="P2016" s="2" t="s">
        <v>124</v>
      </c>
      <c r="Q2016" s="2" t="s">
        <v>99</v>
      </c>
      <c r="R2016" s="2" t="s">
        <v>100</v>
      </c>
      <c r="S2016" s="2" t="s">
        <v>100</v>
      </c>
      <c r="T2016" s="2" t="s">
        <v>100</v>
      </c>
      <c r="U2016" s="2" t="s">
        <v>3531</v>
      </c>
      <c r="V2016" s="2" t="s">
        <v>601</v>
      </c>
      <c r="W2016" s="2" t="s">
        <v>104</v>
      </c>
      <c r="X2016" s="2" t="s">
        <v>6854</v>
      </c>
      <c r="Y2016" s="2" t="s">
        <v>6933</v>
      </c>
      <c r="Z2016" s="4">
        <v>499</v>
      </c>
      <c r="AA2016" s="4">
        <f>=ROUNDDOWN(20.7916666666667,0)</f>
      </c>
      <c r="AB2016" s="5">
        <v>24</v>
      </c>
      <c r="AC2016" s="2" t="s">
        <v>847</v>
      </c>
      <c r="AD2016" s="4">
        <v>350</v>
      </c>
      <c r="AE2016" s="4">
        <v>350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>
        <v>0</v>
      </c>
      <c r="AP2016" s="4">
        <v>3</v>
      </c>
      <c r="AQ2016" s="8">
        <v>196.14</v>
      </c>
      <c r="AR2016" s="4">
        <v>5</v>
      </c>
      <c r="AS2016" s="8">
        <v>361.49</v>
      </c>
      <c r="AT2016" s="7">
        <v>-0.4</v>
      </c>
      <c r="AU2016" s="7">
        <v>-0.4574</v>
      </c>
      <c r="AV2016" s="4">
        <v>3</v>
      </c>
      <c r="AW2016" s="8">
        <v>196.14</v>
      </c>
      <c r="AX2016" s="4">
        <v>5</v>
      </c>
      <c r="AY2016" s="8">
        <v>361.49</v>
      </c>
      <c r="AZ2016" s="7">
        <v>-0.4</v>
      </c>
      <c r="BA2016" s="7">
        <v>-0.4574</v>
      </c>
      <c r="BB2016" s="7">
        <v>1</v>
      </c>
      <c r="BC2016" s="4">
        <v>3</v>
      </c>
      <c r="BD2016" s="8">
        <v>196.14</v>
      </c>
      <c r="BE2016" s="4">
        <v>5</v>
      </c>
      <c r="BF2016" s="8">
        <v>361.49</v>
      </c>
      <c r="BG2016" s="7">
        <v>-0.4</v>
      </c>
      <c r="BH2016" s="7">
        <v>-0.4574</v>
      </c>
      <c r="BI2016" s="7">
        <v>1</v>
      </c>
      <c r="BJ2016" s="4">
        <v>559</v>
      </c>
      <c r="BK2016" s="8">
        <v>41286.39</v>
      </c>
      <c r="BL2016" s="2" t="s">
        <v>6934</v>
      </c>
      <c r="BM2016" s="7">
        <v>0.0054</v>
      </c>
      <c r="BN2016" s="7">
        <v>0.0048</v>
      </c>
      <c r="BO2016" s="4">
        <v>3</v>
      </c>
      <c r="BP2016" s="8">
        <v>196.14</v>
      </c>
      <c r="BQ2016" s="4">
        <v>5</v>
      </c>
      <c r="BR2016" s="8">
        <v>361.49</v>
      </c>
      <c r="BS2016" s="7">
        <v>-0.4</v>
      </c>
      <c r="BT2016" s="7">
        <v>-0.4574</v>
      </c>
      <c r="BU2016" s="2" t="s">
        <v>109</v>
      </c>
      <c r="BV2016" s="2" t="s">
        <v>97</v>
      </c>
      <c r="BW2016" s="2" t="s">
        <v>918</v>
      </c>
      <c r="BX2016" s="2" t="s">
        <v>4360</v>
      </c>
      <c r="BY2016" s="2" t="s">
        <v>112</v>
      </c>
      <c r="BZ2016" s="2" t="s">
        <v>100</v>
      </c>
    </row>
    <row r="2017">
      <c r="A2017" s="2" t="s">
        <v>6935</v>
      </c>
      <c r="B2017" s="2" t="s">
        <v>6098</v>
      </c>
      <c r="C2017" s="2" t="s">
        <v>6851</v>
      </c>
      <c r="D2017" s="2" t="s">
        <v>6763</v>
      </c>
      <c r="E2017" s="2" t="s">
        <v>6781</v>
      </c>
      <c r="F2017" s="2" t="s">
        <v>6936</v>
      </c>
      <c r="G2017" s="2" t="s">
        <v>6936</v>
      </c>
      <c r="H2017" s="2" t="s">
        <v>6936</v>
      </c>
      <c r="I2017" s="2" t="s">
        <v>6937</v>
      </c>
      <c r="J2017" s="2" t="s">
        <v>6103</v>
      </c>
      <c r="K2017" s="2" t="s">
        <v>142</v>
      </c>
      <c r="L2017" s="3">
        <v>123.21</v>
      </c>
      <c r="M2017" s="3">
        <v>129.37</v>
      </c>
      <c r="N2017" s="3">
        <v>225.24</v>
      </c>
      <c r="O2017" s="2" t="s">
        <v>97</v>
      </c>
      <c r="P2017" s="2" t="s">
        <v>182</v>
      </c>
      <c r="Q2017" s="2" t="s">
        <v>99</v>
      </c>
      <c r="R2017" s="2" t="s">
        <v>100</v>
      </c>
      <c r="S2017" s="2" t="s">
        <v>100</v>
      </c>
      <c r="T2017" s="2" t="s">
        <v>100</v>
      </c>
      <c r="U2017" s="2" t="s">
        <v>3531</v>
      </c>
      <c r="V2017" s="2" t="s">
        <v>601</v>
      </c>
      <c r="W2017" s="2" t="s">
        <v>104</v>
      </c>
      <c r="X2017" s="2" t="s">
        <v>6854</v>
      </c>
      <c r="Y2017" s="2" t="s">
        <v>6938</v>
      </c>
      <c r="Z2017" s="4">
        <v>120</v>
      </c>
      <c r="AA2017" s="4">
        <f>=ROUNDDOWN(33.3333333333333,0)</f>
      </c>
      <c r="AB2017" s="5">
        <v>3.6</v>
      </c>
      <c r="AC2017" s="2" t="s">
        <v>100</v>
      </c>
      <c r="AD2017" s="4"/>
      <c r="AE2017" s="4"/>
      <c r="AF2017" s="6">
        <v>65</v>
      </c>
      <c r="AG2017" s="6"/>
      <c r="AH2017" s="7">
        <v>0.9394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>
        <v>0</v>
      </c>
      <c r="AP2017" s="4">
        <v>1</v>
      </c>
      <c r="AQ2017" s="8">
        <v>129.37</v>
      </c>
      <c r="AR2017" s="4">
        <v>2</v>
      </c>
      <c r="AS2017" s="8">
        <v>281.57</v>
      </c>
      <c r="AT2017" s="7">
        <v>-0.5</v>
      </c>
      <c r="AU2017" s="7">
        <v>-0.5405</v>
      </c>
      <c r="AV2017" s="4">
        <v>1</v>
      </c>
      <c r="AW2017" s="8">
        <v>129.37</v>
      </c>
      <c r="AX2017" s="4">
        <v>2</v>
      </c>
      <c r="AY2017" s="8">
        <v>281.57</v>
      </c>
      <c r="AZ2017" s="7">
        <v>-0.5</v>
      </c>
      <c r="BA2017" s="7">
        <v>-0.5405</v>
      </c>
      <c r="BB2017" s="7">
        <v>1</v>
      </c>
      <c r="BC2017" s="4">
        <v>1</v>
      </c>
      <c r="BD2017" s="8">
        <v>129.37</v>
      </c>
      <c r="BE2017" s="4">
        <v>2</v>
      </c>
      <c r="BF2017" s="8">
        <v>281.57</v>
      </c>
      <c r="BG2017" s="7">
        <v>-0.5</v>
      </c>
      <c r="BH2017" s="7">
        <v>-0.5405</v>
      </c>
      <c r="BI2017" s="7">
        <v>1</v>
      </c>
      <c r="BJ2017" s="4">
        <v>79</v>
      </c>
      <c r="BK2017" s="8">
        <v>9842.37</v>
      </c>
      <c r="BL2017" s="2" t="s">
        <v>6939</v>
      </c>
      <c r="BM2017" s="7">
        <v>0.0127</v>
      </c>
      <c r="BN2017" s="7">
        <v>0.0131</v>
      </c>
      <c r="BO2017" s="4">
        <v>1</v>
      </c>
      <c r="BP2017" s="8">
        <v>129.37</v>
      </c>
      <c r="BQ2017" s="4">
        <v>2</v>
      </c>
      <c r="BR2017" s="8">
        <v>281.57</v>
      </c>
      <c r="BS2017" s="7">
        <v>-0.5</v>
      </c>
      <c r="BT2017" s="7">
        <v>-0.5405</v>
      </c>
      <c r="BU2017" s="2" t="s">
        <v>109</v>
      </c>
      <c r="BV2017" s="2" t="s">
        <v>97</v>
      </c>
      <c r="BW2017" s="2" t="s">
        <v>918</v>
      </c>
      <c r="BX2017" s="2" t="s">
        <v>6440</v>
      </c>
      <c r="BY2017" s="2" t="s">
        <v>112</v>
      </c>
      <c r="BZ2017" s="2" t="s">
        <v>100</v>
      </c>
    </row>
    <row r="2018">
      <c r="A2018" s="2" t="s">
        <v>6940</v>
      </c>
      <c r="B2018" s="2" t="s">
        <v>6098</v>
      </c>
      <c r="C2018" s="2" t="s">
        <v>6851</v>
      </c>
      <c r="D2018" s="2" t="s">
        <v>6763</v>
      </c>
      <c r="E2018" s="2" t="s">
        <v>6781</v>
      </c>
      <c r="F2018" s="2" t="s">
        <v>2240</v>
      </c>
      <c r="G2018" s="2" t="s">
        <v>2240</v>
      </c>
      <c r="H2018" s="2" t="s">
        <v>2240</v>
      </c>
      <c r="I2018" s="2" t="s">
        <v>6941</v>
      </c>
      <c r="J2018" s="2" t="s">
        <v>6103</v>
      </c>
      <c r="K2018" s="2" t="s">
        <v>123</v>
      </c>
      <c r="L2018" s="3">
        <v>45.23</v>
      </c>
      <c r="M2018" s="3">
        <v>47.49</v>
      </c>
      <c r="N2018" s="3">
        <v>94.99</v>
      </c>
      <c r="O2018" s="2" t="s">
        <v>97</v>
      </c>
      <c r="P2018" s="2" t="s">
        <v>182</v>
      </c>
      <c r="Q2018" s="2" t="s">
        <v>99</v>
      </c>
      <c r="R2018" s="2" t="s">
        <v>100</v>
      </c>
      <c r="S2018" s="2" t="s">
        <v>100</v>
      </c>
      <c r="T2018" s="2" t="s">
        <v>100</v>
      </c>
      <c r="U2018" s="2" t="s">
        <v>3531</v>
      </c>
      <c r="V2018" s="2" t="s">
        <v>1752</v>
      </c>
      <c r="W2018" s="2" t="s">
        <v>906</v>
      </c>
      <c r="X2018" s="2" t="s">
        <v>6908</v>
      </c>
      <c r="Y2018" s="2" t="s">
        <v>4787</v>
      </c>
      <c r="Z2018" s="4">
        <v>92</v>
      </c>
      <c r="AA2018" s="4">
        <f>=ROUNDDOWN(12.4324324324324,0)</f>
      </c>
      <c r="AB2018" s="5">
        <v>7.4</v>
      </c>
      <c r="AC2018" s="2" t="s">
        <v>909</v>
      </c>
      <c r="AD2018" s="4">
        <v>150</v>
      </c>
      <c r="AE2018" s="4">
        <v>150</v>
      </c>
      <c r="AF2018" s="6">
        <v>63</v>
      </c>
      <c r="AG2018" s="6"/>
      <c r="AH2018" s="7">
        <v>0.7152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>
        <v>106</v>
      </c>
      <c r="BK2018" s="8">
        <v>5076.64</v>
      </c>
      <c r="BL2018" s="2" t="s">
        <v>6942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6185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6943</v>
      </c>
      <c r="B2019" s="2" t="s">
        <v>6098</v>
      </c>
      <c r="C2019" s="2" t="s">
        <v>6851</v>
      </c>
      <c r="D2019" s="2" t="s">
        <v>6763</v>
      </c>
      <c r="E2019" s="2" t="s">
        <v>6781</v>
      </c>
      <c r="F2019" s="2" t="s">
        <v>1826</v>
      </c>
      <c r="G2019" s="2" t="s">
        <v>1826</v>
      </c>
      <c r="H2019" s="2" t="s">
        <v>1826</v>
      </c>
      <c r="I2019" s="2" t="s">
        <v>6944</v>
      </c>
      <c r="J2019" s="2" t="s">
        <v>6103</v>
      </c>
      <c r="K2019" s="2" t="s">
        <v>1204</v>
      </c>
      <c r="L2019" s="3">
        <v>95.23</v>
      </c>
      <c r="M2019" s="3">
        <v>99.99</v>
      </c>
      <c r="N2019" s="3">
        <v>199.99</v>
      </c>
      <c r="O2019" s="2" t="s">
        <v>97</v>
      </c>
      <c r="P2019" s="2" t="s">
        <v>1166</v>
      </c>
      <c r="Q2019" s="2" t="s">
        <v>99</v>
      </c>
      <c r="R2019" s="2" t="s">
        <v>100</v>
      </c>
      <c r="S2019" s="2" t="s">
        <v>100</v>
      </c>
      <c r="T2019" s="2" t="s">
        <v>100</v>
      </c>
      <c r="U2019" s="2" t="s">
        <v>3531</v>
      </c>
      <c r="V2019" s="2" t="s">
        <v>1752</v>
      </c>
      <c r="W2019" s="2" t="s">
        <v>906</v>
      </c>
      <c r="X2019" s="2" t="s">
        <v>6908</v>
      </c>
      <c r="Y2019" s="2" t="s">
        <v>1012</v>
      </c>
      <c r="Z2019" s="4">
        <v>99</v>
      </c>
      <c r="AA2019" s="4">
        <f>=ROUNDDOWN(990,0)</f>
      </c>
      <c r="AB2019" s="5">
        <v>0.1</v>
      </c>
      <c r="AC2019" s="2" t="s">
        <v>100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1</v>
      </c>
      <c r="BK2019" s="8">
        <v>109.51</v>
      </c>
      <c r="BL2019" s="2" t="s">
        <v>6795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147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6945</v>
      </c>
      <c r="B2020" s="2" t="s">
        <v>6098</v>
      </c>
      <c r="C2020" s="2" t="s">
        <v>6851</v>
      </c>
      <c r="D2020" s="2" t="s">
        <v>6763</v>
      </c>
      <c r="E2020" s="2" t="s">
        <v>6781</v>
      </c>
      <c r="F2020" s="2" t="s">
        <v>1826</v>
      </c>
      <c r="G2020" s="2" t="s">
        <v>1826</v>
      </c>
      <c r="H2020" s="2" t="s">
        <v>1826</v>
      </c>
      <c r="I2020" s="2" t="s">
        <v>6944</v>
      </c>
      <c r="J2020" s="2" t="s">
        <v>6103</v>
      </c>
      <c r="K2020" s="2" t="s">
        <v>123</v>
      </c>
      <c r="L2020" s="3">
        <v>95.23</v>
      </c>
      <c r="M2020" s="3">
        <v>99.99</v>
      </c>
      <c r="N2020" s="3">
        <v>199.99</v>
      </c>
      <c r="O2020" s="2" t="s">
        <v>97</v>
      </c>
      <c r="P2020" s="2" t="s">
        <v>1166</v>
      </c>
      <c r="Q2020" s="2" t="s">
        <v>99</v>
      </c>
      <c r="R2020" s="2" t="s">
        <v>100</v>
      </c>
      <c r="S2020" s="2" t="s">
        <v>100</v>
      </c>
      <c r="T2020" s="2" t="s">
        <v>100</v>
      </c>
      <c r="U2020" s="2" t="s">
        <v>3531</v>
      </c>
      <c r="V2020" s="2" t="s">
        <v>1752</v>
      </c>
      <c r="W2020" s="2" t="s">
        <v>906</v>
      </c>
      <c r="X2020" s="2" t="s">
        <v>6908</v>
      </c>
      <c r="Y2020" s="2" t="s">
        <v>1012</v>
      </c>
      <c r="Z2020" s="4">
        <v>95</v>
      </c>
      <c r="AA2020" s="4">
        <f>=ROUNDDOWN(316.666666666667,0)</f>
      </c>
      <c r="AB2020" s="5">
        <v>0.3</v>
      </c>
      <c r="AC2020" s="2" t="s">
        <v>100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/>
      <c r="AW2020" s="8"/>
      <c r="AX2020" s="4"/>
      <c r="AY2020" s="8"/>
      <c r="AZ2020" s="7"/>
      <c r="BA2020" s="7"/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4</v>
      </c>
      <c r="BK2020" s="8">
        <v>409.48</v>
      </c>
      <c r="BL2020" s="2" t="s">
        <v>5497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147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6946</v>
      </c>
      <c r="B2021" s="2" t="s">
        <v>6098</v>
      </c>
      <c r="C2021" s="2" t="s">
        <v>6851</v>
      </c>
      <c r="D2021" s="2" t="s">
        <v>6763</v>
      </c>
      <c r="E2021" s="2" t="s">
        <v>6781</v>
      </c>
      <c r="F2021" s="2" t="s">
        <v>6947</v>
      </c>
      <c r="G2021" s="2" t="s">
        <v>6947</v>
      </c>
      <c r="H2021" s="2" t="s">
        <v>6947</v>
      </c>
      <c r="I2021" s="2" t="s">
        <v>6948</v>
      </c>
      <c r="J2021" s="2" t="s">
        <v>6103</v>
      </c>
      <c r="K2021" s="2" t="s">
        <v>2066</v>
      </c>
      <c r="L2021" s="3">
        <v>56.66</v>
      </c>
      <c r="M2021" s="3">
        <v>59.49</v>
      </c>
      <c r="N2021" s="3">
        <v>118.99</v>
      </c>
      <c r="O2021" s="2" t="s">
        <v>97</v>
      </c>
      <c r="P2021" s="2" t="s">
        <v>182</v>
      </c>
      <c r="Q2021" s="2" t="s">
        <v>99</v>
      </c>
      <c r="R2021" s="2" t="s">
        <v>100</v>
      </c>
      <c r="S2021" s="2" t="s">
        <v>100</v>
      </c>
      <c r="T2021" s="2" t="s">
        <v>100</v>
      </c>
      <c r="U2021" s="2" t="s">
        <v>3531</v>
      </c>
      <c r="V2021" s="2" t="s">
        <v>1752</v>
      </c>
      <c r="W2021" s="2" t="s">
        <v>6908</v>
      </c>
      <c r="X2021" s="2" t="s">
        <v>6949</v>
      </c>
      <c r="Y2021" s="2" t="s">
        <v>3683</v>
      </c>
      <c r="Z2021" s="4">
        <v>142</v>
      </c>
      <c r="AA2021" s="4">
        <f>=ROUNDDOWN(71,0)</f>
      </c>
      <c r="AB2021" s="5">
        <v>2</v>
      </c>
      <c r="AC2021" s="2" t="s">
        <v>100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>
        <v>0</v>
      </c>
      <c r="AP2021" s="4"/>
      <c r="AQ2021" s="8"/>
      <c r="AR2021" s="4"/>
      <c r="AS2021" s="8"/>
      <c r="AT2021" s="7"/>
      <c r="AU2021" s="7"/>
      <c r="AV2021" s="4"/>
      <c r="AW2021" s="8"/>
      <c r="AX2021" s="4"/>
      <c r="AY2021" s="8"/>
      <c r="AZ2021" s="7"/>
      <c r="BA2021" s="7"/>
      <c r="BB2021" s="7"/>
      <c r="BC2021" s="4"/>
      <c r="BD2021" s="8"/>
      <c r="BE2021" s="4"/>
      <c r="BF2021" s="8"/>
      <c r="BG2021" s="7"/>
      <c r="BH2021" s="7"/>
      <c r="BI2021" s="7"/>
      <c r="BJ2021" s="4">
        <v>63</v>
      </c>
      <c r="BK2021" s="8">
        <v>4213.78</v>
      </c>
      <c r="BL2021" s="2" t="s">
        <v>6950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6185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6951</v>
      </c>
      <c r="B2022" s="2" t="s">
        <v>6098</v>
      </c>
      <c r="C2022" s="2" t="s">
        <v>6851</v>
      </c>
      <c r="D2022" s="2" t="s">
        <v>6763</v>
      </c>
      <c r="E2022" s="2" t="s">
        <v>6764</v>
      </c>
      <c r="F2022" s="2" t="s">
        <v>6952</v>
      </c>
      <c r="G2022" s="2" t="s">
        <v>6952</v>
      </c>
      <c r="H2022" s="2" t="s">
        <v>6952</v>
      </c>
      <c r="I2022" s="2" t="s">
        <v>6953</v>
      </c>
      <c r="J2022" s="2" t="s">
        <v>6103</v>
      </c>
      <c r="K2022" s="2" t="s">
        <v>142</v>
      </c>
      <c r="L2022" s="3">
        <v>105.12</v>
      </c>
      <c r="M2022" s="3">
        <v>110.38</v>
      </c>
      <c r="N2022" s="3">
        <v>219</v>
      </c>
      <c r="O2022" s="2" t="s">
        <v>550</v>
      </c>
      <c r="P2022" s="2" t="s">
        <v>198</v>
      </c>
      <c r="Q2022" s="2" t="s">
        <v>99</v>
      </c>
      <c r="R2022" s="2" t="s">
        <v>100</v>
      </c>
      <c r="S2022" s="2" t="s">
        <v>100</v>
      </c>
      <c r="T2022" s="2" t="s">
        <v>100</v>
      </c>
      <c r="U2022" s="2" t="s">
        <v>3531</v>
      </c>
      <c r="V2022" s="2" t="s">
        <v>601</v>
      </c>
      <c r="W2022" s="2" t="s">
        <v>104</v>
      </c>
      <c r="X2022" s="2" t="s">
        <v>1190</v>
      </c>
      <c r="Y2022" s="2" t="s">
        <v>6954</v>
      </c>
      <c r="Z2022" s="4"/>
      <c r="AA2022" s="4">
        <f>=ROUNDDOWN({0},0)</f>
      </c>
      <c r="AB2022" s="5"/>
      <c r="AC2022" s="2" t="s">
        <v>100</v>
      </c>
      <c r="AD2022" s="4"/>
      <c r="AE2022" s="4"/>
      <c r="AF2022" s="6">
        <v>63</v>
      </c>
      <c r="AG2022" s="6"/>
      <c r="AH2022" s="7">
        <v>0.2121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>
        <v>0</v>
      </c>
      <c r="AP2022" s="4"/>
      <c r="AQ2022" s="8"/>
      <c r="AR2022" s="4"/>
      <c r="AS2022" s="8"/>
      <c r="AT2022" s="7"/>
      <c r="AU2022" s="7"/>
      <c r="AV2022" s="4"/>
      <c r="AW2022" s="8"/>
      <c r="AX2022" s="4"/>
      <c r="AY2022" s="8"/>
      <c r="AZ2022" s="7"/>
      <c r="BA2022" s="7"/>
      <c r="BB2022" s="7"/>
      <c r="BC2022" s="4"/>
      <c r="BD2022" s="8"/>
      <c r="BE2022" s="4"/>
      <c r="BF2022" s="8"/>
      <c r="BG2022" s="7"/>
      <c r="BH2022" s="7"/>
      <c r="BI2022" s="7"/>
      <c r="BJ2022" s="4"/>
      <c r="BK2022" s="8"/>
      <c r="BL2022" s="2" t="s">
        <v>6955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147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6956</v>
      </c>
      <c r="B2023" s="2" t="s">
        <v>6098</v>
      </c>
      <c r="C2023" s="2" t="s">
        <v>6851</v>
      </c>
      <c r="D2023" s="2" t="s">
        <v>6686</v>
      </c>
      <c r="E2023" s="2" t="s">
        <v>6377</v>
      </c>
      <c r="F2023" s="2" t="s">
        <v>6957</v>
      </c>
      <c r="G2023" s="2" t="s">
        <v>6957</v>
      </c>
      <c r="H2023" s="2" t="s">
        <v>6957</v>
      </c>
      <c r="I2023" s="2" t="s">
        <v>6958</v>
      </c>
      <c r="J2023" s="2" t="s">
        <v>6103</v>
      </c>
      <c r="K2023" s="2" t="s">
        <v>181</v>
      </c>
      <c r="L2023" s="3">
        <v>41.91</v>
      </c>
      <c r="M2023" s="3">
        <v>44.01</v>
      </c>
      <c r="N2023" s="3">
        <v>90.94</v>
      </c>
      <c r="O2023" s="2" t="s">
        <v>97</v>
      </c>
      <c r="P2023" s="2" t="s">
        <v>182</v>
      </c>
      <c r="Q2023" s="2" t="s">
        <v>99</v>
      </c>
      <c r="R2023" s="2" t="s">
        <v>100</v>
      </c>
      <c r="S2023" s="2" t="s">
        <v>100</v>
      </c>
      <c r="T2023" s="2" t="s">
        <v>100</v>
      </c>
      <c r="U2023" s="2" t="s">
        <v>1610</v>
      </c>
      <c r="V2023" s="2" t="s">
        <v>1275</v>
      </c>
      <c r="W2023" s="2" t="s">
        <v>104</v>
      </c>
      <c r="X2023" s="2" t="s">
        <v>6859</v>
      </c>
      <c r="Y2023" s="2" t="s">
        <v>6860</v>
      </c>
      <c r="Z2023" s="4">
        <v>30</v>
      </c>
      <c r="AA2023" s="4">
        <f>=ROUNDDOWN(6,0)</f>
      </c>
      <c r="AB2023" s="5">
        <v>5</v>
      </c>
      <c r="AC2023" s="2" t="s">
        <v>382</v>
      </c>
      <c r="AD2023" s="4">
        <v>100</v>
      </c>
      <c r="AE2023" s="4">
        <v>100</v>
      </c>
      <c r="AF2023" s="6">
        <v>63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>
        <v>0</v>
      </c>
      <c r="AP2023" s="4">
        <v>3</v>
      </c>
      <c r="AQ2023" s="8">
        <v>132</v>
      </c>
      <c r="AR2023" s="4">
        <v>4</v>
      </c>
      <c r="AS2023" s="8">
        <v>183.76</v>
      </c>
      <c r="AT2023" s="7">
        <v>-0.25</v>
      </c>
      <c r="AU2023" s="7">
        <v>-0.2817</v>
      </c>
      <c r="AV2023" s="4">
        <v>3</v>
      </c>
      <c r="AW2023" s="8">
        <v>132</v>
      </c>
      <c r="AX2023" s="4">
        <v>4</v>
      </c>
      <c r="AY2023" s="8">
        <v>183.76</v>
      </c>
      <c r="AZ2023" s="7">
        <v>-0.25</v>
      </c>
      <c r="BA2023" s="7">
        <v>-0.2817</v>
      </c>
      <c r="BB2023" s="7">
        <v>1</v>
      </c>
      <c r="BC2023" s="4">
        <v>3</v>
      </c>
      <c r="BD2023" s="8">
        <v>132</v>
      </c>
      <c r="BE2023" s="4">
        <v>4</v>
      </c>
      <c r="BF2023" s="8">
        <v>183.76</v>
      </c>
      <c r="BG2023" s="7">
        <v>-0.25</v>
      </c>
      <c r="BH2023" s="7">
        <v>-0.2817</v>
      </c>
      <c r="BI2023" s="7">
        <v>1</v>
      </c>
      <c r="BJ2023" s="4">
        <v>134</v>
      </c>
      <c r="BK2023" s="8">
        <v>6441.4</v>
      </c>
      <c r="BL2023" s="2" t="s">
        <v>6959</v>
      </c>
      <c r="BM2023" s="7">
        <v>0.0224</v>
      </c>
      <c r="BN2023" s="7">
        <v>0.0205</v>
      </c>
      <c r="BO2023" s="4">
        <v>3</v>
      </c>
      <c r="BP2023" s="8">
        <v>132</v>
      </c>
      <c r="BQ2023" s="4">
        <v>4</v>
      </c>
      <c r="BR2023" s="8">
        <v>183.76</v>
      </c>
      <c r="BS2023" s="7">
        <v>-0.25</v>
      </c>
      <c r="BT2023" s="7">
        <v>-0.2817</v>
      </c>
      <c r="BU2023" s="2" t="s">
        <v>109</v>
      </c>
      <c r="BV2023" s="2" t="s">
        <v>97</v>
      </c>
      <c r="BW2023" s="2" t="s">
        <v>918</v>
      </c>
      <c r="BX2023" s="2" t="s">
        <v>6960</v>
      </c>
      <c r="BY2023" s="2" t="s">
        <v>112</v>
      </c>
      <c r="BZ2023" s="2" t="s">
        <v>100</v>
      </c>
    </row>
    <row r="2024">
      <c r="A2024" s="2" t="s">
        <v>6961</v>
      </c>
      <c r="B2024" s="2" t="s">
        <v>6098</v>
      </c>
      <c r="C2024" s="2" t="s">
        <v>6851</v>
      </c>
      <c r="D2024" s="2" t="s">
        <v>6686</v>
      </c>
      <c r="E2024" s="2" t="s">
        <v>6377</v>
      </c>
      <c r="F2024" s="2" t="s">
        <v>6962</v>
      </c>
      <c r="G2024" s="2" t="s">
        <v>6962</v>
      </c>
      <c r="H2024" s="2" t="s">
        <v>6962</v>
      </c>
      <c r="I2024" s="2" t="s">
        <v>6963</v>
      </c>
      <c r="J2024" s="2" t="s">
        <v>6103</v>
      </c>
      <c r="K2024" s="2" t="s">
        <v>1767</v>
      </c>
      <c r="L2024" s="3">
        <v>62.78</v>
      </c>
      <c r="M2024" s="3">
        <v>65.92</v>
      </c>
      <c r="N2024" s="3">
        <v>136.99</v>
      </c>
      <c r="O2024" s="2" t="s">
        <v>550</v>
      </c>
      <c r="P2024" s="2" t="s">
        <v>198</v>
      </c>
      <c r="Q2024" s="2" t="s">
        <v>99</v>
      </c>
      <c r="R2024" s="2" t="s">
        <v>100</v>
      </c>
      <c r="S2024" s="2" t="s">
        <v>100</v>
      </c>
      <c r="T2024" s="2" t="s">
        <v>100</v>
      </c>
      <c r="U2024" s="2" t="s">
        <v>1482</v>
      </c>
      <c r="V2024" s="2" t="s">
        <v>5769</v>
      </c>
      <c r="W2024" s="2" t="s">
        <v>405</v>
      </c>
      <c r="X2024" s="2" t="s">
        <v>6859</v>
      </c>
      <c r="Y2024" s="2" t="s">
        <v>6860</v>
      </c>
      <c r="Z2024" s="4"/>
      <c r="AA2024" s="4">
        <f>=ROUNDDOWN({0},0)</f>
      </c>
      <c r="AB2024" s="5">
        <v>3.5</v>
      </c>
      <c r="AC2024" s="2" t="s">
        <v>100</v>
      </c>
      <c r="AD2024" s="4"/>
      <c r="AE2024" s="4"/>
      <c r="AF2024" s="6">
        <v>63</v>
      </c>
      <c r="AG2024" s="6"/>
      <c r="AH2024" s="7">
        <v>0.0121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>
        <v>0</v>
      </c>
      <c r="AP2024" s="4">
        <v>1</v>
      </c>
      <c r="AQ2024" s="8">
        <v>46.14</v>
      </c>
      <c r="AR2024" s="4"/>
      <c r="AS2024" s="8"/>
      <c r="AT2024" s="7"/>
      <c r="AU2024" s="7"/>
      <c r="AV2024" s="4">
        <v>1</v>
      </c>
      <c r="AW2024" s="8">
        <v>46.14</v>
      </c>
      <c r="AX2024" s="4"/>
      <c r="AY2024" s="8"/>
      <c r="AZ2024" s="7"/>
      <c r="BA2024" s="7"/>
      <c r="BB2024" s="7">
        <v>1</v>
      </c>
      <c r="BC2024" s="4">
        <v>1</v>
      </c>
      <c r="BD2024" s="8">
        <v>46.14</v>
      </c>
      <c r="BE2024" s="4"/>
      <c r="BF2024" s="8"/>
      <c r="BG2024" s="7"/>
      <c r="BH2024" s="7"/>
      <c r="BI2024" s="7">
        <v>1</v>
      </c>
      <c r="BJ2024" s="4">
        <v>1</v>
      </c>
      <c r="BK2024" s="8">
        <v>46.14</v>
      </c>
      <c r="BL2024" s="2" t="s">
        <v>16</v>
      </c>
      <c r="BM2024" s="7">
        <v>1</v>
      </c>
      <c r="BN2024" s="7">
        <v>1</v>
      </c>
      <c r="BO2024" s="4">
        <v>1</v>
      </c>
      <c r="BP2024" s="8">
        <v>46.14</v>
      </c>
      <c r="BQ2024" s="4"/>
      <c r="BR2024" s="8"/>
      <c r="BS2024" s="7"/>
      <c r="BT2024" s="7"/>
      <c r="BU2024" s="2" t="s">
        <v>109</v>
      </c>
      <c r="BV2024" s="2" t="s">
        <v>552</v>
      </c>
      <c r="BW2024" s="2" t="s">
        <v>918</v>
      </c>
      <c r="BX2024" s="2" t="s">
        <v>3801</v>
      </c>
      <c r="BY2024" s="2" t="s">
        <v>112</v>
      </c>
      <c r="BZ2024" s="2" t="s">
        <v>100</v>
      </c>
    </row>
    <row r="2025">
      <c r="A2025" s="2" t="s">
        <v>6964</v>
      </c>
      <c r="B2025" s="2" t="s">
        <v>6098</v>
      </c>
      <c r="C2025" s="2" t="s">
        <v>6851</v>
      </c>
      <c r="D2025" s="2" t="s">
        <v>6686</v>
      </c>
      <c r="E2025" s="2" t="s">
        <v>6377</v>
      </c>
      <c r="F2025" s="2" t="s">
        <v>6965</v>
      </c>
      <c r="G2025" s="2" t="s">
        <v>6965</v>
      </c>
      <c r="H2025" s="2" t="s">
        <v>6965</v>
      </c>
      <c r="I2025" s="2" t="s">
        <v>6966</v>
      </c>
      <c r="J2025" s="2" t="s">
        <v>6103</v>
      </c>
      <c r="K2025" s="2" t="s">
        <v>1767</v>
      </c>
      <c r="L2025" s="3">
        <v>17.03</v>
      </c>
      <c r="M2025" s="3">
        <v>17.88</v>
      </c>
      <c r="N2025" s="3">
        <v>39.09</v>
      </c>
      <c r="O2025" s="2" t="s">
        <v>97</v>
      </c>
      <c r="P2025" s="2" t="s">
        <v>182</v>
      </c>
      <c r="Q2025" s="2" t="s">
        <v>99</v>
      </c>
      <c r="R2025" s="2" t="s">
        <v>100</v>
      </c>
      <c r="S2025" s="2" t="s">
        <v>6967</v>
      </c>
      <c r="T2025" s="2" t="s">
        <v>100</v>
      </c>
      <c r="U2025" s="2" t="s">
        <v>3531</v>
      </c>
      <c r="V2025" s="2" t="s">
        <v>6169</v>
      </c>
      <c r="W2025" s="2" t="s">
        <v>405</v>
      </c>
      <c r="X2025" s="2" t="s">
        <v>6859</v>
      </c>
      <c r="Y2025" s="2" t="s">
        <v>6700</v>
      </c>
      <c r="Z2025" s="4">
        <v>26</v>
      </c>
      <c r="AA2025" s="4">
        <f>=ROUNDDOWN(2.16666666666667,0)</f>
      </c>
      <c r="AB2025" s="5">
        <v>12</v>
      </c>
      <c r="AC2025" s="2" t="s">
        <v>107</v>
      </c>
      <c r="AD2025" s="4">
        <v>150</v>
      </c>
      <c r="AE2025" s="4">
        <v>250</v>
      </c>
      <c r="AF2025" s="6">
        <v>63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>
        <v>0</v>
      </c>
      <c r="AP2025" s="4">
        <v>1</v>
      </c>
      <c r="AQ2025" s="8">
        <v>17.88</v>
      </c>
      <c r="AR2025" s="4"/>
      <c r="AS2025" s="8"/>
      <c r="AT2025" s="7"/>
      <c r="AU2025" s="7"/>
      <c r="AV2025" s="4">
        <v>1</v>
      </c>
      <c r="AW2025" s="8">
        <v>17.88</v>
      </c>
      <c r="AX2025" s="4"/>
      <c r="AY2025" s="8"/>
      <c r="AZ2025" s="7"/>
      <c r="BA2025" s="7"/>
      <c r="BB2025" s="7">
        <v>1</v>
      </c>
      <c r="BC2025" s="4">
        <v>1</v>
      </c>
      <c r="BD2025" s="8">
        <v>17.88</v>
      </c>
      <c r="BE2025" s="4"/>
      <c r="BF2025" s="8"/>
      <c r="BG2025" s="7"/>
      <c r="BH2025" s="7"/>
      <c r="BI2025" s="7">
        <v>1</v>
      </c>
      <c r="BJ2025" s="4">
        <v>279</v>
      </c>
      <c r="BK2025" s="8">
        <v>6220.96</v>
      </c>
      <c r="BL2025" s="2" t="s">
        <v>6968</v>
      </c>
      <c r="BM2025" s="7">
        <v>0.0036</v>
      </c>
      <c r="BN2025" s="7">
        <v>0.0029</v>
      </c>
      <c r="BO2025" s="4">
        <v>1</v>
      </c>
      <c r="BP2025" s="8">
        <v>17.88</v>
      </c>
      <c r="BQ2025" s="4"/>
      <c r="BR2025" s="8"/>
      <c r="BS2025" s="7"/>
      <c r="BT2025" s="7"/>
      <c r="BU2025" s="2" t="s">
        <v>109</v>
      </c>
      <c r="BV2025" s="2" t="s">
        <v>97</v>
      </c>
      <c r="BW2025" s="2" t="s">
        <v>918</v>
      </c>
      <c r="BX2025" s="2" t="s">
        <v>6969</v>
      </c>
      <c r="BY2025" s="2" t="s">
        <v>112</v>
      </c>
      <c r="BZ2025" s="2" t="s">
        <v>100</v>
      </c>
    </row>
    <row r="2026">
      <c r="A2026" s="2" t="s">
        <v>6970</v>
      </c>
      <c r="B2026" s="2" t="s">
        <v>6098</v>
      </c>
      <c r="C2026" s="2" t="s">
        <v>6851</v>
      </c>
      <c r="D2026" s="2" t="s">
        <v>6686</v>
      </c>
      <c r="E2026" s="2" t="s">
        <v>6377</v>
      </c>
      <c r="F2026" s="2" t="s">
        <v>6971</v>
      </c>
      <c r="G2026" s="2" t="s">
        <v>6971</v>
      </c>
      <c r="H2026" s="2" t="s">
        <v>6971</v>
      </c>
      <c r="I2026" s="2" t="s">
        <v>6972</v>
      </c>
      <c r="J2026" s="2" t="s">
        <v>6103</v>
      </c>
      <c r="K2026" s="2" t="s">
        <v>1767</v>
      </c>
      <c r="L2026" s="3">
        <v>15.17</v>
      </c>
      <c r="M2026" s="3">
        <v>15.93</v>
      </c>
      <c r="N2026" s="3">
        <v>38.24</v>
      </c>
      <c r="O2026" s="2" t="s">
        <v>97</v>
      </c>
      <c r="P2026" s="2" t="s">
        <v>143</v>
      </c>
      <c r="Q2026" s="2" t="s">
        <v>99</v>
      </c>
      <c r="R2026" s="2" t="s">
        <v>100</v>
      </c>
      <c r="S2026" s="2" t="s">
        <v>6973</v>
      </c>
      <c r="T2026" s="2" t="s">
        <v>100</v>
      </c>
      <c r="U2026" s="2" t="s">
        <v>3531</v>
      </c>
      <c r="V2026" s="2" t="s">
        <v>6169</v>
      </c>
      <c r="W2026" s="2" t="s">
        <v>405</v>
      </c>
      <c r="X2026" s="2" t="s">
        <v>6859</v>
      </c>
      <c r="Y2026" s="2" t="s">
        <v>6700</v>
      </c>
      <c r="Z2026" s="4">
        <v>46</v>
      </c>
      <c r="AA2026" s="4">
        <f>=ROUNDDOWN(3.06666666666667,0)</f>
      </c>
      <c r="AB2026" s="5">
        <v>15</v>
      </c>
      <c r="AC2026" s="2" t="s">
        <v>107</v>
      </c>
      <c r="AD2026" s="4">
        <v>400</v>
      </c>
      <c r="AE2026" s="4">
        <v>400</v>
      </c>
      <c r="AF2026" s="6">
        <v>63</v>
      </c>
      <c r="AG2026" s="6"/>
      <c r="AH2026" s="7">
        <v>0.9879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>
        <v>409</v>
      </c>
      <c r="BK2026" s="8">
        <v>8120.26</v>
      </c>
      <c r="BL2026" s="2" t="s">
        <v>6974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6185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6975</v>
      </c>
      <c r="B2027" s="2" t="s">
        <v>6098</v>
      </c>
      <c r="C2027" s="2" t="s">
        <v>6851</v>
      </c>
      <c r="D2027" s="2" t="s">
        <v>6686</v>
      </c>
      <c r="E2027" s="2" t="s">
        <v>6377</v>
      </c>
      <c r="F2027" s="2" t="s">
        <v>6976</v>
      </c>
      <c r="G2027" s="2" t="s">
        <v>6976</v>
      </c>
      <c r="H2027" s="2" t="s">
        <v>6976</v>
      </c>
      <c r="I2027" s="2" t="s">
        <v>6977</v>
      </c>
      <c r="J2027" s="2" t="s">
        <v>6103</v>
      </c>
      <c r="K2027" s="2" t="s">
        <v>3764</v>
      </c>
      <c r="L2027" s="3">
        <v>41.9</v>
      </c>
      <c r="M2027" s="3">
        <v>44</v>
      </c>
      <c r="N2027" s="3">
        <v>87.99</v>
      </c>
      <c r="O2027" s="2" t="s">
        <v>97</v>
      </c>
      <c r="P2027" s="2" t="s">
        <v>1166</v>
      </c>
      <c r="Q2027" s="2" t="s">
        <v>99</v>
      </c>
      <c r="R2027" s="2" t="s">
        <v>100</v>
      </c>
      <c r="S2027" s="2" t="s">
        <v>100</v>
      </c>
      <c r="T2027" s="2" t="s">
        <v>100</v>
      </c>
      <c r="U2027" s="2" t="s">
        <v>1610</v>
      </c>
      <c r="V2027" s="2" t="s">
        <v>6978</v>
      </c>
      <c r="W2027" s="2" t="s">
        <v>6908</v>
      </c>
      <c r="X2027" s="2" t="s">
        <v>405</v>
      </c>
      <c r="Y2027" s="2" t="s">
        <v>3189</v>
      </c>
      <c r="Z2027" s="4">
        <v>35</v>
      </c>
      <c r="AA2027" s="4">
        <f>=ROUNDDOWN(8.75,0)</f>
      </c>
      <c r="AB2027" s="5">
        <v>4</v>
      </c>
      <c r="AC2027" s="2" t="s">
        <v>6199</v>
      </c>
      <c r="AD2027" s="4">
        <v>80</v>
      </c>
      <c r="AE2027" s="4">
        <v>80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/>
      <c r="AW2027" s="8"/>
      <c r="AX2027" s="4"/>
      <c r="AY2027" s="8"/>
      <c r="AZ2027" s="7"/>
      <c r="BA2027" s="7"/>
      <c r="BB2027" s="7"/>
      <c r="BC2027" s="4"/>
      <c r="BD2027" s="8"/>
      <c r="BE2027" s="4"/>
      <c r="BF2027" s="8"/>
      <c r="BG2027" s="7"/>
      <c r="BH2027" s="7"/>
      <c r="BI2027" s="7"/>
      <c r="BJ2027" s="4">
        <v>60</v>
      </c>
      <c r="BK2027" s="8">
        <v>2828.23</v>
      </c>
      <c r="BL2027" s="2" t="s">
        <v>6979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6185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6980</v>
      </c>
      <c r="B2028" s="2" t="s">
        <v>6098</v>
      </c>
      <c r="C2028" s="2" t="s">
        <v>6851</v>
      </c>
      <c r="D2028" s="2" t="s">
        <v>6686</v>
      </c>
      <c r="E2028" s="2" t="s">
        <v>6480</v>
      </c>
      <c r="F2028" s="2" t="s">
        <v>6981</v>
      </c>
      <c r="G2028" s="2" t="s">
        <v>6981</v>
      </c>
      <c r="H2028" s="2" t="s">
        <v>6981</v>
      </c>
      <c r="I2028" s="2" t="s">
        <v>6982</v>
      </c>
      <c r="J2028" s="2" t="s">
        <v>6103</v>
      </c>
      <c r="K2028" s="2" t="s">
        <v>3764</v>
      </c>
      <c r="L2028" s="3">
        <v>25.71</v>
      </c>
      <c r="M2028" s="3">
        <v>27</v>
      </c>
      <c r="N2028" s="3">
        <v>59.99</v>
      </c>
      <c r="O2028" s="2" t="s">
        <v>97</v>
      </c>
      <c r="P2028" s="2" t="s">
        <v>1166</v>
      </c>
      <c r="Q2028" s="2" t="s">
        <v>99</v>
      </c>
      <c r="R2028" s="2" t="s">
        <v>100</v>
      </c>
      <c r="S2028" s="2" t="s">
        <v>100</v>
      </c>
      <c r="T2028" s="2" t="s">
        <v>100</v>
      </c>
      <c r="U2028" s="2" t="s">
        <v>1610</v>
      </c>
      <c r="V2028" s="2" t="s">
        <v>6978</v>
      </c>
      <c r="W2028" s="2" t="s">
        <v>6908</v>
      </c>
      <c r="X2028" s="2" t="s">
        <v>405</v>
      </c>
      <c r="Y2028" s="2" t="s">
        <v>3189</v>
      </c>
      <c r="Z2028" s="4">
        <v>81</v>
      </c>
      <c r="AA2028" s="4">
        <f>=ROUNDDOWN(40.5,0)</f>
      </c>
      <c r="AB2028" s="5">
        <v>2</v>
      </c>
      <c r="AC2028" s="2" t="s">
        <v>100</v>
      </c>
      <c r="AD2028" s="4"/>
      <c r="AE2028" s="4"/>
      <c r="AF2028" s="6">
        <v>63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/>
      <c r="AW2028" s="8"/>
      <c r="AX2028" s="4"/>
      <c r="AY2028" s="8"/>
      <c r="AZ2028" s="7"/>
      <c r="BA2028" s="7"/>
      <c r="BB2028" s="7"/>
      <c r="BC2028" s="4"/>
      <c r="BD2028" s="8"/>
      <c r="BE2028" s="4"/>
      <c r="BF2028" s="8"/>
      <c r="BG2028" s="7"/>
      <c r="BH2028" s="7"/>
      <c r="BI2028" s="7"/>
      <c r="BJ2028" s="4">
        <v>14</v>
      </c>
      <c r="BK2028" s="8">
        <v>405.31</v>
      </c>
      <c r="BL2028" s="2" t="s">
        <v>6983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6185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6984</v>
      </c>
      <c r="B2029" s="2" t="s">
        <v>6098</v>
      </c>
      <c r="C2029" s="2" t="s">
        <v>6851</v>
      </c>
      <c r="D2029" s="2" t="s">
        <v>6686</v>
      </c>
      <c r="E2029" s="2" t="s">
        <v>6480</v>
      </c>
      <c r="F2029" s="2" t="s">
        <v>6985</v>
      </c>
      <c r="G2029" s="2" t="s">
        <v>6985</v>
      </c>
      <c r="H2029" s="2" t="s">
        <v>6985</v>
      </c>
      <c r="I2029" s="2" t="s">
        <v>6986</v>
      </c>
      <c r="J2029" s="2" t="s">
        <v>6103</v>
      </c>
      <c r="K2029" s="2" t="s">
        <v>1767</v>
      </c>
      <c r="L2029" s="3">
        <v>38.09</v>
      </c>
      <c r="M2029" s="3">
        <v>39.99</v>
      </c>
      <c r="N2029" s="3">
        <v>79.99</v>
      </c>
      <c r="O2029" s="2" t="s">
        <v>97</v>
      </c>
      <c r="P2029" s="2" t="s">
        <v>1166</v>
      </c>
      <c r="Q2029" s="2" t="s">
        <v>99</v>
      </c>
      <c r="R2029" s="2" t="s">
        <v>100</v>
      </c>
      <c r="S2029" s="2" t="s">
        <v>100</v>
      </c>
      <c r="T2029" s="2" t="s">
        <v>100</v>
      </c>
      <c r="U2029" s="2" t="s">
        <v>2104</v>
      </c>
      <c r="V2029" s="2" t="s">
        <v>5769</v>
      </c>
      <c r="W2029" s="2" t="s">
        <v>906</v>
      </c>
      <c r="X2029" s="2" t="s">
        <v>6908</v>
      </c>
      <c r="Y2029" s="2" t="s">
        <v>3189</v>
      </c>
      <c r="Z2029" s="4">
        <v>72</v>
      </c>
      <c r="AA2029" s="4">
        <f>=ROUNDDOWN(36,0)</f>
      </c>
      <c r="AB2029" s="5">
        <v>2</v>
      </c>
      <c r="AC2029" s="2" t="s">
        <v>100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/>
      <c r="AW2029" s="8"/>
      <c r="AX2029" s="4"/>
      <c r="AY2029" s="8"/>
      <c r="AZ2029" s="7"/>
      <c r="BA2029" s="7"/>
      <c r="BB2029" s="7"/>
      <c r="BC2029" s="4"/>
      <c r="BD2029" s="8"/>
      <c r="BE2029" s="4"/>
      <c r="BF2029" s="8"/>
      <c r="BG2029" s="7"/>
      <c r="BH2029" s="7"/>
      <c r="BI2029" s="7"/>
      <c r="BJ2029" s="4">
        <v>22</v>
      </c>
      <c r="BK2029" s="8">
        <v>911.38</v>
      </c>
      <c r="BL2029" s="2" t="s">
        <v>6987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6185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6988</v>
      </c>
      <c r="B2030" s="2" t="s">
        <v>6098</v>
      </c>
      <c r="C2030" s="2" t="s">
        <v>4677</v>
      </c>
      <c r="D2030" s="2" t="s">
        <v>6497</v>
      </c>
      <c r="E2030" s="2" t="s">
        <v>6480</v>
      </c>
      <c r="F2030" s="2" t="s">
        <v>6989</v>
      </c>
      <c r="G2030" s="2" t="s">
        <v>6989</v>
      </c>
      <c r="H2030" s="2" t="s">
        <v>6989</v>
      </c>
      <c r="I2030" s="2" t="s">
        <v>6990</v>
      </c>
      <c r="J2030" s="2" t="s">
        <v>6103</v>
      </c>
      <c r="K2030" s="2" t="s">
        <v>123</v>
      </c>
      <c r="L2030" s="3">
        <v>66.56</v>
      </c>
      <c r="M2030" s="3">
        <v>69.89</v>
      </c>
      <c r="N2030" s="3">
        <v>144.49</v>
      </c>
      <c r="O2030" s="2" t="s">
        <v>97</v>
      </c>
      <c r="P2030" s="2" t="s">
        <v>143</v>
      </c>
      <c r="Q2030" s="2" t="s">
        <v>99</v>
      </c>
      <c r="R2030" s="2" t="s">
        <v>100</v>
      </c>
      <c r="S2030" s="2" t="s">
        <v>6991</v>
      </c>
      <c r="T2030" s="2" t="s">
        <v>100</v>
      </c>
      <c r="U2030" s="2" t="s">
        <v>3531</v>
      </c>
      <c r="V2030" s="2" t="s">
        <v>601</v>
      </c>
      <c r="W2030" s="2" t="s">
        <v>602</v>
      </c>
      <c r="X2030" s="2" t="s">
        <v>100</v>
      </c>
      <c r="Y2030" s="2" t="s">
        <v>6992</v>
      </c>
      <c r="Z2030" s="4">
        <v>179</v>
      </c>
      <c r="AA2030" s="4">
        <f>=ROUNDDOWN(21.8292682926829,0)</f>
      </c>
      <c r="AB2030" s="5">
        <v>8.2</v>
      </c>
      <c r="AC2030" s="2" t="s">
        <v>100</v>
      </c>
      <c r="AD2030" s="4"/>
      <c r="AE2030" s="4"/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>
        <v>17</v>
      </c>
      <c r="AQ2030" s="8">
        <v>1188.13</v>
      </c>
      <c r="AR2030" s="4"/>
      <c r="AS2030" s="8"/>
      <c r="AT2030" s="7"/>
      <c r="AU2030" s="7"/>
      <c r="AV2030" s="4">
        <v>17</v>
      </c>
      <c r="AW2030" s="8">
        <v>1188.13</v>
      </c>
      <c r="AX2030" s="4"/>
      <c r="AY2030" s="8"/>
      <c r="AZ2030" s="7"/>
      <c r="BA2030" s="7"/>
      <c r="BB2030" s="7">
        <v>1</v>
      </c>
      <c r="BC2030" s="4">
        <v>17</v>
      </c>
      <c r="BD2030" s="8">
        <v>1188.13</v>
      </c>
      <c r="BE2030" s="4"/>
      <c r="BF2030" s="8"/>
      <c r="BG2030" s="7"/>
      <c r="BH2030" s="7"/>
      <c r="BI2030" s="7">
        <v>1</v>
      </c>
      <c r="BJ2030" s="4">
        <v>140</v>
      </c>
      <c r="BK2030" s="8">
        <v>10176.44</v>
      </c>
      <c r="BL2030" s="2" t="s">
        <v>6993</v>
      </c>
      <c r="BM2030" s="7">
        <v>0.1214</v>
      </c>
      <c r="BN2030" s="7">
        <v>0.1168</v>
      </c>
      <c r="BO2030" s="4">
        <v>17</v>
      </c>
      <c r="BP2030" s="8">
        <v>1188.13</v>
      </c>
      <c r="BQ2030" s="4"/>
      <c r="BR2030" s="8"/>
      <c r="BS2030" s="7"/>
      <c r="BT2030" s="7"/>
      <c r="BU2030" s="2" t="s">
        <v>109</v>
      </c>
      <c r="BV2030" s="2" t="s">
        <v>97</v>
      </c>
      <c r="BW2030" s="2" t="s">
        <v>6110</v>
      </c>
      <c r="BX2030" s="2" t="s">
        <v>4236</v>
      </c>
      <c r="BY2030" s="2" t="s">
        <v>112</v>
      </c>
      <c r="BZ2030" s="2" t="s">
        <v>100</v>
      </c>
    </row>
    <row r="2031">
      <c r="A2031" s="2" t="s">
        <v>6994</v>
      </c>
      <c r="B2031" s="2" t="s">
        <v>6098</v>
      </c>
      <c r="C2031" s="2" t="s">
        <v>4677</v>
      </c>
      <c r="D2031" s="2" t="s">
        <v>6497</v>
      </c>
      <c r="E2031" s="2" t="s">
        <v>6480</v>
      </c>
      <c r="F2031" s="2" t="s">
        <v>6995</v>
      </c>
      <c r="G2031" s="2" t="s">
        <v>6995</v>
      </c>
      <c r="H2031" s="2" t="s">
        <v>6995</v>
      </c>
      <c r="I2031" s="2" t="s">
        <v>6996</v>
      </c>
      <c r="J2031" s="2" t="s">
        <v>6103</v>
      </c>
      <c r="K2031" s="2" t="s">
        <v>123</v>
      </c>
      <c r="L2031" s="3">
        <v>37.19</v>
      </c>
      <c r="M2031" s="3">
        <v>39.05</v>
      </c>
      <c r="N2031" s="3">
        <v>78.19</v>
      </c>
      <c r="O2031" s="2" t="s">
        <v>97</v>
      </c>
      <c r="P2031" s="2" t="s">
        <v>1265</v>
      </c>
      <c r="Q2031" s="2" t="s">
        <v>99</v>
      </c>
      <c r="R2031" s="2" t="s">
        <v>100</v>
      </c>
      <c r="S2031" s="2" t="s">
        <v>6997</v>
      </c>
      <c r="T2031" s="2" t="s">
        <v>100</v>
      </c>
      <c r="U2031" s="2" t="s">
        <v>3531</v>
      </c>
      <c r="V2031" s="2" t="s">
        <v>601</v>
      </c>
      <c r="W2031" s="2" t="s">
        <v>6998</v>
      </c>
      <c r="X2031" s="2" t="s">
        <v>100</v>
      </c>
      <c r="Y2031" s="2" t="s">
        <v>6513</v>
      </c>
      <c r="Z2031" s="4">
        <v>117</v>
      </c>
      <c r="AA2031" s="4">
        <f>=ROUNDDOWN(39,0)</f>
      </c>
      <c r="AB2031" s="5">
        <v>3</v>
      </c>
      <c r="AC2031" s="2" t="s">
        <v>100</v>
      </c>
      <c r="AD2031" s="4"/>
      <c r="AE2031" s="4"/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>
        <v>0</v>
      </c>
      <c r="AP2031" s="4">
        <v>5</v>
      </c>
      <c r="AQ2031" s="8">
        <v>195.25</v>
      </c>
      <c r="AR2031" s="4">
        <v>15</v>
      </c>
      <c r="AS2031" s="8">
        <v>668.43</v>
      </c>
      <c r="AT2031" s="7">
        <v>-0.6667</v>
      </c>
      <c r="AU2031" s="7">
        <v>-0.7079</v>
      </c>
      <c r="AV2031" s="4">
        <v>5</v>
      </c>
      <c r="AW2031" s="8">
        <v>195.25</v>
      </c>
      <c r="AX2031" s="4">
        <v>15</v>
      </c>
      <c r="AY2031" s="8">
        <v>668.43</v>
      </c>
      <c r="AZ2031" s="7">
        <v>-0.6667</v>
      </c>
      <c r="BA2031" s="7">
        <v>-0.7079</v>
      </c>
      <c r="BB2031" s="7">
        <v>1</v>
      </c>
      <c r="BC2031" s="4">
        <v>5</v>
      </c>
      <c r="BD2031" s="8">
        <v>195.25</v>
      </c>
      <c r="BE2031" s="4">
        <v>15</v>
      </c>
      <c r="BF2031" s="8">
        <v>668.43</v>
      </c>
      <c r="BG2031" s="7">
        <v>-0.6667</v>
      </c>
      <c r="BH2031" s="7">
        <v>-0.7079</v>
      </c>
      <c r="BI2031" s="7">
        <v>1</v>
      </c>
      <c r="BJ2031" s="4">
        <v>84</v>
      </c>
      <c r="BK2031" s="8">
        <v>3620.84</v>
      </c>
      <c r="BL2031" s="2" t="s">
        <v>6999</v>
      </c>
      <c r="BM2031" s="7">
        <v>0.0595</v>
      </c>
      <c r="BN2031" s="7">
        <v>0.0539</v>
      </c>
      <c r="BO2031" s="4">
        <v>5</v>
      </c>
      <c r="BP2031" s="8">
        <v>195.25</v>
      </c>
      <c r="BQ2031" s="4">
        <v>15</v>
      </c>
      <c r="BR2031" s="8">
        <v>668.43</v>
      </c>
      <c r="BS2031" s="7">
        <v>-0.6667</v>
      </c>
      <c r="BT2031" s="7">
        <v>-0.7079</v>
      </c>
      <c r="BU2031" s="2" t="s">
        <v>109</v>
      </c>
      <c r="BV2031" s="2" t="s">
        <v>97</v>
      </c>
      <c r="BW2031" s="2" t="s">
        <v>2917</v>
      </c>
      <c r="BX2031" s="2" t="s">
        <v>4720</v>
      </c>
      <c r="BY2031" s="2" t="s">
        <v>112</v>
      </c>
      <c r="BZ2031" s="2" t="s">
        <v>100</v>
      </c>
    </row>
    <row r="2032">
      <c r="A2032" s="2" t="s">
        <v>7000</v>
      </c>
      <c r="B2032" s="2" t="s">
        <v>6098</v>
      </c>
      <c r="C2032" s="2" t="s">
        <v>4677</v>
      </c>
      <c r="D2032" s="2" t="s">
        <v>6497</v>
      </c>
      <c r="E2032" s="2" t="s">
        <v>6480</v>
      </c>
      <c r="F2032" s="2" t="s">
        <v>7001</v>
      </c>
      <c r="G2032" s="2" t="s">
        <v>7001</v>
      </c>
      <c r="H2032" s="2" t="s">
        <v>7001</v>
      </c>
      <c r="I2032" s="2" t="s">
        <v>7002</v>
      </c>
      <c r="J2032" s="2" t="s">
        <v>6103</v>
      </c>
      <c r="K2032" s="2" t="s">
        <v>635</v>
      </c>
      <c r="L2032" s="3">
        <v>35.58</v>
      </c>
      <c r="M2032" s="3">
        <v>37.36</v>
      </c>
      <c r="N2032" s="3">
        <v>76.49</v>
      </c>
      <c r="O2032" s="2" t="s">
        <v>229</v>
      </c>
      <c r="P2032" s="2" t="s">
        <v>198</v>
      </c>
      <c r="Q2032" s="2" t="s">
        <v>99</v>
      </c>
      <c r="R2032" s="2" t="s">
        <v>100</v>
      </c>
      <c r="S2032" s="2" t="s">
        <v>100</v>
      </c>
      <c r="T2032" s="2" t="s">
        <v>100</v>
      </c>
      <c r="U2032" s="2" t="s">
        <v>3531</v>
      </c>
      <c r="V2032" s="2" t="s">
        <v>601</v>
      </c>
      <c r="W2032" s="2" t="s">
        <v>6998</v>
      </c>
      <c r="X2032" s="2" t="s">
        <v>100</v>
      </c>
      <c r="Y2032" s="2" t="s">
        <v>1322</v>
      </c>
      <c r="Z2032" s="4">
        <v>1</v>
      </c>
      <c r="AA2032" s="4">
        <f>=ROUNDDOWN(0.25,0)</f>
      </c>
      <c r="AB2032" s="5">
        <v>4</v>
      </c>
      <c r="AC2032" s="2" t="s">
        <v>100</v>
      </c>
      <c r="AD2032" s="4"/>
      <c r="AE2032" s="4"/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>
        <v>0</v>
      </c>
      <c r="AP2032" s="4">
        <v>2</v>
      </c>
      <c r="AQ2032" s="8">
        <v>74.72</v>
      </c>
      <c r="AR2032" s="4">
        <v>10</v>
      </c>
      <c r="AS2032" s="8">
        <v>439.5</v>
      </c>
      <c r="AT2032" s="7">
        <v>-0.8</v>
      </c>
      <c r="AU2032" s="7">
        <v>-0.83</v>
      </c>
      <c r="AV2032" s="4">
        <v>2</v>
      </c>
      <c r="AW2032" s="8">
        <v>74.72</v>
      </c>
      <c r="AX2032" s="4">
        <v>10</v>
      </c>
      <c r="AY2032" s="8">
        <v>439.5</v>
      </c>
      <c r="AZ2032" s="7">
        <v>-0.8</v>
      </c>
      <c r="BA2032" s="7">
        <v>-0.83</v>
      </c>
      <c r="BB2032" s="7">
        <v>1</v>
      </c>
      <c r="BC2032" s="4">
        <v>2</v>
      </c>
      <c r="BD2032" s="8">
        <v>74.72</v>
      </c>
      <c r="BE2032" s="4">
        <v>10</v>
      </c>
      <c r="BF2032" s="8">
        <v>439.5</v>
      </c>
      <c r="BG2032" s="7">
        <v>-0.8</v>
      </c>
      <c r="BH2032" s="7">
        <v>-0.83</v>
      </c>
      <c r="BI2032" s="7">
        <v>1</v>
      </c>
      <c r="BJ2032" s="4">
        <v>97</v>
      </c>
      <c r="BK2032" s="8">
        <v>2977.65</v>
      </c>
      <c r="BL2032" s="2" t="s">
        <v>7003</v>
      </c>
      <c r="BM2032" s="7">
        <v>0.0206</v>
      </c>
      <c r="BN2032" s="7">
        <v>0.0251</v>
      </c>
      <c r="BO2032" s="4">
        <v>2</v>
      </c>
      <c r="BP2032" s="8">
        <v>74.72</v>
      </c>
      <c r="BQ2032" s="4">
        <v>10</v>
      </c>
      <c r="BR2032" s="8">
        <v>439.5</v>
      </c>
      <c r="BS2032" s="7">
        <v>-0.8</v>
      </c>
      <c r="BT2032" s="7">
        <v>-0.83</v>
      </c>
      <c r="BU2032" s="2" t="s">
        <v>109</v>
      </c>
      <c r="BV2032" s="2" t="s">
        <v>97</v>
      </c>
      <c r="BW2032" s="2" t="s">
        <v>2917</v>
      </c>
      <c r="BX2032" s="2" t="s">
        <v>6130</v>
      </c>
      <c r="BY2032" s="2" t="s">
        <v>112</v>
      </c>
      <c r="BZ2032" s="2" t="s">
        <v>100</v>
      </c>
    </row>
    <row r="2033">
      <c r="A2033" s="2" t="s">
        <v>7004</v>
      </c>
      <c r="B2033" s="2" t="s">
        <v>6098</v>
      </c>
      <c r="C2033" s="2" t="s">
        <v>4677</v>
      </c>
      <c r="D2033" s="2" t="s">
        <v>6497</v>
      </c>
      <c r="E2033" s="2" t="s">
        <v>6480</v>
      </c>
      <c r="F2033" s="2" t="s">
        <v>7005</v>
      </c>
      <c r="G2033" s="2" t="s">
        <v>7005</v>
      </c>
      <c r="H2033" s="2" t="s">
        <v>7005</v>
      </c>
      <c r="I2033" s="2" t="s">
        <v>7006</v>
      </c>
      <c r="J2033" s="2" t="s">
        <v>6103</v>
      </c>
      <c r="K2033" s="2" t="s">
        <v>142</v>
      </c>
      <c r="L2033" s="3">
        <v>22.24</v>
      </c>
      <c r="M2033" s="3">
        <v>23.35</v>
      </c>
      <c r="N2033" s="3">
        <v>50.99</v>
      </c>
      <c r="O2033" s="2" t="s">
        <v>97</v>
      </c>
      <c r="P2033" s="2" t="s">
        <v>143</v>
      </c>
      <c r="Q2033" s="2" t="s">
        <v>99</v>
      </c>
      <c r="R2033" s="2" t="s">
        <v>100</v>
      </c>
      <c r="S2033" s="2" t="s">
        <v>7007</v>
      </c>
      <c r="T2033" s="2" t="s">
        <v>100</v>
      </c>
      <c r="U2033" s="2" t="s">
        <v>3531</v>
      </c>
      <c r="V2033" s="2" t="s">
        <v>601</v>
      </c>
      <c r="W2033" s="2" t="s">
        <v>6998</v>
      </c>
      <c r="X2033" s="2" t="s">
        <v>100</v>
      </c>
      <c r="Y2033" s="2" t="s">
        <v>1322</v>
      </c>
      <c r="Z2033" s="4">
        <v>123</v>
      </c>
      <c r="AA2033" s="4">
        <f>=ROUNDDOWN(6.94915254237288,0)</f>
      </c>
      <c r="AB2033" s="5">
        <v>17.7</v>
      </c>
      <c r="AC2033" s="2" t="s">
        <v>6501</v>
      </c>
      <c r="AD2033" s="4">
        <v>100</v>
      </c>
      <c r="AE2033" s="4">
        <v>500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>
        <v>0</v>
      </c>
      <c r="AP2033" s="4">
        <v>3</v>
      </c>
      <c r="AQ2033" s="8">
        <v>70.05</v>
      </c>
      <c r="AR2033" s="4"/>
      <c r="AS2033" s="8"/>
      <c r="AT2033" s="7"/>
      <c r="AU2033" s="7"/>
      <c r="AV2033" s="4">
        <v>3</v>
      </c>
      <c r="AW2033" s="8">
        <v>70.05</v>
      </c>
      <c r="AX2033" s="4"/>
      <c r="AY2033" s="8"/>
      <c r="AZ2033" s="7"/>
      <c r="BA2033" s="7"/>
      <c r="BB2033" s="7">
        <v>1</v>
      </c>
      <c r="BC2033" s="4">
        <v>3</v>
      </c>
      <c r="BD2033" s="8">
        <v>70.05</v>
      </c>
      <c r="BE2033" s="4"/>
      <c r="BF2033" s="8"/>
      <c r="BG2033" s="7"/>
      <c r="BH2033" s="7"/>
      <c r="BI2033" s="7">
        <v>1</v>
      </c>
      <c r="BJ2033" s="4">
        <v>478</v>
      </c>
      <c r="BK2033" s="8">
        <v>12321.2</v>
      </c>
      <c r="BL2033" s="2" t="s">
        <v>7008</v>
      </c>
      <c r="BM2033" s="7">
        <v>0.0063</v>
      </c>
      <c r="BN2033" s="7">
        <v>0.0057</v>
      </c>
      <c r="BO2033" s="4">
        <v>3</v>
      </c>
      <c r="BP2033" s="8">
        <v>70.05</v>
      </c>
      <c r="BQ2033" s="4"/>
      <c r="BR2033" s="8"/>
      <c r="BS2033" s="7"/>
      <c r="BT2033" s="7"/>
      <c r="BU2033" s="2" t="s">
        <v>109</v>
      </c>
      <c r="BV2033" s="2" t="s">
        <v>97</v>
      </c>
      <c r="BW2033" s="2" t="s">
        <v>2917</v>
      </c>
      <c r="BX2033" s="2" t="s">
        <v>6148</v>
      </c>
      <c r="BY2033" s="2" t="s">
        <v>112</v>
      </c>
      <c r="BZ2033" s="2" t="s">
        <v>100</v>
      </c>
    </row>
    <row r="2034">
      <c r="A2034" s="2" t="s">
        <v>7009</v>
      </c>
      <c r="B2034" s="2" t="s">
        <v>6098</v>
      </c>
      <c r="C2034" s="2" t="s">
        <v>4677</v>
      </c>
      <c r="D2034" s="2" t="s">
        <v>6497</v>
      </c>
      <c r="E2034" s="2" t="s">
        <v>6480</v>
      </c>
      <c r="F2034" s="2" t="s">
        <v>7010</v>
      </c>
      <c r="G2034" s="2" t="s">
        <v>7010</v>
      </c>
      <c r="H2034" s="2" t="s">
        <v>7010</v>
      </c>
      <c r="I2034" s="2" t="s">
        <v>7011</v>
      </c>
      <c r="J2034" s="2" t="s">
        <v>6103</v>
      </c>
      <c r="K2034" s="2" t="s">
        <v>1935</v>
      </c>
      <c r="L2034" s="3">
        <v>52.38</v>
      </c>
      <c r="M2034" s="3">
        <v>55</v>
      </c>
      <c r="N2034" s="3">
        <v>109.99</v>
      </c>
      <c r="O2034" s="2" t="s">
        <v>97</v>
      </c>
      <c r="P2034" s="2" t="s">
        <v>1166</v>
      </c>
      <c r="Q2034" s="2" t="s">
        <v>99</v>
      </c>
      <c r="R2034" s="2" t="s">
        <v>100</v>
      </c>
      <c r="S2034" s="2" t="s">
        <v>100</v>
      </c>
      <c r="T2034" s="2" t="s">
        <v>100</v>
      </c>
      <c r="U2034" s="2" t="s">
        <v>3531</v>
      </c>
      <c r="V2034" s="2" t="s">
        <v>1122</v>
      </c>
      <c r="W2034" s="2" t="s">
        <v>602</v>
      </c>
      <c r="X2034" s="2" t="s">
        <v>2195</v>
      </c>
      <c r="Y2034" s="2" t="s">
        <v>6445</v>
      </c>
      <c r="Z2034" s="4">
        <v>35</v>
      </c>
      <c r="AA2034" s="4">
        <f>=ROUNDDOWN(17.5,0)</f>
      </c>
      <c r="AB2034" s="5">
        <v>2</v>
      </c>
      <c r="AC2034" s="2" t="s">
        <v>382</v>
      </c>
      <c r="AD2034" s="4">
        <v>50</v>
      </c>
      <c r="AE2034" s="4">
        <v>50</v>
      </c>
      <c r="AF2034" s="6">
        <v>63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/>
      <c r="AW2034" s="8"/>
      <c r="AX2034" s="4"/>
      <c r="AY2034" s="8"/>
      <c r="AZ2034" s="7"/>
      <c r="BA2034" s="7"/>
      <c r="BB2034" s="7"/>
      <c r="BC2034" s="4"/>
      <c r="BD2034" s="8"/>
      <c r="BE2034" s="4"/>
      <c r="BF2034" s="8"/>
      <c r="BG2034" s="7"/>
      <c r="BH2034" s="7"/>
      <c r="BI2034" s="7"/>
      <c r="BJ2034" s="4">
        <v>46</v>
      </c>
      <c r="BK2034" s="8">
        <v>2631.45</v>
      </c>
      <c r="BL2034" s="2" t="s">
        <v>7012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6185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7013</v>
      </c>
      <c r="B2035" s="2" t="s">
        <v>6098</v>
      </c>
      <c r="C2035" s="2" t="s">
        <v>4677</v>
      </c>
      <c r="D2035" s="2" t="s">
        <v>6497</v>
      </c>
      <c r="E2035" s="2" t="s">
        <v>6619</v>
      </c>
      <c r="F2035" s="2" t="s">
        <v>7014</v>
      </c>
      <c r="G2035" s="2" t="s">
        <v>7014</v>
      </c>
      <c r="H2035" s="2" t="s">
        <v>7014</v>
      </c>
      <c r="I2035" s="2" t="s">
        <v>7015</v>
      </c>
      <c r="J2035" s="2" t="s">
        <v>6103</v>
      </c>
      <c r="K2035" s="2" t="s">
        <v>1935</v>
      </c>
      <c r="L2035" s="3">
        <v>52.62</v>
      </c>
      <c r="M2035" s="3">
        <v>55.25</v>
      </c>
      <c r="N2035" s="3">
        <v>110.49</v>
      </c>
      <c r="O2035" s="2" t="s">
        <v>97</v>
      </c>
      <c r="P2035" s="2" t="s">
        <v>182</v>
      </c>
      <c r="Q2035" s="2" t="s">
        <v>99</v>
      </c>
      <c r="R2035" s="2" t="s">
        <v>100</v>
      </c>
      <c r="S2035" s="2" t="s">
        <v>7016</v>
      </c>
      <c r="T2035" s="2" t="s">
        <v>100</v>
      </c>
      <c r="U2035" s="2" t="s">
        <v>3531</v>
      </c>
      <c r="V2035" s="2" t="s">
        <v>455</v>
      </c>
      <c r="W2035" s="2" t="s">
        <v>4770</v>
      </c>
      <c r="X2035" s="2" t="s">
        <v>100</v>
      </c>
      <c r="Y2035" s="2" t="s">
        <v>2750</v>
      </c>
      <c r="Z2035" s="4">
        <v>168</v>
      </c>
      <c r="AA2035" s="4">
        <f>=ROUNDDOWN(50.9090909090909,0)</f>
      </c>
      <c r="AB2035" s="5">
        <v>3.3</v>
      </c>
      <c r="AC2035" s="2" t="s">
        <v>100</v>
      </c>
      <c r="AD2035" s="4"/>
      <c r="AE2035" s="4"/>
      <c r="AF2035" s="6">
        <v>65</v>
      </c>
      <c r="AG2035" s="6"/>
      <c r="AH2035" s="7">
        <v>0.9455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126</v>
      </c>
      <c r="BK2035" s="8">
        <v>8018.3</v>
      </c>
      <c r="BL2035" s="2" t="s">
        <v>7017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6185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7018</v>
      </c>
      <c r="B2036" s="2" t="s">
        <v>6098</v>
      </c>
      <c r="C2036" s="2" t="s">
        <v>4677</v>
      </c>
      <c r="D2036" s="2" t="s">
        <v>6099</v>
      </c>
      <c r="E2036" s="2" t="s">
        <v>6100</v>
      </c>
      <c r="F2036" s="2" t="s">
        <v>7019</v>
      </c>
      <c r="G2036" s="2" t="s">
        <v>7019</v>
      </c>
      <c r="H2036" s="2" t="s">
        <v>7019</v>
      </c>
      <c r="I2036" s="2" t="s">
        <v>7020</v>
      </c>
      <c r="J2036" s="2" t="s">
        <v>6103</v>
      </c>
      <c r="K2036" s="2" t="s">
        <v>197</v>
      </c>
      <c r="L2036" s="3">
        <v>40.03</v>
      </c>
      <c r="M2036" s="3">
        <v>42.03</v>
      </c>
      <c r="N2036" s="3">
        <v>87.54</v>
      </c>
      <c r="O2036" s="2" t="s">
        <v>97</v>
      </c>
      <c r="P2036" s="2" t="s">
        <v>182</v>
      </c>
      <c r="Q2036" s="2" t="s">
        <v>99</v>
      </c>
      <c r="R2036" s="2" t="s">
        <v>100</v>
      </c>
      <c r="S2036" s="2" t="s">
        <v>7021</v>
      </c>
      <c r="T2036" s="2" t="s">
        <v>100</v>
      </c>
      <c r="U2036" s="2" t="s">
        <v>3531</v>
      </c>
      <c r="V2036" s="2" t="s">
        <v>1122</v>
      </c>
      <c r="W2036" s="2" t="s">
        <v>602</v>
      </c>
      <c r="X2036" s="2" t="s">
        <v>100</v>
      </c>
      <c r="Y2036" s="2" t="s">
        <v>1322</v>
      </c>
      <c r="Z2036" s="4">
        <v>61</v>
      </c>
      <c r="AA2036" s="4">
        <f>=ROUNDDOWN(7.625,0)</f>
      </c>
      <c r="AB2036" s="5">
        <v>8</v>
      </c>
      <c r="AC2036" s="2" t="s">
        <v>325</v>
      </c>
      <c r="AD2036" s="4">
        <v>60</v>
      </c>
      <c r="AE2036" s="4">
        <v>120</v>
      </c>
      <c r="AF2036" s="6">
        <v>63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>
        <v>0</v>
      </c>
      <c r="AP2036" s="4">
        <v>18</v>
      </c>
      <c r="AQ2036" s="8">
        <v>756.54</v>
      </c>
      <c r="AR2036" s="4">
        <v>24</v>
      </c>
      <c r="AS2036" s="8">
        <v>1038.36</v>
      </c>
      <c r="AT2036" s="7">
        <v>-0.25</v>
      </c>
      <c r="AU2036" s="7">
        <v>-0.2714</v>
      </c>
      <c r="AV2036" s="4">
        <v>18</v>
      </c>
      <c r="AW2036" s="8">
        <v>756.54</v>
      </c>
      <c r="AX2036" s="4">
        <v>24</v>
      </c>
      <c r="AY2036" s="8">
        <v>1038.36</v>
      </c>
      <c r="AZ2036" s="7">
        <v>-0.25</v>
      </c>
      <c r="BA2036" s="7">
        <v>-0.2714</v>
      </c>
      <c r="BB2036" s="7">
        <v>1</v>
      </c>
      <c r="BC2036" s="4">
        <v>18</v>
      </c>
      <c r="BD2036" s="8">
        <v>756.54</v>
      </c>
      <c r="BE2036" s="4">
        <v>24</v>
      </c>
      <c r="BF2036" s="8">
        <v>1038.36</v>
      </c>
      <c r="BG2036" s="7">
        <v>-0.25</v>
      </c>
      <c r="BH2036" s="7">
        <v>-0.2714</v>
      </c>
      <c r="BI2036" s="7">
        <v>1</v>
      </c>
      <c r="BJ2036" s="4">
        <v>145</v>
      </c>
      <c r="BK2036" s="8">
        <v>6621.75</v>
      </c>
      <c r="BL2036" s="2" t="s">
        <v>7022</v>
      </c>
      <c r="BM2036" s="7">
        <v>0.1241</v>
      </c>
      <c r="BN2036" s="7">
        <v>0.1143</v>
      </c>
      <c r="BO2036" s="4">
        <v>18</v>
      </c>
      <c r="BP2036" s="8">
        <v>756.54</v>
      </c>
      <c r="BQ2036" s="4">
        <v>24</v>
      </c>
      <c r="BR2036" s="8">
        <v>1038.36</v>
      </c>
      <c r="BS2036" s="7">
        <v>-0.25</v>
      </c>
      <c r="BT2036" s="7">
        <v>-0.2714</v>
      </c>
      <c r="BU2036" s="2" t="s">
        <v>109</v>
      </c>
      <c r="BV2036" s="2" t="s">
        <v>97</v>
      </c>
      <c r="BW2036" s="2" t="s">
        <v>6110</v>
      </c>
      <c r="BX2036" s="2" t="s">
        <v>4459</v>
      </c>
      <c r="BY2036" s="2" t="s">
        <v>112</v>
      </c>
      <c r="BZ2036" s="2" t="s">
        <v>100</v>
      </c>
    </row>
    <row r="2037">
      <c r="A2037" s="2" t="s">
        <v>7023</v>
      </c>
      <c r="B2037" s="2" t="s">
        <v>6098</v>
      </c>
      <c r="C2037" s="2" t="s">
        <v>4677</v>
      </c>
      <c r="D2037" s="2" t="s">
        <v>6099</v>
      </c>
      <c r="E2037" s="2" t="s">
        <v>6100</v>
      </c>
      <c r="F2037" s="2" t="s">
        <v>7024</v>
      </c>
      <c r="G2037" s="2" t="s">
        <v>7024</v>
      </c>
      <c r="H2037" s="2" t="s">
        <v>7024</v>
      </c>
      <c r="I2037" s="2" t="s">
        <v>6159</v>
      </c>
      <c r="J2037" s="2" t="s">
        <v>6103</v>
      </c>
      <c r="K2037" s="2" t="s">
        <v>158</v>
      </c>
      <c r="L2037" s="3">
        <v>41.27</v>
      </c>
      <c r="M2037" s="3">
        <v>43.33</v>
      </c>
      <c r="N2037" s="3">
        <v>84.99</v>
      </c>
      <c r="O2037" s="2" t="s">
        <v>97</v>
      </c>
      <c r="P2037" s="2" t="s">
        <v>182</v>
      </c>
      <c r="Q2037" s="2" t="s">
        <v>99</v>
      </c>
      <c r="R2037" s="2" t="s">
        <v>100</v>
      </c>
      <c r="S2037" s="2" t="s">
        <v>7025</v>
      </c>
      <c r="T2037" s="2" t="s">
        <v>100</v>
      </c>
      <c r="U2037" s="2" t="s">
        <v>1610</v>
      </c>
      <c r="V2037" s="2" t="s">
        <v>1122</v>
      </c>
      <c r="W2037" s="2" t="s">
        <v>602</v>
      </c>
      <c r="X2037" s="2" t="s">
        <v>100</v>
      </c>
      <c r="Y2037" s="2" t="s">
        <v>106</v>
      </c>
      <c r="Z2037" s="4">
        <v>100</v>
      </c>
      <c r="AA2037" s="4">
        <f>=ROUNDDOWN(33.3333333333333,0)</f>
      </c>
      <c r="AB2037" s="5">
        <v>3</v>
      </c>
      <c r="AC2037" s="2" t="s">
        <v>100</v>
      </c>
      <c r="AD2037" s="4"/>
      <c r="AE2037" s="4"/>
      <c r="AF2037" s="6">
        <v>63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>
        <v>0</v>
      </c>
      <c r="AP2037" s="4">
        <v>4</v>
      </c>
      <c r="AQ2037" s="8">
        <v>173.32</v>
      </c>
      <c r="AR2037" s="4">
        <v>24</v>
      </c>
      <c r="AS2037" s="8">
        <v>1164.95</v>
      </c>
      <c r="AT2037" s="7">
        <v>-0.8333</v>
      </c>
      <c r="AU2037" s="7">
        <v>-0.8512</v>
      </c>
      <c r="AV2037" s="4">
        <v>4</v>
      </c>
      <c r="AW2037" s="8">
        <v>173.32</v>
      </c>
      <c r="AX2037" s="4">
        <v>24</v>
      </c>
      <c r="AY2037" s="8">
        <v>1164.95</v>
      </c>
      <c r="AZ2037" s="7">
        <v>-0.8333</v>
      </c>
      <c r="BA2037" s="7">
        <v>-0.8512</v>
      </c>
      <c r="BB2037" s="7">
        <v>1</v>
      </c>
      <c r="BC2037" s="4">
        <v>4</v>
      </c>
      <c r="BD2037" s="8">
        <v>173.32</v>
      </c>
      <c r="BE2037" s="4">
        <v>24</v>
      </c>
      <c r="BF2037" s="8">
        <v>1164.95</v>
      </c>
      <c r="BG2037" s="7">
        <v>-0.8333</v>
      </c>
      <c r="BH2037" s="7">
        <v>-0.8512</v>
      </c>
      <c r="BI2037" s="7">
        <v>1</v>
      </c>
      <c r="BJ2037" s="4">
        <v>80</v>
      </c>
      <c r="BK2037" s="8">
        <v>4235.74</v>
      </c>
      <c r="BL2037" s="2" t="s">
        <v>7026</v>
      </c>
      <c r="BM2037" s="7">
        <v>0.05</v>
      </c>
      <c r="BN2037" s="7">
        <v>0.0409</v>
      </c>
      <c r="BO2037" s="4">
        <v>4</v>
      </c>
      <c r="BP2037" s="8">
        <v>173.32</v>
      </c>
      <c r="BQ2037" s="4">
        <v>24</v>
      </c>
      <c r="BR2037" s="8">
        <v>1164.95</v>
      </c>
      <c r="BS2037" s="7">
        <v>-0.8333</v>
      </c>
      <c r="BT2037" s="7">
        <v>-0.8512</v>
      </c>
      <c r="BU2037" s="2" t="s">
        <v>109</v>
      </c>
      <c r="BV2037" s="2" t="s">
        <v>97</v>
      </c>
      <c r="BW2037" s="2" t="s">
        <v>2917</v>
      </c>
      <c r="BX2037" s="2" t="s">
        <v>4328</v>
      </c>
      <c r="BY2037" s="2" t="s">
        <v>112</v>
      </c>
      <c r="BZ2037" s="2" t="s">
        <v>100</v>
      </c>
    </row>
    <row r="2038">
      <c r="A2038" s="2" t="s">
        <v>7027</v>
      </c>
      <c r="B2038" s="2" t="s">
        <v>6098</v>
      </c>
      <c r="C2038" s="2" t="s">
        <v>4677</v>
      </c>
      <c r="D2038" s="2" t="s">
        <v>6099</v>
      </c>
      <c r="E2038" s="2" t="s">
        <v>6100</v>
      </c>
      <c r="F2038" s="2" t="s">
        <v>7028</v>
      </c>
      <c r="G2038" s="2" t="s">
        <v>7028</v>
      </c>
      <c r="H2038" s="2" t="s">
        <v>100</v>
      </c>
      <c r="I2038" s="2" t="s">
        <v>7029</v>
      </c>
      <c r="J2038" s="2" t="s">
        <v>6103</v>
      </c>
      <c r="K2038" s="2" t="s">
        <v>158</v>
      </c>
      <c r="L2038" s="3">
        <v>26.76</v>
      </c>
      <c r="M2038" s="3">
        <v>28.1</v>
      </c>
      <c r="N2038" s="3">
        <v>59.49</v>
      </c>
      <c r="O2038" s="2" t="s">
        <v>229</v>
      </c>
      <c r="P2038" s="2" t="s">
        <v>198</v>
      </c>
      <c r="Q2038" s="2" t="s">
        <v>99</v>
      </c>
      <c r="R2038" s="2" t="s">
        <v>100</v>
      </c>
      <c r="S2038" s="2" t="s">
        <v>7030</v>
      </c>
      <c r="T2038" s="2" t="s">
        <v>100</v>
      </c>
      <c r="U2038" s="2" t="s">
        <v>3531</v>
      </c>
      <c r="V2038" s="2" t="s">
        <v>1122</v>
      </c>
      <c r="W2038" s="2" t="s">
        <v>602</v>
      </c>
      <c r="X2038" s="2" t="s">
        <v>100</v>
      </c>
      <c r="Y2038" s="2" t="s">
        <v>106</v>
      </c>
      <c r="Z2038" s="4"/>
      <c r="AA2038" s="4">
        <f>=ROUNDDOWN({0},0)</f>
      </c>
      <c r="AB2038" s="5">
        <v>3</v>
      </c>
      <c r="AC2038" s="2" t="s">
        <v>100</v>
      </c>
      <c r="AD2038" s="4"/>
      <c r="AE2038" s="4"/>
      <c r="AF2038" s="6">
        <v>63</v>
      </c>
      <c r="AG2038" s="6"/>
      <c r="AH2038" s="7">
        <v>0.8121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>
        <v>0</v>
      </c>
      <c r="AP2038" s="4">
        <v>5</v>
      </c>
      <c r="AQ2038" s="8">
        <v>140.5</v>
      </c>
      <c r="AR2038" s="4">
        <v>12</v>
      </c>
      <c r="AS2038" s="8">
        <v>366.9</v>
      </c>
      <c r="AT2038" s="7">
        <v>-0.5833</v>
      </c>
      <c r="AU2038" s="7">
        <v>-0.6171</v>
      </c>
      <c r="AV2038" s="4">
        <v>5</v>
      </c>
      <c r="AW2038" s="8">
        <v>140.5</v>
      </c>
      <c r="AX2038" s="4">
        <v>12</v>
      </c>
      <c r="AY2038" s="8">
        <v>366.9</v>
      </c>
      <c r="AZ2038" s="7">
        <v>-0.5833</v>
      </c>
      <c r="BA2038" s="7">
        <v>-0.6171</v>
      </c>
      <c r="BB2038" s="7">
        <v>1</v>
      </c>
      <c r="BC2038" s="4">
        <v>5</v>
      </c>
      <c r="BD2038" s="8">
        <v>140.5</v>
      </c>
      <c r="BE2038" s="4">
        <v>12</v>
      </c>
      <c r="BF2038" s="8">
        <v>366.9</v>
      </c>
      <c r="BG2038" s="7">
        <v>-0.5833</v>
      </c>
      <c r="BH2038" s="7">
        <v>-0.6171</v>
      </c>
      <c r="BI2038" s="7">
        <v>1</v>
      </c>
      <c r="BJ2038" s="4">
        <v>40</v>
      </c>
      <c r="BK2038" s="8">
        <v>1713.05</v>
      </c>
      <c r="BL2038" s="2" t="s">
        <v>7031</v>
      </c>
      <c r="BM2038" s="7">
        <v>0.125</v>
      </c>
      <c r="BN2038" s="7">
        <v>0.082</v>
      </c>
      <c r="BO2038" s="4">
        <v>5</v>
      </c>
      <c r="BP2038" s="8">
        <v>140.5</v>
      </c>
      <c r="BQ2038" s="4">
        <v>12</v>
      </c>
      <c r="BR2038" s="8">
        <v>366.9</v>
      </c>
      <c r="BS2038" s="7">
        <v>-0.5833</v>
      </c>
      <c r="BT2038" s="7">
        <v>-0.6171</v>
      </c>
      <c r="BU2038" s="2" t="s">
        <v>109</v>
      </c>
      <c r="BV2038" s="2" t="s">
        <v>552</v>
      </c>
      <c r="BW2038" s="2" t="s">
        <v>2917</v>
      </c>
      <c r="BX2038" s="2" t="s">
        <v>1552</v>
      </c>
      <c r="BY2038" s="2" t="s">
        <v>112</v>
      </c>
      <c r="BZ2038" s="2" t="s">
        <v>100</v>
      </c>
    </row>
    <row r="2039">
      <c r="A2039" s="2" t="s">
        <v>7032</v>
      </c>
      <c r="B2039" s="2" t="s">
        <v>6098</v>
      </c>
      <c r="C2039" s="2" t="s">
        <v>4677</v>
      </c>
      <c r="D2039" s="2" t="s">
        <v>6099</v>
      </c>
      <c r="E2039" s="2" t="s">
        <v>6100</v>
      </c>
      <c r="F2039" s="2" t="s">
        <v>7033</v>
      </c>
      <c r="G2039" s="2" t="s">
        <v>7033</v>
      </c>
      <c r="H2039" s="2" t="s">
        <v>7033</v>
      </c>
      <c r="I2039" s="2" t="s">
        <v>7034</v>
      </c>
      <c r="J2039" s="2" t="s">
        <v>6103</v>
      </c>
      <c r="K2039" s="2" t="s">
        <v>181</v>
      </c>
      <c r="L2039" s="3">
        <v>32.38</v>
      </c>
      <c r="M2039" s="3">
        <v>34</v>
      </c>
      <c r="N2039" s="3">
        <v>67.99</v>
      </c>
      <c r="O2039" s="2" t="s">
        <v>97</v>
      </c>
      <c r="P2039" s="2" t="s">
        <v>143</v>
      </c>
      <c r="Q2039" s="2" t="s">
        <v>99</v>
      </c>
      <c r="R2039" s="2" t="s">
        <v>100</v>
      </c>
      <c r="S2039" s="2" t="s">
        <v>100</v>
      </c>
      <c r="T2039" s="2" t="s">
        <v>100</v>
      </c>
      <c r="U2039" s="2" t="s">
        <v>2104</v>
      </c>
      <c r="V2039" s="2" t="s">
        <v>1752</v>
      </c>
      <c r="W2039" s="2" t="s">
        <v>759</v>
      </c>
      <c r="X2039" s="2" t="s">
        <v>104</v>
      </c>
      <c r="Y2039" s="2" t="s">
        <v>7035</v>
      </c>
      <c r="Z2039" s="4">
        <v>259</v>
      </c>
      <c r="AA2039" s="4">
        <f>=ROUNDDOWN(21.5833333333333,0)</f>
      </c>
      <c r="AB2039" s="5">
        <v>12</v>
      </c>
      <c r="AC2039" s="2" t="s">
        <v>325</v>
      </c>
      <c r="AD2039" s="4">
        <v>100</v>
      </c>
      <c r="AE2039" s="4">
        <v>220</v>
      </c>
      <c r="AF2039" s="6">
        <v>63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/>
      <c r="BD2039" s="8"/>
      <c r="BE2039" s="4"/>
      <c r="BF2039" s="8"/>
      <c r="BG2039" s="7"/>
      <c r="BH2039" s="7"/>
      <c r="BI2039" s="7"/>
      <c r="BJ2039" s="4">
        <v>282</v>
      </c>
      <c r="BK2039" s="8">
        <v>11793.45</v>
      </c>
      <c r="BL2039" s="2" t="s">
        <v>7036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6185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7037</v>
      </c>
      <c r="B2040" s="2" t="s">
        <v>6098</v>
      </c>
      <c r="C2040" s="2" t="s">
        <v>4677</v>
      </c>
      <c r="D2040" s="2" t="s">
        <v>6099</v>
      </c>
      <c r="E2040" s="2" t="s">
        <v>6100</v>
      </c>
      <c r="F2040" s="2" t="s">
        <v>7038</v>
      </c>
      <c r="G2040" s="2" t="s">
        <v>7038</v>
      </c>
      <c r="H2040" s="2" t="s">
        <v>7038</v>
      </c>
      <c r="I2040" s="2" t="s">
        <v>7039</v>
      </c>
      <c r="J2040" s="2" t="s">
        <v>6103</v>
      </c>
      <c r="K2040" s="2" t="s">
        <v>635</v>
      </c>
      <c r="L2040" s="3">
        <v>72.85</v>
      </c>
      <c r="M2040" s="3">
        <v>76.49</v>
      </c>
      <c r="N2040" s="3">
        <v>152.99</v>
      </c>
      <c r="O2040" s="2" t="s">
        <v>97</v>
      </c>
      <c r="P2040" s="2" t="s">
        <v>182</v>
      </c>
      <c r="Q2040" s="2" t="s">
        <v>99</v>
      </c>
      <c r="R2040" s="2" t="s">
        <v>100</v>
      </c>
      <c r="S2040" s="2" t="s">
        <v>7040</v>
      </c>
      <c r="T2040" s="2" t="s">
        <v>100</v>
      </c>
      <c r="U2040" s="2" t="s">
        <v>2104</v>
      </c>
      <c r="V2040" s="2" t="s">
        <v>1122</v>
      </c>
      <c r="W2040" s="2" t="s">
        <v>602</v>
      </c>
      <c r="X2040" s="2" t="s">
        <v>4770</v>
      </c>
      <c r="Y2040" s="2" t="s">
        <v>5454</v>
      </c>
      <c r="Z2040" s="4">
        <v>109</v>
      </c>
      <c r="AA2040" s="4">
        <f>=ROUNDDOWN(49.5454545454545,0)</f>
      </c>
      <c r="AB2040" s="5">
        <v>2.2</v>
      </c>
      <c r="AC2040" s="2" t="s">
        <v>100</v>
      </c>
      <c r="AD2040" s="4"/>
      <c r="AE2040" s="4"/>
      <c r="AF2040" s="6">
        <v>63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/>
      <c r="BD2040" s="8"/>
      <c r="BE2040" s="4"/>
      <c r="BF2040" s="8"/>
      <c r="BG2040" s="7"/>
      <c r="BH2040" s="7"/>
      <c r="BI2040" s="7"/>
      <c r="BJ2040" s="4">
        <v>48</v>
      </c>
      <c r="BK2040" s="8">
        <v>4329.27</v>
      </c>
      <c r="BL2040" s="2" t="s">
        <v>7041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6185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7042</v>
      </c>
      <c r="B2041" s="2" t="s">
        <v>6098</v>
      </c>
      <c r="C2041" s="2" t="s">
        <v>4677</v>
      </c>
      <c r="D2041" s="2" t="s">
        <v>6099</v>
      </c>
      <c r="E2041" s="2" t="s">
        <v>6100</v>
      </c>
      <c r="F2041" s="2" t="s">
        <v>7043</v>
      </c>
      <c r="G2041" s="2" t="s">
        <v>100</v>
      </c>
      <c r="H2041" s="2" t="s">
        <v>100</v>
      </c>
      <c r="I2041" s="2" t="s">
        <v>7044</v>
      </c>
      <c r="J2041" s="2" t="s">
        <v>6103</v>
      </c>
      <c r="K2041" s="2" t="s">
        <v>158</v>
      </c>
      <c r="L2041" s="3">
        <v>56.41</v>
      </c>
      <c r="M2041" s="3">
        <v>59.23</v>
      </c>
      <c r="N2041" s="3">
        <v>119.99</v>
      </c>
      <c r="O2041" s="2" t="s">
        <v>550</v>
      </c>
      <c r="P2041" s="2" t="s">
        <v>3737</v>
      </c>
      <c r="Q2041" s="2" t="s">
        <v>99</v>
      </c>
      <c r="R2041" s="2" t="s">
        <v>100</v>
      </c>
      <c r="S2041" s="2" t="s">
        <v>7045</v>
      </c>
      <c r="T2041" s="2" t="s">
        <v>100</v>
      </c>
      <c r="U2041" s="2" t="s">
        <v>1482</v>
      </c>
      <c r="V2041" s="2" t="s">
        <v>491</v>
      </c>
      <c r="W2041" s="2" t="s">
        <v>104</v>
      </c>
      <c r="X2041" s="2" t="s">
        <v>100</v>
      </c>
      <c r="Y2041" s="2" t="s">
        <v>106</v>
      </c>
      <c r="Z2041" s="4"/>
      <c r="AA2041" s="4">
        <f>=ROUNDDOWN({0},0)</f>
      </c>
      <c r="AB2041" s="5"/>
      <c r="AC2041" s="2" t="s">
        <v>100</v>
      </c>
      <c r="AD2041" s="4"/>
      <c r="AE2041" s="4"/>
      <c r="AF2041" s="6">
        <v>63</v>
      </c>
      <c r="AG2041" s="6"/>
      <c r="AH2041" s="7">
        <v>0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>
        <v>0</v>
      </c>
      <c r="AP2041" s="4"/>
      <c r="AQ2041" s="8"/>
      <c r="AR2041" s="4">
        <v>2</v>
      </c>
      <c r="AS2041" s="8">
        <v>118.46</v>
      </c>
      <c r="AT2041" s="7">
        <v>-1</v>
      </c>
      <c r="AU2041" s="7">
        <v>-1</v>
      </c>
      <c r="AV2041" s="4"/>
      <c r="AW2041" s="8"/>
      <c r="AX2041" s="4">
        <v>2</v>
      </c>
      <c r="AY2041" s="8">
        <v>118.46</v>
      </c>
      <c r="AZ2041" s="7">
        <v>-1</v>
      </c>
      <c r="BA2041" s="7">
        <v>-1</v>
      </c>
      <c r="BB2041" s="7"/>
      <c r="BC2041" s="4"/>
      <c r="BD2041" s="8"/>
      <c r="BE2041" s="4">
        <v>2</v>
      </c>
      <c r="BF2041" s="8">
        <v>118.46</v>
      </c>
      <c r="BG2041" s="7">
        <v>-1</v>
      </c>
      <c r="BH2041" s="7">
        <v>-1</v>
      </c>
      <c r="BI2041" s="7"/>
      <c r="BJ2041" s="4"/>
      <c r="BK2041" s="8"/>
      <c r="BL2041" s="2" t="s">
        <v>7046</v>
      </c>
      <c r="BM2041" s="7"/>
      <c r="BN2041" s="7"/>
      <c r="BO2041" s="4"/>
      <c r="BP2041" s="8"/>
      <c r="BQ2041" s="4">
        <v>2</v>
      </c>
      <c r="BR2041" s="8">
        <v>118.46</v>
      </c>
      <c r="BS2041" s="7">
        <v>-1</v>
      </c>
      <c r="BT2041" s="7">
        <v>-1</v>
      </c>
      <c r="BU2041" s="2" t="s">
        <v>109</v>
      </c>
      <c r="BV2041" s="2" t="s">
        <v>552</v>
      </c>
      <c r="BW2041" s="2" t="s">
        <v>6110</v>
      </c>
      <c r="BX2041" s="2" t="s">
        <v>1846</v>
      </c>
      <c r="BY2041" s="2" t="s">
        <v>112</v>
      </c>
      <c r="BZ2041" s="2" t="s">
        <v>100</v>
      </c>
    </row>
    <row r="2042">
      <c r="A2042" s="2" t="s">
        <v>7047</v>
      </c>
      <c r="B2042" s="2" t="s">
        <v>6098</v>
      </c>
      <c r="C2042" s="2" t="s">
        <v>4677</v>
      </c>
      <c r="D2042" s="2" t="s">
        <v>6099</v>
      </c>
      <c r="E2042" s="2" t="s">
        <v>6100</v>
      </c>
      <c r="F2042" s="2" t="s">
        <v>7048</v>
      </c>
      <c r="G2042" s="2" t="s">
        <v>100</v>
      </c>
      <c r="H2042" s="2" t="s">
        <v>100</v>
      </c>
      <c r="I2042" s="2" t="s">
        <v>7049</v>
      </c>
      <c r="J2042" s="2" t="s">
        <v>6103</v>
      </c>
      <c r="K2042" s="2" t="s">
        <v>158</v>
      </c>
      <c r="L2042" s="3">
        <v>24</v>
      </c>
      <c r="M2042" s="3">
        <v>25.2</v>
      </c>
      <c r="N2042" s="3">
        <v>59.99</v>
      </c>
      <c r="O2042" s="2" t="s">
        <v>550</v>
      </c>
      <c r="P2042" s="2" t="s">
        <v>198</v>
      </c>
      <c r="Q2042" s="2" t="s">
        <v>99</v>
      </c>
      <c r="R2042" s="2" t="s">
        <v>100</v>
      </c>
      <c r="S2042" s="2" t="s">
        <v>7050</v>
      </c>
      <c r="T2042" s="2" t="s">
        <v>100</v>
      </c>
      <c r="U2042" s="2" t="s">
        <v>3531</v>
      </c>
      <c r="V2042" s="2" t="s">
        <v>1122</v>
      </c>
      <c r="W2042" s="2" t="s">
        <v>602</v>
      </c>
      <c r="X2042" s="2" t="s">
        <v>100</v>
      </c>
      <c r="Y2042" s="2" t="s">
        <v>106</v>
      </c>
      <c r="Z2042" s="4"/>
      <c r="AA2042" s="4">
        <f>=ROUNDDOWN({0},0)</f>
      </c>
      <c r="AB2042" s="5">
        <v>0.2</v>
      </c>
      <c r="AC2042" s="2" t="s">
        <v>100</v>
      </c>
      <c r="AD2042" s="4"/>
      <c r="AE2042" s="4"/>
      <c r="AF2042" s="6">
        <v>63</v>
      </c>
      <c r="AG2042" s="6"/>
      <c r="AH2042" s="7">
        <v>0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>
        <v>0</v>
      </c>
      <c r="AP2042" s="4"/>
      <c r="AQ2042" s="8"/>
      <c r="AR2042" s="4">
        <v>7</v>
      </c>
      <c r="AS2042" s="8">
        <v>176.4</v>
      </c>
      <c r="AT2042" s="7">
        <v>-1</v>
      </c>
      <c r="AU2042" s="7">
        <v>-1</v>
      </c>
      <c r="AV2042" s="4"/>
      <c r="AW2042" s="8"/>
      <c r="AX2042" s="4">
        <v>7</v>
      </c>
      <c r="AY2042" s="8">
        <v>176.4</v>
      </c>
      <c r="AZ2042" s="7">
        <v>-1</v>
      </c>
      <c r="BA2042" s="7">
        <v>-1</v>
      </c>
      <c r="BB2042" s="7"/>
      <c r="BC2042" s="4"/>
      <c r="BD2042" s="8"/>
      <c r="BE2042" s="4">
        <v>7</v>
      </c>
      <c r="BF2042" s="8">
        <v>176.4</v>
      </c>
      <c r="BG2042" s="7">
        <v>-1</v>
      </c>
      <c r="BH2042" s="7">
        <v>-1</v>
      </c>
      <c r="BI2042" s="7"/>
      <c r="BJ2042" s="4"/>
      <c r="BK2042" s="8"/>
      <c r="BL2042" s="2" t="s">
        <v>7051</v>
      </c>
      <c r="BM2042" s="7"/>
      <c r="BN2042" s="7"/>
      <c r="BO2042" s="4"/>
      <c r="BP2042" s="8"/>
      <c r="BQ2042" s="4">
        <v>7</v>
      </c>
      <c r="BR2042" s="8">
        <v>176.4</v>
      </c>
      <c r="BS2042" s="7">
        <v>-1</v>
      </c>
      <c r="BT2042" s="7">
        <v>-1</v>
      </c>
      <c r="BU2042" s="2" t="s">
        <v>109</v>
      </c>
      <c r="BV2042" s="2" t="s">
        <v>552</v>
      </c>
      <c r="BW2042" s="2" t="s">
        <v>2917</v>
      </c>
      <c r="BX2042" s="2" t="s">
        <v>6391</v>
      </c>
      <c r="BY2042" s="2" t="s">
        <v>112</v>
      </c>
      <c r="BZ2042" s="2" t="s">
        <v>100</v>
      </c>
    </row>
    <row r="2043">
      <c r="A2043" s="2" t="s">
        <v>7052</v>
      </c>
      <c r="B2043" s="2" t="s">
        <v>6098</v>
      </c>
      <c r="C2043" s="2" t="s">
        <v>4677</v>
      </c>
      <c r="D2043" s="2" t="s">
        <v>6099</v>
      </c>
      <c r="E2043" s="2" t="s">
        <v>6100</v>
      </c>
      <c r="F2043" s="2" t="s">
        <v>7053</v>
      </c>
      <c r="G2043" s="2" t="s">
        <v>7053</v>
      </c>
      <c r="H2043" s="2" t="s">
        <v>7053</v>
      </c>
      <c r="I2043" s="2" t="s">
        <v>7054</v>
      </c>
      <c r="J2043" s="2" t="s">
        <v>6103</v>
      </c>
      <c r="K2043" s="2" t="s">
        <v>1660</v>
      </c>
      <c r="L2043" s="3">
        <v>68.81</v>
      </c>
      <c r="M2043" s="3">
        <v>72.25</v>
      </c>
      <c r="N2043" s="3">
        <v>144.49</v>
      </c>
      <c r="O2043" s="2" t="s">
        <v>97</v>
      </c>
      <c r="P2043" s="2" t="s">
        <v>198</v>
      </c>
      <c r="Q2043" s="2" t="s">
        <v>99</v>
      </c>
      <c r="R2043" s="2" t="s">
        <v>100</v>
      </c>
      <c r="S2043" s="2" t="s">
        <v>7055</v>
      </c>
      <c r="T2043" s="2" t="s">
        <v>100</v>
      </c>
      <c r="U2043" s="2" t="s">
        <v>1610</v>
      </c>
      <c r="V2043" s="2" t="s">
        <v>1122</v>
      </c>
      <c r="W2043" s="2" t="s">
        <v>602</v>
      </c>
      <c r="X2043" s="2" t="s">
        <v>1190</v>
      </c>
      <c r="Y2043" s="2" t="s">
        <v>5454</v>
      </c>
      <c r="Z2043" s="4">
        <v>76</v>
      </c>
      <c r="AA2043" s="4">
        <f>=ROUNDDOWN(76,0)</f>
      </c>
      <c r="AB2043" s="5">
        <v>1</v>
      </c>
      <c r="AC2043" s="2" t="s">
        <v>100</v>
      </c>
      <c r="AD2043" s="4"/>
      <c r="AE2043" s="4"/>
      <c r="AF2043" s="6">
        <v>63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/>
      <c r="BD2043" s="8"/>
      <c r="BE2043" s="4"/>
      <c r="BF2043" s="8"/>
      <c r="BG2043" s="7"/>
      <c r="BH2043" s="7"/>
      <c r="BI2043" s="7"/>
      <c r="BJ2043" s="4">
        <v>8</v>
      </c>
      <c r="BK2043" s="8">
        <v>664.44</v>
      </c>
      <c r="BL2043" s="2" t="s">
        <v>7056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6185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7057</v>
      </c>
      <c r="B2044" s="2" t="s">
        <v>6098</v>
      </c>
      <c r="C2044" s="2" t="s">
        <v>4677</v>
      </c>
      <c r="D2044" s="2" t="s">
        <v>6099</v>
      </c>
      <c r="E2044" s="2" t="s">
        <v>6100</v>
      </c>
      <c r="F2044" s="2" t="s">
        <v>7058</v>
      </c>
      <c r="G2044" s="2" t="s">
        <v>7058</v>
      </c>
      <c r="H2044" s="2" t="s">
        <v>7058</v>
      </c>
      <c r="I2044" s="2" t="s">
        <v>7059</v>
      </c>
      <c r="J2044" s="2" t="s">
        <v>6103</v>
      </c>
      <c r="K2044" s="2" t="s">
        <v>142</v>
      </c>
      <c r="L2044" s="3">
        <v>34.6</v>
      </c>
      <c r="M2044" s="3">
        <v>36.33</v>
      </c>
      <c r="N2044" s="3">
        <v>80.74</v>
      </c>
      <c r="O2044" s="2" t="s">
        <v>97</v>
      </c>
      <c r="P2044" s="2" t="s">
        <v>182</v>
      </c>
      <c r="Q2044" s="2" t="s">
        <v>99</v>
      </c>
      <c r="R2044" s="2" t="s">
        <v>100</v>
      </c>
      <c r="S2044" s="2" t="s">
        <v>7060</v>
      </c>
      <c r="T2044" s="2" t="s">
        <v>100</v>
      </c>
      <c r="U2044" s="2" t="s">
        <v>2104</v>
      </c>
      <c r="V2044" s="2" t="s">
        <v>6337</v>
      </c>
      <c r="W2044" s="2" t="s">
        <v>6998</v>
      </c>
      <c r="X2044" s="2" t="s">
        <v>100</v>
      </c>
      <c r="Y2044" s="2" t="s">
        <v>106</v>
      </c>
      <c r="Z2044" s="4">
        <v>28</v>
      </c>
      <c r="AA2044" s="4">
        <f>=ROUNDDOWN(2,0)</f>
      </c>
      <c r="AB2044" s="5">
        <v>14</v>
      </c>
      <c r="AC2044" s="2" t="s">
        <v>325</v>
      </c>
      <c r="AD2044" s="4">
        <v>150</v>
      </c>
      <c r="AE2044" s="4">
        <v>370</v>
      </c>
      <c r="AF2044" s="6">
        <v>63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>
        <v>0</v>
      </c>
      <c r="AP2044" s="4"/>
      <c r="AQ2044" s="8"/>
      <c r="AR2044" s="4">
        <v>4</v>
      </c>
      <c r="AS2044" s="8">
        <v>164.54</v>
      </c>
      <c r="AT2044" s="7">
        <v>-1</v>
      </c>
      <c r="AU2044" s="7">
        <v>-1</v>
      </c>
      <c r="AV2044" s="4"/>
      <c r="AW2044" s="8"/>
      <c r="AX2044" s="4">
        <v>4</v>
      </c>
      <c r="AY2044" s="8">
        <v>164.54</v>
      </c>
      <c r="AZ2044" s="7">
        <v>-1</v>
      </c>
      <c r="BA2044" s="7">
        <v>-1</v>
      </c>
      <c r="BB2044" s="7"/>
      <c r="BC2044" s="4"/>
      <c r="BD2044" s="8"/>
      <c r="BE2044" s="4">
        <v>4</v>
      </c>
      <c r="BF2044" s="8">
        <v>164.54</v>
      </c>
      <c r="BG2044" s="7">
        <v>-1</v>
      </c>
      <c r="BH2044" s="7">
        <v>-1</v>
      </c>
      <c r="BI2044" s="7"/>
      <c r="BJ2044" s="4">
        <v>265</v>
      </c>
      <c r="BK2044" s="8">
        <v>10718.62</v>
      </c>
      <c r="BL2044" s="2" t="s">
        <v>7061</v>
      </c>
      <c r="BM2044" s="7"/>
      <c r="BN2044" s="7"/>
      <c r="BO2044" s="4"/>
      <c r="BP2044" s="8"/>
      <c r="BQ2044" s="4">
        <v>4</v>
      </c>
      <c r="BR2044" s="8">
        <v>164.54</v>
      </c>
      <c r="BS2044" s="7">
        <v>-1</v>
      </c>
      <c r="BT2044" s="7">
        <v>-1</v>
      </c>
      <c r="BU2044" s="2" t="s">
        <v>109</v>
      </c>
      <c r="BV2044" s="2" t="s">
        <v>97</v>
      </c>
      <c r="BW2044" s="2" t="s">
        <v>2917</v>
      </c>
      <c r="BX2044" s="2" t="s">
        <v>5127</v>
      </c>
      <c r="BY2044" s="2" t="s">
        <v>112</v>
      </c>
      <c r="BZ2044" s="2" t="s">
        <v>100</v>
      </c>
    </row>
    <row r="2045">
      <c r="A2045" s="2" t="s">
        <v>7062</v>
      </c>
      <c r="B2045" s="2" t="s">
        <v>6098</v>
      </c>
      <c r="C2045" s="2" t="s">
        <v>4677</v>
      </c>
      <c r="D2045" s="2" t="s">
        <v>6099</v>
      </c>
      <c r="E2045" s="2" t="s">
        <v>6100</v>
      </c>
      <c r="F2045" s="2" t="s">
        <v>7063</v>
      </c>
      <c r="G2045" s="2" t="s">
        <v>7063</v>
      </c>
      <c r="H2045" s="2" t="s">
        <v>7063</v>
      </c>
      <c r="I2045" s="2" t="s">
        <v>7064</v>
      </c>
      <c r="J2045" s="2" t="s">
        <v>6103</v>
      </c>
      <c r="K2045" s="2" t="s">
        <v>323</v>
      </c>
      <c r="L2045" s="3">
        <v>27.85</v>
      </c>
      <c r="M2045" s="3">
        <v>29.24</v>
      </c>
      <c r="N2045" s="3">
        <v>64.99</v>
      </c>
      <c r="O2045" s="2" t="s">
        <v>97</v>
      </c>
      <c r="P2045" s="2" t="s">
        <v>1166</v>
      </c>
      <c r="Q2045" s="2" t="s">
        <v>99</v>
      </c>
      <c r="R2045" s="2" t="s">
        <v>100</v>
      </c>
      <c r="S2045" s="2" t="s">
        <v>100</v>
      </c>
      <c r="T2045" s="2" t="s">
        <v>100</v>
      </c>
      <c r="U2045" s="2" t="s">
        <v>3531</v>
      </c>
      <c r="V2045" s="2" t="s">
        <v>1752</v>
      </c>
      <c r="W2045" s="2" t="s">
        <v>1852</v>
      </c>
      <c r="X2045" s="2" t="s">
        <v>312</v>
      </c>
      <c r="Y2045" s="2" t="s">
        <v>6445</v>
      </c>
      <c r="Z2045" s="4">
        <v>64</v>
      </c>
      <c r="AA2045" s="4">
        <f>=ROUNDDOWN(64,0)</f>
      </c>
      <c r="AB2045" s="5">
        <v>1</v>
      </c>
      <c r="AC2045" s="2" t="s">
        <v>100</v>
      </c>
      <c r="AD2045" s="4"/>
      <c r="AE2045" s="4"/>
      <c r="AF2045" s="6">
        <v>63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/>
      <c r="AW2045" s="8"/>
      <c r="AX2045" s="4"/>
      <c r="AY2045" s="8"/>
      <c r="AZ2045" s="7"/>
      <c r="BA2045" s="7"/>
      <c r="BB2045" s="7"/>
      <c r="BC2045" s="4"/>
      <c r="BD2045" s="8"/>
      <c r="BE2045" s="4"/>
      <c r="BF2045" s="8"/>
      <c r="BG2045" s="7"/>
      <c r="BH2045" s="7"/>
      <c r="BI2045" s="7"/>
      <c r="BJ2045" s="4">
        <v>22</v>
      </c>
      <c r="BK2045" s="8">
        <v>808.85</v>
      </c>
      <c r="BL2045" s="2" t="s">
        <v>7065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6185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7066</v>
      </c>
      <c r="B2046" s="2" t="s">
        <v>6098</v>
      </c>
      <c r="C2046" s="2" t="s">
        <v>4677</v>
      </c>
      <c r="D2046" s="2" t="s">
        <v>6099</v>
      </c>
      <c r="E2046" s="2" t="s">
        <v>6100</v>
      </c>
      <c r="F2046" s="2" t="s">
        <v>7067</v>
      </c>
      <c r="G2046" s="2" t="s">
        <v>100</v>
      </c>
      <c r="H2046" s="2" t="s">
        <v>100</v>
      </c>
      <c r="I2046" s="2" t="s">
        <v>6271</v>
      </c>
      <c r="J2046" s="2" t="s">
        <v>6103</v>
      </c>
      <c r="K2046" s="2" t="s">
        <v>298</v>
      </c>
      <c r="L2046" s="3">
        <v>30</v>
      </c>
      <c r="M2046" s="3">
        <v>31.49</v>
      </c>
      <c r="N2046" s="3">
        <v>59.99</v>
      </c>
      <c r="O2046" s="2" t="s">
        <v>550</v>
      </c>
      <c r="P2046" s="2" t="s">
        <v>198</v>
      </c>
      <c r="Q2046" s="2" t="s">
        <v>99</v>
      </c>
      <c r="R2046" s="2" t="s">
        <v>100</v>
      </c>
      <c r="S2046" s="2" t="s">
        <v>7068</v>
      </c>
      <c r="T2046" s="2" t="s">
        <v>100</v>
      </c>
      <c r="U2046" s="2" t="s">
        <v>1610</v>
      </c>
      <c r="V2046" s="2" t="s">
        <v>991</v>
      </c>
      <c r="W2046" s="2" t="s">
        <v>602</v>
      </c>
      <c r="X2046" s="2" t="s">
        <v>100</v>
      </c>
      <c r="Y2046" s="2" t="s">
        <v>106</v>
      </c>
      <c r="Z2046" s="4"/>
      <c r="AA2046" s="4">
        <f>=ROUNDDOWN({0},0)</f>
      </c>
      <c r="AB2046" s="5"/>
      <c r="AC2046" s="2" t="s">
        <v>100</v>
      </c>
      <c r="AD2046" s="4"/>
      <c r="AE2046" s="4"/>
      <c r="AF2046" s="6"/>
      <c r="AG2046" s="6"/>
      <c r="AH2046" s="7">
        <v>0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/>
      <c r="AW2046" s="8"/>
      <c r="AX2046" s="4"/>
      <c r="AY2046" s="8"/>
      <c r="AZ2046" s="7"/>
      <c r="BA2046" s="7"/>
      <c r="BB2046" s="7"/>
      <c r="BC2046" s="4"/>
      <c r="BD2046" s="8"/>
      <c r="BE2046" s="4"/>
      <c r="BF2046" s="8"/>
      <c r="BG2046" s="7"/>
      <c r="BH2046" s="7"/>
      <c r="BI2046" s="7"/>
      <c r="BJ2046" s="4"/>
      <c r="BK2046" s="8"/>
      <c r="BL2046" s="2" t="s">
        <v>100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147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7069</v>
      </c>
      <c r="B2047" s="2" t="s">
        <v>6098</v>
      </c>
      <c r="C2047" s="2" t="s">
        <v>4677</v>
      </c>
      <c r="D2047" s="2" t="s">
        <v>6099</v>
      </c>
      <c r="E2047" s="2" t="s">
        <v>6377</v>
      </c>
      <c r="F2047" s="2" t="s">
        <v>7070</v>
      </c>
      <c r="G2047" s="2" t="s">
        <v>7070</v>
      </c>
      <c r="H2047" s="2" t="s">
        <v>7070</v>
      </c>
      <c r="I2047" s="2" t="s">
        <v>7071</v>
      </c>
      <c r="J2047" s="2" t="s">
        <v>6103</v>
      </c>
      <c r="K2047" s="2" t="s">
        <v>158</v>
      </c>
      <c r="L2047" s="3">
        <v>45.71</v>
      </c>
      <c r="M2047" s="3">
        <v>48</v>
      </c>
      <c r="N2047" s="3">
        <v>99.99</v>
      </c>
      <c r="O2047" s="2" t="s">
        <v>97</v>
      </c>
      <c r="P2047" s="2" t="s">
        <v>1166</v>
      </c>
      <c r="Q2047" s="2" t="s">
        <v>99</v>
      </c>
      <c r="R2047" s="2" t="s">
        <v>100</v>
      </c>
      <c r="S2047" s="2" t="s">
        <v>100</v>
      </c>
      <c r="T2047" s="2" t="s">
        <v>100</v>
      </c>
      <c r="U2047" s="2" t="s">
        <v>3531</v>
      </c>
      <c r="V2047" s="2" t="s">
        <v>1752</v>
      </c>
      <c r="W2047" s="2" t="s">
        <v>312</v>
      </c>
      <c r="X2047" s="2" t="s">
        <v>1288</v>
      </c>
      <c r="Y2047" s="2" t="s">
        <v>3843</v>
      </c>
      <c r="Z2047" s="4">
        <v>59</v>
      </c>
      <c r="AA2047" s="4">
        <f>=ROUNDDOWN(29.5,0)</f>
      </c>
      <c r="AB2047" s="5">
        <v>2</v>
      </c>
      <c r="AC2047" s="2" t="s">
        <v>100</v>
      </c>
      <c r="AD2047" s="4"/>
      <c r="AE2047" s="4"/>
      <c r="AF2047" s="6">
        <v>63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/>
      <c r="AW2047" s="8"/>
      <c r="AX2047" s="4"/>
      <c r="AY2047" s="8"/>
      <c r="AZ2047" s="7"/>
      <c r="BA2047" s="7"/>
      <c r="BB2047" s="7"/>
      <c r="BC2047" s="4"/>
      <c r="BD2047" s="8"/>
      <c r="BE2047" s="4"/>
      <c r="BF2047" s="8"/>
      <c r="BG2047" s="7"/>
      <c r="BH2047" s="7"/>
      <c r="BI2047" s="7"/>
      <c r="BJ2047" s="4">
        <v>29</v>
      </c>
      <c r="BK2047" s="8">
        <v>1735.36</v>
      </c>
      <c r="BL2047" s="2" t="s">
        <v>7072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6185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7073</v>
      </c>
      <c r="B2048" s="2" t="s">
        <v>6098</v>
      </c>
      <c r="C2048" s="2" t="s">
        <v>4677</v>
      </c>
      <c r="D2048" s="2" t="s">
        <v>6099</v>
      </c>
      <c r="E2048" s="2" t="s">
        <v>6377</v>
      </c>
      <c r="F2048" s="2" t="s">
        <v>7074</v>
      </c>
      <c r="G2048" s="2" t="s">
        <v>7074</v>
      </c>
      <c r="H2048" s="2" t="s">
        <v>7074</v>
      </c>
      <c r="I2048" s="2" t="s">
        <v>7075</v>
      </c>
      <c r="J2048" s="2" t="s">
        <v>6103</v>
      </c>
      <c r="K2048" s="2" t="s">
        <v>1767</v>
      </c>
      <c r="L2048" s="3">
        <v>71.42</v>
      </c>
      <c r="M2048" s="3">
        <v>74.99</v>
      </c>
      <c r="N2048" s="3">
        <v>149.99</v>
      </c>
      <c r="O2048" s="2" t="s">
        <v>97</v>
      </c>
      <c r="P2048" s="2" t="s">
        <v>1166</v>
      </c>
      <c r="Q2048" s="2" t="s">
        <v>99</v>
      </c>
      <c r="R2048" s="2" t="s">
        <v>100</v>
      </c>
      <c r="S2048" s="2" t="s">
        <v>100</v>
      </c>
      <c r="T2048" s="2" t="s">
        <v>100</v>
      </c>
      <c r="U2048" s="2" t="s">
        <v>2104</v>
      </c>
      <c r="V2048" s="2" t="s">
        <v>991</v>
      </c>
      <c r="W2048" s="2" t="s">
        <v>2195</v>
      </c>
      <c r="X2048" s="2" t="s">
        <v>104</v>
      </c>
      <c r="Y2048" s="2" t="s">
        <v>3864</v>
      </c>
      <c r="Z2048" s="4">
        <v>82</v>
      </c>
      <c r="AA2048" s="4">
        <f>=ROUNDDOWN(41,0)</f>
      </c>
      <c r="AB2048" s="5">
        <v>2</v>
      </c>
      <c r="AC2048" s="2" t="s">
        <v>100</v>
      </c>
      <c r="AD2048" s="4"/>
      <c r="AE2048" s="4"/>
      <c r="AF2048" s="6">
        <v>63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8</v>
      </c>
      <c r="BK2048" s="8">
        <v>656.13</v>
      </c>
      <c r="BL2048" s="2" t="s">
        <v>7076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6185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7077</v>
      </c>
      <c r="B2049" s="2" t="s">
        <v>6098</v>
      </c>
      <c r="C2049" s="2" t="s">
        <v>4677</v>
      </c>
      <c r="D2049" s="2" t="s">
        <v>6099</v>
      </c>
      <c r="E2049" s="2" t="s">
        <v>6377</v>
      </c>
      <c r="F2049" s="2" t="s">
        <v>7078</v>
      </c>
      <c r="G2049" s="2" t="s">
        <v>7078</v>
      </c>
      <c r="H2049" s="2" t="s">
        <v>7078</v>
      </c>
      <c r="I2049" s="2" t="s">
        <v>7079</v>
      </c>
      <c r="J2049" s="2" t="s">
        <v>6103</v>
      </c>
      <c r="K2049" s="2" t="s">
        <v>142</v>
      </c>
      <c r="L2049" s="3">
        <v>47.61</v>
      </c>
      <c r="M2049" s="3">
        <v>49.99</v>
      </c>
      <c r="N2049" s="3">
        <v>99.99</v>
      </c>
      <c r="O2049" s="2" t="s">
        <v>97</v>
      </c>
      <c r="P2049" s="2" t="s">
        <v>1166</v>
      </c>
      <c r="Q2049" s="2" t="s">
        <v>99</v>
      </c>
      <c r="R2049" s="2" t="s">
        <v>100</v>
      </c>
      <c r="S2049" s="2" t="s">
        <v>100</v>
      </c>
      <c r="T2049" s="2" t="s">
        <v>100</v>
      </c>
      <c r="U2049" s="2" t="s">
        <v>2104</v>
      </c>
      <c r="V2049" s="2" t="s">
        <v>6699</v>
      </c>
      <c r="W2049" s="2" t="s">
        <v>602</v>
      </c>
      <c r="X2049" s="2" t="s">
        <v>2195</v>
      </c>
      <c r="Y2049" s="2" t="s">
        <v>6445</v>
      </c>
      <c r="Z2049" s="4">
        <v>65</v>
      </c>
      <c r="AA2049" s="4">
        <f>=ROUNDDOWN(16.25,0)</f>
      </c>
      <c r="AB2049" s="5">
        <v>4</v>
      </c>
      <c r="AC2049" s="2" t="s">
        <v>100</v>
      </c>
      <c r="AD2049" s="4"/>
      <c r="AE2049" s="4"/>
      <c r="AF2049" s="6">
        <v>63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/>
      <c r="BD2049" s="8"/>
      <c r="BE2049" s="4"/>
      <c r="BF2049" s="8"/>
      <c r="BG2049" s="7"/>
      <c r="BH2049" s="7"/>
      <c r="BI2049" s="7"/>
      <c r="BJ2049" s="4">
        <v>26</v>
      </c>
      <c r="BK2049" s="8">
        <v>1380.52</v>
      </c>
      <c r="BL2049" s="2" t="s">
        <v>7076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6185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7080</v>
      </c>
      <c r="B2050" s="2" t="s">
        <v>6098</v>
      </c>
      <c r="C2050" s="2" t="s">
        <v>4677</v>
      </c>
      <c r="D2050" s="2" t="s">
        <v>6763</v>
      </c>
      <c r="E2050" s="2" t="s">
        <v>6781</v>
      </c>
      <c r="F2050" s="2" t="s">
        <v>4194</v>
      </c>
      <c r="G2050" s="2" t="s">
        <v>4194</v>
      </c>
      <c r="H2050" s="2" t="s">
        <v>4194</v>
      </c>
      <c r="I2050" s="2" t="s">
        <v>7081</v>
      </c>
      <c r="J2050" s="2" t="s">
        <v>6103</v>
      </c>
      <c r="K2050" s="2" t="s">
        <v>123</v>
      </c>
      <c r="L2050" s="3">
        <v>59.52</v>
      </c>
      <c r="M2050" s="3">
        <v>62.5</v>
      </c>
      <c r="N2050" s="3">
        <v>124.99</v>
      </c>
      <c r="O2050" s="2" t="s">
        <v>97</v>
      </c>
      <c r="P2050" s="2" t="s">
        <v>143</v>
      </c>
      <c r="Q2050" s="2" t="s">
        <v>99</v>
      </c>
      <c r="R2050" s="2" t="s">
        <v>100</v>
      </c>
      <c r="S2050" s="2" t="s">
        <v>100</v>
      </c>
      <c r="T2050" s="2" t="s">
        <v>100</v>
      </c>
      <c r="U2050" s="2" t="s">
        <v>3531</v>
      </c>
      <c r="V2050" s="2" t="s">
        <v>1752</v>
      </c>
      <c r="W2050" s="2" t="s">
        <v>759</v>
      </c>
      <c r="X2050" s="2" t="s">
        <v>906</v>
      </c>
      <c r="Y2050" s="2" t="s">
        <v>4787</v>
      </c>
      <c r="Z2050" s="4">
        <v>117</v>
      </c>
      <c r="AA2050" s="4">
        <f>=ROUNDDOWN(9,0)</f>
      </c>
      <c r="AB2050" s="5">
        <v>13</v>
      </c>
      <c r="AC2050" s="2" t="s">
        <v>909</v>
      </c>
      <c r="AD2050" s="4">
        <v>400</v>
      </c>
      <c r="AE2050" s="4">
        <v>400</v>
      </c>
      <c r="AF2050" s="6">
        <v>63</v>
      </c>
      <c r="AG2050" s="6"/>
      <c r="AH2050" s="7">
        <v>0.9515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/>
      <c r="BD2050" s="8"/>
      <c r="BE2050" s="4"/>
      <c r="BF2050" s="8"/>
      <c r="BG2050" s="7"/>
      <c r="BH2050" s="7"/>
      <c r="BI2050" s="7"/>
      <c r="BJ2050" s="4">
        <v>298</v>
      </c>
      <c r="BK2050" s="8">
        <v>20241.69</v>
      </c>
      <c r="BL2050" s="2" t="s">
        <v>7082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6185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7083</v>
      </c>
      <c r="B2051" s="2" t="s">
        <v>6098</v>
      </c>
      <c r="C2051" s="2" t="s">
        <v>4677</v>
      </c>
      <c r="D2051" s="2" t="s">
        <v>6763</v>
      </c>
      <c r="E2051" s="2" t="s">
        <v>6781</v>
      </c>
      <c r="F2051" s="2" t="s">
        <v>7084</v>
      </c>
      <c r="G2051" s="2" t="s">
        <v>7084</v>
      </c>
      <c r="H2051" s="2" t="s">
        <v>7084</v>
      </c>
      <c r="I2051" s="2" t="s">
        <v>7085</v>
      </c>
      <c r="J2051" s="2" t="s">
        <v>6103</v>
      </c>
      <c r="K2051" s="2" t="s">
        <v>123</v>
      </c>
      <c r="L2051" s="3">
        <v>76.9</v>
      </c>
      <c r="M2051" s="3">
        <v>80.74</v>
      </c>
      <c r="N2051" s="3">
        <v>161.49</v>
      </c>
      <c r="O2051" s="2" t="s">
        <v>97</v>
      </c>
      <c r="P2051" s="2" t="s">
        <v>1265</v>
      </c>
      <c r="Q2051" s="2" t="s">
        <v>99</v>
      </c>
      <c r="R2051" s="2" t="s">
        <v>100</v>
      </c>
      <c r="S2051" s="2" t="s">
        <v>100</v>
      </c>
      <c r="T2051" s="2" t="s">
        <v>100</v>
      </c>
      <c r="U2051" s="2" t="s">
        <v>3531</v>
      </c>
      <c r="V2051" s="2" t="s">
        <v>1752</v>
      </c>
      <c r="W2051" s="2" t="s">
        <v>759</v>
      </c>
      <c r="X2051" s="2" t="s">
        <v>602</v>
      </c>
      <c r="Y2051" s="2" t="s">
        <v>435</v>
      </c>
      <c r="Z2051" s="4">
        <v>17</v>
      </c>
      <c r="AA2051" s="4">
        <f>=ROUNDDOWN(13.0769230769231,0)</f>
      </c>
      <c r="AB2051" s="5">
        <v>1.3</v>
      </c>
      <c r="AC2051" s="2" t="s">
        <v>100</v>
      </c>
      <c r="AD2051" s="4"/>
      <c r="AE2051" s="4"/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/>
      <c r="BD2051" s="8"/>
      <c r="BE2051" s="4"/>
      <c r="BF2051" s="8"/>
      <c r="BG2051" s="7"/>
      <c r="BH2051" s="7"/>
      <c r="BI2051" s="7"/>
      <c r="BJ2051" s="4">
        <v>38</v>
      </c>
      <c r="BK2051" s="8">
        <v>3408.31</v>
      </c>
      <c r="BL2051" s="2" t="s">
        <v>6785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6185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7086</v>
      </c>
      <c r="B2052" s="2" t="s">
        <v>6098</v>
      </c>
      <c r="C2052" s="2" t="s">
        <v>4677</v>
      </c>
      <c r="D2052" s="2" t="s">
        <v>6686</v>
      </c>
      <c r="E2052" s="2" t="s">
        <v>6377</v>
      </c>
      <c r="F2052" s="2" t="s">
        <v>7087</v>
      </c>
      <c r="G2052" s="2" t="s">
        <v>7087</v>
      </c>
      <c r="H2052" s="2" t="s">
        <v>7087</v>
      </c>
      <c r="I2052" s="2" t="s">
        <v>7088</v>
      </c>
      <c r="J2052" s="2" t="s">
        <v>6103</v>
      </c>
      <c r="K2052" s="2" t="s">
        <v>7089</v>
      </c>
      <c r="L2052" s="3">
        <v>50</v>
      </c>
      <c r="M2052" s="3">
        <v>52.5</v>
      </c>
      <c r="N2052" s="3">
        <v>104.99</v>
      </c>
      <c r="O2052" s="2" t="s">
        <v>97</v>
      </c>
      <c r="P2052" s="2" t="s">
        <v>1166</v>
      </c>
      <c r="Q2052" s="2" t="s">
        <v>99</v>
      </c>
      <c r="R2052" s="2" t="s">
        <v>100</v>
      </c>
      <c r="S2052" s="2" t="s">
        <v>100</v>
      </c>
      <c r="T2052" s="2" t="s">
        <v>100</v>
      </c>
      <c r="U2052" s="2" t="s">
        <v>2104</v>
      </c>
      <c r="V2052" s="2" t="s">
        <v>1752</v>
      </c>
      <c r="W2052" s="2" t="s">
        <v>7090</v>
      </c>
      <c r="X2052" s="2" t="s">
        <v>100</v>
      </c>
      <c r="Y2052" s="2" t="s">
        <v>3843</v>
      </c>
      <c r="Z2052" s="4">
        <v>8</v>
      </c>
      <c r="AA2052" s="4">
        <f>=ROUNDDOWN(4,0)</f>
      </c>
      <c r="AB2052" s="5">
        <v>2</v>
      </c>
      <c r="AC2052" s="2" t="s">
        <v>382</v>
      </c>
      <c r="AD2052" s="4">
        <v>60</v>
      </c>
      <c r="AE2052" s="4">
        <v>60</v>
      </c>
      <c r="AF2052" s="6">
        <v>63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>
        <v>0</v>
      </c>
      <c r="AP2052" s="4"/>
      <c r="AQ2052" s="8"/>
      <c r="AR2052" s="4"/>
      <c r="AS2052" s="8"/>
      <c r="AT2052" s="7"/>
      <c r="AU2052" s="7"/>
      <c r="AV2052" s="4"/>
      <c r="AW2052" s="8"/>
      <c r="AX2052" s="4"/>
      <c r="AY2052" s="8"/>
      <c r="AZ2052" s="7"/>
      <c r="BA2052" s="7"/>
      <c r="BB2052" s="7"/>
      <c r="BC2052" s="4"/>
      <c r="BD2052" s="8"/>
      <c r="BE2052" s="4"/>
      <c r="BF2052" s="8"/>
      <c r="BG2052" s="7"/>
      <c r="BH2052" s="7"/>
      <c r="BI2052" s="7"/>
      <c r="BJ2052" s="4">
        <v>70</v>
      </c>
      <c r="BK2052" s="8">
        <v>3885.5</v>
      </c>
      <c r="BL2052" s="2" t="s">
        <v>7091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6185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7092</v>
      </c>
      <c r="B2053" s="2" t="s">
        <v>6098</v>
      </c>
      <c r="C2053" s="2" t="s">
        <v>4677</v>
      </c>
      <c r="D2053" s="2" t="s">
        <v>7093</v>
      </c>
      <c r="E2053" s="2" t="s">
        <v>7094</v>
      </c>
      <c r="F2053" s="2" t="s">
        <v>7095</v>
      </c>
      <c r="G2053" s="2" t="s">
        <v>100</v>
      </c>
      <c r="H2053" s="2" t="s">
        <v>100</v>
      </c>
      <c r="I2053" s="2" t="s">
        <v>7096</v>
      </c>
      <c r="J2053" s="2" t="s">
        <v>6103</v>
      </c>
      <c r="K2053" s="2" t="s">
        <v>142</v>
      </c>
      <c r="L2053" s="3">
        <v>52.32</v>
      </c>
      <c r="M2053" s="3">
        <v>54.94</v>
      </c>
      <c r="N2053" s="3">
        <v>109</v>
      </c>
      <c r="O2053" s="2" t="s">
        <v>550</v>
      </c>
      <c r="P2053" s="2" t="s">
        <v>198</v>
      </c>
      <c r="Q2053" s="2" t="s">
        <v>99</v>
      </c>
      <c r="R2053" s="2" t="s">
        <v>100</v>
      </c>
      <c r="S2053" s="2" t="s">
        <v>7097</v>
      </c>
      <c r="T2053" s="2" t="s">
        <v>100</v>
      </c>
      <c r="U2053" s="2" t="s">
        <v>100</v>
      </c>
      <c r="V2053" s="2" t="s">
        <v>601</v>
      </c>
      <c r="W2053" s="2" t="s">
        <v>6998</v>
      </c>
      <c r="X2053" s="2" t="s">
        <v>100</v>
      </c>
      <c r="Y2053" s="2" t="s">
        <v>5714</v>
      </c>
      <c r="Z2053" s="4"/>
      <c r="AA2053" s="4">
        <f>=ROUNDDOWN({0},0)</f>
      </c>
      <c r="AB2053" s="5"/>
      <c r="AC2053" s="2" t="s">
        <v>100</v>
      </c>
      <c r="AD2053" s="4"/>
      <c r="AE2053" s="4"/>
      <c r="AF2053" s="6"/>
      <c r="AG2053" s="6"/>
      <c r="AH2053" s="7">
        <v>0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/>
      <c r="AW2053" s="8"/>
      <c r="AX2053" s="4"/>
      <c r="AY2053" s="8"/>
      <c r="AZ2053" s="7"/>
      <c r="BA2053" s="7"/>
      <c r="BB2053" s="7"/>
      <c r="BC2053" s="4"/>
      <c r="BD2053" s="8"/>
      <c r="BE2053" s="4"/>
      <c r="BF2053" s="8"/>
      <c r="BG2053" s="7"/>
      <c r="BH2053" s="7"/>
      <c r="BI2053" s="7"/>
      <c r="BJ2053" s="4"/>
      <c r="BK2053" s="8"/>
      <c r="BL2053" s="2" t="s">
        <v>100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147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7098</v>
      </c>
      <c r="B2054" s="2" t="s">
        <v>6098</v>
      </c>
      <c r="C2054" s="2" t="s">
        <v>4479</v>
      </c>
      <c r="D2054" s="2" t="s">
        <v>6497</v>
      </c>
      <c r="E2054" s="2" t="s">
        <v>6820</v>
      </c>
      <c r="F2054" s="2" t="s">
        <v>7099</v>
      </c>
      <c r="G2054" s="2" t="s">
        <v>7099</v>
      </c>
      <c r="H2054" s="2" t="s">
        <v>7099</v>
      </c>
      <c r="I2054" s="2" t="s">
        <v>7100</v>
      </c>
      <c r="J2054" s="2" t="s">
        <v>7101</v>
      </c>
      <c r="K2054" s="2" t="s">
        <v>666</v>
      </c>
      <c r="L2054" s="3">
        <v>47.09</v>
      </c>
      <c r="M2054" s="3">
        <v>49.44</v>
      </c>
      <c r="N2054" s="3">
        <v>98.99</v>
      </c>
      <c r="O2054" s="2" t="s">
        <v>97</v>
      </c>
      <c r="P2054" s="2" t="s">
        <v>143</v>
      </c>
      <c r="Q2054" s="2" t="s">
        <v>99</v>
      </c>
      <c r="R2054" s="2" t="s">
        <v>100</v>
      </c>
      <c r="S2054" s="2" t="s">
        <v>7102</v>
      </c>
      <c r="T2054" s="2" t="s">
        <v>100</v>
      </c>
      <c r="U2054" s="2" t="s">
        <v>3531</v>
      </c>
      <c r="V2054" s="2" t="s">
        <v>1122</v>
      </c>
      <c r="W2054" s="2" t="s">
        <v>1190</v>
      </c>
      <c r="X2054" s="2" t="s">
        <v>602</v>
      </c>
      <c r="Y2054" s="2" t="s">
        <v>3599</v>
      </c>
      <c r="Z2054" s="4">
        <v>173</v>
      </c>
      <c r="AA2054" s="4">
        <f>=ROUNDDOWN(14.4166666666667,0)</f>
      </c>
      <c r="AB2054" s="5">
        <v>12</v>
      </c>
      <c r="AC2054" s="2" t="s">
        <v>107</v>
      </c>
      <c r="AD2054" s="4">
        <v>100</v>
      </c>
      <c r="AE2054" s="4">
        <v>260</v>
      </c>
      <c r="AF2054" s="6">
        <v>63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>
        <v>0</v>
      </c>
      <c r="AP2054" s="4">
        <v>9</v>
      </c>
      <c r="AQ2054" s="8">
        <v>444.96</v>
      </c>
      <c r="AR2054" s="4">
        <v>8</v>
      </c>
      <c r="AS2054" s="8">
        <v>428.52</v>
      </c>
      <c r="AT2054" s="7">
        <v>0.125</v>
      </c>
      <c r="AU2054" s="7">
        <v>0.0384</v>
      </c>
      <c r="AV2054" s="4">
        <v>9</v>
      </c>
      <c r="AW2054" s="8">
        <v>444.96</v>
      </c>
      <c r="AX2054" s="4">
        <v>8</v>
      </c>
      <c r="AY2054" s="8">
        <v>428.52</v>
      </c>
      <c r="AZ2054" s="7">
        <v>0.125</v>
      </c>
      <c r="BA2054" s="7">
        <v>0.0384</v>
      </c>
      <c r="BB2054" s="7">
        <v>1</v>
      </c>
      <c r="BC2054" s="4">
        <v>15</v>
      </c>
      <c r="BD2054" s="8">
        <v>741.6</v>
      </c>
      <c r="BE2054" s="4">
        <v>16</v>
      </c>
      <c r="BF2054" s="8">
        <v>851.54</v>
      </c>
      <c r="BG2054" s="7">
        <v>-0.0625</v>
      </c>
      <c r="BH2054" s="7">
        <v>-0.1291</v>
      </c>
      <c r="BI2054" s="7">
        <v>0.6</v>
      </c>
      <c r="BJ2054" s="4">
        <v>297</v>
      </c>
      <c r="BK2054" s="8">
        <v>14857.27</v>
      </c>
      <c r="BL2054" s="2" t="s">
        <v>7103</v>
      </c>
      <c r="BM2054" s="7">
        <v>0.0303</v>
      </c>
      <c r="BN2054" s="7">
        <v>0.0299</v>
      </c>
      <c r="BO2054" s="4">
        <v>9</v>
      </c>
      <c r="BP2054" s="8">
        <v>444.96</v>
      </c>
      <c r="BQ2054" s="4">
        <v>8</v>
      </c>
      <c r="BR2054" s="8">
        <v>428.52</v>
      </c>
      <c r="BS2054" s="7">
        <v>0.125</v>
      </c>
      <c r="BT2054" s="7">
        <v>0.0384</v>
      </c>
      <c r="BU2054" s="2" t="s">
        <v>109</v>
      </c>
      <c r="BV2054" s="2" t="s">
        <v>97</v>
      </c>
      <c r="BW2054" s="2" t="s">
        <v>2917</v>
      </c>
      <c r="BX2054" s="2" t="s">
        <v>7104</v>
      </c>
      <c r="BY2054" s="2" t="s">
        <v>112</v>
      </c>
      <c r="BZ2054" s="2" t="s">
        <v>100</v>
      </c>
    </row>
    <row r="2055">
      <c r="A2055" s="2" t="s">
        <v>7105</v>
      </c>
      <c r="B2055" s="2" t="s">
        <v>6098</v>
      </c>
      <c r="C2055" s="2" t="s">
        <v>4479</v>
      </c>
      <c r="D2055" s="2" t="s">
        <v>6497</v>
      </c>
      <c r="E2055" s="2" t="s">
        <v>6820</v>
      </c>
      <c r="F2055" s="2" t="s">
        <v>7099</v>
      </c>
      <c r="G2055" s="2" t="s">
        <v>7099</v>
      </c>
      <c r="H2055" s="2" t="s">
        <v>7099</v>
      </c>
      <c r="I2055" s="2" t="s">
        <v>7100</v>
      </c>
      <c r="J2055" s="2" t="s">
        <v>7101</v>
      </c>
      <c r="K2055" s="2" t="s">
        <v>1660</v>
      </c>
      <c r="L2055" s="3">
        <v>47.09</v>
      </c>
      <c r="M2055" s="3">
        <v>49.44</v>
      </c>
      <c r="N2055" s="3">
        <v>98.99</v>
      </c>
      <c r="O2055" s="2" t="s">
        <v>97</v>
      </c>
      <c r="P2055" s="2" t="s">
        <v>143</v>
      </c>
      <c r="Q2055" s="2" t="s">
        <v>99</v>
      </c>
      <c r="R2055" s="2" t="s">
        <v>100</v>
      </c>
      <c r="S2055" s="2" t="s">
        <v>7106</v>
      </c>
      <c r="T2055" s="2" t="s">
        <v>100</v>
      </c>
      <c r="U2055" s="2" t="s">
        <v>3531</v>
      </c>
      <c r="V2055" s="2" t="s">
        <v>1122</v>
      </c>
      <c r="W2055" s="2" t="s">
        <v>1190</v>
      </c>
      <c r="X2055" s="2" t="s">
        <v>100</v>
      </c>
      <c r="Y2055" s="2" t="s">
        <v>7107</v>
      </c>
      <c r="Z2055" s="4">
        <v>92</v>
      </c>
      <c r="AA2055" s="4">
        <f>=ROUNDDOWN(14.1538461538462,0)</f>
      </c>
      <c r="AB2055" s="5">
        <v>6.5</v>
      </c>
      <c r="AC2055" s="2" t="s">
        <v>107</v>
      </c>
      <c r="AD2055" s="4">
        <v>100</v>
      </c>
      <c r="AE2055" s="4">
        <v>200</v>
      </c>
      <c r="AF2055" s="6">
        <v>63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>
        <v>0</v>
      </c>
      <c r="AP2055" s="4">
        <v>4</v>
      </c>
      <c r="AQ2055" s="8">
        <v>197.76</v>
      </c>
      <c r="AR2055" s="4">
        <v>1</v>
      </c>
      <c r="AS2055" s="8">
        <v>49.44</v>
      </c>
      <c r="AT2055" s="7">
        <v>3</v>
      </c>
      <c r="AU2055" s="7">
        <v>3</v>
      </c>
      <c r="AV2055" s="4">
        <v>4</v>
      </c>
      <c r="AW2055" s="8">
        <v>197.76</v>
      </c>
      <c r="AX2055" s="4">
        <v>1</v>
      </c>
      <c r="AY2055" s="8">
        <v>49.44</v>
      </c>
      <c r="AZ2055" s="7">
        <v>3</v>
      </c>
      <c r="BA2055" s="7">
        <v>3</v>
      </c>
      <c r="BB2055" s="7">
        <v>1</v>
      </c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>
        <v>0.2667</v>
      </c>
      <c r="BJ2055" s="4">
        <v>212</v>
      </c>
      <c r="BK2055" s="8">
        <v>10948.59</v>
      </c>
      <c r="BL2055" s="2" t="s">
        <v>7108</v>
      </c>
      <c r="BM2055" s="7">
        <v>0.0189</v>
      </c>
      <c r="BN2055" s="7">
        <v>0.0181</v>
      </c>
      <c r="BO2055" s="4">
        <v>4</v>
      </c>
      <c r="BP2055" s="8">
        <v>197.76</v>
      </c>
      <c r="BQ2055" s="4">
        <v>1</v>
      </c>
      <c r="BR2055" s="8">
        <v>49.44</v>
      </c>
      <c r="BS2055" s="7">
        <v>3</v>
      </c>
      <c r="BT2055" s="7">
        <v>3</v>
      </c>
      <c r="BU2055" s="2" t="s">
        <v>109</v>
      </c>
      <c r="BV2055" s="2" t="s">
        <v>97</v>
      </c>
      <c r="BW2055" s="2" t="s">
        <v>2917</v>
      </c>
      <c r="BX2055" s="2" t="s">
        <v>4328</v>
      </c>
      <c r="BY2055" s="2" t="s">
        <v>112</v>
      </c>
      <c r="BZ2055" s="2" t="s">
        <v>100</v>
      </c>
    </row>
    <row r="2056">
      <c r="A2056" s="2" t="s">
        <v>7109</v>
      </c>
      <c r="B2056" s="2" t="s">
        <v>6098</v>
      </c>
      <c r="C2056" s="2" t="s">
        <v>4479</v>
      </c>
      <c r="D2056" s="2" t="s">
        <v>6497</v>
      </c>
      <c r="E2056" s="2" t="s">
        <v>6820</v>
      </c>
      <c r="F2056" s="2" t="s">
        <v>7099</v>
      </c>
      <c r="G2056" s="2" t="s">
        <v>7099</v>
      </c>
      <c r="H2056" s="2" t="s">
        <v>7099</v>
      </c>
      <c r="I2056" s="2" t="s">
        <v>7100</v>
      </c>
      <c r="J2056" s="2" t="s">
        <v>7101</v>
      </c>
      <c r="K2056" s="2" t="s">
        <v>2066</v>
      </c>
      <c r="L2056" s="3">
        <v>47.09</v>
      </c>
      <c r="M2056" s="3">
        <v>49.44</v>
      </c>
      <c r="N2056" s="3">
        <v>98.99</v>
      </c>
      <c r="O2056" s="2" t="s">
        <v>97</v>
      </c>
      <c r="P2056" s="2" t="s">
        <v>143</v>
      </c>
      <c r="Q2056" s="2" t="s">
        <v>99</v>
      </c>
      <c r="R2056" s="2" t="s">
        <v>100</v>
      </c>
      <c r="S2056" s="2" t="s">
        <v>7110</v>
      </c>
      <c r="T2056" s="2" t="s">
        <v>100</v>
      </c>
      <c r="U2056" s="2" t="s">
        <v>3531</v>
      </c>
      <c r="V2056" s="2" t="s">
        <v>1122</v>
      </c>
      <c r="W2056" s="2" t="s">
        <v>1190</v>
      </c>
      <c r="X2056" s="2" t="s">
        <v>100</v>
      </c>
      <c r="Y2056" s="2" t="s">
        <v>7107</v>
      </c>
      <c r="Z2056" s="4">
        <v>369</v>
      </c>
      <c r="AA2056" s="4">
        <f>=ROUNDDOWN(55.0746268656716,0)</f>
      </c>
      <c r="AB2056" s="5">
        <v>6.7</v>
      </c>
      <c r="AC2056" s="2" t="s">
        <v>100</v>
      </c>
      <c r="AD2056" s="4"/>
      <c r="AE2056" s="4"/>
      <c r="AF2056" s="6">
        <v>63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>
        <v>0</v>
      </c>
      <c r="AP2056" s="4">
        <v>2</v>
      </c>
      <c r="AQ2056" s="8">
        <v>98.88</v>
      </c>
      <c r="AR2056" s="4">
        <v>7</v>
      </c>
      <c r="AS2056" s="8">
        <v>373.58</v>
      </c>
      <c r="AT2056" s="7">
        <v>-0.7143</v>
      </c>
      <c r="AU2056" s="7">
        <v>-0.7353</v>
      </c>
      <c r="AV2056" s="4">
        <v>2</v>
      </c>
      <c r="AW2056" s="8">
        <v>98.88</v>
      </c>
      <c r="AX2056" s="4">
        <v>7</v>
      </c>
      <c r="AY2056" s="8">
        <v>373.58</v>
      </c>
      <c r="AZ2056" s="7">
        <v>-0.7143</v>
      </c>
      <c r="BA2056" s="7">
        <v>-0.7353</v>
      </c>
      <c r="BB2056" s="7">
        <v>1</v>
      </c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>
        <v>0.1333</v>
      </c>
      <c r="BJ2056" s="4">
        <v>174</v>
      </c>
      <c r="BK2056" s="8">
        <v>9779.92</v>
      </c>
      <c r="BL2056" s="2" t="s">
        <v>7111</v>
      </c>
      <c r="BM2056" s="7">
        <v>0.0115</v>
      </c>
      <c r="BN2056" s="7">
        <v>0.0101</v>
      </c>
      <c r="BO2056" s="4">
        <v>2</v>
      </c>
      <c r="BP2056" s="8">
        <v>98.88</v>
      </c>
      <c r="BQ2056" s="4">
        <v>7</v>
      </c>
      <c r="BR2056" s="8">
        <v>373.58</v>
      </c>
      <c r="BS2056" s="7">
        <v>-0.7143</v>
      </c>
      <c r="BT2056" s="7">
        <v>-0.7353</v>
      </c>
      <c r="BU2056" s="2" t="s">
        <v>109</v>
      </c>
      <c r="BV2056" s="2" t="s">
        <v>97</v>
      </c>
      <c r="BW2056" s="2" t="s">
        <v>6110</v>
      </c>
      <c r="BX2056" s="2" t="s">
        <v>4328</v>
      </c>
      <c r="BY2056" s="2" t="s">
        <v>112</v>
      </c>
      <c r="BZ2056" s="2" t="s">
        <v>100</v>
      </c>
    </row>
    <row r="2057">
      <c r="A2057" s="2" t="s">
        <v>7112</v>
      </c>
      <c r="B2057" s="2" t="s">
        <v>6098</v>
      </c>
      <c r="C2057" s="2" t="s">
        <v>4479</v>
      </c>
      <c r="D2057" s="2" t="s">
        <v>6497</v>
      </c>
      <c r="E2057" s="2" t="s">
        <v>6619</v>
      </c>
      <c r="F2057" s="2" t="s">
        <v>7099</v>
      </c>
      <c r="G2057" s="2" t="s">
        <v>7099</v>
      </c>
      <c r="H2057" s="2" t="s">
        <v>7099</v>
      </c>
      <c r="I2057" s="2" t="s">
        <v>7113</v>
      </c>
      <c r="J2057" s="2" t="s">
        <v>7114</v>
      </c>
      <c r="K2057" s="2" t="s">
        <v>2066</v>
      </c>
      <c r="L2057" s="3">
        <v>93.25</v>
      </c>
      <c r="M2057" s="3">
        <v>97.91</v>
      </c>
      <c r="N2057" s="3">
        <v>206.99</v>
      </c>
      <c r="O2057" s="2" t="s">
        <v>97</v>
      </c>
      <c r="P2057" s="2" t="s">
        <v>143</v>
      </c>
      <c r="Q2057" s="2" t="s">
        <v>99</v>
      </c>
      <c r="R2057" s="2" t="s">
        <v>100</v>
      </c>
      <c r="S2057" s="2" t="s">
        <v>100</v>
      </c>
      <c r="T2057" s="2" t="s">
        <v>100</v>
      </c>
      <c r="U2057" s="2" t="s">
        <v>1610</v>
      </c>
      <c r="V2057" s="2" t="s">
        <v>1122</v>
      </c>
      <c r="W2057" s="2" t="s">
        <v>1190</v>
      </c>
      <c r="X2057" s="2" t="s">
        <v>602</v>
      </c>
      <c r="Y2057" s="2" t="s">
        <v>6755</v>
      </c>
      <c r="Z2057" s="4">
        <v>94</v>
      </c>
      <c r="AA2057" s="4">
        <f>=ROUNDDOWN(15.6666666666667,0)</f>
      </c>
      <c r="AB2057" s="5">
        <v>6</v>
      </c>
      <c r="AC2057" s="2" t="s">
        <v>6199</v>
      </c>
      <c r="AD2057" s="4">
        <v>100</v>
      </c>
      <c r="AE2057" s="4">
        <v>100</v>
      </c>
      <c r="AF2057" s="6">
        <v>63</v>
      </c>
      <c r="AG2057" s="6"/>
      <c r="AH2057" s="7">
        <v>1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/>
      <c r="AW2057" s="8"/>
      <c r="AX2057" s="4"/>
      <c r="AY2057" s="8"/>
      <c r="AZ2057" s="7"/>
      <c r="BA2057" s="7"/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140</v>
      </c>
      <c r="BK2057" s="8">
        <v>15569.85</v>
      </c>
      <c r="BL2057" s="2" t="s">
        <v>7115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6185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7116</v>
      </c>
      <c r="B2058" s="2" t="s">
        <v>6098</v>
      </c>
      <c r="C2058" s="2" t="s">
        <v>4479</v>
      </c>
      <c r="D2058" s="2" t="s">
        <v>6497</v>
      </c>
      <c r="E2058" s="2" t="s">
        <v>6619</v>
      </c>
      <c r="F2058" s="2" t="s">
        <v>7099</v>
      </c>
      <c r="G2058" s="2" t="s">
        <v>7099</v>
      </c>
      <c r="H2058" s="2" t="s">
        <v>7099</v>
      </c>
      <c r="I2058" s="2" t="s">
        <v>7113</v>
      </c>
      <c r="J2058" s="2" t="s">
        <v>7114</v>
      </c>
      <c r="K2058" s="2" t="s">
        <v>1660</v>
      </c>
      <c r="L2058" s="3">
        <v>93.25</v>
      </c>
      <c r="M2058" s="3">
        <v>97.91</v>
      </c>
      <c r="N2058" s="3">
        <v>206.99</v>
      </c>
      <c r="O2058" s="2" t="s">
        <v>97</v>
      </c>
      <c r="P2058" s="2" t="s">
        <v>182</v>
      </c>
      <c r="Q2058" s="2" t="s">
        <v>99</v>
      </c>
      <c r="R2058" s="2" t="s">
        <v>100</v>
      </c>
      <c r="S2058" s="2" t="s">
        <v>100</v>
      </c>
      <c r="T2058" s="2" t="s">
        <v>100</v>
      </c>
      <c r="U2058" s="2" t="s">
        <v>1610</v>
      </c>
      <c r="V2058" s="2" t="s">
        <v>1752</v>
      </c>
      <c r="W2058" s="2" t="s">
        <v>1190</v>
      </c>
      <c r="X2058" s="2" t="s">
        <v>602</v>
      </c>
      <c r="Y2058" s="2" t="s">
        <v>6445</v>
      </c>
      <c r="Z2058" s="4">
        <v>28</v>
      </c>
      <c r="AA2058" s="4">
        <f>=ROUNDDOWN(14,0)</f>
      </c>
      <c r="AB2058" s="5">
        <v>2</v>
      </c>
      <c r="AC2058" s="2" t="s">
        <v>382</v>
      </c>
      <c r="AD2058" s="4">
        <v>60</v>
      </c>
      <c r="AE2058" s="4">
        <v>60</v>
      </c>
      <c r="AF2058" s="6">
        <v>63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>
        <v>0</v>
      </c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58</v>
      </c>
      <c r="BK2058" s="8">
        <v>5778.69</v>
      </c>
      <c r="BL2058" s="2" t="s">
        <v>6950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6185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7117</v>
      </c>
      <c r="B2059" s="2" t="s">
        <v>6098</v>
      </c>
      <c r="C2059" s="2" t="s">
        <v>4479</v>
      </c>
      <c r="D2059" s="2" t="s">
        <v>6497</v>
      </c>
      <c r="E2059" s="2" t="s">
        <v>6619</v>
      </c>
      <c r="F2059" s="2" t="s">
        <v>7099</v>
      </c>
      <c r="G2059" s="2" t="s">
        <v>7099</v>
      </c>
      <c r="H2059" s="2" t="s">
        <v>7099</v>
      </c>
      <c r="I2059" s="2" t="s">
        <v>7113</v>
      </c>
      <c r="J2059" s="2" t="s">
        <v>7114</v>
      </c>
      <c r="K2059" s="2" t="s">
        <v>666</v>
      </c>
      <c r="L2059" s="3">
        <v>93.25</v>
      </c>
      <c r="M2059" s="3">
        <v>97.91</v>
      </c>
      <c r="N2059" s="3">
        <v>206.99</v>
      </c>
      <c r="O2059" s="2" t="s">
        <v>97</v>
      </c>
      <c r="P2059" s="2" t="s">
        <v>1166</v>
      </c>
      <c r="Q2059" s="2" t="s">
        <v>99</v>
      </c>
      <c r="R2059" s="2" t="s">
        <v>100</v>
      </c>
      <c r="S2059" s="2" t="s">
        <v>100</v>
      </c>
      <c r="T2059" s="2" t="s">
        <v>100</v>
      </c>
      <c r="U2059" s="2" t="s">
        <v>1610</v>
      </c>
      <c r="V2059" s="2" t="s">
        <v>1752</v>
      </c>
      <c r="W2059" s="2" t="s">
        <v>1190</v>
      </c>
      <c r="X2059" s="2" t="s">
        <v>602</v>
      </c>
      <c r="Y2059" s="2" t="s">
        <v>6445</v>
      </c>
      <c r="Z2059" s="4">
        <v>75</v>
      </c>
      <c r="AA2059" s="4">
        <f>=ROUNDDOWN(37.5,0)</f>
      </c>
      <c r="AB2059" s="5">
        <v>2</v>
      </c>
      <c r="AC2059" s="2" t="s">
        <v>100</v>
      </c>
      <c r="AD2059" s="4"/>
      <c r="AE2059" s="4"/>
      <c r="AF2059" s="6">
        <v>63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19</v>
      </c>
      <c r="BK2059" s="8">
        <v>1913.98</v>
      </c>
      <c r="BL2059" s="2" t="s">
        <v>7118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6185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7119</v>
      </c>
      <c r="B2060" s="2" t="s">
        <v>6098</v>
      </c>
      <c r="C2060" s="2" t="s">
        <v>4479</v>
      </c>
      <c r="D2060" s="2" t="s">
        <v>7093</v>
      </c>
      <c r="E2060" s="2" t="s">
        <v>7094</v>
      </c>
      <c r="F2060" s="2" t="s">
        <v>7120</v>
      </c>
      <c r="G2060" s="2" t="s">
        <v>7120</v>
      </c>
      <c r="H2060" s="2" t="s">
        <v>7120</v>
      </c>
      <c r="I2060" s="2" t="s">
        <v>7121</v>
      </c>
      <c r="J2060" s="2" t="s">
        <v>7114</v>
      </c>
      <c r="K2060" s="2" t="s">
        <v>6566</v>
      </c>
      <c r="L2060" s="3">
        <v>27.51</v>
      </c>
      <c r="M2060" s="3">
        <v>28.89</v>
      </c>
      <c r="N2060" s="3">
        <v>52.69</v>
      </c>
      <c r="O2060" s="2" t="s">
        <v>97</v>
      </c>
      <c r="P2060" s="2" t="s">
        <v>124</v>
      </c>
      <c r="Q2060" s="2" t="s">
        <v>99</v>
      </c>
      <c r="R2060" s="2" t="s">
        <v>100</v>
      </c>
      <c r="S2060" s="2" t="s">
        <v>7122</v>
      </c>
      <c r="T2060" s="2" t="s">
        <v>100</v>
      </c>
      <c r="U2060" s="2" t="s">
        <v>1610</v>
      </c>
      <c r="V2060" s="2" t="s">
        <v>601</v>
      </c>
      <c r="W2060" s="2" t="s">
        <v>104</v>
      </c>
      <c r="X2060" s="2" t="s">
        <v>100</v>
      </c>
      <c r="Y2060" s="2" t="s">
        <v>106</v>
      </c>
      <c r="Z2060" s="4">
        <v>634</v>
      </c>
      <c r="AA2060" s="4">
        <f>=ROUNDDOWN(15.85,0)</f>
      </c>
      <c r="AB2060" s="5">
        <v>40</v>
      </c>
      <c r="AC2060" s="2" t="s">
        <v>1114</v>
      </c>
      <c r="AD2060" s="4">
        <v>540</v>
      </c>
      <c r="AE2060" s="4">
        <v>940</v>
      </c>
      <c r="AF2060" s="6">
        <v>65</v>
      </c>
      <c r="AG2060" s="6"/>
      <c r="AH2060" s="7">
        <v>0.897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>
        <v>0</v>
      </c>
      <c r="AP2060" s="4">
        <v>16</v>
      </c>
      <c r="AQ2060" s="8">
        <v>462.24</v>
      </c>
      <c r="AR2060" s="4">
        <v>21</v>
      </c>
      <c r="AS2060" s="8">
        <v>621.99</v>
      </c>
      <c r="AT2060" s="7">
        <v>-0.2381</v>
      </c>
      <c r="AU2060" s="7">
        <v>-0.2568</v>
      </c>
      <c r="AV2060" s="4">
        <v>16</v>
      </c>
      <c r="AW2060" s="8">
        <v>462.24</v>
      </c>
      <c r="AX2060" s="4">
        <v>21</v>
      </c>
      <c r="AY2060" s="8">
        <v>621.99</v>
      </c>
      <c r="AZ2060" s="7">
        <v>-0.2381</v>
      </c>
      <c r="BA2060" s="7">
        <v>-0.2568</v>
      </c>
      <c r="BB2060" s="7">
        <v>1</v>
      </c>
      <c r="BC2060" s="4">
        <v>16</v>
      </c>
      <c r="BD2060" s="8">
        <v>462.24</v>
      </c>
      <c r="BE2060" s="4">
        <v>21</v>
      </c>
      <c r="BF2060" s="8">
        <v>621.99</v>
      </c>
      <c r="BG2060" s="7">
        <v>-0.2381</v>
      </c>
      <c r="BH2060" s="7">
        <v>-0.2568</v>
      </c>
      <c r="BI2060" s="7">
        <v>1</v>
      </c>
      <c r="BJ2060" s="4">
        <v>931</v>
      </c>
      <c r="BK2060" s="8">
        <v>26246.79</v>
      </c>
      <c r="BL2060" s="2" t="s">
        <v>7123</v>
      </c>
      <c r="BM2060" s="7">
        <v>0.0172</v>
      </c>
      <c r="BN2060" s="7">
        <v>0.0176</v>
      </c>
      <c r="BO2060" s="4">
        <v>16</v>
      </c>
      <c r="BP2060" s="8">
        <v>462.24</v>
      </c>
      <c r="BQ2060" s="4">
        <v>21</v>
      </c>
      <c r="BR2060" s="8">
        <v>621.99</v>
      </c>
      <c r="BS2060" s="7">
        <v>-0.2381</v>
      </c>
      <c r="BT2060" s="7">
        <v>-0.2568</v>
      </c>
      <c r="BU2060" s="2" t="s">
        <v>109</v>
      </c>
      <c r="BV2060" s="2" t="s">
        <v>97</v>
      </c>
      <c r="BW2060" s="2" t="s">
        <v>2917</v>
      </c>
      <c r="BX2060" s="2" t="s">
        <v>7124</v>
      </c>
      <c r="BY2060" s="2" t="s">
        <v>112</v>
      </c>
      <c r="BZ2060" s="2" t="s">
        <v>100</v>
      </c>
    </row>
    <row r="2061">
      <c r="A2061" s="2" t="s">
        <v>7125</v>
      </c>
      <c r="B2061" s="2" t="s">
        <v>6098</v>
      </c>
      <c r="C2061" s="2" t="s">
        <v>4479</v>
      </c>
      <c r="D2061" s="2" t="s">
        <v>7093</v>
      </c>
      <c r="E2061" s="2" t="s">
        <v>7094</v>
      </c>
      <c r="F2061" s="2" t="s">
        <v>7120</v>
      </c>
      <c r="G2061" s="2" t="s">
        <v>7120</v>
      </c>
      <c r="H2061" s="2" t="s">
        <v>7120</v>
      </c>
      <c r="I2061" s="2" t="s">
        <v>7121</v>
      </c>
      <c r="J2061" s="2" t="s">
        <v>7114</v>
      </c>
      <c r="K2061" s="2" t="s">
        <v>1660</v>
      </c>
      <c r="L2061" s="3">
        <v>27.51</v>
      </c>
      <c r="M2061" s="3">
        <v>28.89</v>
      </c>
      <c r="N2061" s="3">
        <v>52.69</v>
      </c>
      <c r="O2061" s="2" t="s">
        <v>97</v>
      </c>
      <c r="P2061" s="2" t="s">
        <v>124</v>
      </c>
      <c r="Q2061" s="2" t="s">
        <v>99</v>
      </c>
      <c r="R2061" s="2" t="s">
        <v>100</v>
      </c>
      <c r="S2061" s="2" t="s">
        <v>100</v>
      </c>
      <c r="T2061" s="2" t="s">
        <v>100</v>
      </c>
      <c r="U2061" s="2" t="s">
        <v>1610</v>
      </c>
      <c r="V2061" s="2" t="s">
        <v>601</v>
      </c>
      <c r="W2061" s="2" t="s">
        <v>104</v>
      </c>
      <c r="X2061" s="2" t="s">
        <v>1190</v>
      </c>
      <c r="Y2061" s="2" t="s">
        <v>7126</v>
      </c>
      <c r="Z2061" s="4">
        <v>386</v>
      </c>
      <c r="AA2061" s="4">
        <f>=ROUNDDOWN(12.8666666666667,0)</f>
      </c>
      <c r="AB2061" s="5">
        <v>30</v>
      </c>
      <c r="AC2061" s="2" t="s">
        <v>1114</v>
      </c>
      <c r="AD2061" s="4">
        <v>340</v>
      </c>
      <c r="AE2061" s="4">
        <v>640</v>
      </c>
      <c r="AF2061" s="6">
        <v>65</v>
      </c>
      <c r="AG2061" s="6"/>
      <c r="AH2061" s="7">
        <v>0.9212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/>
      <c r="AW2061" s="8"/>
      <c r="AX2061" s="4"/>
      <c r="AY2061" s="8"/>
      <c r="AZ2061" s="7"/>
      <c r="BA2061" s="7"/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678</v>
      </c>
      <c r="BK2061" s="8">
        <v>20968.92</v>
      </c>
      <c r="BL2061" s="2" t="s">
        <v>7127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6185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7128</v>
      </c>
      <c r="B2062" s="2" t="s">
        <v>6098</v>
      </c>
      <c r="C2062" s="2" t="s">
        <v>4479</v>
      </c>
      <c r="D2062" s="2" t="s">
        <v>7093</v>
      </c>
      <c r="E2062" s="2" t="s">
        <v>7094</v>
      </c>
      <c r="F2062" s="2" t="s">
        <v>4294</v>
      </c>
      <c r="G2062" s="2" t="s">
        <v>4294</v>
      </c>
      <c r="H2062" s="2" t="s">
        <v>4294</v>
      </c>
      <c r="I2062" s="2" t="s">
        <v>7129</v>
      </c>
      <c r="J2062" s="2" t="s">
        <v>7114</v>
      </c>
      <c r="K2062" s="2" t="s">
        <v>7130</v>
      </c>
      <c r="L2062" s="3">
        <v>100.98</v>
      </c>
      <c r="M2062" s="3">
        <v>106.03</v>
      </c>
      <c r="N2062" s="3">
        <v>169.99</v>
      </c>
      <c r="O2062" s="2" t="s">
        <v>97</v>
      </c>
      <c r="P2062" s="2" t="s">
        <v>124</v>
      </c>
      <c r="Q2062" s="2" t="s">
        <v>99</v>
      </c>
      <c r="R2062" s="2" t="s">
        <v>100</v>
      </c>
      <c r="S2062" s="2" t="s">
        <v>7131</v>
      </c>
      <c r="T2062" s="2" t="s">
        <v>100</v>
      </c>
      <c r="U2062" s="2" t="s">
        <v>1610</v>
      </c>
      <c r="V2062" s="2" t="s">
        <v>601</v>
      </c>
      <c r="W2062" s="2" t="s">
        <v>104</v>
      </c>
      <c r="X2062" s="2" t="s">
        <v>100</v>
      </c>
      <c r="Y2062" s="2" t="s">
        <v>3330</v>
      </c>
      <c r="Z2062" s="4">
        <v>638</v>
      </c>
      <c r="AA2062" s="4">
        <f>=ROUNDDOWN(49.0769230769231,0)</f>
      </c>
      <c r="AB2062" s="5">
        <v>13</v>
      </c>
      <c r="AC2062" s="2" t="s">
        <v>100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>
        <v>0</v>
      </c>
      <c r="AP2062" s="4">
        <v>2</v>
      </c>
      <c r="AQ2062" s="8">
        <v>212.06</v>
      </c>
      <c r="AR2062" s="4">
        <v>11</v>
      </c>
      <c r="AS2062" s="8">
        <v>1297.3</v>
      </c>
      <c r="AT2062" s="7">
        <v>-0.8182</v>
      </c>
      <c r="AU2062" s="7">
        <v>-0.8365</v>
      </c>
      <c r="AV2062" s="4">
        <v>2</v>
      </c>
      <c r="AW2062" s="8">
        <v>212.06</v>
      </c>
      <c r="AX2062" s="4">
        <v>11</v>
      </c>
      <c r="AY2062" s="8">
        <v>1297.3</v>
      </c>
      <c r="AZ2062" s="7">
        <v>-0.8182</v>
      </c>
      <c r="BA2062" s="7">
        <v>-0.8365</v>
      </c>
      <c r="BB2062" s="7">
        <v>1</v>
      </c>
      <c r="BC2062" s="4">
        <v>2</v>
      </c>
      <c r="BD2062" s="8">
        <v>212.06</v>
      </c>
      <c r="BE2062" s="4">
        <v>11</v>
      </c>
      <c r="BF2062" s="8">
        <v>1297.3</v>
      </c>
      <c r="BG2062" s="7">
        <v>-0.8182</v>
      </c>
      <c r="BH2062" s="7">
        <v>-0.8365</v>
      </c>
      <c r="BI2062" s="7">
        <v>1</v>
      </c>
      <c r="BJ2062" s="4">
        <v>283</v>
      </c>
      <c r="BK2062" s="8">
        <v>29863.73</v>
      </c>
      <c r="BL2062" s="2" t="s">
        <v>7132</v>
      </c>
      <c r="BM2062" s="7">
        <v>0.0071</v>
      </c>
      <c r="BN2062" s="7">
        <v>0.0071</v>
      </c>
      <c r="BO2062" s="4">
        <v>2</v>
      </c>
      <c r="BP2062" s="8">
        <v>212.06</v>
      </c>
      <c r="BQ2062" s="4">
        <v>11</v>
      </c>
      <c r="BR2062" s="8">
        <v>1297.3</v>
      </c>
      <c r="BS2062" s="7">
        <v>-0.8182</v>
      </c>
      <c r="BT2062" s="7">
        <v>-0.8365</v>
      </c>
      <c r="BU2062" s="2" t="s">
        <v>109</v>
      </c>
      <c r="BV2062" s="2" t="s">
        <v>97</v>
      </c>
      <c r="BW2062" s="2" t="s">
        <v>2917</v>
      </c>
      <c r="BX2062" s="2" t="s">
        <v>7133</v>
      </c>
      <c r="BY2062" s="2" t="s">
        <v>112</v>
      </c>
      <c r="BZ2062" s="2" t="s">
        <v>100</v>
      </c>
    </row>
    <row r="2063">
      <c r="A2063" s="2" t="s">
        <v>7134</v>
      </c>
      <c r="B2063" s="2" t="s">
        <v>6098</v>
      </c>
      <c r="C2063" s="2" t="s">
        <v>4479</v>
      </c>
      <c r="D2063" s="2" t="s">
        <v>6763</v>
      </c>
      <c r="E2063" s="2" t="s">
        <v>6764</v>
      </c>
      <c r="F2063" s="2" t="s">
        <v>7135</v>
      </c>
      <c r="G2063" s="2" t="s">
        <v>7135</v>
      </c>
      <c r="H2063" s="2" t="s">
        <v>7135</v>
      </c>
      <c r="I2063" s="2" t="s">
        <v>7136</v>
      </c>
      <c r="J2063" s="2" t="s">
        <v>7137</v>
      </c>
      <c r="K2063" s="2" t="s">
        <v>1660</v>
      </c>
      <c r="L2063" s="3">
        <v>74.11</v>
      </c>
      <c r="M2063" s="3">
        <v>77.82</v>
      </c>
      <c r="N2063" s="3">
        <v>141.94</v>
      </c>
      <c r="O2063" s="2" t="s">
        <v>97</v>
      </c>
      <c r="P2063" s="2" t="s">
        <v>143</v>
      </c>
      <c r="Q2063" s="2" t="s">
        <v>99</v>
      </c>
      <c r="R2063" s="2" t="s">
        <v>100</v>
      </c>
      <c r="S2063" s="2" t="s">
        <v>100</v>
      </c>
      <c r="T2063" s="2" t="s">
        <v>100</v>
      </c>
      <c r="U2063" s="2" t="s">
        <v>3531</v>
      </c>
      <c r="V2063" s="2" t="s">
        <v>991</v>
      </c>
      <c r="W2063" s="2" t="s">
        <v>602</v>
      </c>
      <c r="X2063" s="2" t="s">
        <v>1190</v>
      </c>
      <c r="Y2063" s="2" t="s">
        <v>7138</v>
      </c>
      <c r="Z2063" s="4">
        <v>149</v>
      </c>
      <c r="AA2063" s="4">
        <f>=ROUNDDOWN(14.9,0)</f>
      </c>
      <c r="AB2063" s="5">
        <v>10</v>
      </c>
      <c r="AC2063" s="2" t="s">
        <v>518</v>
      </c>
      <c r="AD2063" s="4">
        <v>100</v>
      </c>
      <c r="AE2063" s="4">
        <v>100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>
        <v>0</v>
      </c>
      <c r="AP2063" s="4">
        <v>3</v>
      </c>
      <c r="AQ2063" s="8">
        <v>233.46</v>
      </c>
      <c r="AR2063" s="4">
        <v>2</v>
      </c>
      <c r="AS2063" s="8">
        <v>169.37</v>
      </c>
      <c r="AT2063" s="7">
        <v>0.5</v>
      </c>
      <c r="AU2063" s="7">
        <v>0.3784</v>
      </c>
      <c r="AV2063" s="4">
        <v>3</v>
      </c>
      <c r="AW2063" s="8">
        <v>233.46</v>
      </c>
      <c r="AX2063" s="4">
        <v>8</v>
      </c>
      <c r="AY2063" s="8">
        <v>883.2</v>
      </c>
      <c r="AZ2063" s="7">
        <v>-0.625</v>
      </c>
      <c r="BA2063" s="7">
        <v>-0.7357</v>
      </c>
      <c r="BB2063" s="7">
        <v>1</v>
      </c>
      <c r="BC2063" s="4">
        <v>7</v>
      </c>
      <c r="BD2063" s="8">
        <v>622.72</v>
      </c>
      <c r="BE2063" s="4">
        <v>19</v>
      </c>
      <c r="BF2063" s="8">
        <v>2219.99</v>
      </c>
      <c r="BG2063" s="7">
        <v>-0.6316</v>
      </c>
      <c r="BH2063" s="7">
        <v>-0.7195</v>
      </c>
      <c r="BI2063" s="7">
        <v>0.3749</v>
      </c>
      <c r="BJ2063" s="4">
        <v>268</v>
      </c>
      <c r="BK2063" s="8">
        <v>21423.58</v>
      </c>
      <c r="BL2063" s="2" t="s">
        <v>7139</v>
      </c>
      <c r="BM2063" s="7">
        <v>0.0112</v>
      </c>
      <c r="BN2063" s="7">
        <v>0.0109</v>
      </c>
      <c r="BO2063" s="4">
        <v>3</v>
      </c>
      <c r="BP2063" s="8">
        <v>233.46</v>
      </c>
      <c r="BQ2063" s="4">
        <v>2</v>
      </c>
      <c r="BR2063" s="8">
        <v>169.37</v>
      </c>
      <c r="BS2063" s="7">
        <v>0.5</v>
      </c>
      <c r="BT2063" s="7">
        <v>0.3784</v>
      </c>
      <c r="BU2063" s="2" t="s">
        <v>109</v>
      </c>
      <c r="BV2063" s="2" t="s">
        <v>97</v>
      </c>
      <c r="BW2063" s="2" t="s">
        <v>2917</v>
      </c>
      <c r="BX2063" s="2" t="s">
        <v>6723</v>
      </c>
      <c r="BY2063" s="2" t="s">
        <v>112</v>
      </c>
      <c r="BZ2063" s="2" t="s">
        <v>100</v>
      </c>
    </row>
    <row r="2064">
      <c r="A2064" s="2" t="s">
        <v>7140</v>
      </c>
      <c r="B2064" s="2" t="s">
        <v>6098</v>
      </c>
      <c r="C2064" s="2" t="s">
        <v>4479</v>
      </c>
      <c r="D2064" s="2" t="s">
        <v>6763</v>
      </c>
      <c r="E2064" s="2" t="s">
        <v>6764</v>
      </c>
      <c r="F2064" s="2" t="s">
        <v>7135</v>
      </c>
      <c r="G2064" s="2" t="s">
        <v>7135</v>
      </c>
      <c r="H2064" s="2" t="s">
        <v>7135</v>
      </c>
      <c r="I2064" s="2" t="s">
        <v>7141</v>
      </c>
      <c r="J2064" s="2" t="s">
        <v>7142</v>
      </c>
      <c r="K2064" s="2" t="s">
        <v>1660</v>
      </c>
      <c r="L2064" s="3">
        <v>111.24</v>
      </c>
      <c r="M2064" s="3">
        <v>116.8</v>
      </c>
      <c r="N2064" s="3">
        <v>209.94</v>
      </c>
      <c r="O2064" s="2" t="s">
        <v>97</v>
      </c>
      <c r="P2064" s="2" t="s">
        <v>143</v>
      </c>
      <c r="Q2064" s="2" t="s">
        <v>99</v>
      </c>
      <c r="R2064" s="2" t="s">
        <v>100</v>
      </c>
      <c r="S2064" s="2" t="s">
        <v>100</v>
      </c>
      <c r="T2064" s="2" t="s">
        <v>100</v>
      </c>
      <c r="U2064" s="2" t="s">
        <v>3531</v>
      </c>
      <c r="V2064" s="2" t="s">
        <v>991</v>
      </c>
      <c r="W2064" s="2" t="s">
        <v>602</v>
      </c>
      <c r="X2064" s="2" t="s">
        <v>1190</v>
      </c>
      <c r="Y2064" s="2" t="s">
        <v>7143</v>
      </c>
      <c r="Z2064" s="4">
        <v>223</v>
      </c>
      <c r="AA2064" s="4">
        <f>=ROUNDDOWN(31.8571428571429,0)</f>
      </c>
      <c r="AB2064" s="5">
        <v>7</v>
      </c>
      <c r="AC2064" s="2" t="s">
        <v>100</v>
      </c>
      <c r="AD2064" s="4"/>
      <c r="AE2064" s="4"/>
      <c r="AF2064" s="6">
        <v>65</v>
      </c>
      <c r="AG2064" s="6"/>
      <c r="AH2064" s="7">
        <v>0.9394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>
        <v>0</v>
      </c>
      <c r="AP2064" s="4"/>
      <c r="AQ2064" s="8"/>
      <c r="AR2064" s="4">
        <v>6</v>
      </c>
      <c r="AS2064" s="8">
        <v>713.83</v>
      </c>
      <c r="AT2064" s="7">
        <v>-1</v>
      </c>
      <c r="AU2064" s="7">
        <v>-1</v>
      </c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 t="s">
        <v>100</v>
      </c>
      <c r="BJ2064" s="4">
        <v>183</v>
      </c>
      <c r="BK2064" s="8">
        <v>22081.44</v>
      </c>
      <c r="BL2064" s="2" t="s">
        <v>7144</v>
      </c>
      <c r="BM2064" s="7"/>
      <c r="BN2064" s="7"/>
      <c r="BO2064" s="4"/>
      <c r="BP2064" s="8"/>
      <c r="BQ2064" s="4">
        <v>6</v>
      </c>
      <c r="BR2064" s="8">
        <v>713.83</v>
      </c>
      <c r="BS2064" s="7">
        <v>-1</v>
      </c>
      <c r="BT2064" s="7">
        <v>-1</v>
      </c>
      <c r="BU2064" s="2" t="s">
        <v>109</v>
      </c>
      <c r="BV2064" s="2" t="s">
        <v>97</v>
      </c>
      <c r="BW2064" s="2" t="s">
        <v>2917</v>
      </c>
      <c r="BX2064" s="2" t="s">
        <v>3263</v>
      </c>
      <c r="BY2064" s="2" t="s">
        <v>112</v>
      </c>
      <c r="BZ2064" s="2" t="s">
        <v>100</v>
      </c>
    </row>
    <row r="2065">
      <c r="A2065" s="2" t="s">
        <v>7145</v>
      </c>
      <c r="B2065" s="2" t="s">
        <v>6098</v>
      </c>
      <c r="C2065" s="2" t="s">
        <v>4479</v>
      </c>
      <c r="D2065" s="2" t="s">
        <v>6763</v>
      </c>
      <c r="E2065" s="2" t="s">
        <v>6764</v>
      </c>
      <c r="F2065" s="2" t="s">
        <v>7135</v>
      </c>
      <c r="G2065" s="2" t="s">
        <v>7135</v>
      </c>
      <c r="H2065" s="2" t="s">
        <v>7135</v>
      </c>
      <c r="I2065" s="2" t="s">
        <v>7136</v>
      </c>
      <c r="J2065" s="2" t="s">
        <v>7137</v>
      </c>
      <c r="K2065" s="2" t="s">
        <v>142</v>
      </c>
      <c r="L2065" s="3">
        <v>74.11</v>
      </c>
      <c r="M2065" s="3">
        <v>77.82</v>
      </c>
      <c r="N2065" s="3">
        <v>141.94</v>
      </c>
      <c r="O2065" s="2" t="s">
        <v>97</v>
      </c>
      <c r="P2065" s="2" t="s">
        <v>124</v>
      </c>
      <c r="Q2065" s="2" t="s">
        <v>99</v>
      </c>
      <c r="R2065" s="2" t="s">
        <v>100</v>
      </c>
      <c r="S2065" s="2" t="s">
        <v>7146</v>
      </c>
      <c r="T2065" s="2" t="s">
        <v>100</v>
      </c>
      <c r="U2065" s="2" t="s">
        <v>3531</v>
      </c>
      <c r="V2065" s="2" t="s">
        <v>991</v>
      </c>
      <c r="W2065" s="2" t="s">
        <v>602</v>
      </c>
      <c r="X2065" s="2" t="s">
        <v>1190</v>
      </c>
      <c r="Y2065" s="2" t="s">
        <v>5209</v>
      </c>
      <c r="Z2065" s="4">
        <v>250</v>
      </c>
      <c r="AA2065" s="4">
        <f>=ROUNDDOWN(15.625,0)</f>
      </c>
      <c r="AB2065" s="5">
        <v>16</v>
      </c>
      <c r="AC2065" s="2" t="s">
        <v>527</v>
      </c>
      <c r="AD2065" s="4">
        <v>150</v>
      </c>
      <c r="AE2065" s="4">
        <v>300</v>
      </c>
      <c r="AF2065" s="6">
        <v>65</v>
      </c>
      <c r="AG2065" s="6"/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>
        <v>0</v>
      </c>
      <c r="AP2065" s="4">
        <v>1</v>
      </c>
      <c r="AQ2065" s="8">
        <v>77.82</v>
      </c>
      <c r="AR2065" s="4"/>
      <c r="AS2065" s="8"/>
      <c r="AT2065" s="7"/>
      <c r="AU2065" s="7"/>
      <c r="AV2065" s="4">
        <v>2</v>
      </c>
      <c r="AW2065" s="8">
        <v>194.63</v>
      </c>
      <c r="AX2065" s="4">
        <v>5</v>
      </c>
      <c r="AY2065" s="8">
        <v>609.99</v>
      </c>
      <c r="AZ2065" s="7">
        <v>-0.6</v>
      </c>
      <c r="BA2065" s="7">
        <v>-0.6809</v>
      </c>
      <c r="BB2065" s="7">
        <v>0.3998</v>
      </c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>
        <v>0.3125</v>
      </c>
      <c r="BJ2065" s="4">
        <v>406</v>
      </c>
      <c r="BK2065" s="8">
        <v>32797.86</v>
      </c>
      <c r="BL2065" s="2" t="s">
        <v>7147</v>
      </c>
      <c r="BM2065" s="7">
        <v>0.0025</v>
      </c>
      <c r="BN2065" s="7">
        <v>0.0024</v>
      </c>
      <c r="BO2065" s="4">
        <v>1</v>
      </c>
      <c r="BP2065" s="8">
        <v>77.82</v>
      </c>
      <c r="BQ2065" s="4"/>
      <c r="BR2065" s="8"/>
      <c r="BS2065" s="7"/>
      <c r="BT2065" s="7"/>
      <c r="BU2065" s="2" t="s">
        <v>109</v>
      </c>
      <c r="BV2065" s="2" t="s">
        <v>97</v>
      </c>
      <c r="BW2065" s="2" t="s">
        <v>2917</v>
      </c>
      <c r="BX2065" s="2" t="s">
        <v>4360</v>
      </c>
      <c r="BY2065" s="2" t="s">
        <v>112</v>
      </c>
      <c r="BZ2065" s="2" t="s">
        <v>100</v>
      </c>
    </row>
    <row r="2066">
      <c r="A2066" s="2" t="s">
        <v>7148</v>
      </c>
      <c r="B2066" s="2" t="s">
        <v>6098</v>
      </c>
      <c r="C2066" s="2" t="s">
        <v>4479</v>
      </c>
      <c r="D2066" s="2" t="s">
        <v>6763</v>
      </c>
      <c r="E2066" s="2" t="s">
        <v>6764</v>
      </c>
      <c r="F2066" s="2" t="s">
        <v>7135</v>
      </c>
      <c r="G2066" s="2" t="s">
        <v>7135</v>
      </c>
      <c r="H2066" s="2" t="s">
        <v>7135</v>
      </c>
      <c r="I2066" s="2" t="s">
        <v>7141</v>
      </c>
      <c r="J2066" s="2" t="s">
        <v>7142</v>
      </c>
      <c r="K2066" s="2" t="s">
        <v>142</v>
      </c>
      <c r="L2066" s="3">
        <v>111.24</v>
      </c>
      <c r="M2066" s="3">
        <v>116.8</v>
      </c>
      <c r="N2066" s="3">
        <v>209.94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7149</v>
      </c>
      <c r="T2066" s="2" t="s">
        <v>100</v>
      </c>
      <c r="U2066" s="2" t="s">
        <v>3531</v>
      </c>
      <c r="V2066" s="2" t="s">
        <v>991</v>
      </c>
      <c r="W2066" s="2" t="s">
        <v>602</v>
      </c>
      <c r="X2066" s="2" t="s">
        <v>1190</v>
      </c>
      <c r="Y2066" s="2" t="s">
        <v>5209</v>
      </c>
      <c r="Z2066" s="4">
        <v>159</v>
      </c>
      <c r="AA2066" s="4">
        <f>=ROUNDDOWN(6.36,0)</f>
      </c>
      <c r="AB2066" s="5">
        <v>25</v>
      </c>
      <c r="AC2066" s="2" t="s">
        <v>6501</v>
      </c>
      <c r="AD2066" s="4">
        <v>150</v>
      </c>
      <c r="AE2066" s="4">
        <v>700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>
        <v>0</v>
      </c>
      <c r="AP2066" s="4">
        <v>1</v>
      </c>
      <c r="AQ2066" s="8">
        <v>116.81</v>
      </c>
      <c r="AR2066" s="4">
        <v>5</v>
      </c>
      <c r="AS2066" s="8">
        <v>609.99</v>
      </c>
      <c r="AT2066" s="7">
        <v>-0.8</v>
      </c>
      <c r="AU2066" s="7">
        <v>-0.8085</v>
      </c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>
        <v>0.6002</v>
      </c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 t="s">
        <v>100</v>
      </c>
      <c r="BJ2066" s="4">
        <v>498</v>
      </c>
      <c r="BK2066" s="8">
        <v>57800.75</v>
      </c>
      <c r="BL2066" s="2" t="s">
        <v>7150</v>
      </c>
      <c r="BM2066" s="7">
        <v>0.002</v>
      </c>
      <c r="BN2066" s="7">
        <v>0.002</v>
      </c>
      <c r="BO2066" s="4">
        <v>1</v>
      </c>
      <c r="BP2066" s="8">
        <v>116.81</v>
      </c>
      <c r="BQ2066" s="4">
        <v>5</v>
      </c>
      <c r="BR2066" s="8">
        <v>609.99</v>
      </c>
      <c r="BS2066" s="7">
        <v>-0.8</v>
      </c>
      <c r="BT2066" s="7">
        <v>-0.8085</v>
      </c>
      <c r="BU2066" s="2" t="s">
        <v>109</v>
      </c>
      <c r="BV2066" s="2" t="s">
        <v>97</v>
      </c>
      <c r="BW2066" s="2" t="s">
        <v>2917</v>
      </c>
      <c r="BX2066" s="2" t="s">
        <v>361</v>
      </c>
      <c r="BY2066" s="2" t="s">
        <v>112</v>
      </c>
      <c r="BZ2066" s="2" t="s">
        <v>100</v>
      </c>
    </row>
    <row r="2067">
      <c r="A2067" s="2" t="s">
        <v>7151</v>
      </c>
      <c r="B2067" s="2" t="s">
        <v>6098</v>
      </c>
      <c r="C2067" s="2" t="s">
        <v>4479</v>
      </c>
      <c r="D2067" s="2" t="s">
        <v>6763</v>
      </c>
      <c r="E2067" s="2" t="s">
        <v>6764</v>
      </c>
      <c r="F2067" s="2" t="s">
        <v>7135</v>
      </c>
      <c r="G2067" s="2" t="s">
        <v>7135</v>
      </c>
      <c r="H2067" s="2" t="s">
        <v>7135</v>
      </c>
      <c r="I2067" s="2" t="s">
        <v>7136</v>
      </c>
      <c r="J2067" s="2" t="s">
        <v>7137</v>
      </c>
      <c r="K2067" s="2" t="s">
        <v>2066</v>
      </c>
      <c r="L2067" s="3">
        <v>74.11</v>
      </c>
      <c r="M2067" s="3">
        <v>77.82</v>
      </c>
      <c r="N2067" s="3">
        <v>141.94</v>
      </c>
      <c r="O2067" s="2" t="s">
        <v>97</v>
      </c>
      <c r="P2067" s="2" t="s">
        <v>124</v>
      </c>
      <c r="Q2067" s="2" t="s">
        <v>99</v>
      </c>
      <c r="R2067" s="2" t="s">
        <v>100</v>
      </c>
      <c r="S2067" s="2" t="s">
        <v>100</v>
      </c>
      <c r="T2067" s="2" t="s">
        <v>100</v>
      </c>
      <c r="U2067" s="2" t="s">
        <v>3531</v>
      </c>
      <c r="V2067" s="2" t="s">
        <v>991</v>
      </c>
      <c r="W2067" s="2" t="s">
        <v>602</v>
      </c>
      <c r="X2067" s="2" t="s">
        <v>1190</v>
      </c>
      <c r="Y2067" s="2" t="s">
        <v>7138</v>
      </c>
      <c r="Z2067" s="4">
        <v>622</v>
      </c>
      <c r="AA2067" s="4">
        <f>=ROUNDDOWN(21.448275862069,0)</f>
      </c>
      <c r="AB2067" s="5">
        <v>29</v>
      </c>
      <c r="AC2067" s="2" t="s">
        <v>847</v>
      </c>
      <c r="AD2067" s="4">
        <v>300</v>
      </c>
      <c r="AE2067" s="4">
        <v>300</v>
      </c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>
        <v>0</v>
      </c>
      <c r="AP2067" s="4">
        <v>1</v>
      </c>
      <c r="AQ2067" s="8">
        <v>77.82</v>
      </c>
      <c r="AR2067" s="4"/>
      <c r="AS2067" s="8"/>
      <c r="AT2067" s="7"/>
      <c r="AU2067" s="7"/>
      <c r="AV2067" s="4">
        <v>2</v>
      </c>
      <c r="AW2067" s="8">
        <v>194.63</v>
      </c>
      <c r="AX2067" s="4">
        <v>6</v>
      </c>
      <c r="AY2067" s="8">
        <v>726.8</v>
      </c>
      <c r="AZ2067" s="7">
        <v>-0.6667</v>
      </c>
      <c r="BA2067" s="7">
        <v>-0.7322</v>
      </c>
      <c r="BB2067" s="7">
        <v>0.3998</v>
      </c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>
        <v>0.3125</v>
      </c>
      <c r="BJ2067" s="4">
        <v>679</v>
      </c>
      <c r="BK2067" s="8">
        <v>54145.73</v>
      </c>
      <c r="BL2067" s="2" t="s">
        <v>7152</v>
      </c>
      <c r="BM2067" s="7">
        <v>0.0015</v>
      </c>
      <c r="BN2067" s="7">
        <v>0.0014</v>
      </c>
      <c r="BO2067" s="4">
        <v>1</v>
      </c>
      <c r="BP2067" s="8">
        <v>77.82</v>
      </c>
      <c r="BQ2067" s="4"/>
      <c r="BR2067" s="8"/>
      <c r="BS2067" s="7"/>
      <c r="BT2067" s="7"/>
      <c r="BU2067" s="2" t="s">
        <v>109</v>
      </c>
      <c r="BV2067" s="2" t="s">
        <v>97</v>
      </c>
      <c r="BW2067" s="2" t="s">
        <v>2917</v>
      </c>
      <c r="BX2067" s="2" t="s">
        <v>7153</v>
      </c>
      <c r="BY2067" s="2" t="s">
        <v>112</v>
      </c>
      <c r="BZ2067" s="2" t="s">
        <v>100</v>
      </c>
    </row>
    <row r="2068">
      <c r="A2068" s="2" t="s">
        <v>7154</v>
      </c>
      <c r="B2068" s="2" t="s">
        <v>6098</v>
      </c>
      <c r="C2068" s="2" t="s">
        <v>4479</v>
      </c>
      <c r="D2068" s="2" t="s">
        <v>6763</v>
      </c>
      <c r="E2068" s="2" t="s">
        <v>6764</v>
      </c>
      <c r="F2068" s="2" t="s">
        <v>7135</v>
      </c>
      <c r="G2068" s="2" t="s">
        <v>7135</v>
      </c>
      <c r="H2068" s="2" t="s">
        <v>7135</v>
      </c>
      <c r="I2068" s="2" t="s">
        <v>7141</v>
      </c>
      <c r="J2068" s="2" t="s">
        <v>7142</v>
      </c>
      <c r="K2068" s="2" t="s">
        <v>2066</v>
      </c>
      <c r="L2068" s="3">
        <v>111.24</v>
      </c>
      <c r="M2068" s="3">
        <v>116.8</v>
      </c>
      <c r="N2068" s="3">
        <v>209.94</v>
      </c>
      <c r="O2068" s="2" t="s">
        <v>97</v>
      </c>
      <c r="P2068" s="2" t="s">
        <v>124</v>
      </c>
      <c r="Q2068" s="2" t="s">
        <v>99</v>
      </c>
      <c r="R2068" s="2" t="s">
        <v>100</v>
      </c>
      <c r="S2068" s="2" t="s">
        <v>7155</v>
      </c>
      <c r="T2068" s="2" t="s">
        <v>100</v>
      </c>
      <c r="U2068" s="2" t="s">
        <v>3531</v>
      </c>
      <c r="V2068" s="2" t="s">
        <v>991</v>
      </c>
      <c r="W2068" s="2" t="s">
        <v>602</v>
      </c>
      <c r="X2068" s="2" t="s">
        <v>1190</v>
      </c>
      <c r="Y2068" s="2" t="s">
        <v>1754</v>
      </c>
      <c r="Z2068" s="4">
        <v>760</v>
      </c>
      <c r="AA2068" s="4">
        <f>=ROUNDDOWN(18.0952380952381,0)</f>
      </c>
      <c r="AB2068" s="5">
        <v>42</v>
      </c>
      <c r="AC2068" s="2" t="s">
        <v>518</v>
      </c>
      <c r="AD2068" s="4">
        <v>250</v>
      </c>
      <c r="AE2068" s="4">
        <v>610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>
        <v>0</v>
      </c>
      <c r="AP2068" s="4">
        <v>1</v>
      </c>
      <c r="AQ2068" s="8">
        <v>116.81</v>
      </c>
      <c r="AR2068" s="4">
        <v>6</v>
      </c>
      <c r="AS2068" s="8">
        <v>726.8</v>
      </c>
      <c r="AT2068" s="7">
        <v>-0.8333</v>
      </c>
      <c r="AU2068" s="7">
        <v>-0.8393</v>
      </c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>
        <v>0.6002</v>
      </c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 t="s">
        <v>100</v>
      </c>
      <c r="BJ2068" s="4">
        <v>1153</v>
      </c>
      <c r="BK2068" s="8">
        <v>142181.18</v>
      </c>
      <c r="BL2068" s="2" t="s">
        <v>6690</v>
      </c>
      <c r="BM2068" s="7">
        <v>0.0009</v>
      </c>
      <c r="BN2068" s="7">
        <v>0.0008</v>
      </c>
      <c r="BO2068" s="4">
        <v>1</v>
      </c>
      <c r="BP2068" s="8">
        <v>116.81</v>
      </c>
      <c r="BQ2068" s="4">
        <v>6</v>
      </c>
      <c r="BR2068" s="8">
        <v>726.8</v>
      </c>
      <c r="BS2068" s="7">
        <v>-0.8333</v>
      </c>
      <c r="BT2068" s="7">
        <v>-0.8393</v>
      </c>
      <c r="BU2068" s="2" t="s">
        <v>109</v>
      </c>
      <c r="BV2068" s="2" t="s">
        <v>97</v>
      </c>
      <c r="BW2068" s="2" t="s">
        <v>2917</v>
      </c>
      <c r="BX2068" s="2" t="s">
        <v>7156</v>
      </c>
      <c r="BY2068" s="2" t="s">
        <v>112</v>
      </c>
      <c r="BZ2068" s="2" t="s">
        <v>100</v>
      </c>
    </row>
    <row r="2069">
      <c r="A2069" s="2" t="s">
        <v>7157</v>
      </c>
      <c r="B2069" s="2" t="s">
        <v>6098</v>
      </c>
      <c r="C2069" s="2" t="s">
        <v>4479</v>
      </c>
      <c r="D2069" s="2" t="s">
        <v>6763</v>
      </c>
      <c r="E2069" s="2" t="s">
        <v>6764</v>
      </c>
      <c r="F2069" s="2" t="s">
        <v>7135</v>
      </c>
      <c r="G2069" s="2" t="s">
        <v>7135</v>
      </c>
      <c r="H2069" s="2" t="s">
        <v>7135</v>
      </c>
      <c r="I2069" s="2" t="s">
        <v>7136</v>
      </c>
      <c r="J2069" s="2" t="s">
        <v>7137</v>
      </c>
      <c r="K2069" s="2" t="s">
        <v>666</v>
      </c>
      <c r="L2069" s="3">
        <v>74.11</v>
      </c>
      <c r="M2069" s="3">
        <v>77.82</v>
      </c>
      <c r="N2069" s="3">
        <v>141.94</v>
      </c>
      <c r="O2069" s="2" t="s">
        <v>97</v>
      </c>
      <c r="P2069" s="2" t="s">
        <v>143</v>
      </c>
      <c r="Q2069" s="2" t="s">
        <v>99</v>
      </c>
      <c r="R2069" s="2" t="s">
        <v>100</v>
      </c>
      <c r="S2069" s="2" t="s">
        <v>100</v>
      </c>
      <c r="T2069" s="2" t="s">
        <v>100</v>
      </c>
      <c r="U2069" s="2" t="s">
        <v>3531</v>
      </c>
      <c r="V2069" s="2" t="s">
        <v>991</v>
      </c>
      <c r="W2069" s="2" t="s">
        <v>602</v>
      </c>
      <c r="X2069" s="2" t="s">
        <v>1190</v>
      </c>
      <c r="Y2069" s="2" t="s">
        <v>7158</v>
      </c>
      <c r="Z2069" s="4">
        <v>280</v>
      </c>
      <c r="AA2069" s="4">
        <f>=ROUNDDOWN(35,0)</f>
      </c>
      <c r="AB2069" s="5">
        <v>8</v>
      </c>
      <c r="AC2069" s="2" t="s">
        <v>100</v>
      </c>
      <c r="AD2069" s="4"/>
      <c r="AE2069" s="4"/>
      <c r="AF2069" s="6">
        <v>65</v>
      </c>
      <c r="AG2069" s="6"/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 t="s">
        <v>100</v>
      </c>
      <c r="BJ2069" s="4">
        <v>193</v>
      </c>
      <c r="BK2069" s="8">
        <v>14869.67</v>
      </c>
      <c r="BL2069" s="2" t="s">
        <v>7159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6185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7160</v>
      </c>
      <c r="B2070" s="2" t="s">
        <v>6098</v>
      </c>
      <c r="C2070" s="2" t="s">
        <v>4479</v>
      </c>
      <c r="D2070" s="2" t="s">
        <v>6763</v>
      </c>
      <c r="E2070" s="2" t="s">
        <v>6764</v>
      </c>
      <c r="F2070" s="2" t="s">
        <v>7135</v>
      </c>
      <c r="G2070" s="2" t="s">
        <v>7135</v>
      </c>
      <c r="H2070" s="2" t="s">
        <v>7135</v>
      </c>
      <c r="I2070" s="2" t="s">
        <v>7141</v>
      </c>
      <c r="J2070" s="2" t="s">
        <v>7142</v>
      </c>
      <c r="K2070" s="2" t="s">
        <v>666</v>
      </c>
      <c r="L2070" s="3">
        <v>111.24</v>
      </c>
      <c r="M2070" s="3">
        <v>116.8</v>
      </c>
      <c r="N2070" s="3">
        <v>209.94</v>
      </c>
      <c r="O2070" s="2" t="s">
        <v>97</v>
      </c>
      <c r="P2070" s="2" t="s">
        <v>143</v>
      </c>
      <c r="Q2070" s="2" t="s">
        <v>99</v>
      </c>
      <c r="R2070" s="2" t="s">
        <v>100</v>
      </c>
      <c r="S2070" s="2" t="s">
        <v>100</v>
      </c>
      <c r="T2070" s="2" t="s">
        <v>100</v>
      </c>
      <c r="U2070" s="2" t="s">
        <v>3531</v>
      </c>
      <c r="V2070" s="2" t="s">
        <v>991</v>
      </c>
      <c r="W2070" s="2" t="s">
        <v>602</v>
      </c>
      <c r="X2070" s="2" t="s">
        <v>1190</v>
      </c>
      <c r="Y2070" s="2" t="s">
        <v>7158</v>
      </c>
      <c r="Z2070" s="4">
        <v>196</v>
      </c>
      <c r="AA2070" s="4">
        <f>=ROUNDDOWN(35.6363636363636,0)</f>
      </c>
      <c r="AB2070" s="5">
        <v>5.5</v>
      </c>
      <c r="AC2070" s="2" t="s">
        <v>518</v>
      </c>
      <c r="AD2070" s="4">
        <v>120</v>
      </c>
      <c r="AE2070" s="4">
        <v>120</v>
      </c>
      <c r="AF2070" s="6">
        <v>65</v>
      </c>
      <c r="AG2070" s="6"/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 t="s">
        <v>100</v>
      </c>
      <c r="BJ2070" s="4">
        <v>192</v>
      </c>
      <c r="BK2070" s="8">
        <v>23343.16</v>
      </c>
      <c r="BL2070" s="2" t="s">
        <v>7161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6185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7162</v>
      </c>
      <c r="B2071" s="2" t="s">
        <v>6098</v>
      </c>
      <c r="C2071" s="2" t="s">
        <v>4479</v>
      </c>
      <c r="D2071" s="2" t="s">
        <v>6763</v>
      </c>
      <c r="E2071" s="2" t="s">
        <v>6764</v>
      </c>
      <c r="F2071" s="2" t="s">
        <v>7163</v>
      </c>
      <c r="G2071" s="2" t="s">
        <v>7163</v>
      </c>
      <c r="H2071" s="2" t="s">
        <v>7163</v>
      </c>
      <c r="I2071" s="2" t="s">
        <v>7164</v>
      </c>
      <c r="J2071" s="2" t="s">
        <v>6103</v>
      </c>
      <c r="K2071" s="2" t="s">
        <v>7165</v>
      </c>
      <c r="L2071" s="3">
        <v>112.71</v>
      </c>
      <c r="M2071" s="3">
        <v>118.35</v>
      </c>
      <c r="N2071" s="3">
        <v>199.74</v>
      </c>
      <c r="O2071" s="2" t="s">
        <v>550</v>
      </c>
      <c r="P2071" s="2" t="s">
        <v>198</v>
      </c>
      <c r="Q2071" s="2" t="s">
        <v>99</v>
      </c>
      <c r="R2071" s="2" t="s">
        <v>100</v>
      </c>
      <c r="S2071" s="2" t="s">
        <v>7166</v>
      </c>
      <c r="T2071" s="2" t="s">
        <v>100</v>
      </c>
      <c r="U2071" s="2" t="s">
        <v>3531</v>
      </c>
      <c r="V2071" s="2" t="s">
        <v>601</v>
      </c>
      <c r="W2071" s="2" t="s">
        <v>602</v>
      </c>
      <c r="X2071" s="2" t="s">
        <v>1190</v>
      </c>
      <c r="Y2071" s="2" t="s">
        <v>1754</v>
      </c>
      <c r="Z2071" s="4">
        <v>3</v>
      </c>
      <c r="AA2071" s="4">
        <f>=ROUNDDOWN({0},0)</f>
      </c>
      <c r="AB2071" s="5"/>
      <c r="AC2071" s="2" t="s">
        <v>100</v>
      </c>
      <c r="AD2071" s="4"/>
      <c r="AE2071" s="4"/>
      <c r="AF2071" s="6">
        <v>65</v>
      </c>
      <c r="AG2071" s="6"/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>
        <v>0</v>
      </c>
      <c r="AP2071" s="4"/>
      <c r="AQ2071" s="8"/>
      <c r="AR2071" s="4">
        <v>13</v>
      </c>
      <c r="AS2071" s="8">
        <v>1663.76</v>
      </c>
      <c r="AT2071" s="7">
        <v>-1</v>
      </c>
      <c r="AU2071" s="7">
        <v>-1</v>
      </c>
      <c r="AV2071" s="4"/>
      <c r="AW2071" s="8"/>
      <c r="AX2071" s="4">
        <v>13</v>
      </c>
      <c r="AY2071" s="8">
        <v>1663.76</v>
      </c>
      <c r="AZ2071" s="7">
        <v>-1</v>
      </c>
      <c r="BA2071" s="7">
        <v>-1</v>
      </c>
      <c r="BB2071" s="7"/>
      <c r="BC2071" s="4" t="s">
        <v>100</v>
      </c>
      <c r="BD2071" s="8" t="s">
        <v>100</v>
      </c>
      <c r="BE2071" s="4">
        <v>13</v>
      </c>
      <c r="BF2071" s="8">
        <v>1663.76</v>
      </c>
      <c r="BG2071" s="7" t="s">
        <v>100</v>
      </c>
      <c r="BH2071" s="7" t="s">
        <v>100</v>
      </c>
      <c r="BI2071" s="7"/>
      <c r="BJ2071" s="4">
        <v>15</v>
      </c>
      <c r="BK2071" s="8">
        <v>1899.8</v>
      </c>
      <c r="BL2071" s="2" t="s">
        <v>7167</v>
      </c>
      <c r="BM2071" s="7"/>
      <c r="BN2071" s="7"/>
      <c r="BO2071" s="4"/>
      <c r="BP2071" s="8"/>
      <c r="BQ2071" s="4">
        <v>13</v>
      </c>
      <c r="BR2071" s="8">
        <v>1663.76</v>
      </c>
      <c r="BS2071" s="7">
        <v>-1</v>
      </c>
      <c r="BT2071" s="7">
        <v>-1</v>
      </c>
      <c r="BU2071" s="2" t="s">
        <v>109</v>
      </c>
      <c r="BV2071" s="2" t="s">
        <v>552</v>
      </c>
      <c r="BW2071" s="2" t="s">
        <v>2917</v>
      </c>
      <c r="BX2071" s="2" t="s">
        <v>7168</v>
      </c>
      <c r="BY2071" s="2" t="s">
        <v>112</v>
      </c>
      <c r="BZ2071" s="2" t="s">
        <v>100</v>
      </c>
    </row>
    <row r="2072">
      <c r="A2072" s="2" t="s">
        <v>7169</v>
      </c>
      <c r="B2072" s="2" t="s">
        <v>6098</v>
      </c>
      <c r="C2072" s="2" t="s">
        <v>4479</v>
      </c>
      <c r="D2072" s="2" t="s">
        <v>6763</v>
      </c>
      <c r="E2072" s="2" t="s">
        <v>6764</v>
      </c>
      <c r="F2072" s="2" t="s">
        <v>7163</v>
      </c>
      <c r="G2072" s="2" t="s">
        <v>7163</v>
      </c>
      <c r="H2072" s="2" t="s">
        <v>7163</v>
      </c>
      <c r="I2072" s="2" t="s">
        <v>7170</v>
      </c>
      <c r="J2072" s="2" t="s">
        <v>6103</v>
      </c>
      <c r="K2072" s="2" t="s">
        <v>2066</v>
      </c>
      <c r="L2072" s="3">
        <v>112.71</v>
      </c>
      <c r="M2072" s="3">
        <v>118.35</v>
      </c>
      <c r="N2072" s="3">
        <v>199.74</v>
      </c>
      <c r="O2072" s="2" t="s">
        <v>97</v>
      </c>
      <c r="P2072" s="2" t="s">
        <v>1265</v>
      </c>
      <c r="Q2072" s="2" t="s">
        <v>99</v>
      </c>
      <c r="R2072" s="2" t="s">
        <v>100</v>
      </c>
      <c r="S2072" s="2" t="s">
        <v>7166</v>
      </c>
      <c r="T2072" s="2" t="s">
        <v>100</v>
      </c>
      <c r="U2072" s="2" t="s">
        <v>3531</v>
      </c>
      <c r="V2072" s="2" t="s">
        <v>601</v>
      </c>
      <c r="W2072" s="2" t="s">
        <v>602</v>
      </c>
      <c r="X2072" s="2" t="s">
        <v>1190</v>
      </c>
      <c r="Y2072" s="2" t="s">
        <v>7171</v>
      </c>
      <c r="Z2072" s="4">
        <v>7</v>
      </c>
      <c r="AA2072" s="4">
        <f>=ROUNDDOWN(2.25806451612903,0)</f>
      </c>
      <c r="AB2072" s="5">
        <v>3.1</v>
      </c>
      <c r="AC2072" s="2" t="s">
        <v>6501</v>
      </c>
      <c r="AD2072" s="4">
        <v>100</v>
      </c>
      <c r="AE2072" s="4">
        <v>100</v>
      </c>
      <c r="AF2072" s="6">
        <v>65</v>
      </c>
      <c r="AG2072" s="6"/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59</v>
      </c>
      <c r="BK2072" s="8">
        <v>7609.72</v>
      </c>
      <c r="BL2072" s="2" t="s">
        <v>7172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6185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7173</v>
      </c>
      <c r="B2073" s="2" t="s">
        <v>6098</v>
      </c>
      <c r="C2073" s="2" t="s">
        <v>4479</v>
      </c>
      <c r="D2073" s="2" t="s">
        <v>6763</v>
      </c>
      <c r="E2073" s="2" t="s">
        <v>6781</v>
      </c>
      <c r="F2073" s="2" t="s">
        <v>7135</v>
      </c>
      <c r="G2073" s="2" t="s">
        <v>7135</v>
      </c>
      <c r="H2073" s="2" t="s">
        <v>7135</v>
      </c>
      <c r="I2073" s="2" t="s">
        <v>7174</v>
      </c>
      <c r="J2073" s="2" t="s">
        <v>7114</v>
      </c>
      <c r="K2073" s="2" t="s">
        <v>2066</v>
      </c>
      <c r="L2073" s="3">
        <v>104.91</v>
      </c>
      <c r="M2073" s="3">
        <v>110.16</v>
      </c>
      <c r="N2073" s="3">
        <v>229.49</v>
      </c>
      <c r="O2073" s="2" t="s">
        <v>97</v>
      </c>
      <c r="P2073" s="2" t="s">
        <v>182</v>
      </c>
      <c r="Q2073" s="2" t="s">
        <v>99</v>
      </c>
      <c r="R2073" s="2" t="s">
        <v>100</v>
      </c>
      <c r="S2073" s="2" t="s">
        <v>7155</v>
      </c>
      <c r="T2073" s="2" t="s">
        <v>100</v>
      </c>
      <c r="U2073" s="2" t="s">
        <v>1610</v>
      </c>
      <c r="V2073" s="2" t="s">
        <v>601</v>
      </c>
      <c r="W2073" s="2" t="s">
        <v>602</v>
      </c>
      <c r="X2073" s="2" t="s">
        <v>1190</v>
      </c>
      <c r="Y2073" s="2" t="s">
        <v>6840</v>
      </c>
      <c r="Z2073" s="4">
        <v>50</v>
      </c>
      <c r="AA2073" s="4">
        <f>=ROUNDDOWN(16.6666666666667,0)</f>
      </c>
      <c r="AB2073" s="5">
        <v>3</v>
      </c>
      <c r="AC2073" s="2" t="s">
        <v>100</v>
      </c>
      <c r="AD2073" s="4"/>
      <c r="AE2073" s="4"/>
      <c r="AF2073" s="6">
        <v>65</v>
      </c>
      <c r="AG2073" s="6"/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/>
      <c r="BD2073" s="8"/>
      <c r="BE2073" s="4"/>
      <c r="BF2073" s="8"/>
      <c r="BG2073" s="7"/>
      <c r="BH2073" s="7"/>
      <c r="BI2073" s="7"/>
      <c r="BJ2073" s="4">
        <v>63</v>
      </c>
      <c r="BK2073" s="8">
        <v>7862.25</v>
      </c>
      <c r="BL2073" s="2" t="s">
        <v>7175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6185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7176</v>
      </c>
      <c r="B2074" s="2" t="s">
        <v>6098</v>
      </c>
      <c r="C2074" s="2" t="s">
        <v>4479</v>
      </c>
      <c r="D2074" s="2" t="s">
        <v>6099</v>
      </c>
      <c r="E2074" s="2" t="s">
        <v>6377</v>
      </c>
      <c r="F2074" s="2" t="s">
        <v>7177</v>
      </c>
      <c r="G2074" s="2" t="s">
        <v>7177</v>
      </c>
      <c r="H2074" s="2" t="s">
        <v>7177</v>
      </c>
      <c r="I2074" s="2" t="s">
        <v>7178</v>
      </c>
      <c r="J2074" s="2" t="s">
        <v>6103</v>
      </c>
      <c r="K2074" s="2" t="s">
        <v>158</v>
      </c>
      <c r="L2074" s="3">
        <v>41.7</v>
      </c>
      <c r="M2074" s="3">
        <v>43.78</v>
      </c>
      <c r="N2074" s="3">
        <v>84.99</v>
      </c>
      <c r="O2074" s="2" t="s">
        <v>97</v>
      </c>
      <c r="P2074" s="2" t="s">
        <v>198</v>
      </c>
      <c r="Q2074" s="2" t="s">
        <v>99</v>
      </c>
      <c r="R2074" s="2" t="s">
        <v>100</v>
      </c>
      <c r="S2074" s="2" t="s">
        <v>7179</v>
      </c>
      <c r="T2074" s="2" t="s">
        <v>100</v>
      </c>
      <c r="U2074" s="2" t="s">
        <v>3531</v>
      </c>
      <c r="V2074" s="2" t="s">
        <v>1122</v>
      </c>
      <c r="W2074" s="2" t="s">
        <v>602</v>
      </c>
      <c r="X2074" s="2" t="s">
        <v>100</v>
      </c>
      <c r="Y2074" s="2" t="s">
        <v>6401</v>
      </c>
      <c r="Z2074" s="4">
        <v>33</v>
      </c>
      <c r="AA2074" s="4">
        <f>=ROUNDDOWN(16.5,0)</f>
      </c>
      <c r="AB2074" s="5">
        <v>2</v>
      </c>
      <c r="AC2074" s="2" t="s">
        <v>100</v>
      </c>
      <c r="AD2074" s="4"/>
      <c r="AE2074" s="4"/>
      <c r="AF2074" s="6">
        <v>63</v>
      </c>
      <c r="AG2074" s="6"/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>
        <v>0</v>
      </c>
      <c r="AP2074" s="4">
        <v>3</v>
      </c>
      <c r="AQ2074" s="8">
        <v>131.37</v>
      </c>
      <c r="AR2074" s="4">
        <v>15</v>
      </c>
      <c r="AS2074" s="8">
        <v>681.15</v>
      </c>
      <c r="AT2074" s="7">
        <v>-0.8</v>
      </c>
      <c r="AU2074" s="7">
        <v>-0.8071</v>
      </c>
      <c r="AV2074" s="4">
        <v>3</v>
      </c>
      <c r="AW2074" s="8">
        <v>131.37</v>
      </c>
      <c r="AX2074" s="4">
        <v>15</v>
      </c>
      <c r="AY2074" s="8">
        <v>681.15</v>
      </c>
      <c r="AZ2074" s="7">
        <v>-0.8</v>
      </c>
      <c r="BA2074" s="7">
        <v>-0.8071</v>
      </c>
      <c r="BB2074" s="7">
        <v>1</v>
      </c>
      <c r="BC2074" s="4">
        <v>3</v>
      </c>
      <c r="BD2074" s="8">
        <v>131.37</v>
      </c>
      <c r="BE2074" s="4">
        <v>15</v>
      </c>
      <c r="BF2074" s="8">
        <v>681.15</v>
      </c>
      <c r="BG2074" s="7">
        <v>-0.8</v>
      </c>
      <c r="BH2074" s="7">
        <v>-0.8071</v>
      </c>
      <c r="BI2074" s="7">
        <v>1</v>
      </c>
      <c r="BJ2074" s="4">
        <v>38</v>
      </c>
      <c r="BK2074" s="8">
        <v>1831.14</v>
      </c>
      <c r="BL2074" s="2" t="s">
        <v>7180</v>
      </c>
      <c r="BM2074" s="7">
        <v>0.0789</v>
      </c>
      <c r="BN2074" s="7">
        <v>0.0717</v>
      </c>
      <c r="BO2074" s="4">
        <v>3</v>
      </c>
      <c r="BP2074" s="8">
        <v>131.37</v>
      </c>
      <c r="BQ2074" s="4">
        <v>15</v>
      </c>
      <c r="BR2074" s="8">
        <v>681.15</v>
      </c>
      <c r="BS2074" s="7">
        <v>-0.8</v>
      </c>
      <c r="BT2074" s="7">
        <v>-0.8071</v>
      </c>
      <c r="BU2074" s="2" t="s">
        <v>109</v>
      </c>
      <c r="BV2074" s="2" t="s">
        <v>97</v>
      </c>
      <c r="BW2074" s="2" t="s">
        <v>6110</v>
      </c>
      <c r="BX2074" s="2" t="s">
        <v>4459</v>
      </c>
      <c r="BY2074" s="2" t="s">
        <v>112</v>
      </c>
      <c r="BZ2074" s="2" t="s">
        <v>100</v>
      </c>
    </row>
    <row r="2075">
      <c r="A2075" s="2" t="s">
        <v>7181</v>
      </c>
      <c r="B2075" s="2" t="s">
        <v>6098</v>
      </c>
      <c r="C2075" s="2" t="s">
        <v>7182</v>
      </c>
      <c r="D2075" s="2" t="s">
        <v>6099</v>
      </c>
      <c r="E2075" s="2" t="s">
        <v>6377</v>
      </c>
      <c r="F2075" s="2" t="s">
        <v>7183</v>
      </c>
      <c r="G2075" s="2" t="s">
        <v>7183</v>
      </c>
      <c r="H2075" s="2" t="s">
        <v>7183</v>
      </c>
      <c r="I2075" s="2" t="s">
        <v>6410</v>
      </c>
      <c r="J2075" s="2" t="s">
        <v>6103</v>
      </c>
      <c r="K2075" s="2" t="s">
        <v>7184</v>
      </c>
      <c r="L2075" s="3">
        <v>37.27</v>
      </c>
      <c r="M2075" s="3">
        <v>39.13</v>
      </c>
      <c r="N2075" s="3">
        <v>76.49</v>
      </c>
      <c r="O2075" s="2" t="s">
        <v>97</v>
      </c>
      <c r="P2075" s="2" t="s">
        <v>1265</v>
      </c>
      <c r="Q2075" s="2" t="s">
        <v>99</v>
      </c>
      <c r="R2075" s="2" t="s">
        <v>100</v>
      </c>
      <c r="S2075" s="2" t="s">
        <v>7185</v>
      </c>
      <c r="T2075" s="2" t="s">
        <v>100</v>
      </c>
      <c r="U2075" s="2" t="s">
        <v>1610</v>
      </c>
      <c r="V2075" s="2" t="s">
        <v>991</v>
      </c>
      <c r="W2075" s="2" t="s">
        <v>602</v>
      </c>
      <c r="X2075" s="2" t="s">
        <v>2195</v>
      </c>
      <c r="Y2075" s="2" t="s">
        <v>150</v>
      </c>
      <c r="Z2075" s="4">
        <v>137</v>
      </c>
      <c r="AA2075" s="4">
        <f>=ROUNDDOWN(45.6666666666667,0)</f>
      </c>
      <c r="AB2075" s="5">
        <v>3</v>
      </c>
      <c r="AC2075" s="2" t="s">
        <v>100</v>
      </c>
      <c r="AD2075" s="4"/>
      <c r="AE2075" s="4"/>
      <c r="AF2075" s="6">
        <v>63</v>
      </c>
      <c r="AG2075" s="6"/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>
        <v>0</v>
      </c>
      <c r="AP2075" s="4">
        <v>10</v>
      </c>
      <c r="AQ2075" s="8">
        <v>391.4</v>
      </c>
      <c r="AR2075" s="4">
        <v>14</v>
      </c>
      <c r="AS2075" s="8">
        <v>582.46</v>
      </c>
      <c r="AT2075" s="7">
        <v>-0.2857</v>
      </c>
      <c r="AU2075" s="7">
        <v>-0.328</v>
      </c>
      <c r="AV2075" s="4">
        <v>10</v>
      </c>
      <c r="AW2075" s="8">
        <v>391.4</v>
      </c>
      <c r="AX2075" s="4">
        <v>14</v>
      </c>
      <c r="AY2075" s="8">
        <v>582.46</v>
      </c>
      <c r="AZ2075" s="7">
        <v>-0.2857</v>
      </c>
      <c r="BA2075" s="7">
        <v>-0.328</v>
      </c>
      <c r="BB2075" s="7">
        <v>1</v>
      </c>
      <c r="BC2075" s="4">
        <v>10</v>
      </c>
      <c r="BD2075" s="8">
        <v>391.4</v>
      </c>
      <c r="BE2075" s="4">
        <v>14</v>
      </c>
      <c r="BF2075" s="8">
        <v>582.46</v>
      </c>
      <c r="BG2075" s="7">
        <v>-0.2857</v>
      </c>
      <c r="BH2075" s="7">
        <v>-0.328</v>
      </c>
      <c r="BI2075" s="7">
        <v>1</v>
      </c>
      <c r="BJ2075" s="4">
        <v>65</v>
      </c>
      <c r="BK2075" s="8">
        <v>2713.23</v>
      </c>
      <c r="BL2075" s="2" t="s">
        <v>7186</v>
      </c>
      <c r="BM2075" s="7">
        <v>0.1538</v>
      </c>
      <c r="BN2075" s="7">
        <v>0.1443</v>
      </c>
      <c r="BO2075" s="4">
        <v>10</v>
      </c>
      <c r="BP2075" s="8">
        <v>391.4</v>
      </c>
      <c r="BQ2075" s="4">
        <v>14</v>
      </c>
      <c r="BR2075" s="8">
        <v>582.46</v>
      </c>
      <c r="BS2075" s="7">
        <v>-0.2857</v>
      </c>
      <c r="BT2075" s="7">
        <v>-0.328</v>
      </c>
      <c r="BU2075" s="2" t="s">
        <v>109</v>
      </c>
      <c r="BV2075" s="2" t="s">
        <v>97</v>
      </c>
      <c r="BW2075" s="2" t="s">
        <v>6110</v>
      </c>
      <c r="BX2075" s="2" t="s">
        <v>6148</v>
      </c>
      <c r="BY2075" s="2" t="s">
        <v>112</v>
      </c>
      <c r="BZ2075" s="2" t="s">
        <v>100</v>
      </c>
    </row>
    <row r="2076">
      <c r="A2076" s="2" t="s">
        <v>7187</v>
      </c>
      <c r="B2076" s="2" t="s">
        <v>6098</v>
      </c>
      <c r="C2076" s="2" t="s">
        <v>7182</v>
      </c>
      <c r="D2076" s="2" t="s">
        <v>6099</v>
      </c>
      <c r="E2076" s="2" t="s">
        <v>6377</v>
      </c>
      <c r="F2076" s="2" t="s">
        <v>7188</v>
      </c>
      <c r="G2076" s="2" t="s">
        <v>7188</v>
      </c>
      <c r="H2076" s="2" t="s">
        <v>7188</v>
      </c>
      <c r="I2076" s="2" t="s">
        <v>6432</v>
      </c>
      <c r="J2076" s="2" t="s">
        <v>6103</v>
      </c>
      <c r="K2076" s="2" t="s">
        <v>4080</v>
      </c>
      <c r="L2076" s="3">
        <v>29.35</v>
      </c>
      <c r="M2076" s="3">
        <v>30.82</v>
      </c>
      <c r="N2076" s="3">
        <v>59.49</v>
      </c>
      <c r="O2076" s="2" t="s">
        <v>97</v>
      </c>
      <c r="P2076" s="2" t="s">
        <v>198</v>
      </c>
      <c r="Q2076" s="2" t="s">
        <v>99</v>
      </c>
      <c r="R2076" s="2" t="s">
        <v>100</v>
      </c>
      <c r="S2076" s="2" t="s">
        <v>7189</v>
      </c>
      <c r="T2076" s="2" t="s">
        <v>100</v>
      </c>
      <c r="U2076" s="2" t="s">
        <v>2104</v>
      </c>
      <c r="V2076" s="2" t="s">
        <v>991</v>
      </c>
      <c r="W2076" s="2" t="s">
        <v>602</v>
      </c>
      <c r="X2076" s="2" t="s">
        <v>100</v>
      </c>
      <c r="Y2076" s="2" t="s">
        <v>6284</v>
      </c>
      <c r="Z2076" s="4">
        <v>18</v>
      </c>
      <c r="AA2076" s="4">
        <f>=ROUNDDOWN(12,0)</f>
      </c>
      <c r="AB2076" s="5">
        <v>1.5</v>
      </c>
      <c r="AC2076" s="2" t="s">
        <v>100</v>
      </c>
      <c r="AD2076" s="4"/>
      <c r="AE2076" s="4"/>
      <c r="AF2076" s="6">
        <v>63</v>
      </c>
      <c r="AG2076" s="6"/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>
        <v>0</v>
      </c>
      <c r="AP2076" s="4">
        <v>7</v>
      </c>
      <c r="AQ2076" s="8">
        <v>215.74</v>
      </c>
      <c r="AR2076" s="4">
        <v>12</v>
      </c>
      <c r="AS2076" s="8">
        <v>407.92</v>
      </c>
      <c r="AT2076" s="7">
        <v>-0.4167</v>
      </c>
      <c r="AU2076" s="7">
        <v>-0.4711</v>
      </c>
      <c r="AV2076" s="4">
        <v>7</v>
      </c>
      <c r="AW2076" s="8">
        <v>215.74</v>
      </c>
      <c r="AX2076" s="4">
        <v>12</v>
      </c>
      <c r="AY2076" s="8">
        <v>407.92</v>
      </c>
      <c r="AZ2076" s="7">
        <v>-0.4167</v>
      </c>
      <c r="BA2076" s="7">
        <v>-0.4711</v>
      </c>
      <c r="BB2076" s="7">
        <v>1</v>
      </c>
      <c r="BC2076" s="4">
        <v>7</v>
      </c>
      <c r="BD2076" s="8">
        <v>215.74</v>
      </c>
      <c r="BE2076" s="4">
        <v>12</v>
      </c>
      <c r="BF2076" s="8">
        <v>407.92</v>
      </c>
      <c r="BG2076" s="7">
        <v>-0.4167</v>
      </c>
      <c r="BH2076" s="7">
        <v>-0.4711</v>
      </c>
      <c r="BI2076" s="7">
        <v>1</v>
      </c>
      <c r="BJ2076" s="4">
        <v>64</v>
      </c>
      <c r="BK2076" s="8">
        <v>2229.44</v>
      </c>
      <c r="BL2076" s="2" t="s">
        <v>7190</v>
      </c>
      <c r="BM2076" s="7">
        <v>0.1094</v>
      </c>
      <c r="BN2076" s="7">
        <v>0.0968</v>
      </c>
      <c r="BO2076" s="4">
        <v>7</v>
      </c>
      <c r="BP2076" s="8">
        <v>215.74</v>
      </c>
      <c r="BQ2076" s="4">
        <v>12</v>
      </c>
      <c r="BR2076" s="8">
        <v>407.92</v>
      </c>
      <c r="BS2076" s="7">
        <v>-0.4167</v>
      </c>
      <c r="BT2076" s="7">
        <v>-0.4711</v>
      </c>
      <c r="BU2076" s="2" t="s">
        <v>109</v>
      </c>
      <c r="BV2076" s="2" t="s">
        <v>97</v>
      </c>
      <c r="BW2076" s="2" t="s">
        <v>918</v>
      </c>
      <c r="BX2076" s="2" t="s">
        <v>460</v>
      </c>
      <c r="BY2076" s="2" t="s">
        <v>112</v>
      </c>
      <c r="BZ2076" s="2" t="s">
        <v>100</v>
      </c>
    </row>
    <row r="2077">
      <c r="A2077" s="2" t="s">
        <v>7191</v>
      </c>
      <c r="B2077" s="2" t="s">
        <v>6098</v>
      </c>
      <c r="C2077" s="2" t="s">
        <v>7182</v>
      </c>
      <c r="D2077" s="2" t="s">
        <v>6099</v>
      </c>
      <c r="E2077" s="2" t="s">
        <v>6377</v>
      </c>
      <c r="F2077" s="2" t="s">
        <v>7192</v>
      </c>
      <c r="G2077" s="2" t="s">
        <v>7192</v>
      </c>
      <c r="H2077" s="2" t="s">
        <v>7192</v>
      </c>
      <c r="I2077" s="2" t="s">
        <v>7193</v>
      </c>
      <c r="J2077" s="2" t="s">
        <v>6103</v>
      </c>
      <c r="K2077" s="2" t="s">
        <v>298</v>
      </c>
      <c r="L2077" s="3">
        <v>44.05</v>
      </c>
      <c r="M2077" s="3">
        <v>46.25</v>
      </c>
      <c r="N2077" s="3">
        <v>84.99</v>
      </c>
      <c r="O2077" s="2" t="s">
        <v>97</v>
      </c>
      <c r="P2077" s="2" t="s">
        <v>182</v>
      </c>
      <c r="Q2077" s="2" t="s">
        <v>99</v>
      </c>
      <c r="R2077" s="2" t="s">
        <v>100</v>
      </c>
      <c r="S2077" s="2" t="s">
        <v>7194</v>
      </c>
      <c r="T2077" s="2" t="s">
        <v>100</v>
      </c>
      <c r="U2077" s="2" t="s">
        <v>2104</v>
      </c>
      <c r="V2077" s="2" t="s">
        <v>4714</v>
      </c>
      <c r="W2077" s="2" t="s">
        <v>1530</v>
      </c>
      <c r="X2077" s="2" t="s">
        <v>100</v>
      </c>
      <c r="Y2077" s="2" t="s">
        <v>106</v>
      </c>
      <c r="Z2077" s="4">
        <v>83</v>
      </c>
      <c r="AA2077" s="4">
        <f>=ROUNDDOWN(37.7272727272727,0)</f>
      </c>
      <c r="AB2077" s="5">
        <v>2.2</v>
      </c>
      <c r="AC2077" s="2" t="s">
        <v>100</v>
      </c>
      <c r="AD2077" s="4"/>
      <c r="AE2077" s="4"/>
      <c r="AF2077" s="6">
        <v>63</v>
      </c>
      <c r="AG2077" s="6"/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>
        <v>0</v>
      </c>
      <c r="AP2077" s="4">
        <v>1</v>
      </c>
      <c r="AQ2077" s="8">
        <v>46.25</v>
      </c>
      <c r="AR2077" s="4">
        <v>2</v>
      </c>
      <c r="AS2077" s="8">
        <v>102.78</v>
      </c>
      <c r="AT2077" s="7">
        <v>-0.5</v>
      </c>
      <c r="AU2077" s="7">
        <v>-0.55</v>
      </c>
      <c r="AV2077" s="4">
        <v>1</v>
      </c>
      <c r="AW2077" s="8">
        <v>46.25</v>
      </c>
      <c r="AX2077" s="4">
        <v>2</v>
      </c>
      <c r="AY2077" s="8">
        <v>102.78</v>
      </c>
      <c r="AZ2077" s="7">
        <v>-0.5</v>
      </c>
      <c r="BA2077" s="7">
        <v>-0.55</v>
      </c>
      <c r="BB2077" s="7">
        <v>1</v>
      </c>
      <c r="BC2077" s="4">
        <v>1</v>
      </c>
      <c r="BD2077" s="8">
        <v>46.25</v>
      </c>
      <c r="BE2077" s="4">
        <v>2</v>
      </c>
      <c r="BF2077" s="8">
        <v>102.78</v>
      </c>
      <c r="BG2077" s="7">
        <v>-0.5</v>
      </c>
      <c r="BH2077" s="7">
        <v>-0.55</v>
      </c>
      <c r="BI2077" s="7">
        <v>1</v>
      </c>
      <c r="BJ2077" s="4">
        <v>58</v>
      </c>
      <c r="BK2077" s="8">
        <v>3232.65</v>
      </c>
      <c r="BL2077" s="2" t="s">
        <v>7195</v>
      </c>
      <c r="BM2077" s="7">
        <v>0.0172</v>
      </c>
      <c r="BN2077" s="7">
        <v>0.0143</v>
      </c>
      <c r="BO2077" s="4">
        <v>1</v>
      </c>
      <c r="BP2077" s="8">
        <v>46.25</v>
      </c>
      <c r="BQ2077" s="4">
        <v>2</v>
      </c>
      <c r="BR2077" s="8">
        <v>102.78</v>
      </c>
      <c r="BS2077" s="7">
        <v>-0.5</v>
      </c>
      <c r="BT2077" s="7">
        <v>-0.55</v>
      </c>
      <c r="BU2077" s="2" t="s">
        <v>109</v>
      </c>
      <c r="BV2077" s="2" t="s">
        <v>97</v>
      </c>
      <c r="BW2077" s="2" t="s">
        <v>918</v>
      </c>
      <c r="BX2077" s="2" t="s">
        <v>7196</v>
      </c>
      <c r="BY2077" s="2" t="s">
        <v>112</v>
      </c>
      <c r="BZ2077" s="2" t="s">
        <v>100</v>
      </c>
    </row>
    <row r="2078">
      <c r="A2078" s="2" t="s">
        <v>7197</v>
      </c>
      <c r="B2078" s="2" t="s">
        <v>6098</v>
      </c>
      <c r="C2078" s="2" t="s">
        <v>7182</v>
      </c>
      <c r="D2078" s="2" t="s">
        <v>6099</v>
      </c>
      <c r="E2078" s="2" t="s">
        <v>6377</v>
      </c>
      <c r="F2078" s="2" t="s">
        <v>7198</v>
      </c>
      <c r="G2078" s="2" t="s">
        <v>7198</v>
      </c>
      <c r="H2078" s="2" t="s">
        <v>7198</v>
      </c>
      <c r="I2078" s="2" t="s">
        <v>7199</v>
      </c>
      <c r="J2078" s="2" t="s">
        <v>6103</v>
      </c>
      <c r="K2078" s="2" t="s">
        <v>1767</v>
      </c>
      <c r="L2078" s="3">
        <v>45.32</v>
      </c>
      <c r="M2078" s="3">
        <v>47.59</v>
      </c>
      <c r="N2078" s="3">
        <v>92.49</v>
      </c>
      <c r="O2078" s="2" t="s">
        <v>550</v>
      </c>
      <c r="P2078" s="2" t="s">
        <v>198</v>
      </c>
      <c r="Q2078" s="2" t="s">
        <v>99</v>
      </c>
      <c r="R2078" s="2" t="s">
        <v>100</v>
      </c>
      <c r="S2078" s="2" t="s">
        <v>7200</v>
      </c>
      <c r="T2078" s="2" t="s">
        <v>100</v>
      </c>
      <c r="U2078" s="2" t="s">
        <v>2104</v>
      </c>
      <c r="V2078" s="2" t="s">
        <v>1122</v>
      </c>
      <c r="W2078" s="2" t="s">
        <v>602</v>
      </c>
      <c r="X2078" s="2" t="s">
        <v>100</v>
      </c>
      <c r="Y2078" s="2" t="s">
        <v>5573</v>
      </c>
      <c r="Z2078" s="4">
        <v>79</v>
      </c>
      <c r="AA2078" s="4">
        <f>=ROUNDDOWN(263.333333333333,0)</f>
      </c>
      <c r="AB2078" s="5">
        <v>0.3</v>
      </c>
      <c r="AC2078" s="2" t="s">
        <v>100</v>
      </c>
      <c r="AD2078" s="4"/>
      <c r="AE2078" s="4"/>
      <c r="AF2078" s="6">
        <v>63</v>
      </c>
      <c r="AG2078" s="6"/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/>
      <c r="BD2078" s="8"/>
      <c r="BE2078" s="4"/>
      <c r="BF2078" s="8"/>
      <c r="BG2078" s="7"/>
      <c r="BH2078" s="7"/>
      <c r="BI2078" s="7"/>
      <c r="BJ2078" s="4">
        <v>15</v>
      </c>
      <c r="BK2078" s="8">
        <v>711.5</v>
      </c>
      <c r="BL2078" s="2" t="s">
        <v>7201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147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7202</v>
      </c>
      <c r="B2079" s="2" t="s">
        <v>6098</v>
      </c>
      <c r="C2079" s="2" t="s">
        <v>7182</v>
      </c>
      <c r="D2079" s="2" t="s">
        <v>6099</v>
      </c>
      <c r="E2079" s="2" t="s">
        <v>6100</v>
      </c>
      <c r="F2079" s="2" t="s">
        <v>7203</v>
      </c>
      <c r="G2079" s="2" t="s">
        <v>7203</v>
      </c>
      <c r="H2079" s="2" t="s">
        <v>7203</v>
      </c>
      <c r="I2079" s="2" t="s">
        <v>7204</v>
      </c>
      <c r="J2079" s="2" t="s">
        <v>6103</v>
      </c>
      <c r="K2079" s="2" t="s">
        <v>622</v>
      </c>
      <c r="L2079" s="3">
        <v>48.92</v>
      </c>
      <c r="M2079" s="3">
        <v>51.37</v>
      </c>
      <c r="N2079" s="3">
        <v>108.49</v>
      </c>
      <c r="O2079" s="2" t="s">
        <v>229</v>
      </c>
      <c r="P2079" s="2" t="s">
        <v>198</v>
      </c>
      <c r="Q2079" s="2" t="s">
        <v>99</v>
      </c>
      <c r="R2079" s="2" t="s">
        <v>100</v>
      </c>
      <c r="S2079" s="2" t="s">
        <v>7205</v>
      </c>
      <c r="T2079" s="2" t="s">
        <v>100</v>
      </c>
      <c r="U2079" s="2" t="s">
        <v>1610</v>
      </c>
      <c r="V2079" s="2" t="s">
        <v>1122</v>
      </c>
      <c r="W2079" s="2" t="s">
        <v>602</v>
      </c>
      <c r="X2079" s="2" t="s">
        <v>100</v>
      </c>
      <c r="Y2079" s="2" t="s">
        <v>106</v>
      </c>
      <c r="Z2079" s="4"/>
      <c r="AA2079" s="4">
        <f>=ROUNDDOWN({0},0)</f>
      </c>
      <c r="AB2079" s="5"/>
      <c r="AC2079" s="2" t="s">
        <v>100</v>
      </c>
      <c r="AD2079" s="4"/>
      <c r="AE2079" s="4"/>
      <c r="AF2079" s="6">
        <v>63</v>
      </c>
      <c r="AG2079" s="6"/>
      <c r="AH2079" s="7">
        <v>0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>
        <v>0</v>
      </c>
      <c r="AP2079" s="4"/>
      <c r="AQ2079" s="8"/>
      <c r="AR2079" s="4">
        <v>1</v>
      </c>
      <c r="AS2079" s="8">
        <v>51.37</v>
      </c>
      <c r="AT2079" s="7">
        <v>-1</v>
      </c>
      <c r="AU2079" s="7">
        <v>-1</v>
      </c>
      <c r="AV2079" s="4"/>
      <c r="AW2079" s="8"/>
      <c r="AX2079" s="4">
        <v>1</v>
      </c>
      <c r="AY2079" s="8">
        <v>51.37</v>
      </c>
      <c r="AZ2079" s="7">
        <v>-1</v>
      </c>
      <c r="BA2079" s="7">
        <v>-1</v>
      </c>
      <c r="BB2079" s="7"/>
      <c r="BC2079" s="4"/>
      <c r="BD2079" s="8"/>
      <c r="BE2079" s="4">
        <v>1</v>
      </c>
      <c r="BF2079" s="8">
        <v>51.37</v>
      </c>
      <c r="BG2079" s="7">
        <v>-1</v>
      </c>
      <c r="BH2079" s="7">
        <v>-1</v>
      </c>
      <c r="BI2079" s="7"/>
      <c r="BJ2079" s="4"/>
      <c r="BK2079" s="8"/>
      <c r="BL2079" s="2" t="s">
        <v>7206</v>
      </c>
      <c r="BM2079" s="7"/>
      <c r="BN2079" s="7"/>
      <c r="BO2079" s="4"/>
      <c r="BP2079" s="8"/>
      <c r="BQ2079" s="4">
        <v>1</v>
      </c>
      <c r="BR2079" s="8">
        <v>51.37</v>
      </c>
      <c r="BS2079" s="7">
        <v>-1</v>
      </c>
      <c r="BT2079" s="7">
        <v>-1</v>
      </c>
      <c r="BU2079" s="2" t="s">
        <v>109</v>
      </c>
      <c r="BV2079" s="2" t="s">
        <v>552</v>
      </c>
      <c r="BW2079" s="2" t="s">
        <v>918</v>
      </c>
      <c r="BX2079" s="2" t="s">
        <v>6545</v>
      </c>
      <c r="BY2079" s="2" t="s">
        <v>112</v>
      </c>
      <c r="BZ2079" s="2" t="s">
        <v>100</v>
      </c>
    </row>
    <row r="2080">
      <c r="A2080" s="2" t="s">
        <v>7207</v>
      </c>
      <c r="B2080" s="2" t="s">
        <v>6098</v>
      </c>
      <c r="C2080" s="2" t="s">
        <v>7182</v>
      </c>
      <c r="D2080" s="2" t="s">
        <v>6099</v>
      </c>
      <c r="E2080" s="2" t="s">
        <v>6100</v>
      </c>
      <c r="F2080" s="2" t="s">
        <v>7208</v>
      </c>
      <c r="G2080" s="2" t="s">
        <v>7208</v>
      </c>
      <c r="H2080" s="2" t="s">
        <v>7208</v>
      </c>
      <c r="I2080" s="2" t="s">
        <v>7209</v>
      </c>
      <c r="J2080" s="2" t="s">
        <v>6103</v>
      </c>
      <c r="K2080" s="2" t="s">
        <v>1767</v>
      </c>
      <c r="L2080" s="3">
        <v>38.57</v>
      </c>
      <c r="M2080" s="3">
        <v>40.5</v>
      </c>
      <c r="N2080" s="3">
        <v>89.99</v>
      </c>
      <c r="O2080" s="2" t="s">
        <v>550</v>
      </c>
      <c r="P2080" s="2" t="s">
        <v>198</v>
      </c>
      <c r="Q2080" s="2" t="s">
        <v>99</v>
      </c>
      <c r="R2080" s="2" t="s">
        <v>100</v>
      </c>
      <c r="S2080" s="2" t="s">
        <v>7210</v>
      </c>
      <c r="T2080" s="2" t="s">
        <v>100</v>
      </c>
      <c r="U2080" s="2" t="s">
        <v>1610</v>
      </c>
      <c r="V2080" s="2" t="s">
        <v>1122</v>
      </c>
      <c r="W2080" s="2" t="s">
        <v>602</v>
      </c>
      <c r="X2080" s="2" t="s">
        <v>759</v>
      </c>
      <c r="Y2080" s="2" t="s">
        <v>3599</v>
      </c>
      <c r="Z2080" s="4">
        <v>60</v>
      </c>
      <c r="AA2080" s="4">
        <f>=ROUNDDOWN(600,0)</f>
      </c>
      <c r="AB2080" s="5">
        <v>0.1</v>
      </c>
      <c r="AC2080" s="2" t="s">
        <v>100</v>
      </c>
      <c r="AD2080" s="4"/>
      <c r="AE2080" s="4"/>
      <c r="AF2080" s="6">
        <v>63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/>
      <c r="AW2080" s="8"/>
      <c r="AX2080" s="4"/>
      <c r="AY2080" s="8"/>
      <c r="AZ2080" s="7"/>
      <c r="BA2080" s="7"/>
      <c r="BB2080" s="7"/>
      <c r="BC2080" s="4"/>
      <c r="BD2080" s="8"/>
      <c r="BE2080" s="4"/>
      <c r="BF2080" s="8"/>
      <c r="BG2080" s="7"/>
      <c r="BH2080" s="7"/>
      <c r="BI2080" s="7"/>
      <c r="BJ2080" s="4">
        <v>14</v>
      </c>
      <c r="BK2080" s="8">
        <v>390.76</v>
      </c>
      <c r="BL2080" s="2" t="s">
        <v>7211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147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7212</v>
      </c>
      <c r="B2081" s="2" t="s">
        <v>6098</v>
      </c>
      <c r="C2081" s="2" t="s">
        <v>7182</v>
      </c>
      <c r="D2081" s="2" t="s">
        <v>6686</v>
      </c>
      <c r="E2081" s="2" t="s">
        <v>6377</v>
      </c>
      <c r="F2081" s="2" t="s">
        <v>7213</v>
      </c>
      <c r="G2081" s="2" t="s">
        <v>7213</v>
      </c>
      <c r="H2081" s="2" t="s">
        <v>7213</v>
      </c>
      <c r="I2081" s="2" t="s">
        <v>7214</v>
      </c>
      <c r="J2081" s="2" t="s">
        <v>6103</v>
      </c>
      <c r="K2081" s="2" t="s">
        <v>1637</v>
      </c>
      <c r="L2081" s="3">
        <v>27.2</v>
      </c>
      <c r="M2081" s="3">
        <v>28.56</v>
      </c>
      <c r="N2081" s="3">
        <v>59.49</v>
      </c>
      <c r="O2081" s="2" t="s">
        <v>97</v>
      </c>
      <c r="P2081" s="2" t="s">
        <v>198</v>
      </c>
      <c r="Q2081" s="2" t="s">
        <v>99</v>
      </c>
      <c r="R2081" s="2" t="s">
        <v>100</v>
      </c>
      <c r="S2081" s="2" t="s">
        <v>100</v>
      </c>
      <c r="T2081" s="2" t="s">
        <v>100</v>
      </c>
      <c r="U2081" s="2" t="s">
        <v>2104</v>
      </c>
      <c r="V2081" s="2" t="s">
        <v>1752</v>
      </c>
      <c r="W2081" s="2" t="s">
        <v>759</v>
      </c>
      <c r="X2081" s="2" t="s">
        <v>100</v>
      </c>
      <c r="Y2081" s="2" t="s">
        <v>3383</v>
      </c>
      <c r="Z2081" s="4">
        <v>60</v>
      </c>
      <c r="AA2081" s="4">
        <f>=ROUNDDOWN(30,0)</f>
      </c>
      <c r="AB2081" s="5">
        <v>2</v>
      </c>
      <c r="AC2081" s="2" t="s">
        <v>100</v>
      </c>
      <c r="AD2081" s="4"/>
      <c r="AE2081" s="4"/>
      <c r="AF2081" s="6">
        <v>63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/>
      <c r="AW2081" s="8"/>
      <c r="AX2081" s="4"/>
      <c r="AY2081" s="8"/>
      <c r="AZ2081" s="7"/>
      <c r="BA2081" s="7"/>
      <c r="BB2081" s="7"/>
      <c r="BC2081" s="4"/>
      <c r="BD2081" s="8"/>
      <c r="BE2081" s="4"/>
      <c r="BF2081" s="8"/>
      <c r="BG2081" s="7"/>
      <c r="BH2081" s="7"/>
      <c r="BI2081" s="7"/>
      <c r="BJ2081" s="4">
        <v>29</v>
      </c>
      <c r="BK2081" s="8">
        <v>959.39</v>
      </c>
      <c r="BL2081" s="2" t="s">
        <v>7215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6185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7216</v>
      </c>
      <c r="B2082" s="2" t="s">
        <v>6098</v>
      </c>
      <c r="C2082" s="2" t="s">
        <v>5982</v>
      </c>
      <c r="D2082" s="2" t="s">
        <v>6819</v>
      </c>
      <c r="E2082" s="2" t="s">
        <v>6820</v>
      </c>
      <c r="F2082" s="2" t="s">
        <v>7217</v>
      </c>
      <c r="G2082" s="2" t="s">
        <v>100</v>
      </c>
      <c r="H2082" s="2" t="s">
        <v>100</v>
      </c>
      <c r="I2082" s="2" t="s">
        <v>7218</v>
      </c>
      <c r="J2082" s="2" t="s">
        <v>6103</v>
      </c>
      <c r="K2082" s="2" t="s">
        <v>142</v>
      </c>
      <c r="L2082" s="3">
        <v>20.77</v>
      </c>
      <c r="M2082" s="3">
        <v>21.81</v>
      </c>
      <c r="N2082" s="3">
        <v>47.49</v>
      </c>
      <c r="O2082" s="2" t="s">
        <v>97</v>
      </c>
      <c r="P2082" s="2" t="s">
        <v>198</v>
      </c>
      <c r="Q2082" s="2" t="s">
        <v>99</v>
      </c>
      <c r="R2082" s="2" t="s">
        <v>100</v>
      </c>
      <c r="S2082" s="2" t="s">
        <v>7219</v>
      </c>
      <c r="T2082" s="2" t="s">
        <v>100</v>
      </c>
      <c r="U2082" s="2" t="s">
        <v>1610</v>
      </c>
      <c r="V2082" s="2" t="s">
        <v>1020</v>
      </c>
      <c r="W2082" s="2" t="s">
        <v>759</v>
      </c>
      <c r="X2082" s="2" t="s">
        <v>100</v>
      </c>
      <c r="Y2082" s="2" t="s">
        <v>6216</v>
      </c>
      <c r="Z2082" s="4">
        <v>77</v>
      </c>
      <c r="AA2082" s="4">
        <f>=ROUNDDOWN(25.6666666666667,0)</f>
      </c>
      <c r="AB2082" s="5">
        <v>3</v>
      </c>
      <c r="AC2082" s="2" t="s">
        <v>100</v>
      </c>
      <c r="AD2082" s="4"/>
      <c r="AE2082" s="4"/>
      <c r="AF2082" s="6">
        <v>63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>
        <v>0</v>
      </c>
      <c r="AP2082" s="4">
        <v>6</v>
      </c>
      <c r="AQ2082" s="8">
        <v>130.8</v>
      </c>
      <c r="AR2082" s="4">
        <v>4</v>
      </c>
      <c r="AS2082" s="8">
        <v>87.2</v>
      </c>
      <c r="AT2082" s="7">
        <v>0.5</v>
      </c>
      <c r="AU2082" s="7">
        <v>0.5</v>
      </c>
      <c r="AV2082" s="4">
        <v>6</v>
      </c>
      <c r="AW2082" s="8">
        <v>130.8</v>
      </c>
      <c r="AX2082" s="4">
        <v>4</v>
      </c>
      <c r="AY2082" s="8">
        <v>87.2</v>
      </c>
      <c r="AZ2082" s="7">
        <v>0.5</v>
      </c>
      <c r="BA2082" s="7">
        <v>0.5</v>
      </c>
      <c r="BB2082" s="7">
        <v>1</v>
      </c>
      <c r="BC2082" s="4">
        <v>6</v>
      </c>
      <c r="BD2082" s="8">
        <v>130.8</v>
      </c>
      <c r="BE2082" s="4">
        <v>4</v>
      </c>
      <c r="BF2082" s="8">
        <v>87.2</v>
      </c>
      <c r="BG2082" s="7">
        <v>0.5</v>
      </c>
      <c r="BH2082" s="7">
        <v>0.5</v>
      </c>
      <c r="BI2082" s="7">
        <v>1</v>
      </c>
      <c r="BJ2082" s="4">
        <v>65</v>
      </c>
      <c r="BK2082" s="8">
        <v>1581.63</v>
      </c>
      <c r="BL2082" s="2" t="s">
        <v>7220</v>
      </c>
      <c r="BM2082" s="7">
        <v>0.0923</v>
      </c>
      <c r="BN2082" s="7">
        <v>0.0827</v>
      </c>
      <c r="BO2082" s="4">
        <v>6</v>
      </c>
      <c r="BP2082" s="8">
        <v>130.8</v>
      </c>
      <c r="BQ2082" s="4">
        <v>4</v>
      </c>
      <c r="BR2082" s="8">
        <v>87.2</v>
      </c>
      <c r="BS2082" s="7">
        <v>0.5</v>
      </c>
      <c r="BT2082" s="7">
        <v>0.5</v>
      </c>
      <c r="BU2082" s="2" t="s">
        <v>109</v>
      </c>
      <c r="BV2082" s="2" t="s">
        <v>97</v>
      </c>
      <c r="BW2082" s="2" t="s">
        <v>6110</v>
      </c>
      <c r="BX2082" s="2" t="s">
        <v>7221</v>
      </c>
      <c r="BY2082" s="2" t="s">
        <v>112</v>
      </c>
      <c r="BZ2082" s="2" t="s">
        <v>100</v>
      </c>
    </row>
    <row r="2083">
      <c r="A2083" s="2" t="s">
        <v>7222</v>
      </c>
      <c r="B2083" s="2" t="s">
        <v>6098</v>
      </c>
      <c r="C2083" s="2" t="s">
        <v>5982</v>
      </c>
      <c r="D2083" s="2" t="s">
        <v>6819</v>
      </c>
      <c r="E2083" s="2" t="s">
        <v>6820</v>
      </c>
      <c r="F2083" s="2" t="s">
        <v>7223</v>
      </c>
      <c r="G2083" s="2" t="s">
        <v>7223</v>
      </c>
      <c r="H2083" s="2" t="s">
        <v>7223</v>
      </c>
      <c r="I2083" s="2" t="s">
        <v>7224</v>
      </c>
      <c r="J2083" s="2" t="s">
        <v>6103</v>
      </c>
      <c r="K2083" s="2" t="s">
        <v>7225</v>
      </c>
      <c r="L2083" s="3">
        <v>30</v>
      </c>
      <c r="M2083" s="3">
        <v>31.5</v>
      </c>
      <c r="N2083" s="3">
        <v>69.99</v>
      </c>
      <c r="O2083" s="2" t="s">
        <v>550</v>
      </c>
      <c r="P2083" s="2" t="s">
        <v>198</v>
      </c>
      <c r="Q2083" s="2" t="s">
        <v>99</v>
      </c>
      <c r="R2083" s="2" t="s">
        <v>100</v>
      </c>
      <c r="S2083" s="2" t="s">
        <v>7226</v>
      </c>
      <c r="T2083" s="2" t="s">
        <v>100</v>
      </c>
      <c r="U2083" s="2" t="s">
        <v>2104</v>
      </c>
      <c r="V2083" s="2" t="s">
        <v>1020</v>
      </c>
      <c r="W2083" s="2" t="s">
        <v>759</v>
      </c>
      <c r="X2083" s="2" t="s">
        <v>602</v>
      </c>
      <c r="Y2083" s="2" t="s">
        <v>253</v>
      </c>
      <c r="Z2083" s="4">
        <v>49</v>
      </c>
      <c r="AA2083" s="4">
        <f>=ROUNDDOWN(245,0)</f>
      </c>
      <c r="AB2083" s="5">
        <v>0.2</v>
      </c>
      <c r="AC2083" s="2" t="s">
        <v>100</v>
      </c>
      <c r="AD2083" s="4"/>
      <c r="AE2083" s="4"/>
      <c r="AF2083" s="6">
        <v>63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/>
      <c r="BD2083" s="8"/>
      <c r="BE2083" s="4"/>
      <c r="BF2083" s="8"/>
      <c r="BG2083" s="7"/>
      <c r="BH2083" s="7"/>
      <c r="BI2083" s="7"/>
      <c r="BJ2083" s="4">
        <v>10</v>
      </c>
      <c r="BK2083" s="8">
        <v>329.12</v>
      </c>
      <c r="BL2083" s="2" t="s">
        <v>7227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147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7228</v>
      </c>
      <c r="B2084" s="2" t="s">
        <v>6098</v>
      </c>
      <c r="C2084" s="2" t="s">
        <v>5982</v>
      </c>
      <c r="D2084" s="2" t="s">
        <v>6497</v>
      </c>
      <c r="E2084" s="2" t="s">
        <v>6619</v>
      </c>
      <c r="F2084" s="2" t="s">
        <v>7229</v>
      </c>
      <c r="G2084" s="2" t="s">
        <v>7229</v>
      </c>
      <c r="H2084" s="2" t="s">
        <v>7229</v>
      </c>
      <c r="I2084" s="2" t="s">
        <v>7230</v>
      </c>
      <c r="J2084" s="2" t="s">
        <v>6103</v>
      </c>
      <c r="K2084" s="2" t="s">
        <v>1767</v>
      </c>
      <c r="L2084" s="3">
        <v>19.21</v>
      </c>
      <c r="M2084" s="3">
        <v>20.17</v>
      </c>
      <c r="N2084" s="3">
        <v>36.99</v>
      </c>
      <c r="O2084" s="2" t="s">
        <v>229</v>
      </c>
      <c r="P2084" s="2" t="s">
        <v>198</v>
      </c>
      <c r="Q2084" s="2" t="s">
        <v>99</v>
      </c>
      <c r="R2084" s="2" t="s">
        <v>100</v>
      </c>
      <c r="S2084" s="2" t="s">
        <v>7231</v>
      </c>
      <c r="T2084" s="2" t="s">
        <v>100</v>
      </c>
      <c r="U2084" s="2" t="s">
        <v>1610</v>
      </c>
      <c r="V2084" s="2" t="s">
        <v>491</v>
      </c>
      <c r="W2084" s="2" t="s">
        <v>759</v>
      </c>
      <c r="X2084" s="2" t="s">
        <v>100</v>
      </c>
      <c r="Y2084" s="2" t="s">
        <v>106</v>
      </c>
      <c r="Z2084" s="4">
        <v>137</v>
      </c>
      <c r="AA2084" s="4">
        <f>=ROUNDDOWN(52.6923076923077,0)</f>
      </c>
      <c r="AB2084" s="5">
        <v>2.6</v>
      </c>
      <c r="AC2084" s="2" t="s">
        <v>100</v>
      </c>
      <c r="AD2084" s="4"/>
      <c r="AE2084" s="4"/>
      <c r="AF2084" s="6">
        <v>63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>
        <v>0</v>
      </c>
      <c r="AP2084" s="4">
        <v>3</v>
      </c>
      <c r="AQ2084" s="8">
        <v>60.51</v>
      </c>
      <c r="AR2084" s="4">
        <v>18</v>
      </c>
      <c r="AS2084" s="8">
        <v>363.06</v>
      </c>
      <c r="AT2084" s="7">
        <v>-0.8333</v>
      </c>
      <c r="AU2084" s="7">
        <v>-0.8333</v>
      </c>
      <c r="AV2084" s="4">
        <v>3</v>
      </c>
      <c r="AW2084" s="8">
        <v>60.51</v>
      </c>
      <c r="AX2084" s="4">
        <v>18</v>
      </c>
      <c r="AY2084" s="8">
        <v>363.06</v>
      </c>
      <c r="AZ2084" s="7">
        <v>-0.8333</v>
      </c>
      <c r="BA2084" s="7">
        <v>-0.8333</v>
      </c>
      <c r="BB2084" s="7">
        <v>1</v>
      </c>
      <c r="BC2084" s="4">
        <v>3</v>
      </c>
      <c r="BD2084" s="8">
        <v>60.51</v>
      </c>
      <c r="BE2084" s="4">
        <v>18</v>
      </c>
      <c r="BF2084" s="8">
        <v>363.06</v>
      </c>
      <c r="BG2084" s="7">
        <v>-0.8333</v>
      </c>
      <c r="BH2084" s="7">
        <v>-0.8333</v>
      </c>
      <c r="BI2084" s="7">
        <v>1</v>
      </c>
      <c r="BJ2084" s="4">
        <v>69</v>
      </c>
      <c r="BK2084" s="8">
        <v>1368</v>
      </c>
      <c r="BL2084" s="2" t="s">
        <v>7232</v>
      </c>
      <c r="BM2084" s="7">
        <v>0.0435</v>
      </c>
      <c r="BN2084" s="7">
        <v>0.0442</v>
      </c>
      <c r="BO2084" s="4">
        <v>3</v>
      </c>
      <c r="BP2084" s="8">
        <v>60.51</v>
      </c>
      <c r="BQ2084" s="4">
        <v>18</v>
      </c>
      <c r="BR2084" s="8">
        <v>363.06</v>
      </c>
      <c r="BS2084" s="7">
        <v>-0.8333</v>
      </c>
      <c r="BT2084" s="7">
        <v>-0.8333</v>
      </c>
      <c r="BU2084" s="2" t="s">
        <v>109</v>
      </c>
      <c r="BV2084" s="2" t="s">
        <v>97</v>
      </c>
      <c r="BW2084" s="2" t="s">
        <v>2917</v>
      </c>
      <c r="BX2084" s="2" t="s">
        <v>7233</v>
      </c>
      <c r="BY2084" s="2" t="s">
        <v>112</v>
      </c>
      <c r="BZ2084" s="2" t="s">
        <v>100</v>
      </c>
    </row>
    <row r="2085">
      <c r="A2085" s="2" t="s">
        <v>7234</v>
      </c>
      <c r="B2085" s="2" t="s">
        <v>6098</v>
      </c>
      <c r="C2085" s="2" t="s">
        <v>5982</v>
      </c>
      <c r="D2085" s="2" t="s">
        <v>6099</v>
      </c>
      <c r="E2085" s="2" t="s">
        <v>6100</v>
      </c>
      <c r="F2085" s="2" t="s">
        <v>7235</v>
      </c>
      <c r="G2085" s="2" t="s">
        <v>7235</v>
      </c>
      <c r="H2085" s="2" t="s">
        <v>7235</v>
      </c>
      <c r="I2085" s="2" t="s">
        <v>6159</v>
      </c>
      <c r="J2085" s="2" t="s">
        <v>6103</v>
      </c>
      <c r="K2085" s="2" t="s">
        <v>333</v>
      </c>
      <c r="L2085" s="3">
        <v>39.27</v>
      </c>
      <c r="M2085" s="3">
        <v>41.23</v>
      </c>
      <c r="N2085" s="3">
        <v>84.99</v>
      </c>
      <c r="O2085" s="2" t="s">
        <v>97</v>
      </c>
      <c r="P2085" s="2" t="s">
        <v>182</v>
      </c>
      <c r="Q2085" s="2" t="s">
        <v>99</v>
      </c>
      <c r="R2085" s="2" t="s">
        <v>100</v>
      </c>
      <c r="S2085" s="2" t="s">
        <v>100</v>
      </c>
      <c r="T2085" s="2" t="s">
        <v>100</v>
      </c>
      <c r="U2085" s="2" t="s">
        <v>1610</v>
      </c>
      <c r="V2085" s="2" t="s">
        <v>1020</v>
      </c>
      <c r="W2085" s="2" t="s">
        <v>759</v>
      </c>
      <c r="X2085" s="2" t="s">
        <v>100</v>
      </c>
      <c r="Y2085" s="2" t="s">
        <v>6401</v>
      </c>
      <c r="Z2085" s="4">
        <v>104</v>
      </c>
      <c r="AA2085" s="4">
        <f>=ROUNDDOWN(26,0)</f>
      </c>
      <c r="AB2085" s="5">
        <v>4</v>
      </c>
      <c r="AC2085" s="2" t="s">
        <v>107</v>
      </c>
      <c r="AD2085" s="4">
        <v>100</v>
      </c>
      <c r="AE2085" s="4">
        <v>100</v>
      </c>
      <c r="AF2085" s="6">
        <v>63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>
        <v>0</v>
      </c>
      <c r="AP2085" s="4">
        <v>1</v>
      </c>
      <c r="AQ2085" s="8">
        <v>41.24</v>
      </c>
      <c r="AR2085" s="4">
        <v>2</v>
      </c>
      <c r="AS2085" s="8">
        <v>97.02</v>
      </c>
      <c r="AT2085" s="7">
        <v>-0.5</v>
      </c>
      <c r="AU2085" s="7">
        <v>-0.5749</v>
      </c>
      <c r="AV2085" s="4">
        <v>1</v>
      </c>
      <c r="AW2085" s="8">
        <v>41.24</v>
      </c>
      <c r="AX2085" s="4">
        <v>2</v>
      </c>
      <c r="AY2085" s="8">
        <v>97.02</v>
      </c>
      <c r="AZ2085" s="7">
        <v>-0.5</v>
      </c>
      <c r="BA2085" s="7">
        <v>-0.5749</v>
      </c>
      <c r="BB2085" s="7">
        <v>1</v>
      </c>
      <c r="BC2085" s="4">
        <v>1</v>
      </c>
      <c r="BD2085" s="8">
        <v>41.24</v>
      </c>
      <c r="BE2085" s="4">
        <v>2</v>
      </c>
      <c r="BF2085" s="8">
        <v>97.02</v>
      </c>
      <c r="BG2085" s="7">
        <v>-0.5</v>
      </c>
      <c r="BH2085" s="7">
        <v>-0.5749</v>
      </c>
      <c r="BI2085" s="7">
        <v>1</v>
      </c>
      <c r="BJ2085" s="4">
        <v>101</v>
      </c>
      <c r="BK2085" s="8">
        <v>4412.06</v>
      </c>
      <c r="BL2085" s="2" t="s">
        <v>7236</v>
      </c>
      <c r="BM2085" s="7">
        <v>0.0099</v>
      </c>
      <c r="BN2085" s="7">
        <v>0.0093</v>
      </c>
      <c r="BO2085" s="4">
        <v>1</v>
      </c>
      <c r="BP2085" s="8">
        <v>41.24</v>
      </c>
      <c r="BQ2085" s="4">
        <v>2</v>
      </c>
      <c r="BR2085" s="8">
        <v>97.02</v>
      </c>
      <c r="BS2085" s="7">
        <v>-0.5</v>
      </c>
      <c r="BT2085" s="7">
        <v>-0.5749</v>
      </c>
      <c r="BU2085" s="2" t="s">
        <v>109</v>
      </c>
      <c r="BV2085" s="2" t="s">
        <v>97</v>
      </c>
      <c r="BW2085" s="2" t="s">
        <v>2917</v>
      </c>
      <c r="BX2085" s="2" t="s">
        <v>6545</v>
      </c>
      <c r="BY2085" s="2" t="s">
        <v>112</v>
      </c>
      <c r="BZ2085" s="2" t="s">
        <v>100</v>
      </c>
    </row>
    <row r="2086">
      <c r="A2086" s="2" t="s">
        <v>7237</v>
      </c>
      <c r="B2086" s="2" t="s">
        <v>6098</v>
      </c>
      <c r="C2086" s="2" t="s">
        <v>5982</v>
      </c>
      <c r="D2086" s="2" t="s">
        <v>6099</v>
      </c>
      <c r="E2086" s="2" t="s">
        <v>6100</v>
      </c>
      <c r="F2086" s="2" t="s">
        <v>7238</v>
      </c>
      <c r="G2086" s="2" t="s">
        <v>100</v>
      </c>
      <c r="H2086" s="2" t="s">
        <v>100</v>
      </c>
      <c r="I2086" s="2" t="s">
        <v>7239</v>
      </c>
      <c r="J2086" s="2" t="s">
        <v>6103</v>
      </c>
      <c r="K2086" s="2" t="s">
        <v>2066</v>
      </c>
      <c r="L2086" s="3">
        <v>13</v>
      </c>
      <c r="M2086" s="3">
        <v>13.65</v>
      </c>
      <c r="N2086" s="3">
        <v>31.99</v>
      </c>
      <c r="O2086" s="2" t="s">
        <v>550</v>
      </c>
      <c r="P2086" s="2" t="s">
        <v>198</v>
      </c>
      <c r="Q2086" s="2" t="s">
        <v>99</v>
      </c>
      <c r="R2086" s="2" t="s">
        <v>100</v>
      </c>
      <c r="S2086" s="2" t="s">
        <v>7240</v>
      </c>
      <c r="T2086" s="2" t="s">
        <v>100</v>
      </c>
      <c r="U2086" s="2" t="s">
        <v>3531</v>
      </c>
      <c r="V2086" s="2" t="s">
        <v>1020</v>
      </c>
      <c r="W2086" s="2" t="s">
        <v>759</v>
      </c>
      <c r="X2086" s="2" t="s">
        <v>100</v>
      </c>
      <c r="Y2086" s="2" t="s">
        <v>106</v>
      </c>
      <c r="Z2086" s="4"/>
      <c r="AA2086" s="4">
        <f>=ROUNDDOWN({0},0)</f>
      </c>
      <c r="AB2086" s="5"/>
      <c r="AC2086" s="2" t="s">
        <v>100</v>
      </c>
      <c r="AD2086" s="4"/>
      <c r="AE2086" s="4"/>
      <c r="AF2086" s="6">
        <v>63</v>
      </c>
      <c r="AG2086" s="6"/>
      <c r="AH2086" s="7">
        <v>0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>
        <v>0</v>
      </c>
      <c r="AP2086" s="4"/>
      <c r="AQ2086" s="8"/>
      <c r="AR2086" s="4">
        <v>2</v>
      </c>
      <c r="AS2086" s="8">
        <v>19.12</v>
      </c>
      <c r="AT2086" s="7">
        <v>-1</v>
      </c>
      <c r="AU2086" s="7">
        <v>-1</v>
      </c>
      <c r="AV2086" s="4"/>
      <c r="AW2086" s="8"/>
      <c r="AX2086" s="4">
        <v>2</v>
      </c>
      <c r="AY2086" s="8">
        <v>19.12</v>
      </c>
      <c r="AZ2086" s="7">
        <v>-1</v>
      </c>
      <c r="BA2086" s="7">
        <v>-1</v>
      </c>
      <c r="BB2086" s="7"/>
      <c r="BC2086" s="4"/>
      <c r="BD2086" s="8"/>
      <c r="BE2086" s="4">
        <v>2</v>
      </c>
      <c r="BF2086" s="8">
        <v>19.12</v>
      </c>
      <c r="BG2086" s="7">
        <v>-1</v>
      </c>
      <c r="BH2086" s="7">
        <v>-1</v>
      </c>
      <c r="BI2086" s="7"/>
      <c r="BJ2086" s="4"/>
      <c r="BK2086" s="8"/>
      <c r="BL2086" s="2" t="s">
        <v>7241</v>
      </c>
      <c r="BM2086" s="7"/>
      <c r="BN2086" s="7"/>
      <c r="BO2086" s="4"/>
      <c r="BP2086" s="8"/>
      <c r="BQ2086" s="4">
        <v>2</v>
      </c>
      <c r="BR2086" s="8">
        <v>19.12</v>
      </c>
      <c r="BS2086" s="7">
        <v>-1</v>
      </c>
      <c r="BT2086" s="7">
        <v>-1</v>
      </c>
      <c r="BU2086" s="2" t="s">
        <v>109</v>
      </c>
      <c r="BV2086" s="2" t="s">
        <v>552</v>
      </c>
      <c r="BW2086" s="2" t="s">
        <v>6110</v>
      </c>
      <c r="BX2086" s="2" t="s">
        <v>5308</v>
      </c>
      <c r="BY2086" s="2" t="s">
        <v>112</v>
      </c>
      <c r="BZ2086" s="2" t="s">
        <v>100</v>
      </c>
    </row>
    <row r="2087">
      <c r="A2087" s="2" t="s">
        <v>7242</v>
      </c>
      <c r="B2087" s="2" t="s">
        <v>6098</v>
      </c>
      <c r="C2087" s="2" t="s">
        <v>5982</v>
      </c>
      <c r="D2087" s="2" t="s">
        <v>6099</v>
      </c>
      <c r="E2087" s="2" t="s">
        <v>6100</v>
      </c>
      <c r="F2087" s="2" t="s">
        <v>7243</v>
      </c>
      <c r="G2087" s="2" t="s">
        <v>7243</v>
      </c>
      <c r="H2087" s="2" t="s">
        <v>7243</v>
      </c>
      <c r="I2087" s="2" t="s">
        <v>7244</v>
      </c>
      <c r="J2087" s="2" t="s">
        <v>6103</v>
      </c>
      <c r="K2087" s="2" t="s">
        <v>158</v>
      </c>
      <c r="L2087" s="3">
        <v>13.5</v>
      </c>
      <c r="M2087" s="3">
        <v>14.18</v>
      </c>
      <c r="N2087" s="3">
        <v>29.99</v>
      </c>
      <c r="O2087" s="2" t="s">
        <v>550</v>
      </c>
      <c r="P2087" s="2" t="s">
        <v>198</v>
      </c>
      <c r="Q2087" s="2" t="s">
        <v>99</v>
      </c>
      <c r="R2087" s="2" t="s">
        <v>100</v>
      </c>
      <c r="S2087" s="2" t="s">
        <v>7245</v>
      </c>
      <c r="T2087" s="2" t="s">
        <v>100</v>
      </c>
      <c r="U2087" s="2" t="s">
        <v>1610</v>
      </c>
      <c r="V2087" s="2" t="s">
        <v>1020</v>
      </c>
      <c r="W2087" s="2" t="s">
        <v>759</v>
      </c>
      <c r="X2087" s="2" t="s">
        <v>100</v>
      </c>
      <c r="Y2087" s="2" t="s">
        <v>6216</v>
      </c>
      <c r="Z2087" s="4"/>
      <c r="AA2087" s="4">
        <f>=ROUNDDOWN({0},0)</f>
      </c>
      <c r="AB2087" s="5"/>
      <c r="AC2087" s="2" t="s">
        <v>100</v>
      </c>
      <c r="AD2087" s="4"/>
      <c r="AE2087" s="4"/>
      <c r="AF2087" s="6"/>
      <c r="AG2087" s="6"/>
      <c r="AH2087" s="7">
        <v>0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/>
      <c r="BD2087" s="8"/>
      <c r="BE2087" s="4"/>
      <c r="BF2087" s="8"/>
      <c r="BG2087" s="7"/>
      <c r="BH2087" s="7"/>
      <c r="BI2087" s="7"/>
      <c r="BJ2087" s="4"/>
      <c r="BK2087" s="8"/>
      <c r="BL2087" s="2" t="s">
        <v>100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147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7246</v>
      </c>
      <c r="B2088" s="2" t="s">
        <v>6098</v>
      </c>
      <c r="C2088" s="2" t="s">
        <v>5982</v>
      </c>
      <c r="D2088" s="2" t="s">
        <v>6099</v>
      </c>
      <c r="E2088" s="2" t="s">
        <v>6100</v>
      </c>
      <c r="F2088" s="2" t="s">
        <v>7247</v>
      </c>
      <c r="G2088" s="2" t="s">
        <v>7247</v>
      </c>
      <c r="H2088" s="2" t="s">
        <v>7247</v>
      </c>
      <c r="I2088" s="2" t="s">
        <v>7248</v>
      </c>
      <c r="J2088" s="2" t="s">
        <v>6103</v>
      </c>
      <c r="K2088" s="2" t="s">
        <v>1767</v>
      </c>
      <c r="L2088" s="3">
        <v>25.13</v>
      </c>
      <c r="M2088" s="3">
        <v>26.39</v>
      </c>
      <c r="N2088" s="3">
        <v>50.99</v>
      </c>
      <c r="O2088" s="2" t="s">
        <v>550</v>
      </c>
      <c r="P2088" s="2" t="s">
        <v>198</v>
      </c>
      <c r="Q2088" s="2" t="s">
        <v>99</v>
      </c>
      <c r="R2088" s="2" t="s">
        <v>100</v>
      </c>
      <c r="S2088" s="2" t="s">
        <v>7249</v>
      </c>
      <c r="T2088" s="2" t="s">
        <v>100</v>
      </c>
      <c r="U2088" s="2" t="s">
        <v>2104</v>
      </c>
      <c r="V2088" s="2" t="s">
        <v>491</v>
      </c>
      <c r="W2088" s="2" t="s">
        <v>759</v>
      </c>
      <c r="X2088" s="2" t="s">
        <v>100</v>
      </c>
      <c r="Y2088" s="2" t="s">
        <v>106</v>
      </c>
      <c r="Z2088" s="4">
        <v>1</v>
      </c>
      <c r="AA2088" s="4">
        <f>=ROUNDDOWN({0},0)</f>
      </c>
      <c r="AB2088" s="5"/>
      <c r="AC2088" s="2" t="s">
        <v>100</v>
      </c>
      <c r="AD2088" s="4"/>
      <c r="AE2088" s="4"/>
      <c r="AF2088" s="6">
        <v>63</v>
      </c>
      <c r="AG2088" s="6"/>
      <c r="AH2088" s="7">
        <v>0.697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>
        <v>0</v>
      </c>
      <c r="AP2088" s="4"/>
      <c r="AQ2088" s="8"/>
      <c r="AR2088" s="4">
        <v>6</v>
      </c>
      <c r="AS2088" s="8">
        <v>181.64</v>
      </c>
      <c r="AT2088" s="7">
        <v>-1</v>
      </c>
      <c r="AU2088" s="7">
        <v>-1</v>
      </c>
      <c r="AV2088" s="4"/>
      <c r="AW2088" s="8"/>
      <c r="AX2088" s="4">
        <v>6</v>
      </c>
      <c r="AY2088" s="8">
        <v>181.64</v>
      </c>
      <c r="AZ2088" s="7">
        <v>-1</v>
      </c>
      <c r="BA2088" s="7">
        <v>-1</v>
      </c>
      <c r="BB2088" s="7"/>
      <c r="BC2088" s="4"/>
      <c r="BD2088" s="8"/>
      <c r="BE2088" s="4">
        <v>6</v>
      </c>
      <c r="BF2088" s="8">
        <v>181.64</v>
      </c>
      <c r="BG2088" s="7">
        <v>-1</v>
      </c>
      <c r="BH2088" s="7">
        <v>-1</v>
      </c>
      <c r="BI2088" s="7"/>
      <c r="BJ2088" s="4"/>
      <c r="BK2088" s="8"/>
      <c r="BL2088" s="2" t="s">
        <v>7250</v>
      </c>
      <c r="BM2088" s="7"/>
      <c r="BN2088" s="7"/>
      <c r="BO2088" s="4"/>
      <c r="BP2088" s="8"/>
      <c r="BQ2088" s="4">
        <v>6</v>
      </c>
      <c r="BR2088" s="8">
        <v>181.64</v>
      </c>
      <c r="BS2088" s="7">
        <v>-1</v>
      </c>
      <c r="BT2088" s="7">
        <v>-1</v>
      </c>
      <c r="BU2088" s="2" t="s">
        <v>109</v>
      </c>
      <c r="BV2088" s="2" t="s">
        <v>552</v>
      </c>
      <c r="BW2088" s="2" t="s">
        <v>2917</v>
      </c>
      <c r="BX2088" s="2" t="s">
        <v>4360</v>
      </c>
      <c r="BY2088" s="2" t="s">
        <v>112</v>
      </c>
      <c r="BZ2088" s="2" t="s">
        <v>100</v>
      </c>
    </row>
    <row r="2089">
      <c r="A2089" s="2" t="s">
        <v>7251</v>
      </c>
      <c r="B2089" s="2" t="s">
        <v>7252</v>
      </c>
      <c r="C2089" s="2" t="s">
        <v>88</v>
      </c>
      <c r="D2089" s="2" t="s">
        <v>7253</v>
      </c>
      <c r="E2089" s="2" t="s">
        <v>7254</v>
      </c>
      <c r="F2089" s="2" t="s">
        <v>7255</v>
      </c>
      <c r="G2089" s="2" t="s">
        <v>7256</v>
      </c>
      <c r="H2089" s="2" t="s">
        <v>7257</v>
      </c>
      <c r="I2089" s="2" t="s">
        <v>7258</v>
      </c>
      <c r="J2089" s="2" t="s">
        <v>6103</v>
      </c>
      <c r="K2089" s="2" t="s">
        <v>1412</v>
      </c>
      <c r="L2089" s="3">
        <v>171</v>
      </c>
      <c r="M2089" s="3">
        <v>179.55</v>
      </c>
      <c r="N2089" s="3">
        <v>369</v>
      </c>
      <c r="O2089" s="2" t="s">
        <v>97</v>
      </c>
      <c r="P2089" s="2" t="s">
        <v>182</v>
      </c>
      <c r="Q2089" s="2" t="s">
        <v>99</v>
      </c>
      <c r="R2089" s="2" t="s">
        <v>100</v>
      </c>
      <c r="S2089" s="2" t="s">
        <v>7259</v>
      </c>
      <c r="T2089" s="2" t="s">
        <v>100</v>
      </c>
      <c r="U2089" s="2" t="s">
        <v>100</v>
      </c>
      <c r="V2089" s="2" t="s">
        <v>601</v>
      </c>
      <c r="W2089" s="2" t="s">
        <v>104</v>
      </c>
      <c r="X2089" s="2" t="s">
        <v>100</v>
      </c>
      <c r="Y2089" s="2" t="s">
        <v>3057</v>
      </c>
      <c r="Z2089" s="4">
        <v>196</v>
      </c>
      <c r="AA2089" s="4">
        <f>=ROUNDDOWN(18.4905660377358,0)</f>
      </c>
      <c r="AB2089" s="5">
        <v>10.6</v>
      </c>
      <c r="AC2089" s="2" t="s">
        <v>107</v>
      </c>
      <c r="AD2089" s="4">
        <v>242</v>
      </c>
      <c r="AE2089" s="4">
        <v>415</v>
      </c>
      <c r="AF2089" s="6">
        <v>74</v>
      </c>
      <c r="AG2089" s="6">
        <v>60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>
        <v>0</v>
      </c>
      <c r="AP2089" s="4">
        <v>21</v>
      </c>
      <c r="AQ2089" s="8">
        <v>3638.25</v>
      </c>
      <c r="AR2089" s="4">
        <v>54</v>
      </c>
      <c r="AS2089" s="8">
        <v>9720.41</v>
      </c>
      <c r="AT2089" s="7">
        <v>-0.6111</v>
      </c>
      <c r="AU2089" s="7">
        <v>-0.6257</v>
      </c>
      <c r="AV2089" s="4">
        <v>21</v>
      </c>
      <c r="AW2089" s="8">
        <v>3638.25</v>
      </c>
      <c r="AX2089" s="4">
        <v>54</v>
      </c>
      <c r="AY2089" s="8">
        <v>9720.41</v>
      </c>
      <c r="AZ2089" s="7">
        <v>-0.6111</v>
      </c>
      <c r="BA2089" s="7">
        <v>-0.6257</v>
      </c>
      <c r="BB2089" s="7">
        <v>1</v>
      </c>
      <c r="BC2089" s="4">
        <v>27</v>
      </c>
      <c r="BD2089" s="8">
        <v>4677.75</v>
      </c>
      <c r="BE2089" s="4">
        <v>96</v>
      </c>
      <c r="BF2089" s="8">
        <v>16916.89</v>
      </c>
      <c r="BG2089" s="7">
        <v>-0.7188</v>
      </c>
      <c r="BH2089" s="7">
        <v>-0.7235</v>
      </c>
      <c r="BI2089" s="7">
        <v>0.7778</v>
      </c>
      <c r="BJ2089" s="4">
        <v>319</v>
      </c>
      <c r="BK2089" s="8">
        <v>53935.16</v>
      </c>
      <c r="BL2089" s="2" t="s">
        <v>7260</v>
      </c>
      <c r="BM2089" s="7">
        <v>0.0658</v>
      </c>
      <c r="BN2089" s="7">
        <v>0.0675</v>
      </c>
      <c r="BO2089" s="4">
        <v>21</v>
      </c>
      <c r="BP2089" s="8">
        <v>3638.25</v>
      </c>
      <c r="BQ2089" s="4">
        <v>54</v>
      </c>
      <c r="BR2089" s="8">
        <v>9720.41</v>
      </c>
      <c r="BS2089" s="7">
        <v>-0.6111</v>
      </c>
      <c r="BT2089" s="7">
        <v>-0.6257</v>
      </c>
      <c r="BU2089" s="2" t="s">
        <v>109</v>
      </c>
      <c r="BV2089" s="2" t="s">
        <v>97</v>
      </c>
      <c r="BW2089" s="2" t="s">
        <v>217</v>
      </c>
      <c r="BX2089" s="2" t="s">
        <v>347</v>
      </c>
      <c r="BY2089" s="2" t="s">
        <v>112</v>
      </c>
      <c r="BZ2089" s="2" t="s">
        <v>100</v>
      </c>
    </row>
    <row r="2090">
      <c r="A2090" s="2" t="s">
        <v>7261</v>
      </c>
      <c r="B2090" s="2" t="s">
        <v>7252</v>
      </c>
      <c r="C2090" s="2" t="s">
        <v>88</v>
      </c>
      <c r="D2090" s="2" t="s">
        <v>7253</v>
      </c>
      <c r="E2090" s="2" t="s">
        <v>7254</v>
      </c>
      <c r="F2090" s="2" t="s">
        <v>7255</v>
      </c>
      <c r="G2090" s="2" t="s">
        <v>7256</v>
      </c>
      <c r="H2090" s="2" t="s">
        <v>7257</v>
      </c>
      <c r="I2090" s="2" t="s">
        <v>7258</v>
      </c>
      <c r="J2090" s="2" t="s">
        <v>6103</v>
      </c>
      <c r="K2090" s="2" t="s">
        <v>1592</v>
      </c>
      <c r="L2090" s="3">
        <v>171</v>
      </c>
      <c r="M2090" s="3">
        <v>179.55</v>
      </c>
      <c r="N2090" s="3">
        <v>369</v>
      </c>
      <c r="O2090" s="2" t="s">
        <v>97</v>
      </c>
      <c r="P2090" s="2" t="s">
        <v>182</v>
      </c>
      <c r="Q2090" s="2" t="s">
        <v>99</v>
      </c>
      <c r="R2090" s="2" t="s">
        <v>100</v>
      </c>
      <c r="S2090" s="2" t="s">
        <v>7262</v>
      </c>
      <c r="T2090" s="2" t="s">
        <v>100</v>
      </c>
      <c r="U2090" s="2" t="s">
        <v>100</v>
      </c>
      <c r="V2090" s="2" t="s">
        <v>601</v>
      </c>
      <c r="W2090" s="2" t="s">
        <v>104</v>
      </c>
      <c r="X2090" s="2" t="s">
        <v>100</v>
      </c>
      <c r="Y2090" s="2" t="s">
        <v>106</v>
      </c>
      <c r="Z2090" s="4">
        <v>152</v>
      </c>
      <c r="AA2090" s="4">
        <f>=ROUNDDOWN(30.4,0)</f>
      </c>
      <c r="AB2090" s="5">
        <v>5</v>
      </c>
      <c r="AC2090" s="2" t="s">
        <v>3872</v>
      </c>
      <c r="AD2090" s="4">
        <v>100</v>
      </c>
      <c r="AE2090" s="4">
        <v>100</v>
      </c>
      <c r="AF2090" s="6">
        <v>74</v>
      </c>
      <c r="AG2090" s="6"/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>
        <v>0</v>
      </c>
      <c r="AP2090" s="4">
        <v>4</v>
      </c>
      <c r="AQ2090" s="8">
        <v>693</v>
      </c>
      <c r="AR2090" s="4">
        <v>23</v>
      </c>
      <c r="AS2090" s="8">
        <v>3962.46</v>
      </c>
      <c r="AT2090" s="7">
        <v>-0.8261</v>
      </c>
      <c r="AU2090" s="7">
        <v>-0.8251</v>
      </c>
      <c r="AV2090" s="4">
        <v>4</v>
      </c>
      <c r="AW2090" s="8">
        <v>693</v>
      </c>
      <c r="AX2090" s="4">
        <v>23</v>
      </c>
      <c r="AY2090" s="8">
        <v>3962.46</v>
      </c>
      <c r="AZ2090" s="7">
        <v>-0.8261</v>
      </c>
      <c r="BA2090" s="7">
        <v>-0.8251</v>
      </c>
      <c r="BB2090" s="7">
        <v>1</v>
      </c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>
        <v>0.1481</v>
      </c>
      <c r="BJ2090" s="4">
        <v>114</v>
      </c>
      <c r="BK2090" s="8">
        <v>19042.02</v>
      </c>
      <c r="BL2090" s="2" t="s">
        <v>7263</v>
      </c>
      <c r="BM2090" s="7">
        <v>0.0351</v>
      </c>
      <c r="BN2090" s="7">
        <v>0.0364</v>
      </c>
      <c r="BO2090" s="4">
        <v>4</v>
      </c>
      <c r="BP2090" s="8">
        <v>693</v>
      </c>
      <c r="BQ2090" s="4">
        <v>23</v>
      </c>
      <c r="BR2090" s="8">
        <v>3962.46</v>
      </c>
      <c r="BS2090" s="7">
        <v>-0.8261</v>
      </c>
      <c r="BT2090" s="7">
        <v>-0.8251</v>
      </c>
      <c r="BU2090" s="2" t="s">
        <v>109</v>
      </c>
      <c r="BV2090" s="2" t="s">
        <v>97</v>
      </c>
      <c r="BW2090" s="2" t="s">
        <v>217</v>
      </c>
      <c r="BX2090" s="2" t="s">
        <v>261</v>
      </c>
      <c r="BY2090" s="2" t="s">
        <v>112</v>
      </c>
      <c r="BZ2090" s="2" t="s">
        <v>100</v>
      </c>
    </row>
    <row r="2091">
      <c r="A2091" s="2" t="s">
        <v>7264</v>
      </c>
      <c r="B2091" s="2" t="s">
        <v>7252</v>
      </c>
      <c r="C2091" s="2" t="s">
        <v>88</v>
      </c>
      <c r="D2091" s="2" t="s">
        <v>7253</v>
      </c>
      <c r="E2091" s="2" t="s">
        <v>7254</v>
      </c>
      <c r="F2091" s="2" t="s">
        <v>7255</v>
      </c>
      <c r="G2091" s="2" t="s">
        <v>7256</v>
      </c>
      <c r="H2091" s="2" t="s">
        <v>7257</v>
      </c>
      <c r="I2091" s="2" t="s">
        <v>7258</v>
      </c>
      <c r="J2091" s="2" t="s">
        <v>6103</v>
      </c>
      <c r="K2091" s="2" t="s">
        <v>333</v>
      </c>
      <c r="L2091" s="3">
        <v>171</v>
      </c>
      <c r="M2091" s="3">
        <v>179.55</v>
      </c>
      <c r="N2091" s="3">
        <v>369</v>
      </c>
      <c r="O2091" s="2" t="s">
        <v>97</v>
      </c>
      <c r="P2091" s="2" t="s">
        <v>1265</v>
      </c>
      <c r="Q2091" s="2" t="s">
        <v>99</v>
      </c>
      <c r="R2091" s="2" t="s">
        <v>100</v>
      </c>
      <c r="S2091" s="2" t="s">
        <v>7265</v>
      </c>
      <c r="T2091" s="2" t="s">
        <v>100</v>
      </c>
      <c r="U2091" s="2" t="s">
        <v>100</v>
      </c>
      <c r="V2091" s="2" t="s">
        <v>601</v>
      </c>
      <c r="W2091" s="2" t="s">
        <v>104</v>
      </c>
      <c r="X2091" s="2" t="s">
        <v>100</v>
      </c>
      <c r="Y2091" s="2" t="s">
        <v>106</v>
      </c>
      <c r="Z2091" s="4">
        <v>138</v>
      </c>
      <c r="AA2091" s="4">
        <f>=ROUNDDOWN(23,0)</f>
      </c>
      <c r="AB2091" s="5">
        <v>6</v>
      </c>
      <c r="AC2091" s="2" t="s">
        <v>7266</v>
      </c>
      <c r="AD2091" s="4">
        <v>81</v>
      </c>
      <c r="AE2091" s="4">
        <v>100</v>
      </c>
      <c r="AF2091" s="6">
        <v>74</v>
      </c>
      <c r="AG2091" s="6">
        <v>60</v>
      </c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>
        <v>0</v>
      </c>
      <c r="AP2091" s="4">
        <v>2</v>
      </c>
      <c r="AQ2091" s="8">
        <v>346.5</v>
      </c>
      <c r="AR2091" s="4">
        <v>19</v>
      </c>
      <c r="AS2091" s="8">
        <v>3234.02</v>
      </c>
      <c r="AT2091" s="7">
        <v>-0.8947</v>
      </c>
      <c r="AU2091" s="7">
        <v>-0.8929</v>
      </c>
      <c r="AV2091" s="4">
        <v>2</v>
      </c>
      <c r="AW2091" s="8">
        <v>346.5</v>
      </c>
      <c r="AX2091" s="4">
        <v>19</v>
      </c>
      <c r="AY2091" s="8">
        <v>3234.02</v>
      </c>
      <c r="AZ2091" s="7">
        <v>-0.8947</v>
      </c>
      <c r="BA2091" s="7">
        <v>-0.8929</v>
      </c>
      <c r="BB2091" s="7">
        <v>1</v>
      </c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>
        <v>0.0741</v>
      </c>
      <c r="BJ2091" s="4">
        <v>105</v>
      </c>
      <c r="BK2091" s="8">
        <v>17048.4</v>
      </c>
      <c r="BL2091" s="2" t="s">
        <v>7267</v>
      </c>
      <c r="BM2091" s="7">
        <v>0.019</v>
      </c>
      <c r="BN2091" s="7">
        <v>0.0203</v>
      </c>
      <c r="BO2091" s="4">
        <v>2</v>
      </c>
      <c r="BP2091" s="8">
        <v>346.5</v>
      </c>
      <c r="BQ2091" s="4">
        <v>19</v>
      </c>
      <c r="BR2091" s="8">
        <v>3234.02</v>
      </c>
      <c r="BS2091" s="7">
        <v>-0.8947</v>
      </c>
      <c r="BT2091" s="7">
        <v>-0.8929</v>
      </c>
      <c r="BU2091" s="2" t="s">
        <v>109</v>
      </c>
      <c r="BV2091" s="2" t="s">
        <v>97</v>
      </c>
      <c r="BW2091" s="2" t="s">
        <v>217</v>
      </c>
      <c r="BX2091" s="2" t="s">
        <v>516</v>
      </c>
      <c r="BY2091" s="2" t="s">
        <v>112</v>
      </c>
      <c r="BZ2091" s="2" t="s">
        <v>100</v>
      </c>
    </row>
    <row r="2092">
      <c r="A2092" s="2" t="s">
        <v>7268</v>
      </c>
      <c r="B2092" s="2" t="s">
        <v>7252</v>
      </c>
      <c r="C2092" s="2" t="s">
        <v>88</v>
      </c>
      <c r="D2092" s="2" t="s">
        <v>7253</v>
      </c>
      <c r="E2092" s="2" t="s">
        <v>7254</v>
      </c>
      <c r="F2092" s="2" t="s">
        <v>7255</v>
      </c>
      <c r="G2092" s="2" t="s">
        <v>7256</v>
      </c>
      <c r="H2092" s="2" t="s">
        <v>7257</v>
      </c>
      <c r="I2092" s="2" t="s">
        <v>7258</v>
      </c>
      <c r="J2092" s="2" t="s">
        <v>6103</v>
      </c>
      <c r="K2092" s="2" t="s">
        <v>7269</v>
      </c>
      <c r="L2092" s="3">
        <v>171</v>
      </c>
      <c r="M2092" s="3">
        <v>179.55</v>
      </c>
      <c r="N2092" s="3">
        <v>369</v>
      </c>
      <c r="O2092" s="2" t="s">
        <v>97</v>
      </c>
      <c r="P2092" s="2" t="s">
        <v>182</v>
      </c>
      <c r="Q2092" s="2" t="s">
        <v>99</v>
      </c>
      <c r="R2092" s="2" t="s">
        <v>100</v>
      </c>
      <c r="S2092" s="2" t="s">
        <v>7270</v>
      </c>
      <c r="T2092" s="2" t="s">
        <v>100</v>
      </c>
      <c r="U2092" s="2" t="s">
        <v>3531</v>
      </c>
      <c r="V2092" s="2" t="s">
        <v>601</v>
      </c>
      <c r="W2092" s="2" t="s">
        <v>104</v>
      </c>
      <c r="X2092" s="2" t="s">
        <v>100</v>
      </c>
      <c r="Y2092" s="2" t="s">
        <v>7271</v>
      </c>
      <c r="Z2092" s="4">
        <v>193</v>
      </c>
      <c r="AA2092" s="4">
        <f>=ROUNDDOWN(17.3873873873874,0)</f>
      </c>
      <c r="AB2092" s="5">
        <v>11.1</v>
      </c>
      <c r="AC2092" s="2" t="s">
        <v>919</v>
      </c>
      <c r="AD2092" s="4">
        <v>65</v>
      </c>
      <c r="AE2092" s="4">
        <v>65</v>
      </c>
      <c r="AF2092" s="6">
        <v>74</v>
      </c>
      <c r="AG2092" s="6">
        <v>60</v>
      </c>
      <c r="AH2092" s="7">
        <v>0.8606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260</v>
      </c>
      <c r="BK2092" s="8">
        <v>41101.87</v>
      </c>
      <c r="BL2092" s="2" t="s">
        <v>7272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109</v>
      </c>
      <c r="BV2092" s="2" t="s">
        <v>97</v>
      </c>
      <c r="BW2092" s="2" t="s">
        <v>3536</v>
      </c>
      <c r="BX2092" s="2" t="s">
        <v>100</v>
      </c>
      <c r="BY2092" s="2" t="s">
        <v>112</v>
      </c>
      <c r="BZ2092" s="2" t="s">
        <v>100</v>
      </c>
    </row>
    <row r="2093">
      <c r="A2093" s="2" t="s">
        <v>7273</v>
      </c>
      <c r="B2093" s="2" t="s">
        <v>7252</v>
      </c>
      <c r="C2093" s="2" t="s">
        <v>88</v>
      </c>
      <c r="D2093" s="2" t="s">
        <v>7253</v>
      </c>
      <c r="E2093" s="2" t="s">
        <v>7254</v>
      </c>
      <c r="F2093" s="2" t="s">
        <v>7255</v>
      </c>
      <c r="G2093" s="2" t="s">
        <v>7256</v>
      </c>
      <c r="H2093" s="2" t="s">
        <v>7257</v>
      </c>
      <c r="I2093" s="2" t="s">
        <v>7258</v>
      </c>
      <c r="J2093" s="2" t="s">
        <v>6103</v>
      </c>
      <c r="K2093" s="2" t="s">
        <v>197</v>
      </c>
      <c r="L2093" s="3">
        <v>171</v>
      </c>
      <c r="M2093" s="3">
        <v>179.55</v>
      </c>
      <c r="N2093" s="3">
        <v>369</v>
      </c>
      <c r="O2093" s="2" t="s">
        <v>97</v>
      </c>
      <c r="P2093" s="2" t="s">
        <v>182</v>
      </c>
      <c r="Q2093" s="2" t="s">
        <v>99</v>
      </c>
      <c r="R2093" s="2" t="s">
        <v>100</v>
      </c>
      <c r="S2093" s="2" t="s">
        <v>100</v>
      </c>
      <c r="T2093" s="2" t="s">
        <v>100</v>
      </c>
      <c r="U2093" s="2" t="s">
        <v>3531</v>
      </c>
      <c r="V2093" s="2" t="s">
        <v>601</v>
      </c>
      <c r="W2093" s="2" t="s">
        <v>104</v>
      </c>
      <c r="X2093" s="2" t="s">
        <v>100</v>
      </c>
      <c r="Y2093" s="2" t="s">
        <v>7274</v>
      </c>
      <c r="Z2093" s="4">
        <v>168</v>
      </c>
      <c r="AA2093" s="4">
        <f>=ROUNDDOWN(9.88235294117647,0)</f>
      </c>
      <c r="AB2093" s="5">
        <v>17</v>
      </c>
      <c r="AC2093" s="2" t="s">
        <v>919</v>
      </c>
      <c r="AD2093" s="4">
        <v>105</v>
      </c>
      <c r="AE2093" s="4">
        <v>105</v>
      </c>
      <c r="AF2093" s="6">
        <v>74</v>
      </c>
      <c r="AG2093" s="6">
        <v>60</v>
      </c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/>
      <c r="AW2093" s="8"/>
      <c r="AX2093" s="4"/>
      <c r="AY2093" s="8"/>
      <c r="AZ2093" s="7"/>
      <c r="BA2093" s="7"/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225</v>
      </c>
      <c r="BK2093" s="8">
        <v>39575.79</v>
      </c>
      <c r="BL2093" s="2" t="s">
        <v>7275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6185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7276</v>
      </c>
      <c r="B2094" s="2" t="s">
        <v>7252</v>
      </c>
      <c r="C2094" s="2" t="s">
        <v>88</v>
      </c>
      <c r="D2094" s="2" t="s">
        <v>7253</v>
      </c>
      <c r="E2094" s="2" t="s">
        <v>7254</v>
      </c>
      <c r="F2094" s="2" t="s">
        <v>7255</v>
      </c>
      <c r="G2094" s="2" t="s">
        <v>7256</v>
      </c>
      <c r="H2094" s="2" t="s">
        <v>7257</v>
      </c>
      <c r="I2094" s="2" t="s">
        <v>7258</v>
      </c>
      <c r="J2094" s="2" t="s">
        <v>6103</v>
      </c>
      <c r="K2094" s="2" t="s">
        <v>1581</v>
      </c>
      <c r="L2094" s="3">
        <v>171</v>
      </c>
      <c r="M2094" s="3">
        <v>179.55</v>
      </c>
      <c r="N2094" s="3">
        <v>369</v>
      </c>
      <c r="O2094" s="2" t="s">
        <v>97</v>
      </c>
      <c r="P2094" s="2" t="s">
        <v>182</v>
      </c>
      <c r="Q2094" s="2" t="s">
        <v>99</v>
      </c>
      <c r="R2094" s="2" t="s">
        <v>100</v>
      </c>
      <c r="S2094" s="2" t="s">
        <v>100</v>
      </c>
      <c r="T2094" s="2" t="s">
        <v>100</v>
      </c>
      <c r="U2094" s="2" t="s">
        <v>3531</v>
      </c>
      <c r="V2094" s="2" t="s">
        <v>601</v>
      </c>
      <c r="W2094" s="2" t="s">
        <v>104</v>
      </c>
      <c r="X2094" s="2" t="s">
        <v>1190</v>
      </c>
      <c r="Y2094" s="2" t="s">
        <v>7277</v>
      </c>
      <c r="Z2094" s="4">
        <v>165</v>
      </c>
      <c r="AA2094" s="4">
        <f>=ROUNDDOWN(66,0)</f>
      </c>
      <c r="AB2094" s="5">
        <v>2.5</v>
      </c>
      <c r="AC2094" s="2" t="s">
        <v>130</v>
      </c>
      <c r="AD2094" s="4">
        <v>100</v>
      </c>
      <c r="AE2094" s="4">
        <v>200</v>
      </c>
      <c r="AF2094" s="6">
        <v>74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86</v>
      </c>
      <c r="BK2094" s="8">
        <v>13590.01</v>
      </c>
      <c r="BL2094" s="2" t="s">
        <v>7278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109</v>
      </c>
      <c r="BV2094" s="2" t="s">
        <v>97</v>
      </c>
      <c r="BW2094" s="2" t="s">
        <v>3536</v>
      </c>
      <c r="BX2094" s="2" t="s">
        <v>100</v>
      </c>
      <c r="BY2094" s="2" t="s">
        <v>112</v>
      </c>
      <c r="BZ2094" s="2" t="s">
        <v>100</v>
      </c>
    </row>
    <row r="2095">
      <c r="A2095" s="2" t="s">
        <v>7279</v>
      </c>
      <c r="B2095" s="2" t="s">
        <v>7252</v>
      </c>
      <c r="C2095" s="2" t="s">
        <v>88</v>
      </c>
      <c r="D2095" s="2" t="s">
        <v>7253</v>
      </c>
      <c r="E2095" s="2" t="s">
        <v>7254</v>
      </c>
      <c r="F2095" s="2" t="s">
        <v>7280</v>
      </c>
      <c r="G2095" s="2" t="s">
        <v>7281</v>
      </c>
      <c r="H2095" s="2" t="s">
        <v>7282</v>
      </c>
      <c r="I2095" s="2" t="s">
        <v>7283</v>
      </c>
      <c r="J2095" s="2" t="s">
        <v>6103</v>
      </c>
      <c r="K2095" s="2" t="s">
        <v>1767</v>
      </c>
      <c r="L2095" s="3">
        <v>182.75</v>
      </c>
      <c r="M2095" s="3">
        <v>191.89</v>
      </c>
      <c r="N2095" s="3">
        <v>379</v>
      </c>
      <c r="O2095" s="2" t="s">
        <v>97</v>
      </c>
      <c r="P2095" s="2" t="s">
        <v>182</v>
      </c>
      <c r="Q2095" s="2" t="s">
        <v>99</v>
      </c>
      <c r="R2095" s="2" t="s">
        <v>100</v>
      </c>
      <c r="S2095" s="2" t="s">
        <v>7284</v>
      </c>
      <c r="T2095" s="2" t="s">
        <v>100</v>
      </c>
      <c r="U2095" s="2" t="s">
        <v>100</v>
      </c>
      <c r="V2095" s="2" t="s">
        <v>3244</v>
      </c>
      <c r="W2095" s="2" t="s">
        <v>104</v>
      </c>
      <c r="X2095" s="2" t="s">
        <v>100</v>
      </c>
      <c r="Y2095" s="2" t="s">
        <v>106</v>
      </c>
      <c r="Z2095" s="4">
        <v>210</v>
      </c>
      <c r="AA2095" s="4">
        <f>=ROUNDDOWN(23.3333333333333,0)</f>
      </c>
      <c r="AB2095" s="5">
        <v>9</v>
      </c>
      <c r="AC2095" s="2" t="s">
        <v>107</v>
      </c>
      <c r="AD2095" s="4">
        <v>51</v>
      </c>
      <c r="AE2095" s="4">
        <v>165</v>
      </c>
      <c r="AF2095" s="6">
        <v>74</v>
      </c>
      <c r="AG2095" s="6">
        <v>60</v>
      </c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>
        <v>0</v>
      </c>
      <c r="AP2095" s="4">
        <v>10</v>
      </c>
      <c r="AQ2095" s="8">
        <v>1918.9</v>
      </c>
      <c r="AR2095" s="4">
        <v>2</v>
      </c>
      <c r="AS2095" s="8">
        <v>383.78</v>
      </c>
      <c r="AT2095" s="7">
        <v>4</v>
      </c>
      <c r="AU2095" s="7">
        <v>4</v>
      </c>
      <c r="AV2095" s="4">
        <v>10</v>
      </c>
      <c r="AW2095" s="8">
        <v>1918.9</v>
      </c>
      <c r="AX2095" s="4">
        <v>2</v>
      </c>
      <c r="AY2095" s="8">
        <v>383.78</v>
      </c>
      <c r="AZ2095" s="7">
        <v>4</v>
      </c>
      <c r="BA2095" s="7">
        <v>4</v>
      </c>
      <c r="BB2095" s="7">
        <v>1</v>
      </c>
      <c r="BC2095" s="4">
        <v>19</v>
      </c>
      <c r="BD2095" s="8">
        <v>3645.91</v>
      </c>
      <c r="BE2095" s="4">
        <v>4</v>
      </c>
      <c r="BF2095" s="8">
        <v>767.56</v>
      </c>
      <c r="BG2095" s="7">
        <v>3.75</v>
      </c>
      <c r="BH2095" s="7">
        <v>3.75</v>
      </c>
      <c r="BI2095" s="7">
        <v>0.5263</v>
      </c>
      <c r="BJ2095" s="4">
        <v>216</v>
      </c>
      <c r="BK2095" s="8">
        <v>40155.3</v>
      </c>
      <c r="BL2095" s="2" t="s">
        <v>7285</v>
      </c>
      <c r="BM2095" s="7">
        <v>0.0463</v>
      </c>
      <c r="BN2095" s="7">
        <v>0.0478</v>
      </c>
      <c r="BO2095" s="4">
        <v>10</v>
      </c>
      <c r="BP2095" s="8">
        <v>1918.9</v>
      </c>
      <c r="BQ2095" s="4">
        <v>2</v>
      </c>
      <c r="BR2095" s="8">
        <v>383.78</v>
      </c>
      <c r="BS2095" s="7">
        <v>4</v>
      </c>
      <c r="BT2095" s="7">
        <v>4</v>
      </c>
      <c r="BU2095" s="2" t="s">
        <v>109</v>
      </c>
      <c r="BV2095" s="2" t="s">
        <v>97</v>
      </c>
      <c r="BW2095" s="2" t="s">
        <v>3536</v>
      </c>
      <c r="BX2095" s="2" t="s">
        <v>3915</v>
      </c>
      <c r="BY2095" s="2" t="s">
        <v>112</v>
      </c>
      <c r="BZ2095" s="2" t="s">
        <v>100</v>
      </c>
    </row>
    <row r="2096">
      <c r="A2096" s="2" t="s">
        <v>7286</v>
      </c>
      <c r="B2096" s="2" t="s">
        <v>7252</v>
      </c>
      <c r="C2096" s="2" t="s">
        <v>88</v>
      </c>
      <c r="D2096" s="2" t="s">
        <v>7253</v>
      </c>
      <c r="E2096" s="2" t="s">
        <v>7254</v>
      </c>
      <c r="F2096" s="2" t="s">
        <v>7280</v>
      </c>
      <c r="G2096" s="2" t="s">
        <v>7281</v>
      </c>
      <c r="H2096" s="2" t="s">
        <v>7282</v>
      </c>
      <c r="I2096" s="2" t="s">
        <v>7283</v>
      </c>
      <c r="J2096" s="2" t="s">
        <v>6103</v>
      </c>
      <c r="K2096" s="2" t="s">
        <v>2215</v>
      </c>
      <c r="L2096" s="3">
        <v>182.75</v>
      </c>
      <c r="M2096" s="3">
        <v>191.89</v>
      </c>
      <c r="N2096" s="3">
        <v>379</v>
      </c>
      <c r="O2096" s="2" t="s">
        <v>97</v>
      </c>
      <c r="P2096" s="2" t="s">
        <v>182</v>
      </c>
      <c r="Q2096" s="2" t="s">
        <v>99</v>
      </c>
      <c r="R2096" s="2" t="s">
        <v>100</v>
      </c>
      <c r="S2096" s="2" t="s">
        <v>7287</v>
      </c>
      <c r="T2096" s="2" t="s">
        <v>100</v>
      </c>
      <c r="U2096" s="2" t="s">
        <v>100</v>
      </c>
      <c r="V2096" s="2" t="s">
        <v>3244</v>
      </c>
      <c r="W2096" s="2" t="s">
        <v>104</v>
      </c>
      <c r="X2096" s="2" t="s">
        <v>100</v>
      </c>
      <c r="Y2096" s="2" t="s">
        <v>363</v>
      </c>
      <c r="Z2096" s="4">
        <v>117</v>
      </c>
      <c r="AA2096" s="4">
        <f>=ROUNDDOWN(29.25,0)</f>
      </c>
      <c r="AB2096" s="5">
        <v>4</v>
      </c>
      <c r="AC2096" s="2" t="s">
        <v>3872</v>
      </c>
      <c r="AD2096" s="4">
        <v>80</v>
      </c>
      <c r="AE2096" s="4">
        <v>100</v>
      </c>
      <c r="AF2096" s="6">
        <v>74</v>
      </c>
      <c r="AG2096" s="6"/>
      <c r="AH2096" s="7">
        <v>0.7333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>
        <v>0</v>
      </c>
      <c r="AP2096" s="4">
        <v>6</v>
      </c>
      <c r="AQ2096" s="8">
        <v>1151.34</v>
      </c>
      <c r="AR2096" s="4"/>
      <c r="AS2096" s="8"/>
      <c r="AT2096" s="7"/>
      <c r="AU2096" s="7"/>
      <c r="AV2096" s="4">
        <v>6</v>
      </c>
      <c r="AW2096" s="8">
        <v>1151.34</v>
      </c>
      <c r="AX2096" s="4"/>
      <c r="AY2096" s="8"/>
      <c r="AZ2096" s="7"/>
      <c r="BA2096" s="7"/>
      <c r="BB2096" s="7">
        <v>1</v>
      </c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>
        <v>0.3158</v>
      </c>
      <c r="BJ2096" s="4">
        <v>81</v>
      </c>
      <c r="BK2096" s="8">
        <v>13785.18</v>
      </c>
      <c r="BL2096" s="2" t="s">
        <v>7288</v>
      </c>
      <c r="BM2096" s="7">
        <v>0.0741</v>
      </c>
      <c r="BN2096" s="7">
        <v>0.0835</v>
      </c>
      <c r="BO2096" s="4">
        <v>6</v>
      </c>
      <c r="BP2096" s="8">
        <v>1151.34</v>
      </c>
      <c r="BQ2096" s="4"/>
      <c r="BR2096" s="8"/>
      <c r="BS2096" s="7"/>
      <c r="BT2096" s="7"/>
      <c r="BU2096" s="2" t="s">
        <v>109</v>
      </c>
      <c r="BV2096" s="2" t="s">
        <v>97</v>
      </c>
      <c r="BW2096" s="2" t="s">
        <v>3536</v>
      </c>
      <c r="BX2096" s="2" t="s">
        <v>7289</v>
      </c>
      <c r="BY2096" s="2" t="s">
        <v>112</v>
      </c>
      <c r="BZ2096" s="2" t="s">
        <v>100</v>
      </c>
    </row>
    <row r="2097">
      <c r="A2097" s="2" t="s">
        <v>7290</v>
      </c>
      <c r="B2097" s="2" t="s">
        <v>7252</v>
      </c>
      <c r="C2097" s="2" t="s">
        <v>88</v>
      </c>
      <c r="D2097" s="2" t="s">
        <v>7253</v>
      </c>
      <c r="E2097" s="2" t="s">
        <v>7254</v>
      </c>
      <c r="F2097" s="2" t="s">
        <v>7280</v>
      </c>
      <c r="G2097" s="2" t="s">
        <v>7281</v>
      </c>
      <c r="H2097" s="2" t="s">
        <v>7282</v>
      </c>
      <c r="I2097" s="2" t="s">
        <v>7283</v>
      </c>
      <c r="J2097" s="2" t="s">
        <v>6103</v>
      </c>
      <c r="K2097" s="2" t="s">
        <v>333</v>
      </c>
      <c r="L2097" s="3">
        <v>182.75</v>
      </c>
      <c r="M2097" s="3">
        <v>191.89</v>
      </c>
      <c r="N2097" s="3">
        <v>379</v>
      </c>
      <c r="O2097" s="2" t="s">
        <v>97</v>
      </c>
      <c r="P2097" s="2" t="s">
        <v>182</v>
      </c>
      <c r="Q2097" s="2" t="s">
        <v>99</v>
      </c>
      <c r="R2097" s="2" t="s">
        <v>100</v>
      </c>
      <c r="S2097" s="2" t="s">
        <v>7291</v>
      </c>
      <c r="T2097" s="2" t="s">
        <v>100</v>
      </c>
      <c r="U2097" s="2" t="s">
        <v>100</v>
      </c>
      <c r="V2097" s="2" t="s">
        <v>601</v>
      </c>
      <c r="W2097" s="2" t="s">
        <v>104</v>
      </c>
      <c r="X2097" s="2" t="s">
        <v>100</v>
      </c>
      <c r="Y2097" s="2" t="s">
        <v>106</v>
      </c>
      <c r="Z2097" s="4">
        <v>401</v>
      </c>
      <c r="AA2097" s="4">
        <f>=ROUNDDOWN(61.6923076923077,0)</f>
      </c>
      <c r="AB2097" s="5">
        <v>6.5</v>
      </c>
      <c r="AC2097" s="2" t="s">
        <v>7292</v>
      </c>
      <c r="AD2097" s="4">
        <v>7</v>
      </c>
      <c r="AE2097" s="4">
        <v>7</v>
      </c>
      <c r="AF2097" s="6">
        <v>74</v>
      </c>
      <c r="AG2097" s="6">
        <v>60</v>
      </c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>
        <v>0</v>
      </c>
      <c r="AP2097" s="4">
        <v>3</v>
      </c>
      <c r="AQ2097" s="8">
        <v>575.67</v>
      </c>
      <c r="AR2097" s="4"/>
      <c r="AS2097" s="8"/>
      <c r="AT2097" s="7"/>
      <c r="AU2097" s="7"/>
      <c r="AV2097" s="4">
        <v>3</v>
      </c>
      <c r="AW2097" s="8">
        <v>575.67</v>
      </c>
      <c r="AX2097" s="4"/>
      <c r="AY2097" s="8"/>
      <c r="AZ2097" s="7"/>
      <c r="BA2097" s="7"/>
      <c r="BB2097" s="7">
        <v>1</v>
      </c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>
        <v>0.1579</v>
      </c>
      <c r="BJ2097" s="4">
        <v>143</v>
      </c>
      <c r="BK2097" s="8">
        <v>27687.68</v>
      </c>
      <c r="BL2097" s="2" t="s">
        <v>7267</v>
      </c>
      <c r="BM2097" s="7">
        <v>0.021</v>
      </c>
      <c r="BN2097" s="7">
        <v>0.0208</v>
      </c>
      <c r="BO2097" s="4">
        <v>3</v>
      </c>
      <c r="BP2097" s="8">
        <v>575.67</v>
      </c>
      <c r="BQ2097" s="4"/>
      <c r="BR2097" s="8"/>
      <c r="BS2097" s="7"/>
      <c r="BT2097" s="7"/>
      <c r="BU2097" s="2" t="s">
        <v>109</v>
      </c>
      <c r="BV2097" s="2" t="s">
        <v>97</v>
      </c>
      <c r="BW2097" s="2" t="s">
        <v>5454</v>
      </c>
      <c r="BX2097" s="2" t="s">
        <v>7293</v>
      </c>
      <c r="BY2097" s="2" t="s">
        <v>112</v>
      </c>
      <c r="BZ2097" s="2" t="s">
        <v>100</v>
      </c>
    </row>
    <row r="2098">
      <c r="A2098" s="2" t="s">
        <v>7294</v>
      </c>
      <c r="B2098" s="2" t="s">
        <v>7252</v>
      </c>
      <c r="C2098" s="2" t="s">
        <v>88</v>
      </c>
      <c r="D2098" s="2" t="s">
        <v>7253</v>
      </c>
      <c r="E2098" s="2" t="s">
        <v>7254</v>
      </c>
      <c r="F2098" s="2" t="s">
        <v>7280</v>
      </c>
      <c r="G2098" s="2" t="s">
        <v>7281</v>
      </c>
      <c r="H2098" s="2" t="s">
        <v>7282</v>
      </c>
      <c r="I2098" s="2" t="s">
        <v>7283</v>
      </c>
      <c r="J2098" s="2" t="s">
        <v>6103</v>
      </c>
      <c r="K2098" s="2" t="s">
        <v>4481</v>
      </c>
      <c r="L2098" s="3">
        <v>182.75</v>
      </c>
      <c r="M2098" s="3">
        <v>191.89</v>
      </c>
      <c r="N2098" s="3">
        <v>379</v>
      </c>
      <c r="O2098" s="2" t="s">
        <v>97</v>
      </c>
      <c r="P2098" s="2" t="s">
        <v>182</v>
      </c>
      <c r="Q2098" s="2" t="s">
        <v>99</v>
      </c>
      <c r="R2098" s="2" t="s">
        <v>100</v>
      </c>
      <c r="S2098" s="2" t="s">
        <v>100</v>
      </c>
      <c r="T2098" s="2" t="s">
        <v>100</v>
      </c>
      <c r="U2098" s="2" t="s">
        <v>100</v>
      </c>
      <c r="V2098" s="2" t="s">
        <v>1287</v>
      </c>
      <c r="W2098" s="2" t="s">
        <v>104</v>
      </c>
      <c r="X2098" s="2" t="s">
        <v>100</v>
      </c>
      <c r="Y2098" s="2" t="s">
        <v>2302</v>
      </c>
      <c r="Z2098" s="4">
        <v>69</v>
      </c>
      <c r="AA2098" s="4">
        <f>=ROUNDDOWN(9.85714285714286,0)</f>
      </c>
      <c r="AB2098" s="5">
        <v>7</v>
      </c>
      <c r="AC2098" s="2" t="s">
        <v>7295</v>
      </c>
      <c r="AD2098" s="4">
        <v>82</v>
      </c>
      <c r="AE2098" s="4">
        <v>82</v>
      </c>
      <c r="AF2098" s="6">
        <v>74</v>
      </c>
      <c r="AG2098" s="6">
        <v>60</v>
      </c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>
        <v>0</v>
      </c>
      <c r="AP2098" s="4"/>
      <c r="AQ2098" s="8"/>
      <c r="AR2098" s="4">
        <v>2</v>
      </c>
      <c r="AS2098" s="8">
        <v>383.78</v>
      </c>
      <c r="AT2098" s="7">
        <v>-1</v>
      </c>
      <c r="AU2098" s="7">
        <v>-1</v>
      </c>
      <c r="AV2098" s="4"/>
      <c r="AW2098" s="8"/>
      <c r="AX2098" s="4">
        <v>2</v>
      </c>
      <c r="AY2098" s="8">
        <v>383.78</v>
      </c>
      <c r="AZ2098" s="7">
        <v>-1</v>
      </c>
      <c r="BA2098" s="7">
        <v>-1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183</v>
      </c>
      <c r="BK2098" s="8">
        <v>32534.64</v>
      </c>
      <c r="BL2098" s="2" t="s">
        <v>7296</v>
      </c>
      <c r="BM2098" s="7"/>
      <c r="BN2098" s="7"/>
      <c r="BO2098" s="4"/>
      <c r="BP2098" s="8"/>
      <c r="BQ2098" s="4">
        <v>2</v>
      </c>
      <c r="BR2098" s="8">
        <v>383.78</v>
      </c>
      <c r="BS2098" s="7">
        <v>-1</v>
      </c>
      <c r="BT2098" s="7">
        <v>-1</v>
      </c>
      <c r="BU2098" s="2" t="s">
        <v>109</v>
      </c>
      <c r="BV2098" s="2" t="s">
        <v>97</v>
      </c>
      <c r="BW2098" s="2" t="s">
        <v>3536</v>
      </c>
      <c r="BX2098" s="2" t="s">
        <v>3870</v>
      </c>
      <c r="BY2098" s="2" t="s">
        <v>112</v>
      </c>
      <c r="BZ2098" s="2" t="s">
        <v>100</v>
      </c>
    </row>
    <row r="2099">
      <c r="A2099" s="2" t="s">
        <v>7297</v>
      </c>
      <c r="B2099" s="2" t="s">
        <v>7252</v>
      </c>
      <c r="C2099" s="2" t="s">
        <v>88</v>
      </c>
      <c r="D2099" s="2" t="s">
        <v>7253</v>
      </c>
      <c r="E2099" s="2" t="s">
        <v>7254</v>
      </c>
      <c r="F2099" s="2" t="s">
        <v>7280</v>
      </c>
      <c r="G2099" s="2" t="s">
        <v>7281</v>
      </c>
      <c r="H2099" s="2" t="s">
        <v>7282</v>
      </c>
      <c r="I2099" s="2" t="s">
        <v>7283</v>
      </c>
      <c r="J2099" s="2" t="s">
        <v>6103</v>
      </c>
      <c r="K2099" s="2" t="s">
        <v>7298</v>
      </c>
      <c r="L2099" s="3">
        <v>182.75</v>
      </c>
      <c r="M2099" s="3">
        <v>191.89</v>
      </c>
      <c r="N2099" s="3">
        <v>379</v>
      </c>
      <c r="O2099" s="2" t="s">
        <v>97</v>
      </c>
      <c r="P2099" s="2" t="s">
        <v>182</v>
      </c>
      <c r="Q2099" s="2" t="s">
        <v>99</v>
      </c>
      <c r="R2099" s="2" t="s">
        <v>100</v>
      </c>
      <c r="S2099" s="2" t="s">
        <v>100</v>
      </c>
      <c r="T2099" s="2" t="s">
        <v>100</v>
      </c>
      <c r="U2099" s="2" t="s">
        <v>100</v>
      </c>
      <c r="V2099" s="2" t="s">
        <v>601</v>
      </c>
      <c r="W2099" s="2" t="s">
        <v>104</v>
      </c>
      <c r="X2099" s="2" t="s">
        <v>100</v>
      </c>
      <c r="Y2099" s="2" t="s">
        <v>2302</v>
      </c>
      <c r="Z2099" s="4">
        <v>122</v>
      </c>
      <c r="AA2099" s="4">
        <f>=ROUNDDOWN(30.5,0)</f>
      </c>
      <c r="AB2099" s="5">
        <v>4</v>
      </c>
      <c r="AC2099" s="2" t="s">
        <v>130</v>
      </c>
      <c r="AD2099" s="4">
        <v>84</v>
      </c>
      <c r="AE2099" s="4">
        <v>180</v>
      </c>
      <c r="AF2099" s="6">
        <v>74</v>
      </c>
      <c r="AG2099" s="6"/>
      <c r="AH2099" s="7">
        <v>0.9091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80</v>
      </c>
      <c r="BK2099" s="8">
        <v>15652.86</v>
      </c>
      <c r="BL2099" s="2" t="s">
        <v>7299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6185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7300</v>
      </c>
      <c r="B2100" s="2" t="s">
        <v>7252</v>
      </c>
      <c r="C2100" s="2" t="s">
        <v>88</v>
      </c>
      <c r="D2100" s="2" t="s">
        <v>7253</v>
      </c>
      <c r="E2100" s="2" t="s">
        <v>7254</v>
      </c>
      <c r="F2100" s="2" t="s">
        <v>7301</v>
      </c>
      <c r="G2100" s="2" t="s">
        <v>451</v>
      </c>
      <c r="H2100" s="2" t="s">
        <v>7302</v>
      </c>
      <c r="I2100" s="2" t="s">
        <v>7303</v>
      </c>
      <c r="J2100" s="2" t="s">
        <v>6103</v>
      </c>
      <c r="K2100" s="2" t="s">
        <v>7304</v>
      </c>
      <c r="L2100" s="3">
        <v>285.94</v>
      </c>
      <c r="M2100" s="3">
        <v>300.24</v>
      </c>
      <c r="N2100" s="3">
        <v>599</v>
      </c>
      <c r="O2100" s="2" t="s">
        <v>97</v>
      </c>
      <c r="P2100" s="2" t="s">
        <v>143</v>
      </c>
      <c r="Q2100" s="2" t="s">
        <v>99</v>
      </c>
      <c r="R2100" s="2" t="s">
        <v>100</v>
      </c>
      <c r="S2100" s="2" t="s">
        <v>7305</v>
      </c>
      <c r="T2100" s="2" t="s">
        <v>100</v>
      </c>
      <c r="U2100" s="2" t="s">
        <v>100</v>
      </c>
      <c r="V2100" s="2" t="s">
        <v>601</v>
      </c>
      <c r="W2100" s="2" t="s">
        <v>104</v>
      </c>
      <c r="X2100" s="2" t="s">
        <v>602</v>
      </c>
      <c r="Y2100" s="2" t="s">
        <v>1322</v>
      </c>
      <c r="Z2100" s="4">
        <v>216</v>
      </c>
      <c r="AA2100" s="4">
        <f>=ROUNDDOWN(24,0)</f>
      </c>
      <c r="AB2100" s="5">
        <v>9</v>
      </c>
      <c r="AC2100" s="2" t="s">
        <v>130</v>
      </c>
      <c r="AD2100" s="4">
        <v>120</v>
      </c>
      <c r="AE2100" s="4">
        <v>320</v>
      </c>
      <c r="AF2100" s="6">
        <v>66</v>
      </c>
      <c r="AG2100" s="6">
        <v>49</v>
      </c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>
        <v>0</v>
      </c>
      <c r="AP2100" s="4">
        <v>10</v>
      </c>
      <c r="AQ2100" s="8">
        <v>3002.3</v>
      </c>
      <c r="AR2100" s="4">
        <v>8</v>
      </c>
      <c r="AS2100" s="8">
        <v>2408.38</v>
      </c>
      <c r="AT2100" s="7">
        <v>0.25</v>
      </c>
      <c r="AU2100" s="7">
        <v>0.2466</v>
      </c>
      <c r="AV2100" s="4">
        <v>10</v>
      </c>
      <c r="AW2100" s="8">
        <v>3002.3</v>
      </c>
      <c r="AX2100" s="4">
        <v>8</v>
      </c>
      <c r="AY2100" s="8">
        <v>2408.38</v>
      </c>
      <c r="AZ2100" s="7">
        <v>0.25</v>
      </c>
      <c r="BA2100" s="7">
        <v>0.2466</v>
      </c>
      <c r="BB2100" s="7">
        <v>1</v>
      </c>
      <c r="BC2100" s="4">
        <v>12</v>
      </c>
      <c r="BD2100" s="8">
        <v>3602.76</v>
      </c>
      <c r="BE2100" s="4">
        <v>12</v>
      </c>
      <c r="BF2100" s="8">
        <v>3384.12</v>
      </c>
      <c r="BG2100" s="7" t="s">
        <v>100</v>
      </c>
      <c r="BH2100" s="7">
        <v>0.0646</v>
      </c>
      <c r="BI2100" s="7">
        <v>0.8333</v>
      </c>
      <c r="BJ2100" s="4">
        <v>272</v>
      </c>
      <c r="BK2100" s="8">
        <v>80044.48</v>
      </c>
      <c r="BL2100" s="2" t="s">
        <v>7306</v>
      </c>
      <c r="BM2100" s="7">
        <v>0.0368</v>
      </c>
      <c r="BN2100" s="7">
        <v>0.0375</v>
      </c>
      <c r="BO2100" s="4">
        <v>10</v>
      </c>
      <c r="BP2100" s="8">
        <v>3002.3</v>
      </c>
      <c r="BQ2100" s="4">
        <v>8</v>
      </c>
      <c r="BR2100" s="8">
        <v>2408.38</v>
      </c>
      <c r="BS2100" s="7">
        <v>0.25</v>
      </c>
      <c r="BT2100" s="7">
        <v>0.2466</v>
      </c>
      <c r="BU2100" s="2" t="s">
        <v>109</v>
      </c>
      <c r="BV2100" s="2" t="s">
        <v>97</v>
      </c>
      <c r="BW2100" s="2" t="s">
        <v>7307</v>
      </c>
      <c r="BX2100" s="2" t="s">
        <v>938</v>
      </c>
      <c r="BY2100" s="2" t="s">
        <v>112</v>
      </c>
      <c r="BZ2100" s="2" t="s">
        <v>100</v>
      </c>
    </row>
    <row r="2101">
      <c r="A2101" s="2" t="s">
        <v>7308</v>
      </c>
      <c r="B2101" s="2" t="s">
        <v>7252</v>
      </c>
      <c r="C2101" s="2" t="s">
        <v>88</v>
      </c>
      <c r="D2101" s="2" t="s">
        <v>7253</v>
      </c>
      <c r="E2101" s="2" t="s">
        <v>7254</v>
      </c>
      <c r="F2101" s="2" t="s">
        <v>7301</v>
      </c>
      <c r="G2101" s="2" t="s">
        <v>451</v>
      </c>
      <c r="H2101" s="2" t="s">
        <v>7302</v>
      </c>
      <c r="I2101" s="2" t="s">
        <v>7303</v>
      </c>
      <c r="J2101" s="2" t="s">
        <v>6103</v>
      </c>
      <c r="K2101" s="2" t="s">
        <v>7309</v>
      </c>
      <c r="L2101" s="3">
        <v>285.94</v>
      </c>
      <c r="M2101" s="3">
        <v>300.24</v>
      </c>
      <c r="N2101" s="3">
        <v>599</v>
      </c>
      <c r="O2101" s="2" t="s">
        <v>97</v>
      </c>
      <c r="P2101" s="2" t="s">
        <v>1265</v>
      </c>
      <c r="Q2101" s="2" t="s">
        <v>99</v>
      </c>
      <c r="R2101" s="2" t="s">
        <v>100</v>
      </c>
      <c r="S2101" s="2" t="s">
        <v>100</v>
      </c>
      <c r="T2101" s="2" t="s">
        <v>100</v>
      </c>
      <c r="U2101" s="2" t="s">
        <v>3531</v>
      </c>
      <c r="V2101" s="2" t="s">
        <v>601</v>
      </c>
      <c r="W2101" s="2" t="s">
        <v>104</v>
      </c>
      <c r="X2101" s="2" t="s">
        <v>602</v>
      </c>
      <c r="Y2101" s="2" t="s">
        <v>132</v>
      </c>
      <c r="Z2101" s="4">
        <v>28</v>
      </c>
      <c r="AA2101" s="4">
        <f>=ROUNDDOWN(7,0)</f>
      </c>
      <c r="AB2101" s="5">
        <v>4</v>
      </c>
      <c r="AC2101" s="2" t="s">
        <v>4396</v>
      </c>
      <c r="AD2101" s="4">
        <v>100</v>
      </c>
      <c r="AE2101" s="4">
        <v>100</v>
      </c>
      <c r="AF2101" s="6">
        <v>66</v>
      </c>
      <c r="AG2101" s="6"/>
      <c r="AH2101" s="7">
        <v>0.9636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>
        <v>0</v>
      </c>
      <c r="AP2101" s="4">
        <v>2</v>
      </c>
      <c r="AQ2101" s="8">
        <v>600.46</v>
      </c>
      <c r="AR2101" s="4">
        <v>4</v>
      </c>
      <c r="AS2101" s="8">
        <v>975.74</v>
      </c>
      <c r="AT2101" s="7">
        <v>-0.5</v>
      </c>
      <c r="AU2101" s="7">
        <v>-0.3846</v>
      </c>
      <c r="AV2101" s="4">
        <v>2</v>
      </c>
      <c r="AW2101" s="8">
        <v>600.46</v>
      </c>
      <c r="AX2101" s="4">
        <v>4</v>
      </c>
      <c r="AY2101" s="8">
        <v>975.74</v>
      </c>
      <c r="AZ2101" s="7">
        <v>-0.5</v>
      </c>
      <c r="BA2101" s="7">
        <v>-0.3846</v>
      </c>
      <c r="BB2101" s="7">
        <v>1</v>
      </c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>
        <v>0.1667</v>
      </c>
      <c r="BJ2101" s="4">
        <v>80</v>
      </c>
      <c r="BK2101" s="8">
        <v>23923.32</v>
      </c>
      <c r="BL2101" s="2" t="s">
        <v>7310</v>
      </c>
      <c r="BM2101" s="7">
        <v>0.025</v>
      </c>
      <c r="BN2101" s="7">
        <v>0.0251</v>
      </c>
      <c r="BO2101" s="4">
        <v>2</v>
      </c>
      <c r="BP2101" s="8">
        <v>600.46</v>
      </c>
      <c r="BQ2101" s="4">
        <v>4</v>
      </c>
      <c r="BR2101" s="8">
        <v>975.74</v>
      </c>
      <c r="BS2101" s="7">
        <v>-0.5</v>
      </c>
      <c r="BT2101" s="7">
        <v>-0.3846</v>
      </c>
      <c r="BU2101" s="2" t="s">
        <v>109</v>
      </c>
      <c r="BV2101" s="2" t="s">
        <v>97</v>
      </c>
      <c r="BW2101" s="2" t="s">
        <v>7311</v>
      </c>
      <c r="BX2101" s="2" t="s">
        <v>7124</v>
      </c>
      <c r="BY2101" s="2" t="s">
        <v>112</v>
      </c>
      <c r="BZ2101" s="2" t="s">
        <v>100</v>
      </c>
    </row>
    <row r="2102">
      <c r="A2102" s="2" t="s">
        <v>7312</v>
      </c>
      <c r="B2102" s="2" t="s">
        <v>7252</v>
      </c>
      <c r="C2102" s="2" t="s">
        <v>88</v>
      </c>
      <c r="D2102" s="2" t="s">
        <v>7253</v>
      </c>
      <c r="E2102" s="2" t="s">
        <v>7254</v>
      </c>
      <c r="F2102" s="2" t="s">
        <v>7301</v>
      </c>
      <c r="G2102" s="2" t="s">
        <v>451</v>
      </c>
      <c r="H2102" s="2" t="s">
        <v>7302</v>
      </c>
      <c r="I2102" s="2" t="s">
        <v>7313</v>
      </c>
      <c r="J2102" s="2" t="s">
        <v>6103</v>
      </c>
      <c r="K2102" s="2" t="s">
        <v>142</v>
      </c>
      <c r="L2102" s="3">
        <v>285.94</v>
      </c>
      <c r="M2102" s="3">
        <v>300.24</v>
      </c>
      <c r="N2102" s="3">
        <v>599</v>
      </c>
      <c r="O2102" s="2" t="s">
        <v>97</v>
      </c>
      <c r="P2102" s="2" t="s">
        <v>1265</v>
      </c>
      <c r="Q2102" s="2" t="s">
        <v>99</v>
      </c>
      <c r="R2102" s="2" t="s">
        <v>100</v>
      </c>
      <c r="S2102" s="2" t="s">
        <v>100</v>
      </c>
      <c r="T2102" s="2" t="s">
        <v>100</v>
      </c>
      <c r="U2102" s="2" t="s">
        <v>3531</v>
      </c>
      <c r="V2102" s="2" t="s">
        <v>601</v>
      </c>
      <c r="W2102" s="2" t="s">
        <v>104</v>
      </c>
      <c r="X2102" s="2" t="s">
        <v>602</v>
      </c>
      <c r="Y2102" s="2" t="s">
        <v>7314</v>
      </c>
      <c r="Z2102" s="4">
        <v>116</v>
      </c>
      <c r="AA2102" s="4">
        <f>=ROUNDDOWN(29,0)</f>
      </c>
      <c r="AB2102" s="5">
        <v>4</v>
      </c>
      <c r="AC2102" s="2" t="s">
        <v>100</v>
      </c>
      <c r="AD2102" s="4"/>
      <c r="AE2102" s="4"/>
      <c r="AF2102" s="6">
        <v>66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/>
      <c r="AW2102" s="8"/>
      <c r="AX2102" s="4"/>
      <c r="AY2102" s="8"/>
      <c r="AZ2102" s="7"/>
      <c r="BA2102" s="7"/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79</v>
      </c>
      <c r="BK2102" s="8">
        <v>22597.6</v>
      </c>
      <c r="BL2102" s="2" t="s">
        <v>7315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6185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7316</v>
      </c>
      <c r="B2103" s="2" t="s">
        <v>7252</v>
      </c>
      <c r="C2103" s="2" t="s">
        <v>88</v>
      </c>
      <c r="D2103" s="2" t="s">
        <v>7253</v>
      </c>
      <c r="E2103" s="2" t="s">
        <v>7254</v>
      </c>
      <c r="F2103" s="2" t="s">
        <v>7317</v>
      </c>
      <c r="G2103" s="2" t="s">
        <v>7318</v>
      </c>
      <c r="H2103" s="2" t="s">
        <v>7319</v>
      </c>
      <c r="I2103" s="2" t="s">
        <v>7320</v>
      </c>
      <c r="J2103" s="2" t="s">
        <v>6103</v>
      </c>
      <c r="K2103" s="2" t="s">
        <v>4481</v>
      </c>
      <c r="L2103" s="3">
        <v>204.25</v>
      </c>
      <c r="M2103" s="3">
        <v>214.46</v>
      </c>
      <c r="N2103" s="3">
        <v>429</v>
      </c>
      <c r="O2103" s="2" t="s">
        <v>97</v>
      </c>
      <c r="P2103" s="2" t="s">
        <v>182</v>
      </c>
      <c r="Q2103" s="2" t="s">
        <v>99</v>
      </c>
      <c r="R2103" s="2" t="s">
        <v>100</v>
      </c>
      <c r="S2103" s="2" t="s">
        <v>7321</v>
      </c>
      <c r="T2103" s="2" t="s">
        <v>100</v>
      </c>
      <c r="U2103" s="2" t="s">
        <v>100</v>
      </c>
      <c r="V2103" s="2" t="s">
        <v>601</v>
      </c>
      <c r="W2103" s="2" t="s">
        <v>602</v>
      </c>
      <c r="X2103" s="2" t="s">
        <v>100</v>
      </c>
      <c r="Y2103" s="2" t="s">
        <v>106</v>
      </c>
      <c r="Z2103" s="4">
        <v>176</v>
      </c>
      <c r="AA2103" s="4">
        <f>=ROUNDDOWN(35.2,0)</f>
      </c>
      <c r="AB2103" s="5">
        <v>5</v>
      </c>
      <c r="AC2103" s="2" t="s">
        <v>100</v>
      </c>
      <c r="AD2103" s="4"/>
      <c r="AE2103" s="4"/>
      <c r="AF2103" s="6">
        <v>66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>
        <v>0</v>
      </c>
      <c r="AP2103" s="4">
        <v>5</v>
      </c>
      <c r="AQ2103" s="8">
        <v>997.5</v>
      </c>
      <c r="AR2103" s="4">
        <v>5</v>
      </c>
      <c r="AS2103" s="8">
        <v>976.51</v>
      </c>
      <c r="AT2103" s="7"/>
      <c r="AU2103" s="7">
        <v>0.0215</v>
      </c>
      <c r="AV2103" s="4">
        <v>5</v>
      </c>
      <c r="AW2103" s="8">
        <v>997.5</v>
      </c>
      <c r="AX2103" s="4">
        <v>5</v>
      </c>
      <c r="AY2103" s="8">
        <v>976.51</v>
      </c>
      <c r="AZ2103" s="7"/>
      <c r="BA2103" s="7">
        <v>0.0215</v>
      </c>
      <c r="BB2103" s="7">
        <v>1</v>
      </c>
      <c r="BC2103" s="4">
        <v>18</v>
      </c>
      <c r="BD2103" s="8">
        <v>3291.78</v>
      </c>
      <c r="BE2103" s="4">
        <v>69</v>
      </c>
      <c r="BF2103" s="8">
        <v>13293.15</v>
      </c>
      <c r="BG2103" s="7">
        <v>-0.7391</v>
      </c>
      <c r="BH2103" s="7">
        <v>-0.7524</v>
      </c>
      <c r="BI2103" s="7">
        <v>0.303</v>
      </c>
      <c r="BJ2103" s="4">
        <v>113</v>
      </c>
      <c r="BK2103" s="8">
        <v>20562.43</v>
      </c>
      <c r="BL2103" s="2" t="s">
        <v>7322</v>
      </c>
      <c r="BM2103" s="7">
        <v>0.0442</v>
      </c>
      <c r="BN2103" s="7">
        <v>0.0485</v>
      </c>
      <c r="BO2103" s="4">
        <v>5</v>
      </c>
      <c r="BP2103" s="8">
        <v>997.5</v>
      </c>
      <c r="BQ2103" s="4">
        <v>5</v>
      </c>
      <c r="BR2103" s="8">
        <v>976.51</v>
      </c>
      <c r="BS2103" s="7"/>
      <c r="BT2103" s="7">
        <v>0.0215</v>
      </c>
      <c r="BU2103" s="2" t="s">
        <v>109</v>
      </c>
      <c r="BV2103" s="2" t="s">
        <v>97</v>
      </c>
      <c r="BW2103" s="2" t="s">
        <v>7323</v>
      </c>
      <c r="BX2103" s="2" t="s">
        <v>7324</v>
      </c>
      <c r="BY2103" s="2" t="s">
        <v>112</v>
      </c>
      <c r="BZ2103" s="2" t="s">
        <v>100</v>
      </c>
    </row>
    <row r="2104">
      <c r="A2104" s="2" t="s">
        <v>7325</v>
      </c>
      <c r="B2104" s="2" t="s">
        <v>7252</v>
      </c>
      <c r="C2104" s="2" t="s">
        <v>88</v>
      </c>
      <c r="D2104" s="2" t="s">
        <v>7253</v>
      </c>
      <c r="E2104" s="2" t="s">
        <v>7254</v>
      </c>
      <c r="F2104" s="2" t="s">
        <v>7317</v>
      </c>
      <c r="G2104" s="2" t="s">
        <v>7318</v>
      </c>
      <c r="H2104" s="2" t="s">
        <v>7319</v>
      </c>
      <c r="I2104" s="2" t="s">
        <v>7320</v>
      </c>
      <c r="J2104" s="2" t="s">
        <v>6103</v>
      </c>
      <c r="K2104" s="2" t="s">
        <v>197</v>
      </c>
      <c r="L2104" s="3">
        <v>204.25</v>
      </c>
      <c r="M2104" s="3">
        <v>214.46</v>
      </c>
      <c r="N2104" s="3">
        <v>429</v>
      </c>
      <c r="O2104" s="2" t="s">
        <v>97</v>
      </c>
      <c r="P2104" s="2" t="s">
        <v>198</v>
      </c>
      <c r="Q2104" s="2" t="s">
        <v>99</v>
      </c>
      <c r="R2104" s="2" t="s">
        <v>100</v>
      </c>
      <c r="S2104" s="2" t="s">
        <v>7326</v>
      </c>
      <c r="T2104" s="2" t="s">
        <v>100</v>
      </c>
      <c r="U2104" s="2" t="s">
        <v>100</v>
      </c>
      <c r="V2104" s="2" t="s">
        <v>3244</v>
      </c>
      <c r="W2104" s="2" t="s">
        <v>602</v>
      </c>
      <c r="X2104" s="2" t="s">
        <v>100</v>
      </c>
      <c r="Y2104" s="2" t="s">
        <v>106</v>
      </c>
      <c r="Z2104" s="4">
        <v>32</v>
      </c>
      <c r="AA2104" s="4">
        <f>=ROUNDDOWN(20,0)</f>
      </c>
      <c r="AB2104" s="5">
        <v>1.6</v>
      </c>
      <c r="AC2104" s="2" t="s">
        <v>100</v>
      </c>
      <c r="AD2104" s="4"/>
      <c r="AE2104" s="4"/>
      <c r="AF2104" s="6">
        <v>67</v>
      </c>
      <c r="AG2104" s="6">
        <v>50</v>
      </c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>
        <v>0</v>
      </c>
      <c r="AP2104" s="4">
        <v>6</v>
      </c>
      <c r="AQ2104" s="8">
        <v>897.78</v>
      </c>
      <c r="AR2104" s="4">
        <v>22</v>
      </c>
      <c r="AS2104" s="8">
        <v>3900.82</v>
      </c>
      <c r="AT2104" s="7">
        <v>-0.7273</v>
      </c>
      <c r="AU2104" s="7">
        <v>-0.7698</v>
      </c>
      <c r="AV2104" s="4">
        <v>6</v>
      </c>
      <c r="AW2104" s="8">
        <v>897.78</v>
      </c>
      <c r="AX2104" s="4">
        <v>22</v>
      </c>
      <c r="AY2104" s="8">
        <v>3900.82</v>
      </c>
      <c r="AZ2104" s="7">
        <v>-0.7273</v>
      </c>
      <c r="BA2104" s="7">
        <v>-0.7698</v>
      </c>
      <c r="BB2104" s="7">
        <v>1</v>
      </c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>
        <v>0.2727</v>
      </c>
      <c r="BJ2104" s="4">
        <v>66</v>
      </c>
      <c r="BK2104" s="8">
        <v>12316.64</v>
      </c>
      <c r="BL2104" s="2" t="s">
        <v>7327</v>
      </c>
      <c r="BM2104" s="7">
        <v>0.0909</v>
      </c>
      <c r="BN2104" s="7">
        <v>0.0729</v>
      </c>
      <c r="BO2104" s="4">
        <v>6</v>
      </c>
      <c r="BP2104" s="8">
        <v>897.78</v>
      </c>
      <c r="BQ2104" s="4">
        <v>22</v>
      </c>
      <c r="BR2104" s="8">
        <v>3900.82</v>
      </c>
      <c r="BS2104" s="7">
        <v>-0.7273</v>
      </c>
      <c r="BT2104" s="7">
        <v>-0.7698</v>
      </c>
      <c r="BU2104" s="2" t="s">
        <v>109</v>
      </c>
      <c r="BV2104" s="2" t="s">
        <v>97</v>
      </c>
      <c r="BW2104" s="2" t="s">
        <v>7323</v>
      </c>
      <c r="BX2104" s="2" t="s">
        <v>7324</v>
      </c>
      <c r="BY2104" s="2" t="s">
        <v>112</v>
      </c>
      <c r="BZ2104" s="2" t="s">
        <v>100</v>
      </c>
    </row>
    <row r="2105">
      <c r="A2105" s="2" t="s">
        <v>7328</v>
      </c>
      <c r="B2105" s="2" t="s">
        <v>7252</v>
      </c>
      <c r="C2105" s="2" t="s">
        <v>88</v>
      </c>
      <c r="D2105" s="2" t="s">
        <v>7253</v>
      </c>
      <c r="E2105" s="2" t="s">
        <v>7254</v>
      </c>
      <c r="F2105" s="2" t="s">
        <v>7317</v>
      </c>
      <c r="G2105" s="2" t="s">
        <v>7318</v>
      </c>
      <c r="H2105" s="2" t="s">
        <v>7319</v>
      </c>
      <c r="I2105" s="2" t="s">
        <v>7320</v>
      </c>
      <c r="J2105" s="2" t="s">
        <v>6103</v>
      </c>
      <c r="K2105" s="2" t="s">
        <v>158</v>
      </c>
      <c r="L2105" s="3">
        <v>204.25</v>
      </c>
      <c r="M2105" s="3">
        <v>214.46</v>
      </c>
      <c r="N2105" s="3">
        <v>429</v>
      </c>
      <c r="O2105" s="2" t="s">
        <v>97</v>
      </c>
      <c r="P2105" s="2" t="s">
        <v>182</v>
      </c>
      <c r="Q2105" s="2" t="s">
        <v>99</v>
      </c>
      <c r="R2105" s="2" t="s">
        <v>100</v>
      </c>
      <c r="S2105" s="2" t="s">
        <v>7329</v>
      </c>
      <c r="T2105" s="2" t="s">
        <v>100</v>
      </c>
      <c r="U2105" s="2" t="s">
        <v>100</v>
      </c>
      <c r="V2105" s="2" t="s">
        <v>601</v>
      </c>
      <c r="W2105" s="2" t="s">
        <v>602</v>
      </c>
      <c r="X2105" s="2" t="s">
        <v>100</v>
      </c>
      <c r="Y2105" s="2" t="s">
        <v>106</v>
      </c>
      <c r="Z2105" s="4">
        <v>114</v>
      </c>
      <c r="AA2105" s="4">
        <f>=ROUNDDOWN(28.5,0)</f>
      </c>
      <c r="AB2105" s="5">
        <v>4</v>
      </c>
      <c r="AC2105" s="2" t="s">
        <v>518</v>
      </c>
      <c r="AD2105" s="4">
        <v>92</v>
      </c>
      <c r="AE2105" s="4">
        <v>92</v>
      </c>
      <c r="AF2105" s="6">
        <v>66</v>
      </c>
      <c r="AG2105" s="6">
        <v>49</v>
      </c>
      <c r="AH2105" s="7">
        <v>0.9939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>
        <v>0</v>
      </c>
      <c r="AP2105" s="4">
        <v>3</v>
      </c>
      <c r="AQ2105" s="8">
        <v>598.5</v>
      </c>
      <c r="AR2105" s="4">
        <v>8</v>
      </c>
      <c r="AS2105" s="8">
        <v>1501.52</v>
      </c>
      <c r="AT2105" s="7">
        <v>-0.625</v>
      </c>
      <c r="AU2105" s="7">
        <v>-0.6014</v>
      </c>
      <c r="AV2105" s="4">
        <v>3</v>
      </c>
      <c r="AW2105" s="8">
        <v>598.5</v>
      </c>
      <c r="AX2105" s="4">
        <v>8</v>
      </c>
      <c r="AY2105" s="8">
        <v>1501.52</v>
      </c>
      <c r="AZ2105" s="7">
        <v>-0.625</v>
      </c>
      <c r="BA2105" s="7">
        <v>-0.6014</v>
      </c>
      <c r="BB2105" s="7">
        <v>1</v>
      </c>
      <c r="BC2105" s="4" t="s">
        <v>100</v>
      </c>
      <c r="BD2105" s="8" t="s">
        <v>100</v>
      </c>
      <c r="BE2105" s="4" t="s">
        <v>100</v>
      </c>
      <c r="BF2105" s="8" t="s">
        <v>100</v>
      </c>
      <c r="BG2105" s="7" t="s">
        <v>100</v>
      </c>
      <c r="BH2105" s="7" t="s">
        <v>100</v>
      </c>
      <c r="BI2105" s="7">
        <v>0.1818</v>
      </c>
      <c r="BJ2105" s="4">
        <v>95</v>
      </c>
      <c r="BK2105" s="8">
        <v>18252.99</v>
      </c>
      <c r="BL2105" s="2" t="s">
        <v>7330</v>
      </c>
      <c r="BM2105" s="7">
        <v>0.0316</v>
      </c>
      <c r="BN2105" s="7">
        <v>0.0328</v>
      </c>
      <c r="BO2105" s="4">
        <v>3</v>
      </c>
      <c r="BP2105" s="8">
        <v>598.5</v>
      </c>
      <c r="BQ2105" s="4">
        <v>8</v>
      </c>
      <c r="BR2105" s="8">
        <v>1501.52</v>
      </c>
      <c r="BS2105" s="7">
        <v>-0.625</v>
      </c>
      <c r="BT2105" s="7">
        <v>-0.6014</v>
      </c>
      <c r="BU2105" s="2" t="s">
        <v>109</v>
      </c>
      <c r="BV2105" s="2" t="s">
        <v>97</v>
      </c>
      <c r="BW2105" s="2" t="s">
        <v>7323</v>
      </c>
      <c r="BX2105" s="2" t="s">
        <v>7331</v>
      </c>
      <c r="BY2105" s="2" t="s">
        <v>112</v>
      </c>
      <c r="BZ2105" s="2" t="s">
        <v>100</v>
      </c>
    </row>
    <row r="2106">
      <c r="A2106" s="2" t="s">
        <v>7332</v>
      </c>
      <c r="B2106" s="2" t="s">
        <v>7252</v>
      </c>
      <c r="C2106" s="2" t="s">
        <v>88</v>
      </c>
      <c r="D2106" s="2" t="s">
        <v>7253</v>
      </c>
      <c r="E2106" s="2" t="s">
        <v>7254</v>
      </c>
      <c r="F2106" s="2" t="s">
        <v>7317</v>
      </c>
      <c r="G2106" s="2" t="s">
        <v>7318</v>
      </c>
      <c r="H2106" s="2" t="s">
        <v>7319</v>
      </c>
      <c r="I2106" s="2" t="s">
        <v>7320</v>
      </c>
      <c r="J2106" s="2" t="s">
        <v>6103</v>
      </c>
      <c r="K2106" s="2" t="s">
        <v>622</v>
      </c>
      <c r="L2106" s="3">
        <v>204.25</v>
      </c>
      <c r="M2106" s="3">
        <v>214.46</v>
      </c>
      <c r="N2106" s="3">
        <v>429</v>
      </c>
      <c r="O2106" s="2" t="s">
        <v>97</v>
      </c>
      <c r="P2106" s="2" t="s">
        <v>1265</v>
      </c>
      <c r="Q2106" s="2" t="s">
        <v>99</v>
      </c>
      <c r="R2106" s="2" t="s">
        <v>100</v>
      </c>
      <c r="S2106" s="2" t="s">
        <v>7333</v>
      </c>
      <c r="T2106" s="2" t="s">
        <v>100</v>
      </c>
      <c r="U2106" s="2" t="s">
        <v>100</v>
      </c>
      <c r="V2106" s="2" t="s">
        <v>601</v>
      </c>
      <c r="W2106" s="2" t="s">
        <v>602</v>
      </c>
      <c r="X2106" s="2" t="s">
        <v>100</v>
      </c>
      <c r="Y2106" s="2" t="s">
        <v>106</v>
      </c>
      <c r="Z2106" s="4">
        <v>127</v>
      </c>
      <c r="AA2106" s="4">
        <f>=ROUNDDOWN(63.5,0)</f>
      </c>
      <c r="AB2106" s="5">
        <v>2</v>
      </c>
      <c r="AC2106" s="2" t="s">
        <v>100</v>
      </c>
      <c r="AD2106" s="4"/>
      <c r="AE2106" s="4"/>
      <c r="AF2106" s="6">
        <v>66</v>
      </c>
      <c r="AG2106" s="6">
        <v>49</v>
      </c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>
        <v>0</v>
      </c>
      <c r="AP2106" s="4">
        <v>3</v>
      </c>
      <c r="AQ2106" s="8">
        <v>598.5</v>
      </c>
      <c r="AR2106" s="4">
        <v>11</v>
      </c>
      <c r="AS2106" s="8">
        <v>1874.29</v>
      </c>
      <c r="AT2106" s="7">
        <v>-0.7273</v>
      </c>
      <c r="AU2106" s="7">
        <v>-0.6807</v>
      </c>
      <c r="AV2106" s="4">
        <v>3</v>
      </c>
      <c r="AW2106" s="8">
        <v>598.5</v>
      </c>
      <c r="AX2106" s="4">
        <v>11</v>
      </c>
      <c r="AY2106" s="8">
        <v>1874.29</v>
      </c>
      <c r="AZ2106" s="7">
        <v>-0.7273</v>
      </c>
      <c r="BA2106" s="7">
        <v>-0.6807</v>
      </c>
      <c r="BB2106" s="7">
        <v>1</v>
      </c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>
        <v>0.1818</v>
      </c>
      <c r="BJ2106" s="4">
        <v>47</v>
      </c>
      <c r="BK2106" s="8">
        <v>8952.45</v>
      </c>
      <c r="BL2106" s="2" t="s">
        <v>7334</v>
      </c>
      <c r="BM2106" s="7">
        <v>0.0638</v>
      </c>
      <c r="BN2106" s="7">
        <v>0.0669</v>
      </c>
      <c r="BO2106" s="4">
        <v>3</v>
      </c>
      <c r="BP2106" s="8">
        <v>598.5</v>
      </c>
      <c r="BQ2106" s="4">
        <v>11</v>
      </c>
      <c r="BR2106" s="8">
        <v>1874.29</v>
      </c>
      <c r="BS2106" s="7">
        <v>-0.7273</v>
      </c>
      <c r="BT2106" s="7">
        <v>-0.6807</v>
      </c>
      <c r="BU2106" s="2" t="s">
        <v>109</v>
      </c>
      <c r="BV2106" s="2" t="s">
        <v>97</v>
      </c>
      <c r="BW2106" s="2" t="s">
        <v>7323</v>
      </c>
      <c r="BX2106" s="2" t="s">
        <v>7335</v>
      </c>
      <c r="BY2106" s="2" t="s">
        <v>112</v>
      </c>
      <c r="BZ2106" s="2" t="s">
        <v>100</v>
      </c>
    </row>
    <row r="2107">
      <c r="A2107" s="2" t="s">
        <v>7336</v>
      </c>
      <c r="B2107" s="2" t="s">
        <v>7252</v>
      </c>
      <c r="C2107" s="2" t="s">
        <v>88</v>
      </c>
      <c r="D2107" s="2" t="s">
        <v>7253</v>
      </c>
      <c r="E2107" s="2" t="s">
        <v>7254</v>
      </c>
      <c r="F2107" s="2" t="s">
        <v>7317</v>
      </c>
      <c r="G2107" s="2" t="s">
        <v>7318</v>
      </c>
      <c r="H2107" s="2" t="s">
        <v>7319</v>
      </c>
      <c r="I2107" s="2" t="s">
        <v>7320</v>
      </c>
      <c r="J2107" s="2" t="s">
        <v>6103</v>
      </c>
      <c r="K2107" s="2" t="s">
        <v>3128</v>
      </c>
      <c r="L2107" s="3">
        <v>204.25</v>
      </c>
      <c r="M2107" s="3">
        <v>214.46</v>
      </c>
      <c r="N2107" s="3">
        <v>429</v>
      </c>
      <c r="O2107" s="2" t="s">
        <v>97</v>
      </c>
      <c r="P2107" s="2" t="s">
        <v>182</v>
      </c>
      <c r="Q2107" s="2" t="s">
        <v>99</v>
      </c>
      <c r="R2107" s="2" t="s">
        <v>100</v>
      </c>
      <c r="S2107" s="2" t="s">
        <v>7337</v>
      </c>
      <c r="T2107" s="2" t="s">
        <v>100</v>
      </c>
      <c r="U2107" s="2" t="s">
        <v>100</v>
      </c>
      <c r="V2107" s="2" t="s">
        <v>601</v>
      </c>
      <c r="W2107" s="2" t="s">
        <v>602</v>
      </c>
      <c r="X2107" s="2" t="s">
        <v>100</v>
      </c>
      <c r="Y2107" s="2" t="s">
        <v>106</v>
      </c>
      <c r="Z2107" s="4">
        <v>178</v>
      </c>
      <c r="AA2107" s="4">
        <f>=ROUNDDOWN(89,0)</f>
      </c>
      <c r="AB2107" s="5">
        <v>2</v>
      </c>
      <c r="AC2107" s="2" t="s">
        <v>100</v>
      </c>
      <c r="AD2107" s="4"/>
      <c r="AE2107" s="4"/>
      <c r="AF2107" s="6">
        <v>66</v>
      </c>
      <c r="AG2107" s="6"/>
      <c r="AH2107" s="7">
        <v>0.7636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>
        <v>0</v>
      </c>
      <c r="AP2107" s="4">
        <v>1</v>
      </c>
      <c r="AQ2107" s="8">
        <v>199.5</v>
      </c>
      <c r="AR2107" s="4">
        <v>9</v>
      </c>
      <c r="AS2107" s="8">
        <v>1879.51</v>
      </c>
      <c r="AT2107" s="7">
        <v>-0.8889</v>
      </c>
      <c r="AU2107" s="7">
        <v>-0.8939</v>
      </c>
      <c r="AV2107" s="4">
        <v>1</v>
      </c>
      <c r="AW2107" s="8">
        <v>199.5</v>
      </c>
      <c r="AX2107" s="4">
        <v>9</v>
      </c>
      <c r="AY2107" s="8">
        <v>1879.51</v>
      </c>
      <c r="AZ2107" s="7">
        <v>-0.8889</v>
      </c>
      <c r="BA2107" s="7">
        <v>-0.8939</v>
      </c>
      <c r="BB2107" s="7">
        <v>1</v>
      </c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>
        <v>0.0606</v>
      </c>
      <c r="BJ2107" s="4">
        <v>35</v>
      </c>
      <c r="BK2107" s="8">
        <v>6507.49</v>
      </c>
      <c r="BL2107" s="2" t="s">
        <v>7330</v>
      </c>
      <c r="BM2107" s="7">
        <v>0.0286</v>
      </c>
      <c r="BN2107" s="7">
        <v>0.0307</v>
      </c>
      <c r="BO2107" s="4">
        <v>1</v>
      </c>
      <c r="BP2107" s="8">
        <v>199.5</v>
      </c>
      <c r="BQ2107" s="4">
        <v>9</v>
      </c>
      <c r="BR2107" s="8">
        <v>1879.51</v>
      </c>
      <c r="BS2107" s="7">
        <v>-0.8889</v>
      </c>
      <c r="BT2107" s="7">
        <v>-0.8939</v>
      </c>
      <c r="BU2107" s="2" t="s">
        <v>109</v>
      </c>
      <c r="BV2107" s="2" t="s">
        <v>97</v>
      </c>
      <c r="BW2107" s="2" t="s">
        <v>7323</v>
      </c>
      <c r="BX2107" s="2" t="s">
        <v>7338</v>
      </c>
      <c r="BY2107" s="2" t="s">
        <v>112</v>
      </c>
      <c r="BZ2107" s="2" t="s">
        <v>100</v>
      </c>
    </row>
    <row r="2108">
      <c r="A2108" s="2" t="s">
        <v>7339</v>
      </c>
      <c r="B2108" s="2" t="s">
        <v>7252</v>
      </c>
      <c r="C2108" s="2" t="s">
        <v>88</v>
      </c>
      <c r="D2108" s="2" t="s">
        <v>7253</v>
      </c>
      <c r="E2108" s="2" t="s">
        <v>7254</v>
      </c>
      <c r="F2108" s="2" t="s">
        <v>7317</v>
      </c>
      <c r="G2108" s="2" t="s">
        <v>7318</v>
      </c>
      <c r="H2108" s="2" t="s">
        <v>7340</v>
      </c>
      <c r="I2108" s="2" t="s">
        <v>7320</v>
      </c>
      <c r="J2108" s="2" t="s">
        <v>6103</v>
      </c>
      <c r="K2108" s="2" t="s">
        <v>7341</v>
      </c>
      <c r="L2108" s="3">
        <v>204.25</v>
      </c>
      <c r="M2108" s="3">
        <v>214.46</v>
      </c>
      <c r="N2108" s="3">
        <v>429</v>
      </c>
      <c r="O2108" s="2" t="s">
        <v>550</v>
      </c>
      <c r="P2108" s="2" t="s">
        <v>198</v>
      </c>
      <c r="Q2108" s="2" t="s">
        <v>99</v>
      </c>
      <c r="R2108" s="2" t="s">
        <v>100</v>
      </c>
      <c r="S2108" s="2" t="s">
        <v>7342</v>
      </c>
      <c r="T2108" s="2" t="s">
        <v>100</v>
      </c>
      <c r="U2108" s="2" t="s">
        <v>100</v>
      </c>
      <c r="V2108" s="2" t="s">
        <v>3244</v>
      </c>
      <c r="W2108" s="2" t="s">
        <v>602</v>
      </c>
      <c r="X2108" s="2" t="s">
        <v>100</v>
      </c>
      <c r="Y2108" s="2" t="s">
        <v>106</v>
      </c>
      <c r="Z2108" s="4"/>
      <c r="AA2108" s="4">
        <f>=ROUNDDOWN({0},0)</f>
      </c>
      <c r="AB2108" s="5"/>
      <c r="AC2108" s="2" t="s">
        <v>100</v>
      </c>
      <c r="AD2108" s="4"/>
      <c r="AE2108" s="4"/>
      <c r="AF2108" s="6">
        <v>67</v>
      </c>
      <c r="AG2108" s="6">
        <v>50</v>
      </c>
      <c r="AH2108" s="7">
        <v>0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>
        <v>0</v>
      </c>
      <c r="AP2108" s="4"/>
      <c r="AQ2108" s="8"/>
      <c r="AR2108" s="4">
        <v>3</v>
      </c>
      <c r="AS2108" s="8">
        <v>677.25</v>
      </c>
      <c r="AT2108" s="7">
        <v>-1</v>
      </c>
      <c r="AU2108" s="7">
        <v>-1</v>
      </c>
      <c r="AV2108" s="4"/>
      <c r="AW2108" s="8"/>
      <c r="AX2108" s="4">
        <v>3</v>
      </c>
      <c r="AY2108" s="8">
        <v>677.25</v>
      </c>
      <c r="AZ2108" s="7">
        <v>-1</v>
      </c>
      <c r="BA2108" s="7">
        <v>-1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/>
      <c r="BK2108" s="8"/>
      <c r="BL2108" s="2" t="s">
        <v>7343</v>
      </c>
      <c r="BM2108" s="7"/>
      <c r="BN2108" s="7"/>
      <c r="BO2108" s="4"/>
      <c r="BP2108" s="8"/>
      <c r="BQ2108" s="4">
        <v>3</v>
      </c>
      <c r="BR2108" s="8">
        <v>677.25</v>
      </c>
      <c r="BS2108" s="7">
        <v>-1</v>
      </c>
      <c r="BT2108" s="7">
        <v>-1</v>
      </c>
      <c r="BU2108" s="2" t="s">
        <v>109</v>
      </c>
      <c r="BV2108" s="2" t="s">
        <v>552</v>
      </c>
      <c r="BW2108" s="2" t="s">
        <v>7323</v>
      </c>
      <c r="BX2108" s="2" t="s">
        <v>7324</v>
      </c>
      <c r="BY2108" s="2" t="s">
        <v>112</v>
      </c>
      <c r="BZ2108" s="2" t="s">
        <v>100</v>
      </c>
    </row>
    <row r="2109">
      <c r="A2109" s="2" t="s">
        <v>7344</v>
      </c>
      <c r="B2109" s="2" t="s">
        <v>7252</v>
      </c>
      <c r="C2109" s="2" t="s">
        <v>88</v>
      </c>
      <c r="D2109" s="2" t="s">
        <v>7253</v>
      </c>
      <c r="E2109" s="2" t="s">
        <v>7254</v>
      </c>
      <c r="F2109" s="2" t="s">
        <v>7317</v>
      </c>
      <c r="G2109" s="2" t="s">
        <v>7318</v>
      </c>
      <c r="H2109" s="2" t="s">
        <v>7319</v>
      </c>
      <c r="I2109" s="2" t="s">
        <v>7320</v>
      </c>
      <c r="J2109" s="2" t="s">
        <v>6103</v>
      </c>
      <c r="K2109" s="2" t="s">
        <v>298</v>
      </c>
      <c r="L2109" s="3">
        <v>204.25</v>
      </c>
      <c r="M2109" s="3">
        <v>214.46</v>
      </c>
      <c r="N2109" s="3">
        <v>429</v>
      </c>
      <c r="O2109" s="2" t="s">
        <v>97</v>
      </c>
      <c r="P2109" s="2" t="s">
        <v>1265</v>
      </c>
      <c r="Q2109" s="2" t="s">
        <v>99</v>
      </c>
      <c r="R2109" s="2" t="s">
        <v>100</v>
      </c>
      <c r="S2109" s="2" t="s">
        <v>7345</v>
      </c>
      <c r="T2109" s="2" t="s">
        <v>100</v>
      </c>
      <c r="U2109" s="2" t="s">
        <v>100</v>
      </c>
      <c r="V2109" s="2" t="s">
        <v>3244</v>
      </c>
      <c r="W2109" s="2" t="s">
        <v>602</v>
      </c>
      <c r="X2109" s="2" t="s">
        <v>100</v>
      </c>
      <c r="Y2109" s="2" t="s">
        <v>106</v>
      </c>
      <c r="Z2109" s="4">
        <v>124</v>
      </c>
      <c r="AA2109" s="4">
        <f>=ROUNDDOWN(41.3333333333333,0)</f>
      </c>
      <c r="AB2109" s="5">
        <v>3</v>
      </c>
      <c r="AC2109" s="2" t="s">
        <v>100</v>
      </c>
      <c r="AD2109" s="4"/>
      <c r="AE2109" s="4"/>
      <c r="AF2109" s="6">
        <v>66</v>
      </c>
      <c r="AG2109" s="6">
        <v>49</v>
      </c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>
        <v>0</v>
      </c>
      <c r="AP2109" s="4"/>
      <c r="AQ2109" s="8"/>
      <c r="AR2109" s="4">
        <v>11</v>
      </c>
      <c r="AS2109" s="8">
        <v>2483.25</v>
      </c>
      <c r="AT2109" s="7">
        <v>-1</v>
      </c>
      <c r="AU2109" s="7">
        <v>-1</v>
      </c>
      <c r="AV2109" s="4"/>
      <c r="AW2109" s="8"/>
      <c r="AX2109" s="4">
        <v>11</v>
      </c>
      <c r="AY2109" s="8">
        <v>2483.25</v>
      </c>
      <c r="AZ2109" s="7">
        <v>-1</v>
      </c>
      <c r="BA2109" s="7">
        <v>-1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59</v>
      </c>
      <c r="BK2109" s="8">
        <v>11269.63</v>
      </c>
      <c r="BL2109" s="2" t="s">
        <v>7322</v>
      </c>
      <c r="BM2109" s="7"/>
      <c r="BN2109" s="7"/>
      <c r="BO2109" s="4"/>
      <c r="BP2109" s="8"/>
      <c r="BQ2109" s="4">
        <v>11</v>
      </c>
      <c r="BR2109" s="8">
        <v>2483.25</v>
      </c>
      <c r="BS2109" s="7">
        <v>-1</v>
      </c>
      <c r="BT2109" s="7">
        <v>-1</v>
      </c>
      <c r="BU2109" s="2" t="s">
        <v>109</v>
      </c>
      <c r="BV2109" s="2" t="s">
        <v>97</v>
      </c>
      <c r="BW2109" s="2" t="s">
        <v>7323</v>
      </c>
      <c r="BX2109" s="2" t="s">
        <v>7346</v>
      </c>
      <c r="BY2109" s="2" t="s">
        <v>112</v>
      </c>
      <c r="BZ2109" s="2" t="s">
        <v>100</v>
      </c>
    </row>
    <row r="2110">
      <c r="A2110" s="2" t="s">
        <v>7347</v>
      </c>
      <c r="B2110" s="2" t="s">
        <v>7252</v>
      </c>
      <c r="C2110" s="2" t="s">
        <v>88</v>
      </c>
      <c r="D2110" s="2" t="s">
        <v>7253</v>
      </c>
      <c r="E2110" s="2" t="s">
        <v>7254</v>
      </c>
      <c r="F2110" s="2" t="s">
        <v>7348</v>
      </c>
      <c r="G2110" s="2" t="s">
        <v>7349</v>
      </c>
      <c r="H2110" s="2" t="s">
        <v>3171</v>
      </c>
      <c r="I2110" s="2" t="s">
        <v>7350</v>
      </c>
      <c r="J2110" s="2" t="s">
        <v>6103</v>
      </c>
      <c r="K2110" s="2" t="s">
        <v>7351</v>
      </c>
      <c r="L2110" s="3">
        <v>180.5</v>
      </c>
      <c r="M2110" s="3">
        <v>189.52</v>
      </c>
      <c r="N2110" s="3">
        <v>379</v>
      </c>
      <c r="O2110" s="2" t="s">
        <v>97</v>
      </c>
      <c r="P2110" s="2" t="s">
        <v>182</v>
      </c>
      <c r="Q2110" s="2" t="s">
        <v>99</v>
      </c>
      <c r="R2110" s="2" t="s">
        <v>100</v>
      </c>
      <c r="S2110" s="2" t="s">
        <v>7352</v>
      </c>
      <c r="T2110" s="2" t="s">
        <v>100</v>
      </c>
      <c r="U2110" s="2" t="s">
        <v>100</v>
      </c>
      <c r="V2110" s="2" t="s">
        <v>1752</v>
      </c>
      <c r="W2110" s="2" t="s">
        <v>405</v>
      </c>
      <c r="X2110" s="2" t="s">
        <v>100</v>
      </c>
      <c r="Y2110" s="2" t="s">
        <v>106</v>
      </c>
      <c r="Z2110" s="4">
        <v>49</v>
      </c>
      <c r="AA2110" s="4">
        <f>=ROUNDDOWN(7,0)</f>
      </c>
      <c r="AB2110" s="5">
        <v>7</v>
      </c>
      <c r="AC2110" s="2" t="s">
        <v>107</v>
      </c>
      <c r="AD2110" s="4">
        <v>92</v>
      </c>
      <c r="AE2110" s="4">
        <v>212</v>
      </c>
      <c r="AF2110" s="6">
        <v>66</v>
      </c>
      <c r="AG2110" s="6">
        <v>49</v>
      </c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>
        <v>0</v>
      </c>
      <c r="AP2110" s="4">
        <v>8</v>
      </c>
      <c r="AQ2110" s="8">
        <v>1323.04</v>
      </c>
      <c r="AR2110" s="4">
        <v>19</v>
      </c>
      <c r="AS2110" s="8">
        <v>3035.9</v>
      </c>
      <c r="AT2110" s="7">
        <v>-0.5789</v>
      </c>
      <c r="AU2110" s="7">
        <v>-0.5642</v>
      </c>
      <c r="AV2110" s="4">
        <v>8</v>
      </c>
      <c r="AW2110" s="8">
        <v>1323.04</v>
      </c>
      <c r="AX2110" s="4">
        <v>19</v>
      </c>
      <c r="AY2110" s="8">
        <v>3035.9</v>
      </c>
      <c r="AZ2110" s="7">
        <v>-0.5789</v>
      </c>
      <c r="BA2110" s="7">
        <v>-0.5642</v>
      </c>
      <c r="BB2110" s="7">
        <v>1</v>
      </c>
      <c r="BC2110" s="4">
        <v>18</v>
      </c>
      <c r="BD2110" s="8">
        <v>2976.84</v>
      </c>
      <c r="BE2110" s="4">
        <v>72</v>
      </c>
      <c r="BF2110" s="8">
        <v>12477.5</v>
      </c>
      <c r="BG2110" s="7">
        <v>-0.75</v>
      </c>
      <c r="BH2110" s="7">
        <v>-0.7614</v>
      </c>
      <c r="BI2110" s="7">
        <v>0.4444</v>
      </c>
      <c r="BJ2110" s="4">
        <v>142</v>
      </c>
      <c r="BK2110" s="8">
        <v>23839.21</v>
      </c>
      <c r="BL2110" s="2" t="s">
        <v>7353</v>
      </c>
      <c r="BM2110" s="7">
        <v>0.0563</v>
      </c>
      <c r="BN2110" s="7">
        <v>0.0555</v>
      </c>
      <c r="BO2110" s="4">
        <v>8</v>
      </c>
      <c r="BP2110" s="8">
        <v>1323.04</v>
      </c>
      <c r="BQ2110" s="4">
        <v>19</v>
      </c>
      <c r="BR2110" s="8">
        <v>3035.9</v>
      </c>
      <c r="BS2110" s="7">
        <v>-0.5789</v>
      </c>
      <c r="BT2110" s="7">
        <v>-0.5642</v>
      </c>
      <c r="BU2110" s="2" t="s">
        <v>109</v>
      </c>
      <c r="BV2110" s="2" t="s">
        <v>97</v>
      </c>
      <c r="BW2110" s="2" t="s">
        <v>217</v>
      </c>
      <c r="BX2110" s="2" t="s">
        <v>516</v>
      </c>
      <c r="BY2110" s="2" t="s">
        <v>112</v>
      </c>
      <c r="BZ2110" s="2" t="s">
        <v>100</v>
      </c>
    </row>
    <row r="2111">
      <c r="A2111" s="2" t="s">
        <v>7354</v>
      </c>
      <c r="B2111" s="2" t="s">
        <v>7252</v>
      </c>
      <c r="C2111" s="2" t="s">
        <v>88</v>
      </c>
      <c r="D2111" s="2" t="s">
        <v>7253</v>
      </c>
      <c r="E2111" s="2" t="s">
        <v>7254</v>
      </c>
      <c r="F2111" s="2" t="s">
        <v>7348</v>
      </c>
      <c r="G2111" s="2" t="s">
        <v>7349</v>
      </c>
      <c r="H2111" s="2" t="s">
        <v>3171</v>
      </c>
      <c r="I2111" s="2" t="s">
        <v>7350</v>
      </c>
      <c r="J2111" s="2" t="s">
        <v>6103</v>
      </c>
      <c r="K2111" s="2" t="s">
        <v>158</v>
      </c>
      <c r="L2111" s="3">
        <v>180.5</v>
      </c>
      <c r="M2111" s="3">
        <v>189.52</v>
      </c>
      <c r="N2111" s="3">
        <v>379</v>
      </c>
      <c r="O2111" s="2" t="s">
        <v>97</v>
      </c>
      <c r="P2111" s="2" t="s">
        <v>182</v>
      </c>
      <c r="Q2111" s="2" t="s">
        <v>99</v>
      </c>
      <c r="R2111" s="2" t="s">
        <v>100</v>
      </c>
      <c r="S2111" s="2" t="s">
        <v>7355</v>
      </c>
      <c r="T2111" s="2" t="s">
        <v>100</v>
      </c>
      <c r="U2111" s="2" t="s">
        <v>100</v>
      </c>
      <c r="V2111" s="2" t="s">
        <v>601</v>
      </c>
      <c r="W2111" s="2" t="s">
        <v>104</v>
      </c>
      <c r="X2111" s="2" t="s">
        <v>100</v>
      </c>
      <c r="Y2111" s="2" t="s">
        <v>106</v>
      </c>
      <c r="Z2111" s="4">
        <v>60</v>
      </c>
      <c r="AA2111" s="4">
        <f>=ROUNDDOWN(12,0)</f>
      </c>
      <c r="AB2111" s="5">
        <v>5</v>
      </c>
      <c r="AC2111" s="2" t="s">
        <v>919</v>
      </c>
      <c r="AD2111" s="4">
        <v>62</v>
      </c>
      <c r="AE2111" s="4">
        <v>62</v>
      </c>
      <c r="AF2111" s="6">
        <v>66</v>
      </c>
      <c r="AG2111" s="6">
        <v>49</v>
      </c>
      <c r="AH2111" s="7">
        <v>0.7212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>
        <v>0</v>
      </c>
      <c r="AP2111" s="4">
        <v>7</v>
      </c>
      <c r="AQ2111" s="8">
        <v>1157.66</v>
      </c>
      <c r="AR2111" s="4">
        <v>13</v>
      </c>
      <c r="AS2111" s="8">
        <v>2291.66</v>
      </c>
      <c r="AT2111" s="7">
        <v>-0.4615</v>
      </c>
      <c r="AU2111" s="7">
        <v>-0.4948</v>
      </c>
      <c r="AV2111" s="4">
        <v>7</v>
      </c>
      <c r="AW2111" s="8">
        <v>1157.66</v>
      </c>
      <c r="AX2111" s="4">
        <v>13</v>
      </c>
      <c r="AY2111" s="8">
        <v>2291.66</v>
      </c>
      <c r="AZ2111" s="7">
        <v>-0.4615</v>
      </c>
      <c r="BA2111" s="7">
        <v>-0.4948</v>
      </c>
      <c r="BB2111" s="7">
        <v>1</v>
      </c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>
        <v>0.3889</v>
      </c>
      <c r="BJ2111" s="4">
        <v>93</v>
      </c>
      <c r="BK2111" s="8">
        <v>15728.94</v>
      </c>
      <c r="BL2111" s="2" t="s">
        <v>7356</v>
      </c>
      <c r="BM2111" s="7">
        <v>0.0753</v>
      </c>
      <c r="BN2111" s="7">
        <v>0.0736</v>
      </c>
      <c r="BO2111" s="4">
        <v>7</v>
      </c>
      <c r="BP2111" s="8">
        <v>1157.66</v>
      </c>
      <c r="BQ2111" s="4">
        <v>13</v>
      </c>
      <c r="BR2111" s="8">
        <v>2291.66</v>
      </c>
      <c r="BS2111" s="7">
        <v>-0.4615</v>
      </c>
      <c r="BT2111" s="7">
        <v>-0.4948</v>
      </c>
      <c r="BU2111" s="2" t="s">
        <v>109</v>
      </c>
      <c r="BV2111" s="2" t="s">
        <v>97</v>
      </c>
      <c r="BW2111" s="2" t="s">
        <v>217</v>
      </c>
      <c r="BX2111" s="2" t="s">
        <v>7357</v>
      </c>
      <c r="BY2111" s="2" t="s">
        <v>112</v>
      </c>
      <c r="BZ2111" s="2" t="s">
        <v>100</v>
      </c>
    </row>
    <row r="2112">
      <c r="A2112" s="2" t="s">
        <v>7358</v>
      </c>
      <c r="B2112" s="2" t="s">
        <v>7252</v>
      </c>
      <c r="C2112" s="2" t="s">
        <v>88</v>
      </c>
      <c r="D2112" s="2" t="s">
        <v>7253</v>
      </c>
      <c r="E2112" s="2" t="s">
        <v>7254</v>
      </c>
      <c r="F2112" s="2" t="s">
        <v>7348</v>
      </c>
      <c r="G2112" s="2" t="s">
        <v>7349</v>
      </c>
      <c r="H2112" s="2" t="s">
        <v>3171</v>
      </c>
      <c r="I2112" s="2" t="s">
        <v>7350</v>
      </c>
      <c r="J2112" s="2" t="s">
        <v>6103</v>
      </c>
      <c r="K2112" s="2" t="s">
        <v>333</v>
      </c>
      <c r="L2112" s="3">
        <v>180.5</v>
      </c>
      <c r="M2112" s="3">
        <v>189.52</v>
      </c>
      <c r="N2112" s="3">
        <v>379</v>
      </c>
      <c r="O2112" s="2" t="s">
        <v>97</v>
      </c>
      <c r="P2112" s="2" t="s">
        <v>182</v>
      </c>
      <c r="Q2112" s="2" t="s">
        <v>99</v>
      </c>
      <c r="R2112" s="2" t="s">
        <v>100</v>
      </c>
      <c r="S2112" s="2" t="s">
        <v>7359</v>
      </c>
      <c r="T2112" s="2" t="s">
        <v>100</v>
      </c>
      <c r="U2112" s="2" t="s">
        <v>100</v>
      </c>
      <c r="V2112" s="2" t="s">
        <v>601</v>
      </c>
      <c r="W2112" s="2" t="s">
        <v>104</v>
      </c>
      <c r="X2112" s="2" t="s">
        <v>100</v>
      </c>
      <c r="Y2112" s="2" t="s">
        <v>106</v>
      </c>
      <c r="Z2112" s="4">
        <v>146</v>
      </c>
      <c r="AA2112" s="4">
        <f>=ROUNDDOWN(29.2,0)</f>
      </c>
      <c r="AB2112" s="5">
        <v>5</v>
      </c>
      <c r="AC2112" s="2" t="s">
        <v>100</v>
      </c>
      <c r="AD2112" s="4"/>
      <c r="AE2112" s="4"/>
      <c r="AF2112" s="6">
        <v>66</v>
      </c>
      <c r="AG2112" s="6">
        <v>49</v>
      </c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>
        <v>0</v>
      </c>
      <c r="AP2112" s="4">
        <v>2</v>
      </c>
      <c r="AQ2112" s="8">
        <v>330.76</v>
      </c>
      <c r="AR2112" s="4">
        <v>8</v>
      </c>
      <c r="AS2112" s="8">
        <v>1445.08</v>
      </c>
      <c r="AT2112" s="7">
        <v>-0.75</v>
      </c>
      <c r="AU2112" s="7">
        <v>-0.7711</v>
      </c>
      <c r="AV2112" s="4">
        <v>2</v>
      </c>
      <c r="AW2112" s="8">
        <v>330.76</v>
      </c>
      <c r="AX2112" s="4">
        <v>8</v>
      </c>
      <c r="AY2112" s="8">
        <v>1445.08</v>
      </c>
      <c r="AZ2112" s="7">
        <v>-0.75</v>
      </c>
      <c r="BA2112" s="7">
        <v>-0.7711</v>
      </c>
      <c r="BB2112" s="7">
        <v>1</v>
      </c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>
        <v>0.1111</v>
      </c>
      <c r="BJ2112" s="4">
        <v>134</v>
      </c>
      <c r="BK2112" s="8">
        <v>22410.16</v>
      </c>
      <c r="BL2112" s="2" t="s">
        <v>7360</v>
      </c>
      <c r="BM2112" s="7">
        <v>0.0149</v>
      </c>
      <c r="BN2112" s="7">
        <v>0.0148</v>
      </c>
      <c r="BO2112" s="4">
        <v>2</v>
      </c>
      <c r="BP2112" s="8">
        <v>330.76</v>
      </c>
      <c r="BQ2112" s="4">
        <v>8</v>
      </c>
      <c r="BR2112" s="8">
        <v>1445.08</v>
      </c>
      <c r="BS2112" s="7">
        <v>-0.75</v>
      </c>
      <c r="BT2112" s="7">
        <v>-0.7711</v>
      </c>
      <c r="BU2112" s="2" t="s">
        <v>109</v>
      </c>
      <c r="BV2112" s="2" t="s">
        <v>97</v>
      </c>
      <c r="BW2112" s="2" t="s">
        <v>217</v>
      </c>
      <c r="BX2112" s="2" t="s">
        <v>2274</v>
      </c>
      <c r="BY2112" s="2" t="s">
        <v>112</v>
      </c>
      <c r="BZ2112" s="2" t="s">
        <v>100</v>
      </c>
    </row>
    <row r="2113">
      <c r="A2113" s="2" t="s">
        <v>7361</v>
      </c>
      <c r="B2113" s="2" t="s">
        <v>7252</v>
      </c>
      <c r="C2113" s="2" t="s">
        <v>88</v>
      </c>
      <c r="D2113" s="2" t="s">
        <v>7253</v>
      </c>
      <c r="E2113" s="2" t="s">
        <v>7254</v>
      </c>
      <c r="F2113" s="2" t="s">
        <v>7348</v>
      </c>
      <c r="G2113" s="2" t="s">
        <v>7349</v>
      </c>
      <c r="H2113" s="2" t="s">
        <v>3171</v>
      </c>
      <c r="I2113" s="2" t="s">
        <v>7350</v>
      </c>
      <c r="J2113" s="2" t="s">
        <v>6103</v>
      </c>
      <c r="K2113" s="2" t="s">
        <v>7362</v>
      </c>
      <c r="L2113" s="3">
        <v>180.5</v>
      </c>
      <c r="M2113" s="3">
        <v>189.52</v>
      </c>
      <c r="N2113" s="3">
        <v>379</v>
      </c>
      <c r="O2113" s="2" t="s">
        <v>97</v>
      </c>
      <c r="P2113" s="2" t="s">
        <v>182</v>
      </c>
      <c r="Q2113" s="2" t="s">
        <v>99</v>
      </c>
      <c r="R2113" s="2" t="s">
        <v>100</v>
      </c>
      <c r="S2113" s="2" t="s">
        <v>7363</v>
      </c>
      <c r="T2113" s="2" t="s">
        <v>100</v>
      </c>
      <c r="U2113" s="2" t="s">
        <v>100</v>
      </c>
      <c r="V2113" s="2" t="s">
        <v>601</v>
      </c>
      <c r="W2113" s="2" t="s">
        <v>104</v>
      </c>
      <c r="X2113" s="2" t="s">
        <v>100</v>
      </c>
      <c r="Y2113" s="2" t="s">
        <v>106</v>
      </c>
      <c r="Z2113" s="4">
        <v>76</v>
      </c>
      <c r="AA2113" s="4">
        <f>=ROUNDDOWN(10.8571428571429,0)</f>
      </c>
      <c r="AB2113" s="5">
        <v>7</v>
      </c>
      <c r="AC2113" s="2" t="s">
        <v>7364</v>
      </c>
      <c r="AD2113" s="4">
        <v>70</v>
      </c>
      <c r="AE2113" s="4">
        <v>70</v>
      </c>
      <c r="AF2113" s="6">
        <v>66</v>
      </c>
      <c r="AG2113" s="6"/>
      <c r="AH2113" s="7">
        <v>0.4242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>
        <v>0</v>
      </c>
      <c r="AP2113" s="4">
        <v>1</v>
      </c>
      <c r="AQ2113" s="8">
        <v>165.38</v>
      </c>
      <c r="AR2113" s="4">
        <v>12</v>
      </c>
      <c r="AS2113" s="8">
        <v>2092.16</v>
      </c>
      <c r="AT2113" s="7">
        <v>-0.9167</v>
      </c>
      <c r="AU2113" s="7">
        <v>-0.921</v>
      </c>
      <c r="AV2113" s="4">
        <v>1</v>
      </c>
      <c r="AW2113" s="8">
        <v>165.38</v>
      </c>
      <c r="AX2113" s="4">
        <v>12</v>
      </c>
      <c r="AY2113" s="8">
        <v>2092.16</v>
      </c>
      <c r="AZ2113" s="7">
        <v>-0.9167</v>
      </c>
      <c r="BA2113" s="7">
        <v>-0.921</v>
      </c>
      <c r="BB2113" s="7">
        <v>1</v>
      </c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>
        <v>0.0556</v>
      </c>
      <c r="BJ2113" s="4">
        <v>110</v>
      </c>
      <c r="BK2113" s="8">
        <v>17335.27</v>
      </c>
      <c r="BL2113" s="2" t="s">
        <v>7365</v>
      </c>
      <c r="BM2113" s="7">
        <v>0.0091</v>
      </c>
      <c r="BN2113" s="7">
        <v>0.0095</v>
      </c>
      <c r="BO2113" s="4">
        <v>1</v>
      </c>
      <c r="BP2113" s="8">
        <v>165.38</v>
      </c>
      <c r="BQ2113" s="4">
        <v>12</v>
      </c>
      <c r="BR2113" s="8">
        <v>2092.16</v>
      </c>
      <c r="BS2113" s="7">
        <v>-0.9167</v>
      </c>
      <c r="BT2113" s="7">
        <v>-0.921</v>
      </c>
      <c r="BU2113" s="2" t="s">
        <v>109</v>
      </c>
      <c r="BV2113" s="2" t="s">
        <v>97</v>
      </c>
      <c r="BW2113" s="2" t="s">
        <v>217</v>
      </c>
      <c r="BX2113" s="2" t="s">
        <v>516</v>
      </c>
      <c r="BY2113" s="2" t="s">
        <v>112</v>
      </c>
      <c r="BZ2113" s="2" t="s">
        <v>100</v>
      </c>
    </row>
    <row r="2114">
      <c r="A2114" s="2" t="s">
        <v>7366</v>
      </c>
      <c r="B2114" s="2" t="s">
        <v>7252</v>
      </c>
      <c r="C2114" s="2" t="s">
        <v>88</v>
      </c>
      <c r="D2114" s="2" t="s">
        <v>7253</v>
      </c>
      <c r="E2114" s="2" t="s">
        <v>7254</v>
      </c>
      <c r="F2114" s="2" t="s">
        <v>7348</v>
      </c>
      <c r="G2114" s="2" t="s">
        <v>7349</v>
      </c>
      <c r="H2114" s="2" t="s">
        <v>3171</v>
      </c>
      <c r="I2114" s="2" t="s">
        <v>7350</v>
      </c>
      <c r="J2114" s="2" t="s">
        <v>6103</v>
      </c>
      <c r="K2114" s="2" t="s">
        <v>2553</v>
      </c>
      <c r="L2114" s="3">
        <v>180.5</v>
      </c>
      <c r="M2114" s="3">
        <v>189.52</v>
      </c>
      <c r="N2114" s="3">
        <v>379</v>
      </c>
      <c r="O2114" s="2" t="s">
        <v>229</v>
      </c>
      <c r="P2114" s="2" t="s">
        <v>198</v>
      </c>
      <c r="Q2114" s="2" t="s">
        <v>99</v>
      </c>
      <c r="R2114" s="2" t="s">
        <v>100</v>
      </c>
      <c r="S2114" s="2" t="s">
        <v>7367</v>
      </c>
      <c r="T2114" s="2" t="s">
        <v>100</v>
      </c>
      <c r="U2114" s="2" t="s">
        <v>100</v>
      </c>
      <c r="V2114" s="2" t="s">
        <v>601</v>
      </c>
      <c r="W2114" s="2" t="s">
        <v>104</v>
      </c>
      <c r="X2114" s="2" t="s">
        <v>100</v>
      </c>
      <c r="Y2114" s="2" t="s">
        <v>106</v>
      </c>
      <c r="Z2114" s="4"/>
      <c r="AA2114" s="4">
        <f>=ROUNDDOWN({0},0)</f>
      </c>
      <c r="AB2114" s="5">
        <v>2.6</v>
      </c>
      <c r="AC2114" s="2" t="s">
        <v>100</v>
      </c>
      <c r="AD2114" s="4"/>
      <c r="AE2114" s="4"/>
      <c r="AF2114" s="6">
        <v>65</v>
      </c>
      <c r="AG2114" s="6">
        <v>48</v>
      </c>
      <c r="AH2114" s="7">
        <v>0.2788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>
        <v>0</v>
      </c>
      <c r="AP2114" s="4"/>
      <c r="AQ2114" s="8"/>
      <c r="AR2114" s="4">
        <v>11</v>
      </c>
      <c r="AS2114" s="8">
        <v>1817.2</v>
      </c>
      <c r="AT2114" s="7">
        <v>-1</v>
      </c>
      <c r="AU2114" s="7">
        <v>-1</v>
      </c>
      <c r="AV2114" s="4"/>
      <c r="AW2114" s="8"/>
      <c r="AX2114" s="4">
        <v>11</v>
      </c>
      <c r="AY2114" s="8">
        <v>1817.2</v>
      </c>
      <c r="AZ2114" s="7">
        <v>-1</v>
      </c>
      <c r="BA2114" s="7">
        <v>-1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17</v>
      </c>
      <c r="BK2114" s="8">
        <v>3093.75</v>
      </c>
      <c r="BL2114" s="2" t="s">
        <v>7368</v>
      </c>
      <c r="BM2114" s="7"/>
      <c r="BN2114" s="7"/>
      <c r="BO2114" s="4"/>
      <c r="BP2114" s="8"/>
      <c r="BQ2114" s="4">
        <v>11</v>
      </c>
      <c r="BR2114" s="8">
        <v>1817.2</v>
      </c>
      <c r="BS2114" s="7">
        <v>-1</v>
      </c>
      <c r="BT2114" s="7">
        <v>-1</v>
      </c>
      <c r="BU2114" s="2" t="s">
        <v>109</v>
      </c>
      <c r="BV2114" s="2" t="s">
        <v>552</v>
      </c>
      <c r="BW2114" s="2" t="s">
        <v>217</v>
      </c>
      <c r="BX2114" s="2" t="s">
        <v>7369</v>
      </c>
      <c r="BY2114" s="2" t="s">
        <v>112</v>
      </c>
      <c r="BZ2114" s="2" t="s">
        <v>100</v>
      </c>
    </row>
    <row r="2115">
      <c r="A2115" s="2" t="s">
        <v>7370</v>
      </c>
      <c r="B2115" s="2" t="s">
        <v>7252</v>
      </c>
      <c r="C2115" s="2" t="s">
        <v>88</v>
      </c>
      <c r="D2115" s="2" t="s">
        <v>7253</v>
      </c>
      <c r="E2115" s="2" t="s">
        <v>7254</v>
      </c>
      <c r="F2115" s="2" t="s">
        <v>7348</v>
      </c>
      <c r="G2115" s="2" t="s">
        <v>7349</v>
      </c>
      <c r="H2115" s="2" t="s">
        <v>3171</v>
      </c>
      <c r="I2115" s="2" t="s">
        <v>7350</v>
      </c>
      <c r="J2115" s="2" t="s">
        <v>6103</v>
      </c>
      <c r="K2115" s="2" t="s">
        <v>181</v>
      </c>
      <c r="L2115" s="3">
        <v>180.5</v>
      </c>
      <c r="M2115" s="3">
        <v>189.52</v>
      </c>
      <c r="N2115" s="3">
        <v>379</v>
      </c>
      <c r="O2115" s="2" t="s">
        <v>229</v>
      </c>
      <c r="P2115" s="2" t="s">
        <v>198</v>
      </c>
      <c r="Q2115" s="2" t="s">
        <v>99</v>
      </c>
      <c r="R2115" s="2" t="s">
        <v>100</v>
      </c>
      <c r="S2115" s="2" t="s">
        <v>7371</v>
      </c>
      <c r="T2115" s="2" t="s">
        <v>100</v>
      </c>
      <c r="U2115" s="2" t="s">
        <v>100</v>
      </c>
      <c r="V2115" s="2" t="s">
        <v>601</v>
      </c>
      <c r="W2115" s="2" t="s">
        <v>104</v>
      </c>
      <c r="X2115" s="2" t="s">
        <v>100</v>
      </c>
      <c r="Y2115" s="2" t="s">
        <v>106</v>
      </c>
      <c r="Z2115" s="4"/>
      <c r="AA2115" s="4">
        <f>=ROUNDDOWN({0},0)</f>
      </c>
      <c r="AB2115" s="5"/>
      <c r="AC2115" s="2" t="s">
        <v>100</v>
      </c>
      <c r="AD2115" s="4"/>
      <c r="AE2115" s="4"/>
      <c r="AF2115" s="6">
        <v>67</v>
      </c>
      <c r="AG2115" s="6">
        <v>50</v>
      </c>
      <c r="AH2115" s="7">
        <v>0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>
        <v>0</v>
      </c>
      <c r="AP2115" s="4"/>
      <c r="AQ2115" s="8"/>
      <c r="AR2115" s="4">
        <v>8</v>
      </c>
      <c r="AS2115" s="8">
        <v>1596</v>
      </c>
      <c r="AT2115" s="7">
        <v>-1</v>
      </c>
      <c r="AU2115" s="7">
        <v>-1</v>
      </c>
      <c r="AV2115" s="4"/>
      <c r="AW2115" s="8"/>
      <c r="AX2115" s="4">
        <v>8</v>
      </c>
      <c r="AY2115" s="8">
        <v>1596</v>
      </c>
      <c r="AZ2115" s="7">
        <v>-1</v>
      </c>
      <c r="BA2115" s="7">
        <v>-1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/>
      <c r="BK2115" s="8"/>
      <c r="BL2115" s="2" t="s">
        <v>7372</v>
      </c>
      <c r="BM2115" s="7"/>
      <c r="BN2115" s="7"/>
      <c r="BO2115" s="4"/>
      <c r="BP2115" s="8"/>
      <c r="BQ2115" s="4">
        <v>8</v>
      </c>
      <c r="BR2115" s="8">
        <v>1596</v>
      </c>
      <c r="BS2115" s="7">
        <v>-1</v>
      </c>
      <c r="BT2115" s="7">
        <v>-1</v>
      </c>
      <c r="BU2115" s="2" t="s">
        <v>109</v>
      </c>
      <c r="BV2115" s="2" t="s">
        <v>552</v>
      </c>
      <c r="BW2115" s="2" t="s">
        <v>217</v>
      </c>
      <c r="BX2115" s="2" t="s">
        <v>347</v>
      </c>
      <c r="BY2115" s="2" t="s">
        <v>112</v>
      </c>
      <c r="BZ2115" s="2" t="s">
        <v>100</v>
      </c>
    </row>
    <row r="2116">
      <c r="A2116" s="2" t="s">
        <v>7373</v>
      </c>
      <c r="B2116" s="2" t="s">
        <v>7252</v>
      </c>
      <c r="C2116" s="2" t="s">
        <v>88</v>
      </c>
      <c r="D2116" s="2" t="s">
        <v>7253</v>
      </c>
      <c r="E2116" s="2" t="s">
        <v>7254</v>
      </c>
      <c r="F2116" s="2" t="s">
        <v>7348</v>
      </c>
      <c r="G2116" s="2" t="s">
        <v>7349</v>
      </c>
      <c r="H2116" s="2" t="s">
        <v>3171</v>
      </c>
      <c r="I2116" s="2" t="s">
        <v>7350</v>
      </c>
      <c r="J2116" s="2" t="s">
        <v>6103</v>
      </c>
      <c r="K2116" s="2" t="s">
        <v>2215</v>
      </c>
      <c r="L2116" s="3">
        <v>190</v>
      </c>
      <c r="M2116" s="3">
        <v>199.5</v>
      </c>
      <c r="N2116" s="3">
        <v>399</v>
      </c>
      <c r="O2116" s="2" t="s">
        <v>550</v>
      </c>
      <c r="P2116" s="2" t="s">
        <v>198</v>
      </c>
      <c r="Q2116" s="2" t="s">
        <v>99</v>
      </c>
      <c r="R2116" s="2" t="s">
        <v>100</v>
      </c>
      <c r="S2116" s="2" t="s">
        <v>7374</v>
      </c>
      <c r="T2116" s="2" t="s">
        <v>100</v>
      </c>
      <c r="U2116" s="2" t="s">
        <v>100</v>
      </c>
      <c r="V2116" s="2" t="s">
        <v>3244</v>
      </c>
      <c r="W2116" s="2" t="s">
        <v>602</v>
      </c>
      <c r="X2116" s="2" t="s">
        <v>100</v>
      </c>
      <c r="Y2116" s="2" t="s">
        <v>106</v>
      </c>
      <c r="Z2116" s="4"/>
      <c r="AA2116" s="4">
        <f>=ROUNDDOWN({0},0)</f>
      </c>
      <c r="AB2116" s="5"/>
      <c r="AC2116" s="2" t="s">
        <v>100</v>
      </c>
      <c r="AD2116" s="4"/>
      <c r="AE2116" s="4"/>
      <c r="AF2116" s="6">
        <v>65</v>
      </c>
      <c r="AG2116" s="6">
        <v>48</v>
      </c>
      <c r="AH2116" s="7">
        <v>0.5212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>
        <v>0</v>
      </c>
      <c r="AP2116" s="4"/>
      <c r="AQ2116" s="8"/>
      <c r="AR2116" s="4">
        <v>1</v>
      </c>
      <c r="AS2116" s="8">
        <v>199.5</v>
      </c>
      <c r="AT2116" s="7">
        <v>-1</v>
      </c>
      <c r="AU2116" s="7">
        <v>-1</v>
      </c>
      <c r="AV2116" s="4"/>
      <c r="AW2116" s="8"/>
      <c r="AX2116" s="4">
        <v>1</v>
      </c>
      <c r="AY2116" s="8">
        <v>199.5</v>
      </c>
      <c r="AZ2116" s="7">
        <v>-1</v>
      </c>
      <c r="BA2116" s="7">
        <v>-1</v>
      </c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/>
      <c r="BK2116" s="8"/>
      <c r="BL2116" s="2" t="s">
        <v>7375</v>
      </c>
      <c r="BM2116" s="7"/>
      <c r="BN2116" s="7"/>
      <c r="BO2116" s="4"/>
      <c r="BP2116" s="8"/>
      <c r="BQ2116" s="4">
        <v>1</v>
      </c>
      <c r="BR2116" s="8">
        <v>199.5</v>
      </c>
      <c r="BS2116" s="7">
        <v>-1</v>
      </c>
      <c r="BT2116" s="7">
        <v>-1</v>
      </c>
      <c r="BU2116" s="2" t="s">
        <v>109</v>
      </c>
      <c r="BV2116" s="2" t="s">
        <v>552</v>
      </c>
      <c r="BW2116" s="2" t="s">
        <v>217</v>
      </c>
      <c r="BX2116" s="2" t="s">
        <v>261</v>
      </c>
      <c r="BY2116" s="2" t="s">
        <v>112</v>
      </c>
      <c r="BZ2116" s="2" t="s">
        <v>100</v>
      </c>
    </row>
    <row r="2117">
      <c r="A2117" s="2" t="s">
        <v>7376</v>
      </c>
      <c r="B2117" s="2" t="s">
        <v>7252</v>
      </c>
      <c r="C2117" s="2" t="s">
        <v>88</v>
      </c>
      <c r="D2117" s="2" t="s">
        <v>7253</v>
      </c>
      <c r="E2117" s="2" t="s">
        <v>7254</v>
      </c>
      <c r="F2117" s="2" t="s">
        <v>1067</v>
      </c>
      <c r="G2117" s="2" t="s">
        <v>2008</v>
      </c>
      <c r="H2117" s="2" t="s">
        <v>7377</v>
      </c>
      <c r="I2117" s="2" t="s">
        <v>7378</v>
      </c>
      <c r="J2117" s="2" t="s">
        <v>6103</v>
      </c>
      <c r="K2117" s="2" t="s">
        <v>123</v>
      </c>
      <c r="L2117" s="3">
        <v>180.5</v>
      </c>
      <c r="M2117" s="3">
        <v>189.52</v>
      </c>
      <c r="N2117" s="3">
        <v>379</v>
      </c>
      <c r="O2117" s="2" t="s">
        <v>97</v>
      </c>
      <c r="P2117" s="2" t="s">
        <v>182</v>
      </c>
      <c r="Q2117" s="2" t="s">
        <v>99</v>
      </c>
      <c r="R2117" s="2" t="s">
        <v>100</v>
      </c>
      <c r="S2117" s="2" t="s">
        <v>7379</v>
      </c>
      <c r="T2117" s="2" t="s">
        <v>100</v>
      </c>
      <c r="U2117" s="2" t="s">
        <v>100</v>
      </c>
      <c r="V2117" s="2" t="s">
        <v>3244</v>
      </c>
      <c r="W2117" s="2" t="s">
        <v>1288</v>
      </c>
      <c r="X2117" s="2" t="s">
        <v>104</v>
      </c>
      <c r="Y2117" s="2" t="s">
        <v>7380</v>
      </c>
      <c r="Z2117" s="4">
        <v>8</v>
      </c>
      <c r="AA2117" s="4">
        <f>=ROUNDDOWN(0.8,0)</f>
      </c>
      <c r="AB2117" s="5">
        <v>10</v>
      </c>
      <c r="AC2117" s="2" t="s">
        <v>3645</v>
      </c>
      <c r="AD2117" s="4">
        <v>200</v>
      </c>
      <c r="AE2117" s="4">
        <v>200</v>
      </c>
      <c r="AF2117" s="6">
        <v>69</v>
      </c>
      <c r="AG2117" s="6">
        <v>52</v>
      </c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>
        <v>0</v>
      </c>
      <c r="AP2117" s="4">
        <v>14</v>
      </c>
      <c r="AQ2117" s="8">
        <v>2425.5</v>
      </c>
      <c r="AR2117" s="4">
        <v>16</v>
      </c>
      <c r="AS2117" s="8">
        <v>2844.2</v>
      </c>
      <c r="AT2117" s="7">
        <v>-0.125</v>
      </c>
      <c r="AU2117" s="7">
        <v>-0.1472</v>
      </c>
      <c r="AV2117" s="4">
        <v>14</v>
      </c>
      <c r="AW2117" s="8">
        <v>2425.5</v>
      </c>
      <c r="AX2117" s="4">
        <v>16</v>
      </c>
      <c r="AY2117" s="8">
        <v>2844.2</v>
      </c>
      <c r="AZ2117" s="7">
        <v>-0.125</v>
      </c>
      <c r="BA2117" s="7">
        <v>-0.1472</v>
      </c>
      <c r="BB2117" s="7">
        <v>1</v>
      </c>
      <c r="BC2117" s="4">
        <v>15</v>
      </c>
      <c r="BD2117" s="8">
        <v>2598.75</v>
      </c>
      <c r="BE2117" s="4">
        <v>29</v>
      </c>
      <c r="BF2117" s="8">
        <v>4950.78</v>
      </c>
      <c r="BG2117" s="7">
        <v>-0.4828</v>
      </c>
      <c r="BH2117" s="7">
        <v>-0.4751</v>
      </c>
      <c r="BI2117" s="7">
        <v>0.9333</v>
      </c>
      <c r="BJ2117" s="4">
        <v>214</v>
      </c>
      <c r="BK2117" s="8">
        <v>37635</v>
      </c>
      <c r="BL2117" s="2" t="s">
        <v>7381</v>
      </c>
      <c r="BM2117" s="7">
        <v>0.0654</v>
      </c>
      <c r="BN2117" s="7">
        <v>0.0644</v>
      </c>
      <c r="BO2117" s="4">
        <v>14</v>
      </c>
      <c r="BP2117" s="8">
        <v>2425.5</v>
      </c>
      <c r="BQ2117" s="4">
        <v>16</v>
      </c>
      <c r="BR2117" s="8">
        <v>2844.2</v>
      </c>
      <c r="BS2117" s="7">
        <v>-0.125</v>
      </c>
      <c r="BT2117" s="7">
        <v>-0.1472</v>
      </c>
      <c r="BU2117" s="2" t="s">
        <v>109</v>
      </c>
      <c r="BV2117" s="2" t="s">
        <v>97</v>
      </c>
      <c r="BW2117" s="2" t="s">
        <v>7382</v>
      </c>
      <c r="BX2117" s="2" t="s">
        <v>2935</v>
      </c>
      <c r="BY2117" s="2" t="s">
        <v>112</v>
      </c>
      <c r="BZ2117" s="2" t="s">
        <v>100</v>
      </c>
    </row>
    <row r="2118">
      <c r="A2118" s="2" t="s">
        <v>7383</v>
      </c>
      <c r="B2118" s="2" t="s">
        <v>7252</v>
      </c>
      <c r="C2118" s="2" t="s">
        <v>88</v>
      </c>
      <c r="D2118" s="2" t="s">
        <v>7253</v>
      </c>
      <c r="E2118" s="2" t="s">
        <v>7254</v>
      </c>
      <c r="F2118" s="2" t="s">
        <v>1067</v>
      </c>
      <c r="G2118" s="2" t="s">
        <v>2008</v>
      </c>
      <c r="H2118" s="2" t="s">
        <v>7377</v>
      </c>
      <c r="I2118" s="2" t="s">
        <v>7378</v>
      </c>
      <c r="J2118" s="2" t="s">
        <v>6103</v>
      </c>
      <c r="K2118" s="2" t="s">
        <v>1767</v>
      </c>
      <c r="L2118" s="3">
        <v>180.5</v>
      </c>
      <c r="M2118" s="3">
        <v>189.52</v>
      </c>
      <c r="N2118" s="3">
        <v>379</v>
      </c>
      <c r="O2118" s="2" t="s">
        <v>97</v>
      </c>
      <c r="P2118" s="2" t="s">
        <v>182</v>
      </c>
      <c r="Q2118" s="2" t="s">
        <v>99</v>
      </c>
      <c r="R2118" s="2" t="s">
        <v>100</v>
      </c>
      <c r="S2118" s="2" t="s">
        <v>7384</v>
      </c>
      <c r="T2118" s="2" t="s">
        <v>100</v>
      </c>
      <c r="U2118" s="2" t="s">
        <v>100</v>
      </c>
      <c r="V2118" s="2" t="s">
        <v>491</v>
      </c>
      <c r="W2118" s="2" t="s">
        <v>405</v>
      </c>
      <c r="X2118" s="2" t="s">
        <v>100</v>
      </c>
      <c r="Y2118" s="2" t="s">
        <v>106</v>
      </c>
      <c r="Z2118" s="4">
        <v>34</v>
      </c>
      <c r="AA2118" s="4">
        <f>=ROUNDDOWN(3.4,0)</f>
      </c>
      <c r="AB2118" s="5">
        <v>10</v>
      </c>
      <c r="AC2118" s="2" t="s">
        <v>7385</v>
      </c>
      <c r="AD2118" s="4">
        <v>87</v>
      </c>
      <c r="AE2118" s="4">
        <v>280</v>
      </c>
      <c r="AF2118" s="6">
        <v>69</v>
      </c>
      <c r="AG2118" s="6">
        <v>52</v>
      </c>
      <c r="AH2118" s="7">
        <v>0.7455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>
        <v>0</v>
      </c>
      <c r="AP2118" s="4">
        <v>1</v>
      </c>
      <c r="AQ2118" s="8">
        <v>173.25</v>
      </c>
      <c r="AR2118" s="4">
        <v>13</v>
      </c>
      <c r="AS2118" s="8">
        <v>2106.58</v>
      </c>
      <c r="AT2118" s="7">
        <v>-0.9231</v>
      </c>
      <c r="AU2118" s="7">
        <v>-0.9178</v>
      </c>
      <c r="AV2118" s="4">
        <v>1</v>
      </c>
      <c r="AW2118" s="8">
        <v>173.25</v>
      </c>
      <c r="AX2118" s="4">
        <v>13</v>
      </c>
      <c r="AY2118" s="8">
        <v>2106.58</v>
      </c>
      <c r="AZ2118" s="7">
        <v>-0.9231</v>
      </c>
      <c r="BA2118" s="7">
        <v>-0.9178</v>
      </c>
      <c r="BB2118" s="7">
        <v>1</v>
      </c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>
        <v>0.0667</v>
      </c>
      <c r="BJ2118" s="4">
        <v>160</v>
      </c>
      <c r="BK2118" s="8">
        <v>28822.9</v>
      </c>
      <c r="BL2118" s="2" t="s">
        <v>7386</v>
      </c>
      <c r="BM2118" s="7">
        <v>0.0062</v>
      </c>
      <c r="BN2118" s="7">
        <v>0.006</v>
      </c>
      <c r="BO2118" s="4">
        <v>1</v>
      </c>
      <c r="BP2118" s="8">
        <v>173.25</v>
      </c>
      <c r="BQ2118" s="4">
        <v>13</v>
      </c>
      <c r="BR2118" s="8">
        <v>2106.58</v>
      </c>
      <c r="BS2118" s="7">
        <v>-0.9231</v>
      </c>
      <c r="BT2118" s="7">
        <v>-0.9178</v>
      </c>
      <c r="BU2118" s="2" t="s">
        <v>109</v>
      </c>
      <c r="BV2118" s="2" t="s">
        <v>97</v>
      </c>
      <c r="BW2118" s="2" t="s">
        <v>7311</v>
      </c>
      <c r="BX2118" s="2" t="s">
        <v>2525</v>
      </c>
      <c r="BY2118" s="2" t="s">
        <v>112</v>
      </c>
      <c r="BZ2118" s="2" t="s">
        <v>100</v>
      </c>
    </row>
    <row r="2119">
      <c r="A2119" s="2" t="s">
        <v>7387</v>
      </c>
      <c r="B2119" s="2" t="s">
        <v>7252</v>
      </c>
      <c r="C2119" s="2" t="s">
        <v>88</v>
      </c>
      <c r="D2119" s="2" t="s">
        <v>7253</v>
      </c>
      <c r="E2119" s="2" t="s">
        <v>7254</v>
      </c>
      <c r="F2119" s="2" t="s">
        <v>7388</v>
      </c>
      <c r="G2119" s="2" t="s">
        <v>7389</v>
      </c>
      <c r="H2119" s="2" t="s">
        <v>4933</v>
      </c>
      <c r="I2119" s="2" t="s">
        <v>7390</v>
      </c>
      <c r="J2119" s="2" t="s">
        <v>6103</v>
      </c>
      <c r="K2119" s="2" t="s">
        <v>713</v>
      </c>
      <c r="L2119" s="3">
        <v>199.5</v>
      </c>
      <c r="M2119" s="3">
        <v>209.48</v>
      </c>
      <c r="N2119" s="3">
        <v>419</v>
      </c>
      <c r="O2119" s="2" t="s">
        <v>97</v>
      </c>
      <c r="P2119" s="2" t="s">
        <v>182</v>
      </c>
      <c r="Q2119" s="2" t="s">
        <v>99</v>
      </c>
      <c r="R2119" s="2" t="s">
        <v>100</v>
      </c>
      <c r="S2119" s="2" t="s">
        <v>7391</v>
      </c>
      <c r="T2119" s="2" t="s">
        <v>100</v>
      </c>
      <c r="U2119" s="2" t="s">
        <v>100</v>
      </c>
      <c r="V2119" s="2" t="s">
        <v>601</v>
      </c>
      <c r="W2119" s="2" t="s">
        <v>2195</v>
      </c>
      <c r="X2119" s="2" t="s">
        <v>100</v>
      </c>
      <c r="Y2119" s="2" t="s">
        <v>106</v>
      </c>
      <c r="Z2119" s="4">
        <v>202</v>
      </c>
      <c r="AA2119" s="4">
        <f>=ROUNDDOWN(28.8571428571429,0)</f>
      </c>
      <c r="AB2119" s="5">
        <v>7</v>
      </c>
      <c r="AC2119" s="2" t="s">
        <v>100</v>
      </c>
      <c r="AD2119" s="4"/>
      <c r="AE2119" s="4"/>
      <c r="AF2119" s="6">
        <v>66</v>
      </c>
      <c r="AG2119" s="6">
        <v>49</v>
      </c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>
        <v>0</v>
      </c>
      <c r="AP2119" s="4">
        <v>7</v>
      </c>
      <c r="AQ2119" s="8">
        <v>1212.75</v>
      </c>
      <c r="AR2119" s="4">
        <v>3</v>
      </c>
      <c r="AS2119" s="8">
        <v>570.94</v>
      </c>
      <c r="AT2119" s="7">
        <v>1.3333</v>
      </c>
      <c r="AU2119" s="7">
        <v>1.1241</v>
      </c>
      <c r="AV2119" s="4">
        <v>7</v>
      </c>
      <c r="AW2119" s="8">
        <v>1212.75</v>
      </c>
      <c r="AX2119" s="4">
        <v>3</v>
      </c>
      <c r="AY2119" s="8">
        <v>570.94</v>
      </c>
      <c r="AZ2119" s="7">
        <v>1.3333</v>
      </c>
      <c r="BA2119" s="7">
        <v>1.1241</v>
      </c>
      <c r="BB2119" s="7">
        <v>1</v>
      </c>
      <c r="BC2119" s="4">
        <v>14</v>
      </c>
      <c r="BD2119" s="8">
        <v>2425.5</v>
      </c>
      <c r="BE2119" s="4">
        <v>21</v>
      </c>
      <c r="BF2119" s="8">
        <v>3906.02</v>
      </c>
      <c r="BG2119" s="7">
        <v>-0.3333</v>
      </c>
      <c r="BH2119" s="7">
        <v>-0.379</v>
      </c>
      <c r="BI2119" s="7">
        <v>0.5</v>
      </c>
      <c r="BJ2119" s="4">
        <v>159</v>
      </c>
      <c r="BK2119" s="8">
        <v>27619.64</v>
      </c>
      <c r="BL2119" s="2" t="s">
        <v>7392</v>
      </c>
      <c r="BM2119" s="7">
        <v>0.044</v>
      </c>
      <c r="BN2119" s="7">
        <v>0.0439</v>
      </c>
      <c r="BO2119" s="4">
        <v>7</v>
      </c>
      <c r="BP2119" s="8">
        <v>1212.75</v>
      </c>
      <c r="BQ2119" s="4">
        <v>3</v>
      </c>
      <c r="BR2119" s="8">
        <v>570.94</v>
      </c>
      <c r="BS2119" s="7">
        <v>1.3333</v>
      </c>
      <c r="BT2119" s="7">
        <v>1.1241</v>
      </c>
      <c r="BU2119" s="2" t="s">
        <v>109</v>
      </c>
      <c r="BV2119" s="2" t="s">
        <v>97</v>
      </c>
      <c r="BW2119" s="2" t="s">
        <v>217</v>
      </c>
      <c r="BX2119" s="2" t="s">
        <v>218</v>
      </c>
      <c r="BY2119" s="2" t="s">
        <v>112</v>
      </c>
      <c r="BZ2119" s="2" t="s">
        <v>100</v>
      </c>
    </row>
    <row r="2120">
      <c r="A2120" s="2" t="s">
        <v>7393</v>
      </c>
      <c r="B2120" s="2" t="s">
        <v>7252</v>
      </c>
      <c r="C2120" s="2" t="s">
        <v>88</v>
      </c>
      <c r="D2120" s="2" t="s">
        <v>7253</v>
      </c>
      <c r="E2120" s="2" t="s">
        <v>7254</v>
      </c>
      <c r="F2120" s="2" t="s">
        <v>7388</v>
      </c>
      <c r="G2120" s="2" t="s">
        <v>7389</v>
      </c>
      <c r="H2120" s="2" t="s">
        <v>4933</v>
      </c>
      <c r="I2120" s="2" t="s">
        <v>7390</v>
      </c>
      <c r="J2120" s="2" t="s">
        <v>6103</v>
      </c>
      <c r="K2120" s="2" t="s">
        <v>7394</v>
      </c>
      <c r="L2120" s="3">
        <v>199.5</v>
      </c>
      <c r="M2120" s="3">
        <v>209.48</v>
      </c>
      <c r="N2120" s="3">
        <v>419</v>
      </c>
      <c r="O2120" s="2" t="s">
        <v>97</v>
      </c>
      <c r="P2120" s="2" t="s">
        <v>182</v>
      </c>
      <c r="Q2120" s="2" t="s">
        <v>99</v>
      </c>
      <c r="R2120" s="2" t="s">
        <v>100</v>
      </c>
      <c r="S2120" s="2" t="s">
        <v>7395</v>
      </c>
      <c r="T2120" s="2" t="s">
        <v>100</v>
      </c>
      <c r="U2120" s="2" t="s">
        <v>100</v>
      </c>
      <c r="V2120" s="2" t="s">
        <v>601</v>
      </c>
      <c r="W2120" s="2" t="s">
        <v>2195</v>
      </c>
      <c r="X2120" s="2" t="s">
        <v>100</v>
      </c>
      <c r="Y2120" s="2" t="s">
        <v>106</v>
      </c>
      <c r="Z2120" s="4">
        <v>281</v>
      </c>
      <c r="AA2120" s="4">
        <f>=ROUNDDOWN(47.6271186440678,0)</f>
      </c>
      <c r="AB2120" s="5">
        <v>5.9</v>
      </c>
      <c r="AC2120" s="2" t="s">
        <v>100</v>
      </c>
      <c r="AD2120" s="4"/>
      <c r="AE2120" s="4"/>
      <c r="AF2120" s="6">
        <v>66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>
        <v>0</v>
      </c>
      <c r="AP2120" s="4">
        <v>5</v>
      </c>
      <c r="AQ2120" s="8">
        <v>866.25</v>
      </c>
      <c r="AR2120" s="4">
        <v>13</v>
      </c>
      <c r="AS2120" s="8">
        <v>2594.82</v>
      </c>
      <c r="AT2120" s="7">
        <v>-0.6154</v>
      </c>
      <c r="AU2120" s="7">
        <v>-0.6662</v>
      </c>
      <c r="AV2120" s="4">
        <v>5</v>
      </c>
      <c r="AW2120" s="8">
        <v>866.25</v>
      </c>
      <c r="AX2120" s="4">
        <v>13</v>
      </c>
      <c r="AY2120" s="8">
        <v>2594.82</v>
      </c>
      <c r="AZ2120" s="7">
        <v>-0.6154</v>
      </c>
      <c r="BA2120" s="7">
        <v>-0.6662</v>
      </c>
      <c r="BB2120" s="7">
        <v>1</v>
      </c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>
        <v>0.3571</v>
      </c>
      <c r="BJ2120" s="4">
        <v>167</v>
      </c>
      <c r="BK2120" s="8">
        <v>29167.52</v>
      </c>
      <c r="BL2120" s="2" t="s">
        <v>7396</v>
      </c>
      <c r="BM2120" s="7">
        <v>0.0299</v>
      </c>
      <c r="BN2120" s="7">
        <v>0.0297</v>
      </c>
      <c r="BO2120" s="4">
        <v>5</v>
      </c>
      <c r="BP2120" s="8">
        <v>866.25</v>
      </c>
      <c r="BQ2120" s="4">
        <v>13</v>
      </c>
      <c r="BR2120" s="8">
        <v>2594.82</v>
      </c>
      <c r="BS2120" s="7">
        <v>-0.6154</v>
      </c>
      <c r="BT2120" s="7">
        <v>-0.6662</v>
      </c>
      <c r="BU2120" s="2" t="s">
        <v>109</v>
      </c>
      <c r="BV2120" s="2" t="s">
        <v>97</v>
      </c>
      <c r="BW2120" s="2" t="s">
        <v>217</v>
      </c>
      <c r="BX2120" s="2" t="s">
        <v>980</v>
      </c>
      <c r="BY2120" s="2" t="s">
        <v>112</v>
      </c>
      <c r="BZ2120" s="2" t="s">
        <v>100</v>
      </c>
    </row>
    <row r="2121">
      <c r="A2121" s="2" t="s">
        <v>7397</v>
      </c>
      <c r="B2121" s="2" t="s">
        <v>7252</v>
      </c>
      <c r="C2121" s="2" t="s">
        <v>88</v>
      </c>
      <c r="D2121" s="2" t="s">
        <v>7253</v>
      </c>
      <c r="E2121" s="2" t="s">
        <v>7254</v>
      </c>
      <c r="F2121" s="2" t="s">
        <v>7388</v>
      </c>
      <c r="G2121" s="2" t="s">
        <v>7389</v>
      </c>
      <c r="H2121" s="2" t="s">
        <v>4933</v>
      </c>
      <c r="I2121" s="2" t="s">
        <v>7390</v>
      </c>
      <c r="J2121" s="2" t="s">
        <v>6103</v>
      </c>
      <c r="K2121" s="2" t="s">
        <v>181</v>
      </c>
      <c r="L2121" s="3">
        <v>199.5</v>
      </c>
      <c r="M2121" s="3">
        <v>209.48</v>
      </c>
      <c r="N2121" s="3">
        <v>419</v>
      </c>
      <c r="O2121" s="2" t="s">
        <v>97</v>
      </c>
      <c r="P2121" s="2" t="s">
        <v>1265</v>
      </c>
      <c r="Q2121" s="2" t="s">
        <v>99</v>
      </c>
      <c r="R2121" s="2" t="s">
        <v>100</v>
      </c>
      <c r="S2121" s="2" t="s">
        <v>7398</v>
      </c>
      <c r="T2121" s="2" t="s">
        <v>100</v>
      </c>
      <c r="U2121" s="2" t="s">
        <v>100</v>
      </c>
      <c r="V2121" s="2" t="s">
        <v>601</v>
      </c>
      <c r="W2121" s="2" t="s">
        <v>2195</v>
      </c>
      <c r="X2121" s="2" t="s">
        <v>100</v>
      </c>
      <c r="Y2121" s="2" t="s">
        <v>106</v>
      </c>
      <c r="Z2121" s="4">
        <v>123</v>
      </c>
      <c r="AA2121" s="4">
        <f>=ROUNDDOWN(41,0)</f>
      </c>
      <c r="AB2121" s="5">
        <v>3</v>
      </c>
      <c r="AC2121" s="2" t="s">
        <v>100</v>
      </c>
      <c r="AD2121" s="4"/>
      <c r="AE2121" s="4"/>
      <c r="AF2121" s="6">
        <v>66</v>
      </c>
      <c r="AG2121" s="6">
        <v>49</v>
      </c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>
        <v>0</v>
      </c>
      <c r="AP2121" s="4">
        <v>2</v>
      </c>
      <c r="AQ2121" s="8">
        <v>346.5</v>
      </c>
      <c r="AR2121" s="4">
        <v>4</v>
      </c>
      <c r="AS2121" s="8">
        <v>519.76</v>
      </c>
      <c r="AT2121" s="7">
        <v>-0.5</v>
      </c>
      <c r="AU2121" s="7">
        <v>-0.3333</v>
      </c>
      <c r="AV2121" s="4">
        <v>2</v>
      </c>
      <c r="AW2121" s="8">
        <v>346.5</v>
      </c>
      <c r="AX2121" s="4">
        <v>4</v>
      </c>
      <c r="AY2121" s="8">
        <v>519.76</v>
      </c>
      <c r="AZ2121" s="7">
        <v>-0.5</v>
      </c>
      <c r="BA2121" s="7">
        <v>-0.3333</v>
      </c>
      <c r="BB2121" s="7">
        <v>1</v>
      </c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>
        <v>0.1429</v>
      </c>
      <c r="BJ2121" s="4">
        <v>62</v>
      </c>
      <c r="BK2121" s="8">
        <v>10167.27</v>
      </c>
      <c r="BL2121" s="2" t="s">
        <v>7399</v>
      </c>
      <c r="BM2121" s="7">
        <v>0.0323</v>
      </c>
      <c r="BN2121" s="7">
        <v>0.0341</v>
      </c>
      <c r="BO2121" s="4">
        <v>2</v>
      </c>
      <c r="BP2121" s="8">
        <v>346.5</v>
      </c>
      <c r="BQ2121" s="4">
        <v>4</v>
      </c>
      <c r="BR2121" s="8">
        <v>519.76</v>
      </c>
      <c r="BS2121" s="7">
        <v>-0.5</v>
      </c>
      <c r="BT2121" s="7">
        <v>-0.3333</v>
      </c>
      <c r="BU2121" s="2" t="s">
        <v>109</v>
      </c>
      <c r="BV2121" s="2" t="s">
        <v>97</v>
      </c>
      <c r="BW2121" s="2" t="s">
        <v>217</v>
      </c>
      <c r="BX2121" s="2" t="s">
        <v>7400</v>
      </c>
      <c r="BY2121" s="2" t="s">
        <v>112</v>
      </c>
      <c r="BZ2121" s="2" t="s">
        <v>100</v>
      </c>
    </row>
    <row r="2122">
      <c r="A2122" s="2" t="s">
        <v>7401</v>
      </c>
      <c r="B2122" s="2" t="s">
        <v>7252</v>
      </c>
      <c r="C2122" s="2" t="s">
        <v>88</v>
      </c>
      <c r="D2122" s="2" t="s">
        <v>7253</v>
      </c>
      <c r="E2122" s="2" t="s">
        <v>7254</v>
      </c>
      <c r="F2122" s="2" t="s">
        <v>7388</v>
      </c>
      <c r="G2122" s="2" t="s">
        <v>7389</v>
      </c>
      <c r="H2122" s="2" t="s">
        <v>4933</v>
      </c>
      <c r="I2122" s="2" t="s">
        <v>7390</v>
      </c>
      <c r="J2122" s="2" t="s">
        <v>6103</v>
      </c>
      <c r="K2122" s="2" t="s">
        <v>333</v>
      </c>
      <c r="L2122" s="3">
        <v>199.5</v>
      </c>
      <c r="M2122" s="3">
        <v>209.48</v>
      </c>
      <c r="N2122" s="3">
        <v>419</v>
      </c>
      <c r="O2122" s="2" t="s">
        <v>229</v>
      </c>
      <c r="P2122" s="2" t="s">
        <v>198</v>
      </c>
      <c r="Q2122" s="2" t="s">
        <v>99</v>
      </c>
      <c r="R2122" s="2" t="s">
        <v>100</v>
      </c>
      <c r="S2122" s="2" t="s">
        <v>7402</v>
      </c>
      <c r="T2122" s="2" t="s">
        <v>100</v>
      </c>
      <c r="U2122" s="2" t="s">
        <v>100</v>
      </c>
      <c r="V2122" s="2" t="s">
        <v>601</v>
      </c>
      <c r="W2122" s="2" t="s">
        <v>2195</v>
      </c>
      <c r="X2122" s="2" t="s">
        <v>100</v>
      </c>
      <c r="Y2122" s="2" t="s">
        <v>106</v>
      </c>
      <c r="Z2122" s="4"/>
      <c r="AA2122" s="4">
        <f>=ROUNDDOWN({0},0)</f>
      </c>
      <c r="AB2122" s="5"/>
      <c r="AC2122" s="2" t="s">
        <v>100</v>
      </c>
      <c r="AD2122" s="4"/>
      <c r="AE2122" s="4"/>
      <c r="AF2122" s="6">
        <v>65</v>
      </c>
      <c r="AG2122" s="6">
        <v>48</v>
      </c>
      <c r="AH2122" s="7">
        <v>0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>
        <v>0</v>
      </c>
      <c r="AP2122" s="4"/>
      <c r="AQ2122" s="8"/>
      <c r="AR2122" s="4">
        <v>1</v>
      </c>
      <c r="AS2122" s="8">
        <v>220.5</v>
      </c>
      <c r="AT2122" s="7">
        <v>-1</v>
      </c>
      <c r="AU2122" s="7">
        <v>-1</v>
      </c>
      <c r="AV2122" s="4"/>
      <c r="AW2122" s="8"/>
      <c r="AX2122" s="4">
        <v>1</v>
      </c>
      <c r="AY2122" s="8">
        <v>220.5</v>
      </c>
      <c r="AZ2122" s="7">
        <v>-1</v>
      </c>
      <c r="BA2122" s="7">
        <v>-1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3</v>
      </c>
      <c r="BK2122" s="8">
        <v>233.88</v>
      </c>
      <c r="BL2122" s="2" t="s">
        <v>7403</v>
      </c>
      <c r="BM2122" s="7"/>
      <c r="BN2122" s="7"/>
      <c r="BO2122" s="4"/>
      <c r="BP2122" s="8"/>
      <c r="BQ2122" s="4">
        <v>1</v>
      </c>
      <c r="BR2122" s="8">
        <v>220.5</v>
      </c>
      <c r="BS2122" s="7">
        <v>-1</v>
      </c>
      <c r="BT2122" s="7">
        <v>-1</v>
      </c>
      <c r="BU2122" s="2" t="s">
        <v>109</v>
      </c>
      <c r="BV2122" s="2" t="s">
        <v>552</v>
      </c>
      <c r="BW2122" s="2" t="s">
        <v>217</v>
      </c>
      <c r="BX2122" s="2" t="s">
        <v>7404</v>
      </c>
      <c r="BY2122" s="2" t="s">
        <v>112</v>
      </c>
      <c r="BZ2122" s="2" t="s">
        <v>100</v>
      </c>
    </row>
    <row r="2123">
      <c r="A2123" s="2" t="s">
        <v>7405</v>
      </c>
      <c r="B2123" s="2" t="s">
        <v>7252</v>
      </c>
      <c r="C2123" s="2" t="s">
        <v>88</v>
      </c>
      <c r="D2123" s="2" t="s">
        <v>7253</v>
      </c>
      <c r="E2123" s="2" t="s">
        <v>7254</v>
      </c>
      <c r="F2123" s="2" t="s">
        <v>7388</v>
      </c>
      <c r="G2123" s="2" t="s">
        <v>7389</v>
      </c>
      <c r="H2123" s="2" t="s">
        <v>4933</v>
      </c>
      <c r="I2123" s="2" t="s">
        <v>7390</v>
      </c>
      <c r="J2123" s="2" t="s">
        <v>6103</v>
      </c>
      <c r="K2123" s="2" t="s">
        <v>7362</v>
      </c>
      <c r="L2123" s="3">
        <v>199.5</v>
      </c>
      <c r="M2123" s="3">
        <v>209.48</v>
      </c>
      <c r="N2123" s="3">
        <v>419</v>
      </c>
      <c r="O2123" s="2" t="s">
        <v>97</v>
      </c>
      <c r="P2123" s="2" t="s">
        <v>1265</v>
      </c>
      <c r="Q2123" s="2" t="s">
        <v>99</v>
      </c>
      <c r="R2123" s="2" t="s">
        <v>100</v>
      </c>
      <c r="S2123" s="2" t="s">
        <v>100</v>
      </c>
      <c r="T2123" s="2" t="s">
        <v>100</v>
      </c>
      <c r="U2123" s="2" t="s">
        <v>3531</v>
      </c>
      <c r="V2123" s="2" t="s">
        <v>601</v>
      </c>
      <c r="W2123" s="2" t="s">
        <v>2195</v>
      </c>
      <c r="X2123" s="2" t="s">
        <v>602</v>
      </c>
      <c r="Y2123" s="2" t="s">
        <v>7406</v>
      </c>
      <c r="Z2123" s="4">
        <v>169</v>
      </c>
      <c r="AA2123" s="4">
        <f>=ROUNDDOWN(56.3333333333333,0)</f>
      </c>
      <c r="AB2123" s="5">
        <v>3</v>
      </c>
      <c r="AC2123" s="2" t="s">
        <v>100</v>
      </c>
      <c r="AD2123" s="4"/>
      <c r="AE2123" s="4"/>
      <c r="AF2123" s="6">
        <v>66</v>
      </c>
      <c r="AG2123" s="6">
        <v>49</v>
      </c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/>
      <c r="AW2123" s="8"/>
      <c r="AX2123" s="4"/>
      <c r="AY2123" s="8"/>
      <c r="AZ2123" s="7"/>
      <c r="BA2123" s="7"/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72</v>
      </c>
      <c r="BK2123" s="8">
        <v>11548.3</v>
      </c>
      <c r="BL2123" s="2" t="s">
        <v>7407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6185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7408</v>
      </c>
      <c r="B2124" s="2" t="s">
        <v>7252</v>
      </c>
      <c r="C2124" s="2" t="s">
        <v>88</v>
      </c>
      <c r="D2124" s="2" t="s">
        <v>7253</v>
      </c>
      <c r="E2124" s="2" t="s">
        <v>7254</v>
      </c>
      <c r="F2124" s="2" t="s">
        <v>483</v>
      </c>
      <c r="G2124" s="2" t="s">
        <v>1809</v>
      </c>
      <c r="H2124" s="2" t="s">
        <v>7409</v>
      </c>
      <c r="I2124" s="2" t="s">
        <v>7410</v>
      </c>
      <c r="J2124" s="2" t="s">
        <v>6103</v>
      </c>
      <c r="K2124" s="2" t="s">
        <v>1412</v>
      </c>
      <c r="L2124" s="3">
        <v>106.2</v>
      </c>
      <c r="M2124" s="3">
        <v>111.51</v>
      </c>
      <c r="N2124" s="3">
        <v>229</v>
      </c>
      <c r="O2124" s="2" t="s">
        <v>97</v>
      </c>
      <c r="P2124" s="2" t="s">
        <v>1265</v>
      </c>
      <c r="Q2124" s="2" t="s">
        <v>99</v>
      </c>
      <c r="R2124" s="2" t="s">
        <v>100</v>
      </c>
      <c r="S2124" s="2" t="s">
        <v>7411</v>
      </c>
      <c r="T2124" s="2" t="s">
        <v>100</v>
      </c>
      <c r="U2124" s="2" t="s">
        <v>100</v>
      </c>
      <c r="V2124" s="2" t="s">
        <v>601</v>
      </c>
      <c r="W2124" s="2" t="s">
        <v>104</v>
      </c>
      <c r="X2124" s="2" t="s">
        <v>100</v>
      </c>
      <c r="Y2124" s="2" t="s">
        <v>106</v>
      </c>
      <c r="Z2124" s="4">
        <v>200</v>
      </c>
      <c r="AA2124" s="4">
        <f>=ROUNDDOWN(40,0)</f>
      </c>
      <c r="AB2124" s="5">
        <v>5</v>
      </c>
      <c r="AC2124" s="2" t="s">
        <v>100</v>
      </c>
      <c r="AD2124" s="4"/>
      <c r="AE2124" s="4"/>
      <c r="AF2124" s="6">
        <v>76</v>
      </c>
      <c r="AG2124" s="6">
        <v>67</v>
      </c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>
        <v>0</v>
      </c>
      <c r="AP2124" s="4">
        <v>18</v>
      </c>
      <c r="AQ2124" s="8">
        <v>1890</v>
      </c>
      <c r="AR2124" s="4">
        <v>30</v>
      </c>
      <c r="AS2124" s="8">
        <v>3446.1</v>
      </c>
      <c r="AT2124" s="7">
        <v>-0.4</v>
      </c>
      <c r="AU2124" s="7">
        <v>-0.4516</v>
      </c>
      <c r="AV2124" s="4">
        <v>18</v>
      </c>
      <c r="AW2124" s="8">
        <v>1890</v>
      </c>
      <c r="AX2124" s="4">
        <v>30</v>
      </c>
      <c r="AY2124" s="8">
        <v>3446.1</v>
      </c>
      <c r="AZ2124" s="7">
        <v>-0.4</v>
      </c>
      <c r="BA2124" s="7">
        <v>-0.4516</v>
      </c>
      <c r="BB2124" s="7">
        <v>1</v>
      </c>
      <c r="BC2124" s="4">
        <v>23</v>
      </c>
      <c r="BD2124" s="8">
        <v>2415</v>
      </c>
      <c r="BE2124" s="4">
        <v>54</v>
      </c>
      <c r="BF2124" s="8">
        <v>5968.2</v>
      </c>
      <c r="BG2124" s="7">
        <v>-0.5741</v>
      </c>
      <c r="BH2124" s="7">
        <v>-0.5954</v>
      </c>
      <c r="BI2124" s="7">
        <v>0.7826</v>
      </c>
      <c r="BJ2124" s="4">
        <v>86</v>
      </c>
      <c r="BK2124" s="8">
        <v>8620.12</v>
      </c>
      <c r="BL2124" s="2" t="s">
        <v>7412</v>
      </c>
      <c r="BM2124" s="7">
        <v>0.2093</v>
      </c>
      <c r="BN2124" s="7">
        <v>0.2193</v>
      </c>
      <c r="BO2124" s="4">
        <v>18</v>
      </c>
      <c r="BP2124" s="8">
        <v>1890</v>
      </c>
      <c r="BQ2124" s="4">
        <v>30</v>
      </c>
      <c r="BR2124" s="8">
        <v>3446.1</v>
      </c>
      <c r="BS2124" s="7">
        <v>-0.4</v>
      </c>
      <c r="BT2124" s="7">
        <v>-0.4516</v>
      </c>
      <c r="BU2124" s="2" t="s">
        <v>109</v>
      </c>
      <c r="BV2124" s="2" t="s">
        <v>97</v>
      </c>
      <c r="BW2124" s="2" t="s">
        <v>7307</v>
      </c>
      <c r="BX2124" s="2" t="s">
        <v>2525</v>
      </c>
      <c r="BY2124" s="2" t="s">
        <v>112</v>
      </c>
      <c r="BZ2124" s="2" t="s">
        <v>100</v>
      </c>
    </row>
    <row r="2125">
      <c r="A2125" s="2" t="s">
        <v>7413</v>
      </c>
      <c r="B2125" s="2" t="s">
        <v>7252</v>
      </c>
      <c r="C2125" s="2" t="s">
        <v>88</v>
      </c>
      <c r="D2125" s="2" t="s">
        <v>7253</v>
      </c>
      <c r="E2125" s="2" t="s">
        <v>7254</v>
      </c>
      <c r="F2125" s="2" t="s">
        <v>483</v>
      </c>
      <c r="G2125" s="2" t="s">
        <v>1809</v>
      </c>
      <c r="H2125" s="2" t="s">
        <v>7409</v>
      </c>
      <c r="I2125" s="2" t="s">
        <v>7410</v>
      </c>
      <c r="J2125" s="2" t="s">
        <v>6103</v>
      </c>
      <c r="K2125" s="2" t="s">
        <v>622</v>
      </c>
      <c r="L2125" s="3">
        <v>106.2</v>
      </c>
      <c r="M2125" s="3">
        <v>111.51</v>
      </c>
      <c r="N2125" s="3">
        <v>229</v>
      </c>
      <c r="O2125" s="2" t="s">
        <v>97</v>
      </c>
      <c r="P2125" s="2" t="s">
        <v>1265</v>
      </c>
      <c r="Q2125" s="2" t="s">
        <v>99</v>
      </c>
      <c r="R2125" s="2" t="s">
        <v>100</v>
      </c>
      <c r="S2125" s="2" t="s">
        <v>7414</v>
      </c>
      <c r="T2125" s="2" t="s">
        <v>100</v>
      </c>
      <c r="U2125" s="2" t="s">
        <v>100</v>
      </c>
      <c r="V2125" s="2" t="s">
        <v>3244</v>
      </c>
      <c r="W2125" s="2" t="s">
        <v>104</v>
      </c>
      <c r="X2125" s="2" t="s">
        <v>100</v>
      </c>
      <c r="Y2125" s="2" t="s">
        <v>106</v>
      </c>
      <c r="Z2125" s="4">
        <v>203</v>
      </c>
      <c r="AA2125" s="4">
        <f>=ROUNDDOWN(50.75,0)</f>
      </c>
      <c r="AB2125" s="5">
        <v>4</v>
      </c>
      <c r="AC2125" s="2" t="s">
        <v>100</v>
      </c>
      <c r="AD2125" s="4"/>
      <c r="AE2125" s="4"/>
      <c r="AF2125" s="6">
        <v>76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>
        <v>0</v>
      </c>
      <c r="AP2125" s="4">
        <v>5</v>
      </c>
      <c r="AQ2125" s="8">
        <v>525</v>
      </c>
      <c r="AR2125" s="4">
        <v>24</v>
      </c>
      <c r="AS2125" s="8">
        <v>2522.1</v>
      </c>
      <c r="AT2125" s="7">
        <v>-0.7917</v>
      </c>
      <c r="AU2125" s="7">
        <v>-0.7918</v>
      </c>
      <c r="AV2125" s="4">
        <v>5</v>
      </c>
      <c r="AW2125" s="8">
        <v>525</v>
      </c>
      <c r="AX2125" s="4">
        <v>24</v>
      </c>
      <c r="AY2125" s="8">
        <v>2522.1</v>
      </c>
      <c r="AZ2125" s="7">
        <v>-0.7917</v>
      </c>
      <c r="BA2125" s="7">
        <v>-0.7918</v>
      </c>
      <c r="BB2125" s="7">
        <v>1</v>
      </c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>
        <v>0.2174</v>
      </c>
      <c r="BJ2125" s="4">
        <v>64</v>
      </c>
      <c r="BK2125" s="8">
        <v>6885.69</v>
      </c>
      <c r="BL2125" s="2" t="s">
        <v>7415</v>
      </c>
      <c r="BM2125" s="7">
        <v>0.0781</v>
      </c>
      <c r="BN2125" s="7">
        <v>0.0762</v>
      </c>
      <c r="BO2125" s="4">
        <v>5</v>
      </c>
      <c r="BP2125" s="8">
        <v>525</v>
      </c>
      <c r="BQ2125" s="4">
        <v>24</v>
      </c>
      <c r="BR2125" s="8">
        <v>2522.1</v>
      </c>
      <c r="BS2125" s="7">
        <v>-0.7917</v>
      </c>
      <c r="BT2125" s="7">
        <v>-0.7918</v>
      </c>
      <c r="BU2125" s="2" t="s">
        <v>109</v>
      </c>
      <c r="BV2125" s="2" t="s">
        <v>97</v>
      </c>
      <c r="BW2125" s="2" t="s">
        <v>7311</v>
      </c>
      <c r="BX2125" s="2" t="s">
        <v>213</v>
      </c>
      <c r="BY2125" s="2" t="s">
        <v>112</v>
      </c>
      <c r="BZ2125" s="2" t="s">
        <v>100</v>
      </c>
    </row>
    <row r="2126">
      <c r="A2126" s="2" t="s">
        <v>7416</v>
      </c>
      <c r="B2126" s="2" t="s">
        <v>7252</v>
      </c>
      <c r="C2126" s="2" t="s">
        <v>88</v>
      </c>
      <c r="D2126" s="2" t="s">
        <v>7253</v>
      </c>
      <c r="E2126" s="2" t="s">
        <v>7254</v>
      </c>
      <c r="F2126" s="2" t="s">
        <v>7417</v>
      </c>
      <c r="G2126" s="2" t="s">
        <v>7418</v>
      </c>
      <c r="H2126" s="2" t="s">
        <v>1129</v>
      </c>
      <c r="I2126" s="2" t="s">
        <v>7419</v>
      </c>
      <c r="J2126" s="2" t="s">
        <v>6103</v>
      </c>
      <c r="K2126" s="2" t="s">
        <v>2215</v>
      </c>
      <c r="L2126" s="3">
        <v>171</v>
      </c>
      <c r="M2126" s="3">
        <v>179.55</v>
      </c>
      <c r="N2126" s="3">
        <v>359</v>
      </c>
      <c r="O2126" s="2" t="s">
        <v>97</v>
      </c>
      <c r="P2126" s="2" t="s">
        <v>198</v>
      </c>
      <c r="Q2126" s="2" t="s">
        <v>99</v>
      </c>
      <c r="R2126" s="2" t="s">
        <v>100</v>
      </c>
      <c r="S2126" s="2" t="s">
        <v>7420</v>
      </c>
      <c r="T2126" s="2" t="s">
        <v>100</v>
      </c>
      <c r="U2126" s="2" t="s">
        <v>100</v>
      </c>
      <c r="V2126" s="2" t="s">
        <v>3244</v>
      </c>
      <c r="W2126" s="2" t="s">
        <v>104</v>
      </c>
      <c r="X2126" s="2" t="s">
        <v>100</v>
      </c>
      <c r="Y2126" s="2" t="s">
        <v>106</v>
      </c>
      <c r="Z2126" s="4">
        <v>18</v>
      </c>
      <c r="AA2126" s="4">
        <f>=ROUNDDOWN(4.5,0)</f>
      </c>
      <c r="AB2126" s="5">
        <v>4</v>
      </c>
      <c r="AC2126" s="2" t="s">
        <v>100</v>
      </c>
      <c r="AD2126" s="4"/>
      <c r="AE2126" s="4"/>
      <c r="AF2126" s="6">
        <v>65</v>
      </c>
      <c r="AG2126" s="6">
        <v>48</v>
      </c>
      <c r="AH2126" s="7">
        <v>0.9818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>
        <v>0</v>
      </c>
      <c r="AP2126" s="4">
        <v>11</v>
      </c>
      <c r="AQ2126" s="8">
        <v>1651.65</v>
      </c>
      <c r="AR2126" s="4">
        <v>6</v>
      </c>
      <c r="AS2126" s="8">
        <v>936.33</v>
      </c>
      <c r="AT2126" s="7">
        <v>0.8333</v>
      </c>
      <c r="AU2126" s="7">
        <v>0.764</v>
      </c>
      <c r="AV2126" s="4">
        <v>11</v>
      </c>
      <c r="AW2126" s="8">
        <v>1651.65</v>
      </c>
      <c r="AX2126" s="4">
        <v>6</v>
      </c>
      <c r="AY2126" s="8">
        <v>936.33</v>
      </c>
      <c r="AZ2126" s="7">
        <v>0.8333</v>
      </c>
      <c r="BA2126" s="7">
        <v>0.764</v>
      </c>
      <c r="BB2126" s="7">
        <v>1</v>
      </c>
      <c r="BC2126" s="4">
        <v>14</v>
      </c>
      <c r="BD2126" s="8">
        <v>2102.1</v>
      </c>
      <c r="BE2126" s="4">
        <v>15</v>
      </c>
      <c r="BF2126" s="8">
        <v>2558.05</v>
      </c>
      <c r="BG2126" s="7">
        <v>-0.0667</v>
      </c>
      <c r="BH2126" s="7">
        <v>-0.1782</v>
      </c>
      <c r="BI2126" s="7">
        <v>0.7857</v>
      </c>
      <c r="BJ2126" s="4">
        <v>110</v>
      </c>
      <c r="BK2126" s="8">
        <v>14694.08</v>
      </c>
      <c r="BL2126" s="2" t="s">
        <v>7421</v>
      </c>
      <c r="BM2126" s="7">
        <v>0.1</v>
      </c>
      <c r="BN2126" s="7">
        <v>0.1124</v>
      </c>
      <c r="BO2126" s="4">
        <v>11</v>
      </c>
      <c r="BP2126" s="8">
        <v>1651.65</v>
      </c>
      <c r="BQ2126" s="4">
        <v>6</v>
      </c>
      <c r="BR2126" s="8">
        <v>936.33</v>
      </c>
      <c r="BS2126" s="7">
        <v>0.8333</v>
      </c>
      <c r="BT2126" s="7">
        <v>0.764</v>
      </c>
      <c r="BU2126" s="2" t="s">
        <v>109</v>
      </c>
      <c r="BV2126" s="2" t="s">
        <v>97</v>
      </c>
      <c r="BW2126" s="2" t="s">
        <v>7422</v>
      </c>
      <c r="BX2126" s="2" t="s">
        <v>5308</v>
      </c>
      <c r="BY2126" s="2" t="s">
        <v>112</v>
      </c>
      <c r="BZ2126" s="2" t="s">
        <v>100</v>
      </c>
    </row>
    <row r="2127">
      <c r="A2127" s="2" t="s">
        <v>7423</v>
      </c>
      <c r="B2127" s="2" t="s">
        <v>7252</v>
      </c>
      <c r="C2127" s="2" t="s">
        <v>88</v>
      </c>
      <c r="D2127" s="2" t="s">
        <v>7253</v>
      </c>
      <c r="E2127" s="2" t="s">
        <v>7254</v>
      </c>
      <c r="F2127" s="2" t="s">
        <v>7417</v>
      </c>
      <c r="G2127" s="2" t="s">
        <v>7418</v>
      </c>
      <c r="H2127" s="2" t="s">
        <v>1129</v>
      </c>
      <c r="I2127" s="2" t="s">
        <v>7419</v>
      </c>
      <c r="J2127" s="2" t="s">
        <v>6103</v>
      </c>
      <c r="K2127" s="2" t="s">
        <v>1412</v>
      </c>
      <c r="L2127" s="3">
        <v>171</v>
      </c>
      <c r="M2127" s="3">
        <v>179.55</v>
      </c>
      <c r="N2127" s="3">
        <v>359</v>
      </c>
      <c r="O2127" s="2" t="s">
        <v>97</v>
      </c>
      <c r="P2127" s="2" t="s">
        <v>182</v>
      </c>
      <c r="Q2127" s="2" t="s">
        <v>99</v>
      </c>
      <c r="R2127" s="2" t="s">
        <v>100</v>
      </c>
      <c r="S2127" s="2" t="s">
        <v>7424</v>
      </c>
      <c r="T2127" s="2" t="s">
        <v>100</v>
      </c>
      <c r="U2127" s="2" t="s">
        <v>100</v>
      </c>
      <c r="V2127" s="2" t="s">
        <v>601</v>
      </c>
      <c r="W2127" s="2" t="s">
        <v>104</v>
      </c>
      <c r="X2127" s="2" t="s">
        <v>100</v>
      </c>
      <c r="Y2127" s="2" t="s">
        <v>7425</v>
      </c>
      <c r="Z2127" s="4">
        <v>150</v>
      </c>
      <c r="AA2127" s="4">
        <f>=ROUNDDOWN(25,0)</f>
      </c>
      <c r="AB2127" s="5">
        <v>6</v>
      </c>
      <c r="AC2127" s="2" t="s">
        <v>3645</v>
      </c>
      <c r="AD2127" s="4">
        <v>100</v>
      </c>
      <c r="AE2127" s="4">
        <v>100</v>
      </c>
      <c r="AF2127" s="6">
        <v>66</v>
      </c>
      <c r="AG2127" s="6"/>
      <c r="AH2127" s="7">
        <v>0.9455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>
        <v>0</v>
      </c>
      <c r="AP2127" s="4">
        <v>3</v>
      </c>
      <c r="AQ2127" s="8">
        <v>450.45</v>
      </c>
      <c r="AR2127" s="4">
        <v>9</v>
      </c>
      <c r="AS2127" s="8">
        <v>1621.72</v>
      </c>
      <c r="AT2127" s="7">
        <v>-0.6667</v>
      </c>
      <c r="AU2127" s="7">
        <v>-0.7222</v>
      </c>
      <c r="AV2127" s="4">
        <v>3</v>
      </c>
      <c r="AW2127" s="8">
        <v>450.45</v>
      </c>
      <c r="AX2127" s="4">
        <v>9</v>
      </c>
      <c r="AY2127" s="8">
        <v>1621.72</v>
      </c>
      <c r="AZ2127" s="7">
        <v>-0.6667</v>
      </c>
      <c r="BA2127" s="7">
        <v>-0.7222</v>
      </c>
      <c r="BB2127" s="7">
        <v>1</v>
      </c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>
        <v>0.2143</v>
      </c>
      <c r="BJ2127" s="4">
        <v>148</v>
      </c>
      <c r="BK2127" s="8">
        <v>25379.13</v>
      </c>
      <c r="BL2127" s="2" t="s">
        <v>7426</v>
      </c>
      <c r="BM2127" s="7">
        <v>0.0203</v>
      </c>
      <c r="BN2127" s="7">
        <v>0.0177</v>
      </c>
      <c r="BO2127" s="4">
        <v>3</v>
      </c>
      <c r="BP2127" s="8">
        <v>450.45</v>
      </c>
      <c r="BQ2127" s="4">
        <v>9</v>
      </c>
      <c r="BR2127" s="8">
        <v>1621.72</v>
      </c>
      <c r="BS2127" s="7">
        <v>-0.6667</v>
      </c>
      <c r="BT2127" s="7">
        <v>-0.7222</v>
      </c>
      <c r="BU2127" s="2" t="s">
        <v>109</v>
      </c>
      <c r="BV2127" s="2" t="s">
        <v>97</v>
      </c>
      <c r="BW2127" s="2" t="s">
        <v>7311</v>
      </c>
      <c r="BX2127" s="2" t="s">
        <v>6130</v>
      </c>
      <c r="BY2127" s="2" t="s">
        <v>112</v>
      </c>
      <c r="BZ2127" s="2" t="s">
        <v>100</v>
      </c>
    </row>
    <row r="2128">
      <c r="A2128" s="2" t="s">
        <v>7427</v>
      </c>
      <c r="B2128" s="2" t="s">
        <v>7252</v>
      </c>
      <c r="C2128" s="2" t="s">
        <v>88</v>
      </c>
      <c r="D2128" s="2" t="s">
        <v>7253</v>
      </c>
      <c r="E2128" s="2" t="s">
        <v>7254</v>
      </c>
      <c r="F2128" s="2" t="s">
        <v>7428</v>
      </c>
      <c r="G2128" s="2" t="s">
        <v>7429</v>
      </c>
      <c r="H2128" s="2" t="s">
        <v>4188</v>
      </c>
      <c r="I2128" s="2" t="s">
        <v>7430</v>
      </c>
      <c r="J2128" s="2" t="s">
        <v>6103</v>
      </c>
      <c r="K2128" s="2" t="s">
        <v>1767</v>
      </c>
      <c r="L2128" s="3">
        <v>147.25</v>
      </c>
      <c r="M2128" s="3">
        <v>154.61</v>
      </c>
      <c r="N2128" s="3">
        <v>309</v>
      </c>
      <c r="O2128" s="2" t="s">
        <v>97</v>
      </c>
      <c r="P2128" s="2" t="s">
        <v>182</v>
      </c>
      <c r="Q2128" s="2" t="s">
        <v>99</v>
      </c>
      <c r="R2128" s="2" t="s">
        <v>100</v>
      </c>
      <c r="S2128" s="2" t="s">
        <v>7431</v>
      </c>
      <c r="T2128" s="2" t="s">
        <v>100</v>
      </c>
      <c r="U2128" s="2" t="s">
        <v>100</v>
      </c>
      <c r="V2128" s="2" t="s">
        <v>491</v>
      </c>
      <c r="W2128" s="2" t="s">
        <v>104</v>
      </c>
      <c r="X2128" s="2" t="s">
        <v>100</v>
      </c>
      <c r="Y2128" s="2" t="s">
        <v>106</v>
      </c>
      <c r="Z2128" s="4">
        <v>83</v>
      </c>
      <c r="AA2128" s="4">
        <f>=ROUNDDOWN(11.8571428571429,0)</f>
      </c>
      <c r="AB2128" s="5">
        <v>7</v>
      </c>
      <c r="AC2128" s="2" t="s">
        <v>7432</v>
      </c>
      <c r="AD2128" s="4">
        <v>139</v>
      </c>
      <c r="AE2128" s="4">
        <v>139</v>
      </c>
      <c r="AF2128" s="6">
        <v>74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>
        <v>0</v>
      </c>
      <c r="AP2128" s="4">
        <v>13</v>
      </c>
      <c r="AQ2128" s="8">
        <v>1945.19</v>
      </c>
      <c r="AR2128" s="4">
        <v>26</v>
      </c>
      <c r="AS2128" s="8">
        <v>4231.5</v>
      </c>
      <c r="AT2128" s="7">
        <v>-0.5</v>
      </c>
      <c r="AU2128" s="7">
        <v>-0.5403</v>
      </c>
      <c r="AV2128" s="4">
        <v>13</v>
      </c>
      <c r="AW2128" s="8">
        <v>1945.19</v>
      </c>
      <c r="AX2128" s="4">
        <v>26</v>
      </c>
      <c r="AY2128" s="8">
        <v>4231.5</v>
      </c>
      <c r="AZ2128" s="7">
        <v>-0.5</v>
      </c>
      <c r="BA2128" s="7">
        <v>-0.5403</v>
      </c>
      <c r="BB2128" s="7">
        <v>1</v>
      </c>
      <c r="BC2128" s="4">
        <v>13</v>
      </c>
      <c r="BD2128" s="8">
        <v>1945.19</v>
      </c>
      <c r="BE2128" s="4">
        <v>26</v>
      </c>
      <c r="BF2128" s="8">
        <v>4231.5</v>
      </c>
      <c r="BG2128" s="7">
        <v>-0.5</v>
      </c>
      <c r="BH2128" s="7">
        <v>-0.5403</v>
      </c>
      <c r="BI2128" s="7">
        <v>1</v>
      </c>
      <c r="BJ2128" s="4">
        <v>124</v>
      </c>
      <c r="BK2128" s="8">
        <v>18578.85</v>
      </c>
      <c r="BL2128" s="2" t="s">
        <v>7433</v>
      </c>
      <c r="BM2128" s="7">
        <v>0.1048</v>
      </c>
      <c r="BN2128" s="7">
        <v>0.1047</v>
      </c>
      <c r="BO2128" s="4">
        <v>13</v>
      </c>
      <c r="BP2128" s="8">
        <v>1945.19</v>
      </c>
      <c r="BQ2128" s="4">
        <v>26</v>
      </c>
      <c r="BR2128" s="8">
        <v>4231.5</v>
      </c>
      <c r="BS2128" s="7">
        <v>-0.5</v>
      </c>
      <c r="BT2128" s="7">
        <v>-0.5403</v>
      </c>
      <c r="BU2128" s="2" t="s">
        <v>109</v>
      </c>
      <c r="BV2128" s="2" t="s">
        <v>97</v>
      </c>
      <c r="BW2128" s="2" t="s">
        <v>217</v>
      </c>
      <c r="BX2128" s="2" t="s">
        <v>7357</v>
      </c>
      <c r="BY2128" s="2" t="s">
        <v>112</v>
      </c>
      <c r="BZ2128" s="2" t="s">
        <v>100</v>
      </c>
    </row>
    <row r="2129">
      <c r="A2129" s="2" t="s">
        <v>7434</v>
      </c>
      <c r="B2129" s="2" t="s">
        <v>7252</v>
      </c>
      <c r="C2129" s="2" t="s">
        <v>88</v>
      </c>
      <c r="D2129" s="2" t="s">
        <v>7253</v>
      </c>
      <c r="E2129" s="2" t="s">
        <v>7254</v>
      </c>
      <c r="F2129" s="2" t="s">
        <v>7435</v>
      </c>
      <c r="G2129" s="2" t="s">
        <v>7436</v>
      </c>
      <c r="H2129" s="2" t="s">
        <v>7437</v>
      </c>
      <c r="I2129" s="2" t="s">
        <v>7313</v>
      </c>
      <c r="J2129" s="2" t="s">
        <v>6103</v>
      </c>
      <c r="K2129" s="2" t="s">
        <v>1767</v>
      </c>
      <c r="L2129" s="3">
        <v>156.75</v>
      </c>
      <c r="M2129" s="3">
        <v>164.59</v>
      </c>
      <c r="N2129" s="3">
        <v>329</v>
      </c>
      <c r="O2129" s="2" t="s">
        <v>97</v>
      </c>
      <c r="P2129" s="2" t="s">
        <v>182</v>
      </c>
      <c r="Q2129" s="2" t="s">
        <v>99</v>
      </c>
      <c r="R2129" s="2" t="s">
        <v>100</v>
      </c>
      <c r="S2129" s="2" t="s">
        <v>7438</v>
      </c>
      <c r="T2129" s="2" t="s">
        <v>100</v>
      </c>
      <c r="U2129" s="2" t="s">
        <v>100</v>
      </c>
      <c r="V2129" s="2" t="s">
        <v>3244</v>
      </c>
      <c r="W2129" s="2" t="s">
        <v>602</v>
      </c>
      <c r="X2129" s="2" t="s">
        <v>100</v>
      </c>
      <c r="Y2129" s="2" t="s">
        <v>106</v>
      </c>
      <c r="Z2129" s="4">
        <v>208</v>
      </c>
      <c r="AA2129" s="4">
        <f>=ROUNDDOWN(25.679012345679,0)</f>
      </c>
      <c r="AB2129" s="5">
        <v>8.1</v>
      </c>
      <c r="AC2129" s="2" t="s">
        <v>2155</v>
      </c>
      <c r="AD2129" s="4">
        <v>30</v>
      </c>
      <c r="AE2129" s="4">
        <v>130</v>
      </c>
      <c r="AF2129" s="6">
        <v>74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>
        <v>0</v>
      </c>
      <c r="AP2129" s="4">
        <v>6</v>
      </c>
      <c r="AQ2129" s="8">
        <v>882</v>
      </c>
      <c r="AR2129" s="4">
        <v>1</v>
      </c>
      <c r="AS2129" s="8">
        <v>110.25</v>
      </c>
      <c r="AT2129" s="7">
        <v>5</v>
      </c>
      <c r="AU2129" s="7">
        <v>7</v>
      </c>
      <c r="AV2129" s="4">
        <v>6</v>
      </c>
      <c r="AW2129" s="8">
        <v>882</v>
      </c>
      <c r="AX2129" s="4">
        <v>1</v>
      </c>
      <c r="AY2129" s="8">
        <v>110.25</v>
      </c>
      <c r="AZ2129" s="7">
        <v>5</v>
      </c>
      <c r="BA2129" s="7">
        <v>7</v>
      </c>
      <c r="BB2129" s="7">
        <v>1</v>
      </c>
      <c r="BC2129" s="4">
        <v>12</v>
      </c>
      <c r="BD2129" s="8">
        <v>1764</v>
      </c>
      <c r="BE2129" s="4">
        <v>4</v>
      </c>
      <c r="BF2129" s="8">
        <v>441</v>
      </c>
      <c r="BG2129" s="7">
        <v>2</v>
      </c>
      <c r="BH2129" s="7">
        <v>3</v>
      </c>
      <c r="BI2129" s="7">
        <v>0.5</v>
      </c>
      <c r="BJ2129" s="4">
        <v>234</v>
      </c>
      <c r="BK2129" s="8">
        <v>36795</v>
      </c>
      <c r="BL2129" s="2" t="s">
        <v>7439</v>
      </c>
      <c r="BM2129" s="7">
        <v>0.0256</v>
      </c>
      <c r="BN2129" s="7">
        <v>0.024</v>
      </c>
      <c r="BO2129" s="4">
        <v>6</v>
      </c>
      <c r="BP2129" s="8">
        <v>882</v>
      </c>
      <c r="BQ2129" s="4">
        <v>1</v>
      </c>
      <c r="BR2129" s="8">
        <v>110.25</v>
      </c>
      <c r="BS2129" s="7">
        <v>5</v>
      </c>
      <c r="BT2129" s="7">
        <v>7</v>
      </c>
      <c r="BU2129" s="2" t="s">
        <v>109</v>
      </c>
      <c r="BV2129" s="2" t="s">
        <v>97</v>
      </c>
      <c r="BW2129" s="2" t="s">
        <v>3536</v>
      </c>
      <c r="BX2129" s="2" t="s">
        <v>7440</v>
      </c>
      <c r="BY2129" s="2" t="s">
        <v>112</v>
      </c>
      <c r="BZ2129" s="2" t="s">
        <v>100</v>
      </c>
    </row>
    <row r="2130">
      <c r="A2130" s="2" t="s">
        <v>7441</v>
      </c>
      <c r="B2130" s="2" t="s">
        <v>7252</v>
      </c>
      <c r="C2130" s="2" t="s">
        <v>88</v>
      </c>
      <c r="D2130" s="2" t="s">
        <v>7253</v>
      </c>
      <c r="E2130" s="2" t="s">
        <v>7254</v>
      </c>
      <c r="F2130" s="2" t="s">
        <v>7435</v>
      </c>
      <c r="G2130" s="2" t="s">
        <v>7436</v>
      </c>
      <c r="H2130" s="2" t="s">
        <v>7437</v>
      </c>
      <c r="I2130" s="2" t="s">
        <v>7313</v>
      </c>
      <c r="J2130" s="2" t="s">
        <v>6103</v>
      </c>
      <c r="K2130" s="2" t="s">
        <v>7442</v>
      </c>
      <c r="L2130" s="3">
        <v>156.75</v>
      </c>
      <c r="M2130" s="3">
        <v>164.59</v>
      </c>
      <c r="N2130" s="3">
        <v>329</v>
      </c>
      <c r="O2130" s="2" t="s">
        <v>97</v>
      </c>
      <c r="P2130" s="2" t="s">
        <v>1265</v>
      </c>
      <c r="Q2130" s="2" t="s">
        <v>99</v>
      </c>
      <c r="R2130" s="2" t="s">
        <v>100</v>
      </c>
      <c r="S2130" s="2" t="s">
        <v>100</v>
      </c>
      <c r="T2130" s="2" t="s">
        <v>100</v>
      </c>
      <c r="U2130" s="2" t="s">
        <v>3531</v>
      </c>
      <c r="V2130" s="2" t="s">
        <v>491</v>
      </c>
      <c r="W2130" s="2" t="s">
        <v>602</v>
      </c>
      <c r="X2130" s="2" t="s">
        <v>100</v>
      </c>
      <c r="Y2130" s="2" t="s">
        <v>7443</v>
      </c>
      <c r="Z2130" s="4">
        <v>110</v>
      </c>
      <c r="AA2130" s="4">
        <f>=ROUNDDOWN(36.6666666666667,0)</f>
      </c>
      <c r="AB2130" s="5">
        <v>3</v>
      </c>
      <c r="AC2130" s="2" t="s">
        <v>100</v>
      </c>
      <c r="AD2130" s="4"/>
      <c r="AE2130" s="4"/>
      <c r="AF2130" s="6">
        <v>74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>
        <v>0</v>
      </c>
      <c r="AP2130" s="4">
        <v>6</v>
      </c>
      <c r="AQ2130" s="8">
        <v>882</v>
      </c>
      <c r="AR2130" s="4">
        <v>3</v>
      </c>
      <c r="AS2130" s="8">
        <v>330.75</v>
      </c>
      <c r="AT2130" s="7">
        <v>1</v>
      </c>
      <c r="AU2130" s="7">
        <v>1.6667</v>
      </c>
      <c r="AV2130" s="4">
        <v>6</v>
      </c>
      <c r="AW2130" s="8">
        <v>882</v>
      </c>
      <c r="AX2130" s="4">
        <v>3</v>
      </c>
      <c r="AY2130" s="8">
        <v>330.75</v>
      </c>
      <c r="AZ2130" s="7">
        <v>1</v>
      </c>
      <c r="BA2130" s="7">
        <v>1.6667</v>
      </c>
      <c r="BB2130" s="7">
        <v>1</v>
      </c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>
        <v>0.5</v>
      </c>
      <c r="BJ2130" s="4">
        <v>63</v>
      </c>
      <c r="BK2130" s="8">
        <v>10050.09</v>
      </c>
      <c r="BL2130" s="2" t="s">
        <v>7444</v>
      </c>
      <c r="BM2130" s="7">
        <v>0.0952</v>
      </c>
      <c r="BN2130" s="7">
        <v>0.0878</v>
      </c>
      <c r="BO2130" s="4">
        <v>6</v>
      </c>
      <c r="BP2130" s="8">
        <v>882</v>
      </c>
      <c r="BQ2130" s="4">
        <v>3</v>
      </c>
      <c r="BR2130" s="8">
        <v>330.75</v>
      </c>
      <c r="BS2130" s="7">
        <v>1</v>
      </c>
      <c r="BT2130" s="7">
        <v>1.6667</v>
      </c>
      <c r="BU2130" s="2" t="s">
        <v>109</v>
      </c>
      <c r="BV2130" s="2" t="s">
        <v>97</v>
      </c>
      <c r="BW2130" s="2" t="s">
        <v>3536</v>
      </c>
      <c r="BX2130" s="2" t="s">
        <v>3629</v>
      </c>
      <c r="BY2130" s="2" t="s">
        <v>112</v>
      </c>
      <c r="BZ2130" s="2" t="s">
        <v>100</v>
      </c>
    </row>
    <row r="2131">
      <c r="A2131" s="2" t="s">
        <v>7445</v>
      </c>
      <c r="B2131" s="2" t="s">
        <v>7252</v>
      </c>
      <c r="C2131" s="2" t="s">
        <v>88</v>
      </c>
      <c r="D2131" s="2" t="s">
        <v>7253</v>
      </c>
      <c r="E2131" s="2" t="s">
        <v>7254</v>
      </c>
      <c r="F2131" s="2" t="s">
        <v>7446</v>
      </c>
      <c r="G2131" s="2" t="s">
        <v>7447</v>
      </c>
      <c r="H2131" s="2" t="s">
        <v>7448</v>
      </c>
      <c r="I2131" s="2" t="s">
        <v>7449</v>
      </c>
      <c r="J2131" s="2" t="s">
        <v>6103</v>
      </c>
      <c r="K2131" s="2" t="s">
        <v>7450</v>
      </c>
      <c r="L2131" s="3">
        <v>251.08</v>
      </c>
      <c r="M2131" s="3">
        <v>263.63</v>
      </c>
      <c r="N2131" s="3">
        <v>529</v>
      </c>
      <c r="O2131" s="2" t="s">
        <v>97</v>
      </c>
      <c r="P2131" s="2" t="s">
        <v>182</v>
      </c>
      <c r="Q2131" s="2" t="s">
        <v>99</v>
      </c>
      <c r="R2131" s="2" t="s">
        <v>100</v>
      </c>
      <c r="S2131" s="2" t="s">
        <v>100</v>
      </c>
      <c r="T2131" s="2" t="s">
        <v>100</v>
      </c>
      <c r="U2131" s="2" t="s">
        <v>3531</v>
      </c>
      <c r="V2131" s="2" t="s">
        <v>601</v>
      </c>
      <c r="W2131" s="2" t="s">
        <v>405</v>
      </c>
      <c r="X2131" s="2" t="s">
        <v>100</v>
      </c>
      <c r="Y2131" s="2" t="s">
        <v>7451</v>
      </c>
      <c r="Z2131" s="4">
        <v>182</v>
      </c>
      <c r="AA2131" s="4">
        <f>=ROUNDDOWN(18.2,0)</f>
      </c>
      <c r="AB2131" s="5">
        <v>10</v>
      </c>
      <c r="AC2131" s="2" t="s">
        <v>919</v>
      </c>
      <c r="AD2131" s="4">
        <v>162</v>
      </c>
      <c r="AE2131" s="4">
        <v>312</v>
      </c>
      <c r="AF2131" s="6">
        <v>74</v>
      </c>
      <c r="AG2131" s="6">
        <v>60</v>
      </c>
      <c r="AH2131" s="7">
        <v>0.9394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>
        <v>0</v>
      </c>
      <c r="AP2131" s="4">
        <v>9</v>
      </c>
      <c r="AQ2131" s="8">
        <v>1686.87</v>
      </c>
      <c r="AR2131" s="4">
        <v>57</v>
      </c>
      <c r="AS2131" s="8">
        <v>13565.75</v>
      </c>
      <c r="AT2131" s="7">
        <v>-0.8421</v>
      </c>
      <c r="AU2131" s="7">
        <v>-0.8757</v>
      </c>
      <c r="AV2131" s="4">
        <v>9</v>
      </c>
      <c r="AW2131" s="8">
        <v>1686.87</v>
      </c>
      <c r="AX2131" s="4">
        <v>57</v>
      </c>
      <c r="AY2131" s="8">
        <v>13565.75</v>
      </c>
      <c r="AZ2131" s="7">
        <v>-0.8421</v>
      </c>
      <c r="BA2131" s="7">
        <v>-0.8757</v>
      </c>
      <c r="BB2131" s="7">
        <v>1</v>
      </c>
      <c r="BC2131" s="4">
        <v>9</v>
      </c>
      <c r="BD2131" s="8">
        <v>1686.87</v>
      </c>
      <c r="BE2131" s="4">
        <v>57</v>
      </c>
      <c r="BF2131" s="8">
        <v>13565.75</v>
      </c>
      <c r="BG2131" s="7">
        <v>-0.8421</v>
      </c>
      <c r="BH2131" s="7">
        <v>-0.8757</v>
      </c>
      <c r="BI2131" s="7">
        <v>1</v>
      </c>
      <c r="BJ2131" s="4">
        <v>263</v>
      </c>
      <c r="BK2131" s="8">
        <v>73647.66</v>
      </c>
      <c r="BL2131" s="2" t="s">
        <v>7452</v>
      </c>
      <c r="BM2131" s="7">
        <v>0.0342</v>
      </c>
      <c r="BN2131" s="7">
        <v>0.0229</v>
      </c>
      <c r="BO2131" s="4">
        <v>9</v>
      </c>
      <c r="BP2131" s="8">
        <v>1686.87</v>
      </c>
      <c r="BQ2131" s="4">
        <v>57</v>
      </c>
      <c r="BR2131" s="8">
        <v>13565.75</v>
      </c>
      <c r="BS2131" s="7">
        <v>-0.8421</v>
      </c>
      <c r="BT2131" s="7">
        <v>-0.8757</v>
      </c>
      <c r="BU2131" s="2" t="s">
        <v>109</v>
      </c>
      <c r="BV2131" s="2" t="s">
        <v>97</v>
      </c>
      <c r="BW2131" s="2" t="s">
        <v>7311</v>
      </c>
      <c r="BX2131" s="2" t="s">
        <v>6545</v>
      </c>
      <c r="BY2131" s="2" t="s">
        <v>112</v>
      </c>
      <c r="BZ2131" s="2" t="s">
        <v>100</v>
      </c>
    </row>
    <row r="2132">
      <c r="A2132" s="2" t="s">
        <v>7453</v>
      </c>
      <c r="B2132" s="2" t="s">
        <v>7252</v>
      </c>
      <c r="C2132" s="2" t="s">
        <v>88</v>
      </c>
      <c r="D2132" s="2" t="s">
        <v>7253</v>
      </c>
      <c r="E2132" s="2" t="s">
        <v>7254</v>
      </c>
      <c r="F2132" s="2" t="s">
        <v>7446</v>
      </c>
      <c r="G2132" s="2" t="s">
        <v>7447</v>
      </c>
      <c r="H2132" s="2" t="s">
        <v>7448</v>
      </c>
      <c r="I2132" s="2" t="s">
        <v>7449</v>
      </c>
      <c r="J2132" s="2" t="s">
        <v>6103</v>
      </c>
      <c r="K2132" s="2" t="s">
        <v>7454</v>
      </c>
      <c r="L2132" s="3">
        <v>251.08</v>
      </c>
      <c r="M2132" s="3">
        <v>263.63</v>
      </c>
      <c r="N2132" s="3">
        <v>529</v>
      </c>
      <c r="O2132" s="2" t="s">
        <v>97</v>
      </c>
      <c r="P2132" s="2" t="s">
        <v>1166</v>
      </c>
      <c r="Q2132" s="2" t="s">
        <v>99</v>
      </c>
      <c r="R2132" s="2" t="s">
        <v>100</v>
      </c>
      <c r="S2132" s="2" t="s">
        <v>100</v>
      </c>
      <c r="T2132" s="2" t="s">
        <v>100</v>
      </c>
      <c r="U2132" s="2" t="s">
        <v>3531</v>
      </c>
      <c r="V2132" s="2" t="s">
        <v>601</v>
      </c>
      <c r="W2132" s="2" t="s">
        <v>405</v>
      </c>
      <c r="X2132" s="2" t="s">
        <v>906</v>
      </c>
      <c r="Y2132" s="2" t="s">
        <v>1531</v>
      </c>
      <c r="Z2132" s="4">
        <v>214</v>
      </c>
      <c r="AA2132" s="4">
        <f>=ROUNDDOWN(17.8333333333333,0)</f>
      </c>
      <c r="AB2132" s="5">
        <v>12</v>
      </c>
      <c r="AC2132" s="2" t="s">
        <v>7455</v>
      </c>
      <c r="AD2132" s="4">
        <v>130</v>
      </c>
      <c r="AE2132" s="4">
        <v>130</v>
      </c>
      <c r="AF2132" s="6">
        <v>74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131</v>
      </c>
      <c r="BK2132" s="8">
        <v>34979.25</v>
      </c>
      <c r="BL2132" s="2" t="s">
        <v>7456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147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7457</v>
      </c>
      <c r="B2133" s="2" t="s">
        <v>7252</v>
      </c>
      <c r="C2133" s="2" t="s">
        <v>88</v>
      </c>
      <c r="D2133" s="2" t="s">
        <v>7253</v>
      </c>
      <c r="E2133" s="2" t="s">
        <v>7254</v>
      </c>
      <c r="F2133" s="2" t="s">
        <v>7446</v>
      </c>
      <c r="G2133" s="2" t="s">
        <v>7447</v>
      </c>
      <c r="H2133" s="2" t="s">
        <v>7448</v>
      </c>
      <c r="I2133" s="2" t="s">
        <v>7449</v>
      </c>
      <c r="J2133" s="2" t="s">
        <v>6103</v>
      </c>
      <c r="K2133" s="2" t="s">
        <v>7458</v>
      </c>
      <c r="L2133" s="3">
        <v>251.08</v>
      </c>
      <c r="M2133" s="3">
        <v>263.63</v>
      </c>
      <c r="N2133" s="3">
        <v>529</v>
      </c>
      <c r="O2133" s="2" t="s">
        <v>97</v>
      </c>
      <c r="P2133" s="2" t="s">
        <v>124</v>
      </c>
      <c r="Q2133" s="2" t="s">
        <v>99</v>
      </c>
      <c r="R2133" s="2" t="s">
        <v>100</v>
      </c>
      <c r="S2133" s="2" t="s">
        <v>100</v>
      </c>
      <c r="T2133" s="2" t="s">
        <v>100</v>
      </c>
      <c r="U2133" s="2" t="s">
        <v>3531</v>
      </c>
      <c r="V2133" s="2" t="s">
        <v>601</v>
      </c>
      <c r="W2133" s="2" t="s">
        <v>405</v>
      </c>
      <c r="X2133" s="2" t="s">
        <v>100</v>
      </c>
      <c r="Y2133" s="2" t="s">
        <v>7459</v>
      </c>
      <c r="Z2133" s="4">
        <v>229</v>
      </c>
      <c r="AA2133" s="4">
        <f>=ROUNDDOWN(7.15625,0)</f>
      </c>
      <c r="AB2133" s="5">
        <v>32</v>
      </c>
      <c r="AC2133" s="2" t="s">
        <v>2143</v>
      </c>
      <c r="AD2133" s="4">
        <v>158</v>
      </c>
      <c r="AE2133" s="4">
        <v>938</v>
      </c>
      <c r="AF2133" s="6">
        <v>74</v>
      </c>
      <c r="AG2133" s="6">
        <v>60</v>
      </c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611</v>
      </c>
      <c r="BK2133" s="8">
        <v>168730.75</v>
      </c>
      <c r="BL2133" s="2" t="s">
        <v>7460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6185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7461</v>
      </c>
      <c r="B2134" s="2" t="s">
        <v>7252</v>
      </c>
      <c r="C2134" s="2" t="s">
        <v>88</v>
      </c>
      <c r="D2134" s="2" t="s">
        <v>7253</v>
      </c>
      <c r="E2134" s="2" t="s">
        <v>7254</v>
      </c>
      <c r="F2134" s="2" t="s">
        <v>7446</v>
      </c>
      <c r="G2134" s="2" t="s">
        <v>7447</v>
      </c>
      <c r="H2134" s="2" t="s">
        <v>7448</v>
      </c>
      <c r="I2134" s="2" t="s">
        <v>7449</v>
      </c>
      <c r="J2134" s="2" t="s">
        <v>6103</v>
      </c>
      <c r="K2134" s="2" t="s">
        <v>7462</v>
      </c>
      <c r="L2134" s="3">
        <v>251.08</v>
      </c>
      <c r="M2134" s="3">
        <v>263.63</v>
      </c>
      <c r="N2134" s="3">
        <v>529</v>
      </c>
      <c r="O2134" s="2" t="s">
        <v>97</v>
      </c>
      <c r="P2134" s="2" t="s">
        <v>1166</v>
      </c>
      <c r="Q2134" s="2" t="s">
        <v>99</v>
      </c>
      <c r="R2134" s="2" t="s">
        <v>100</v>
      </c>
      <c r="S2134" s="2" t="s">
        <v>100</v>
      </c>
      <c r="T2134" s="2" t="s">
        <v>100</v>
      </c>
      <c r="U2134" s="2" t="s">
        <v>3531</v>
      </c>
      <c r="V2134" s="2" t="s">
        <v>601</v>
      </c>
      <c r="W2134" s="2" t="s">
        <v>405</v>
      </c>
      <c r="X2134" s="2" t="s">
        <v>906</v>
      </c>
      <c r="Y2134" s="2" t="s">
        <v>3727</v>
      </c>
      <c r="Z2134" s="4">
        <v>179</v>
      </c>
      <c r="AA2134" s="4">
        <f>=ROUNDDOWN(179,0)</f>
      </c>
      <c r="AB2134" s="5">
        <v>1</v>
      </c>
      <c r="AC2134" s="2" t="s">
        <v>100</v>
      </c>
      <c r="AD2134" s="4"/>
      <c r="AE2134" s="4"/>
      <c r="AF2134" s="6">
        <v>74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17</v>
      </c>
      <c r="BK2134" s="8">
        <v>4131.5</v>
      </c>
      <c r="BL2134" s="2" t="s">
        <v>7456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147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7463</v>
      </c>
      <c r="B2135" s="2" t="s">
        <v>7252</v>
      </c>
      <c r="C2135" s="2" t="s">
        <v>88</v>
      </c>
      <c r="D2135" s="2" t="s">
        <v>7253</v>
      </c>
      <c r="E2135" s="2" t="s">
        <v>7254</v>
      </c>
      <c r="F2135" s="2" t="s">
        <v>7464</v>
      </c>
      <c r="G2135" s="2" t="s">
        <v>7465</v>
      </c>
      <c r="H2135" s="2" t="s">
        <v>7466</v>
      </c>
      <c r="I2135" s="2" t="s">
        <v>7467</v>
      </c>
      <c r="J2135" s="2" t="s">
        <v>6103</v>
      </c>
      <c r="K2135" s="2" t="s">
        <v>197</v>
      </c>
      <c r="L2135" s="3">
        <v>162.45</v>
      </c>
      <c r="M2135" s="3">
        <v>170.57</v>
      </c>
      <c r="N2135" s="3">
        <v>339</v>
      </c>
      <c r="O2135" s="2" t="s">
        <v>97</v>
      </c>
      <c r="P2135" s="2" t="s">
        <v>182</v>
      </c>
      <c r="Q2135" s="2" t="s">
        <v>99</v>
      </c>
      <c r="R2135" s="2" t="s">
        <v>100</v>
      </c>
      <c r="S2135" s="2" t="s">
        <v>7468</v>
      </c>
      <c r="T2135" s="2" t="s">
        <v>100</v>
      </c>
      <c r="U2135" s="2" t="s">
        <v>100</v>
      </c>
      <c r="V2135" s="2" t="s">
        <v>3244</v>
      </c>
      <c r="W2135" s="2" t="s">
        <v>602</v>
      </c>
      <c r="X2135" s="2" t="s">
        <v>100</v>
      </c>
      <c r="Y2135" s="2" t="s">
        <v>106</v>
      </c>
      <c r="Z2135" s="4">
        <v>130</v>
      </c>
      <c r="AA2135" s="4">
        <f>=ROUNDDOWN(35.1351351351351,0)</f>
      </c>
      <c r="AB2135" s="5">
        <v>3.7</v>
      </c>
      <c r="AC2135" s="2" t="s">
        <v>7432</v>
      </c>
      <c r="AD2135" s="4">
        <v>168</v>
      </c>
      <c r="AE2135" s="4">
        <v>168</v>
      </c>
      <c r="AF2135" s="6">
        <v>74</v>
      </c>
      <c r="AG2135" s="6"/>
      <c r="AH2135" s="7">
        <v>0.9273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>
        <v>0</v>
      </c>
      <c r="AP2135" s="4">
        <v>6</v>
      </c>
      <c r="AQ2135" s="8">
        <v>1023.42</v>
      </c>
      <c r="AR2135" s="4">
        <v>20</v>
      </c>
      <c r="AS2135" s="8">
        <v>3188.03</v>
      </c>
      <c r="AT2135" s="7">
        <v>-0.7</v>
      </c>
      <c r="AU2135" s="7">
        <v>-0.679</v>
      </c>
      <c r="AV2135" s="4">
        <v>6</v>
      </c>
      <c r="AW2135" s="8">
        <v>1023.42</v>
      </c>
      <c r="AX2135" s="4">
        <v>20</v>
      </c>
      <c r="AY2135" s="8">
        <v>3188.03</v>
      </c>
      <c r="AZ2135" s="7">
        <v>-0.7</v>
      </c>
      <c r="BA2135" s="7">
        <v>-0.679</v>
      </c>
      <c r="BB2135" s="7">
        <v>1</v>
      </c>
      <c r="BC2135" s="4">
        <v>9</v>
      </c>
      <c r="BD2135" s="8">
        <v>1535.13</v>
      </c>
      <c r="BE2135" s="4">
        <v>38</v>
      </c>
      <c r="BF2135" s="8">
        <v>6408.89</v>
      </c>
      <c r="BG2135" s="7">
        <v>-0.7632</v>
      </c>
      <c r="BH2135" s="7">
        <v>-0.7605</v>
      </c>
      <c r="BI2135" s="7">
        <v>0.6667</v>
      </c>
      <c r="BJ2135" s="4">
        <v>131</v>
      </c>
      <c r="BK2135" s="8">
        <v>21550</v>
      </c>
      <c r="BL2135" s="2" t="s">
        <v>7469</v>
      </c>
      <c r="BM2135" s="7">
        <v>0.0458</v>
      </c>
      <c r="BN2135" s="7">
        <v>0.0475</v>
      </c>
      <c r="BO2135" s="4">
        <v>6</v>
      </c>
      <c r="BP2135" s="8">
        <v>1023.42</v>
      </c>
      <c r="BQ2135" s="4">
        <v>20</v>
      </c>
      <c r="BR2135" s="8">
        <v>3188.03</v>
      </c>
      <c r="BS2135" s="7">
        <v>-0.7</v>
      </c>
      <c r="BT2135" s="7">
        <v>-0.679</v>
      </c>
      <c r="BU2135" s="2" t="s">
        <v>109</v>
      </c>
      <c r="BV2135" s="2" t="s">
        <v>97</v>
      </c>
      <c r="BW2135" s="2" t="s">
        <v>217</v>
      </c>
      <c r="BX2135" s="2" t="s">
        <v>7331</v>
      </c>
      <c r="BY2135" s="2" t="s">
        <v>112</v>
      </c>
      <c r="BZ2135" s="2" t="s">
        <v>100</v>
      </c>
    </row>
    <row r="2136">
      <c r="A2136" s="2" t="s">
        <v>7470</v>
      </c>
      <c r="B2136" s="2" t="s">
        <v>7252</v>
      </c>
      <c r="C2136" s="2" t="s">
        <v>88</v>
      </c>
      <c r="D2136" s="2" t="s">
        <v>7253</v>
      </c>
      <c r="E2136" s="2" t="s">
        <v>7254</v>
      </c>
      <c r="F2136" s="2" t="s">
        <v>7464</v>
      </c>
      <c r="G2136" s="2" t="s">
        <v>7465</v>
      </c>
      <c r="H2136" s="2" t="s">
        <v>7466</v>
      </c>
      <c r="I2136" s="2" t="s">
        <v>7467</v>
      </c>
      <c r="J2136" s="2" t="s">
        <v>6103</v>
      </c>
      <c r="K2136" s="2" t="s">
        <v>333</v>
      </c>
      <c r="L2136" s="3">
        <v>162.45</v>
      </c>
      <c r="M2136" s="3">
        <v>170.57</v>
      </c>
      <c r="N2136" s="3">
        <v>339</v>
      </c>
      <c r="O2136" s="2" t="s">
        <v>97</v>
      </c>
      <c r="P2136" s="2" t="s">
        <v>182</v>
      </c>
      <c r="Q2136" s="2" t="s">
        <v>99</v>
      </c>
      <c r="R2136" s="2" t="s">
        <v>100</v>
      </c>
      <c r="S2136" s="2" t="s">
        <v>7471</v>
      </c>
      <c r="T2136" s="2" t="s">
        <v>100</v>
      </c>
      <c r="U2136" s="2" t="s">
        <v>100</v>
      </c>
      <c r="V2136" s="2" t="s">
        <v>3244</v>
      </c>
      <c r="W2136" s="2" t="s">
        <v>602</v>
      </c>
      <c r="X2136" s="2" t="s">
        <v>100</v>
      </c>
      <c r="Y2136" s="2" t="s">
        <v>106</v>
      </c>
      <c r="Z2136" s="4">
        <v>160</v>
      </c>
      <c r="AA2136" s="4">
        <f>=ROUNDDOWN(53.3333333333333,0)</f>
      </c>
      <c r="AB2136" s="5">
        <v>3</v>
      </c>
      <c r="AC2136" s="2" t="s">
        <v>7266</v>
      </c>
      <c r="AD2136" s="4">
        <v>136</v>
      </c>
      <c r="AE2136" s="4">
        <v>136</v>
      </c>
      <c r="AF2136" s="6">
        <v>74</v>
      </c>
      <c r="AG2136" s="6"/>
      <c r="AH2136" s="7">
        <v>0.7273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>
        <v>0</v>
      </c>
      <c r="AP2136" s="4">
        <v>3</v>
      </c>
      <c r="AQ2136" s="8">
        <v>511.71</v>
      </c>
      <c r="AR2136" s="4">
        <v>15</v>
      </c>
      <c r="AS2136" s="8">
        <v>2622.36</v>
      </c>
      <c r="AT2136" s="7">
        <v>-0.8</v>
      </c>
      <c r="AU2136" s="7">
        <v>-0.8049</v>
      </c>
      <c r="AV2136" s="4">
        <v>3</v>
      </c>
      <c r="AW2136" s="8">
        <v>511.71</v>
      </c>
      <c r="AX2136" s="4">
        <v>15</v>
      </c>
      <c r="AY2136" s="8">
        <v>2622.36</v>
      </c>
      <c r="AZ2136" s="7">
        <v>-0.8</v>
      </c>
      <c r="BA2136" s="7">
        <v>-0.8049</v>
      </c>
      <c r="BB2136" s="7">
        <v>1</v>
      </c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>
        <v>0.3333</v>
      </c>
      <c r="BJ2136" s="4">
        <v>111</v>
      </c>
      <c r="BK2136" s="8">
        <v>17112.29</v>
      </c>
      <c r="BL2136" s="2" t="s">
        <v>7472</v>
      </c>
      <c r="BM2136" s="7">
        <v>0.027</v>
      </c>
      <c r="BN2136" s="7">
        <v>0.0299</v>
      </c>
      <c r="BO2136" s="4">
        <v>3</v>
      </c>
      <c r="BP2136" s="8">
        <v>511.71</v>
      </c>
      <c r="BQ2136" s="4">
        <v>15</v>
      </c>
      <c r="BR2136" s="8">
        <v>2622.36</v>
      </c>
      <c r="BS2136" s="7">
        <v>-0.8</v>
      </c>
      <c r="BT2136" s="7">
        <v>-0.8049</v>
      </c>
      <c r="BU2136" s="2" t="s">
        <v>109</v>
      </c>
      <c r="BV2136" s="2" t="s">
        <v>97</v>
      </c>
      <c r="BW2136" s="2" t="s">
        <v>7473</v>
      </c>
      <c r="BX2136" s="2" t="s">
        <v>516</v>
      </c>
      <c r="BY2136" s="2" t="s">
        <v>112</v>
      </c>
      <c r="BZ2136" s="2" t="s">
        <v>100</v>
      </c>
    </row>
    <row r="2137">
      <c r="A2137" s="2" t="s">
        <v>7474</v>
      </c>
      <c r="B2137" s="2" t="s">
        <v>7252</v>
      </c>
      <c r="C2137" s="2" t="s">
        <v>88</v>
      </c>
      <c r="D2137" s="2" t="s">
        <v>7253</v>
      </c>
      <c r="E2137" s="2" t="s">
        <v>7254</v>
      </c>
      <c r="F2137" s="2" t="s">
        <v>7464</v>
      </c>
      <c r="G2137" s="2" t="s">
        <v>7465</v>
      </c>
      <c r="H2137" s="2" t="s">
        <v>7466</v>
      </c>
      <c r="I2137" s="2" t="s">
        <v>7467</v>
      </c>
      <c r="J2137" s="2" t="s">
        <v>6103</v>
      </c>
      <c r="K2137" s="2" t="s">
        <v>181</v>
      </c>
      <c r="L2137" s="3">
        <v>180.5</v>
      </c>
      <c r="M2137" s="3">
        <v>189.52</v>
      </c>
      <c r="N2137" s="3">
        <v>379</v>
      </c>
      <c r="O2137" s="2" t="s">
        <v>229</v>
      </c>
      <c r="P2137" s="2" t="s">
        <v>198</v>
      </c>
      <c r="Q2137" s="2" t="s">
        <v>99</v>
      </c>
      <c r="R2137" s="2" t="s">
        <v>100</v>
      </c>
      <c r="S2137" s="2" t="s">
        <v>7475</v>
      </c>
      <c r="T2137" s="2" t="s">
        <v>100</v>
      </c>
      <c r="U2137" s="2" t="s">
        <v>100</v>
      </c>
      <c r="V2137" s="2" t="s">
        <v>3244</v>
      </c>
      <c r="W2137" s="2" t="s">
        <v>602</v>
      </c>
      <c r="X2137" s="2" t="s">
        <v>100</v>
      </c>
      <c r="Y2137" s="2" t="s">
        <v>106</v>
      </c>
      <c r="Z2137" s="4"/>
      <c r="AA2137" s="4">
        <f>=ROUNDDOWN({0},0)</f>
      </c>
      <c r="AB2137" s="5"/>
      <c r="AC2137" s="2" t="s">
        <v>100</v>
      </c>
      <c r="AD2137" s="4"/>
      <c r="AE2137" s="4"/>
      <c r="AF2137" s="6">
        <v>74</v>
      </c>
      <c r="AG2137" s="6">
        <v>60</v>
      </c>
      <c r="AH2137" s="7">
        <v>0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>
        <v>0</v>
      </c>
      <c r="AP2137" s="4"/>
      <c r="AQ2137" s="8"/>
      <c r="AR2137" s="4">
        <v>3</v>
      </c>
      <c r="AS2137" s="8">
        <v>598.5</v>
      </c>
      <c r="AT2137" s="7">
        <v>-1</v>
      </c>
      <c r="AU2137" s="7">
        <v>-1</v>
      </c>
      <c r="AV2137" s="4"/>
      <c r="AW2137" s="8"/>
      <c r="AX2137" s="4">
        <v>3</v>
      </c>
      <c r="AY2137" s="8">
        <v>598.5</v>
      </c>
      <c r="AZ2137" s="7">
        <v>-1</v>
      </c>
      <c r="BA2137" s="7">
        <v>-1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/>
      <c r="BK2137" s="8"/>
      <c r="BL2137" s="2" t="s">
        <v>7476</v>
      </c>
      <c r="BM2137" s="7"/>
      <c r="BN2137" s="7"/>
      <c r="BO2137" s="4"/>
      <c r="BP2137" s="8"/>
      <c r="BQ2137" s="4">
        <v>3</v>
      </c>
      <c r="BR2137" s="8">
        <v>598.5</v>
      </c>
      <c r="BS2137" s="7">
        <v>-1</v>
      </c>
      <c r="BT2137" s="7">
        <v>-1</v>
      </c>
      <c r="BU2137" s="2" t="s">
        <v>109</v>
      </c>
      <c r="BV2137" s="2" t="s">
        <v>552</v>
      </c>
      <c r="BW2137" s="2" t="s">
        <v>7473</v>
      </c>
      <c r="BX2137" s="2" t="s">
        <v>2376</v>
      </c>
      <c r="BY2137" s="2" t="s">
        <v>112</v>
      </c>
      <c r="BZ2137" s="2" t="s">
        <v>100</v>
      </c>
    </row>
    <row r="2138">
      <c r="A2138" s="2" t="s">
        <v>7477</v>
      </c>
      <c r="B2138" s="2" t="s">
        <v>7252</v>
      </c>
      <c r="C2138" s="2" t="s">
        <v>88</v>
      </c>
      <c r="D2138" s="2" t="s">
        <v>7253</v>
      </c>
      <c r="E2138" s="2" t="s">
        <v>7254</v>
      </c>
      <c r="F2138" s="2" t="s">
        <v>7464</v>
      </c>
      <c r="G2138" s="2" t="s">
        <v>7465</v>
      </c>
      <c r="H2138" s="2" t="s">
        <v>7466</v>
      </c>
      <c r="I2138" s="2" t="s">
        <v>7467</v>
      </c>
      <c r="J2138" s="2" t="s">
        <v>6103</v>
      </c>
      <c r="K2138" s="2" t="s">
        <v>123</v>
      </c>
      <c r="L2138" s="3">
        <v>162.45</v>
      </c>
      <c r="M2138" s="3">
        <v>170.57</v>
      </c>
      <c r="N2138" s="3">
        <v>339</v>
      </c>
      <c r="O2138" s="2" t="s">
        <v>97</v>
      </c>
      <c r="P2138" s="2" t="s">
        <v>182</v>
      </c>
      <c r="Q2138" s="2" t="s">
        <v>99</v>
      </c>
      <c r="R2138" s="2" t="s">
        <v>100</v>
      </c>
      <c r="S2138" s="2" t="s">
        <v>100</v>
      </c>
      <c r="T2138" s="2" t="s">
        <v>100</v>
      </c>
      <c r="U2138" s="2" t="s">
        <v>100</v>
      </c>
      <c r="V2138" s="2" t="s">
        <v>991</v>
      </c>
      <c r="W2138" s="2" t="s">
        <v>104</v>
      </c>
      <c r="X2138" s="2" t="s">
        <v>100</v>
      </c>
      <c r="Y2138" s="2" t="s">
        <v>6933</v>
      </c>
      <c r="Z2138" s="4">
        <v>84</v>
      </c>
      <c r="AA2138" s="4">
        <f>=ROUNDDOWN(16.8,0)</f>
      </c>
      <c r="AB2138" s="5">
        <v>5</v>
      </c>
      <c r="AC2138" s="2" t="s">
        <v>7266</v>
      </c>
      <c r="AD2138" s="4">
        <v>200</v>
      </c>
      <c r="AE2138" s="4">
        <v>200</v>
      </c>
      <c r="AF2138" s="6">
        <v>74</v>
      </c>
      <c r="AG2138" s="6"/>
      <c r="AH2138" s="7">
        <v>0.5576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/>
      <c r="AW2138" s="8"/>
      <c r="AX2138" s="4"/>
      <c r="AY2138" s="8"/>
      <c r="AZ2138" s="7"/>
      <c r="BA2138" s="7"/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146</v>
      </c>
      <c r="BK2138" s="8">
        <v>23797.21</v>
      </c>
      <c r="BL2138" s="2" t="s">
        <v>7478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6185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7479</v>
      </c>
      <c r="B2139" s="2" t="s">
        <v>7252</v>
      </c>
      <c r="C2139" s="2" t="s">
        <v>88</v>
      </c>
      <c r="D2139" s="2" t="s">
        <v>7253</v>
      </c>
      <c r="E2139" s="2" t="s">
        <v>7254</v>
      </c>
      <c r="F2139" s="2" t="s">
        <v>1963</v>
      </c>
      <c r="G2139" s="2" t="s">
        <v>7480</v>
      </c>
      <c r="H2139" s="2" t="s">
        <v>7481</v>
      </c>
      <c r="I2139" s="2" t="s">
        <v>7390</v>
      </c>
      <c r="J2139" s="2" t="s">
        <v>6103</v>
      </c>
      <c r="K2139" s="2" t="s">
        <v>158</v>
      </c>
      <c r="L2139" s="3">
        <v>147.25</v>
      </c>
      <c r="M2139" s="3">
        <v>154.61</v>
      </c>
      <c r="N2139" s="3">
        <v>309</v>
      </c>
      <c r="O2139" s="2" t="s">
        <v>97</v>
      </c>
      <c r="P2139" s="2" t="s">
        <v>1265</v>
      </c>
      <c r="Q2139" s="2" t="s">
        <v>99</v>
      </c>
      <c r="R2139" s="2" t="s">
        <v>100</v>
      </c>
      <c r="S2139" s="2" t="s">
        <v>7482</v>
      </c>
      <c r="T2139" s="2" t="s">
        <v>100</v>
      </c>
      <c r="U2139" s="2" t="s">
        <v>100</v>
      </c>
      <c r="V2139" s="2" t="s">
        <v>601</v>
      </c>
      <c r="W2139" s="2" t="s">
        <v>2195</v>
      </c>
      <c r="X2139" s="2" t="s">
        <v>100</v>
      </c>
      <c r="Y2139" s="2" t="s">
        <v>106</v>
      </c>
      <c r="Z2139" s="4">
        <v>73</v>
      </c>
      <c r="AA2139" s="4">
        <f>=ROUNDDOWN(26.0714285714286,0)</f>
      </c>
      <c r="AB2139" s="5">
        <v>2.8</v>
      </c>
      <c r="AC2139" s="2" t="s">
        <v>7295</v>
      </c>
      <c r="AD2139" s="4">
        <v>100</v>
      </c>
      <c r="AE2139" s="4">
        <v>100</v>
      </c>
      <c r="AF2139" s="6">
        <v>74</v>
      </c>
      <c r="AG2139" s="6">
        <v>60</v>
      </c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>
        <v>0</v>
      </c>
      <c r="AP2139" s="4">
        <v>9</v>
      </c>
      <c r="AQ2139" s="8">
        <v>1346.67</v>
      </c>
      <c r="AR2139" s="4">
        <v>7</v>
      </c>
      <c r="AS2139" s="8">
        <v>987.66</v>
      </c>
      <c r="AT2139" s="7">
        <v>0.2857</v>
      </c>
      <c r="AU2139" s="7">
        <v>0.3635</v>
      </c>
      <c r="AV2139" s="4">
        <v>9</v>
      </c>
      <c r="AW2139" s="8">
        <v>1346.67</v>
      </c>
      <c r="AX2139" s="4">
        <v>7</v>
      </c>
      <c r="AY2139" s="8">
        <v>987.66</v>
      </c>
      <c r="AZ2139" s="7">
        <v>0.2857</v>
      </c>
      <c r="BA2139" s="7">
        <v>0.3635</v>
      </c>
      <c r="BB2139" s="7">
        <v>1</v>
      </c>
      <c r="BC2139" s="4">
        <v>10</v>
      </c>
      <c r="BD2139" s="8">
        <v>1496.3</v>
      </c>
      <c r="BE2139" s="4">
        <v>16</v>
      </c>
      <c r="BF2139" s="8">
        <v>2520.69</v>
      </c>
      <c r="BG2139" s="7">
        <v>-0.375</v>
      </c>
      <c r="BH2139" s="7">
        <v>-0.4064</v>
      </c>
      <c r="BI2139" s="7">
        <v>0.9</v>
      </c>
      <c r="BJ2139" s="4">
        <v>76</v>
      </c>
      <c r="BK2139" s="8">
        <v>10878.38</v>
      </c>
      <c r="BL2139" s="2" t="s">
        <v>7483</v>
      </c>
      <c r="BM2139" s="7">
        <v>0.1184</v>
      </c>
      <c r="BN2139" s="7">
        <v>0.1238</v>
      </c>
      <c r="BO2139" s="4">
        <v>9</v>
      </c>
      <c r="BP2139" s="8">
        <v>1346.67</v>
      </c>
      <c r="BQ2139" s="4">
        <v>7</v>
      </c>
      <c r="BR2139" s="8">
        <v>987.66</v>
      </c>
      <c r="BS2139" s="7">
        <v>0.2857</v>
      </c>
      <c r="BT2139" s="7">
        <v>0.3635</v>
      </c>
      <c r="BU2139" s="2" t="s">
        <v>109</v>
      </c>
      <c r="BV2139" s="2" t="s">
        <v>97</v>
      </c>
      <c r="BW2139" s="2" t="s">
        <v>217</v>
      </c>
      <c r="BX2139" s="2" t="s">
        <v>347</v>
      </c>
      <c r="BY2139" s="2" t="s">
        <v>112</v>
      </c>
      <c r="BZ2139" s="2" t="s">
        <v>100</v>
      </c>
    </row>
    <row r="2140">
      <c r="A2140" s="2" t="s">
        <v>7484</v>
      </c>
      <c r="B2140" s="2" t="s">
        <v>7252</v>
      </c>
      <c r="C2140" s="2" t="s">
        <v>88</v>
      </c>
      <c r="D2140" s="2" t="s">
        <v>7253</v>
      </c>
      <c r="E2140" s="2" t="s">
        <v>7254</v>
      </c>
      <c r="F2140" s="2" t="s">
        <v>1963</v>
      </c>
      <c r="G2140" s="2" t="s">
        <v>7480</v>
      </c>
      <c r="H2140" s="2" t="s">
        <v>7481</v>
      </c>
      <c r="I2140" s="2" t="s">
        <v>7390</v>
      </c>
      <c r="J2140" s="2" t="s">
        <v>6103</v>
      </c>
      <c r="K2140" s="2" t="s">
        <v>1581</v>
      </c>
      <c r="L2140" s="3">
        <v>147.25</v>
      </c>
      <c r="M2140" s="3">
        <v>154.61</v>
      </c>
      <c r="N2140" s="3">
        <v>309</v>
      </c>
      <c r="O2140" s="2" t="s">
        <v>97</v>
      </c>
      <c r="P2140" s="2" t="s">
        <v>198</v>
      </c>
      <c r="Q2140" s="2" t="s">
        <v>99</v>
      </c>
      <c r="R2140" s="2" t="s">
        <v>100</v>
      </c>
      <c r="S2140" s="2" t="s">
        <v>7485</v>
      </c>
      <c r="T2140" s="2" t="s">
        <v>100</v>
      </c>
      <c r="U2140" s="2" t="s">
        <v>100</v>
      </c>
      <c r="V2140" s="2" t="s">
        <v>601</v>
      </c>
      <c r="W2140" s="2" t="s">
        <v>2195</v>
      </c>
      <c r="X2140" s="2" t="s">
        <v>100</v>
      </c>
      <c r="Y2140" s="2" t="s">
        <v>106</v>
      </c>
      <c r="Z2140" s="4">
        <v>116</v>
      </c>
      <c r="AA2140" s="4">
        <f>=ROUNDDOWN(58,0)</f>
      </c>
      <c r="AB2140" s="5">
        <v>2</v>
      </c>
      <c r="AC2140" s="2" t="s">
        <v>100</v>
      </c>
      <c r="AD2140" s="4"/>
      <c r="AE2140" s="4"/>
      <c r="AF2140" s="6">
        <v>74</v>
      </c>
      <c r="AG2140" s="6"/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>
        <v>0</v>
      </c>
      <c r="AP2140" s="4">
        <v>1</v>
      </c>
      <c r="AQ2140" s="8">
        <v>149.63</v>
      </c>
      <c r="AR2140" s="4">
        <v>5</v>
      </c>
      <c r="AS2140" s="8">
        <v>813.75</v>
      </c>
      <c r="AT2140" s="7">
        <v>-0.8</v>
      </c>
      <c r="AU2140" s="7">
        <v>-0.8161</v>
      </c>
      <c r="AV2140" s="4">
        <v>1</v>
      </c>
      <c r="AW2140" s="8">
        <v>149.63</v>
      </c>
      <c r="AX2140" s="4">
        <v>5</v>
      </c>
      <c r="AY2140" s="8">
        <v>813.75</v>
      </c>
      <c r="AZ2140" s="7">
        <v>-0.8</v>
      </c>
      <c r="BA2140" s="7">
        <v>-0.8161</v>
      </c>
      <c r="BB2140" s="7">
        <v>1</v>
      </c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>
        <v>0.1</v>
      </c>
      <c r="BJ2140" s="4">
        <v>37</v>
      </c>
      <c r="BK2140" s="8">
        <v>5395.32</v>
      </c>
      <c r="BL2140" s="2" t="s">
        <v>7486</v>
      </c>
      <c r="BM2140" s="7">
        <v>0.027</v>
      </c>
      <c r="BN2140" s="7">
        <v>0.0277</v>
      </c>
      <c r="BO2140" s="4">
        <v>1</v>
      </c>
      <c r="BP2140" s="8">
        <v>149.63</v>
      </c>
      <c r="BQ2140" s="4">
        <v>5</v>
      </c>
      <c r="BR2140" s="8">
        <v>813.75</v>
      </c>
      <c r="BS2140" s="7">
        <v>-0.8</v>
      </c>
      <c r="BT2140" s="7">
        <v>-0.8161</v>
      </c>
      <c r="BU2140" s="2" t="s">
        <v>109</v>
      </c>
      <c r="BV2140" s="2" t="s">
        <v>97</v>
      </c>
      <c r="BW2140" s="2" t="s">
        <v>217</v>
      </c>
      <c r="BX2140" s="2" t="s">
        <v>516</v>
      </c>
      <c r="BY2140" s="2" t="s">
        <v>112</v>
      </c>
      <c r="BZ2140" s="2" t="s">
        <v>100</v>
      </c>
    </row>
    <row r="2141">
      <c r="A2141" s="2" t="s">
        <v>7487</v>
      </c>
      <c r="B2141" s="2" t="s">
        <v>7252</v>
      </c>
      <c r="C2141" s="2" t="s">
        <v>88</v>
      </c>
      <c r="D2141" s="2" t="s">
        <v>7253</v>
      </c>
      <c r="E2141" s="2" t="s">
        <v>7254</v>
      </c>
      <c r="F2141" s="2" t="s">
        <v>1963</v>
      </c>
      <c r="G2141" s="2" t="s">
        <v>7480</v>
      </c>
      <c r="H2141" s="2" t="s">
        <v>7481</v>
      </c>
      <c r="I2141" s="2" t="s">
        <v>7390</v>
      </c>
      <c r="J2141" s="2" t="s">
        <v>6103</v>
      </c>
      <c r="K2141" s="2" t="s">
        <v>7362</v>
      </c>
      <c r="L2141" s="3">
        <v>155</v>
      </c>
      <c r="M2141" s="3">
        <v>162.75</v>
      </c>
      <c r="N2141" s="3">
        <v>329</v>
      </c>
      <c r="O2141" s="2" t="s">
        <v>550</v>
      </c>
      <c r="P2141" s="2" t="s">
        <v>198</v>
      </c>
      <c r="Q2141" s="2" t="s">
        <v>99</v>
      </c>
      <c r="R2141" s="2" t="s">
        <v>100</v>
      </c>
      <c r="S2141" s="2" t="s">
        <v>7488</v>
      </c>
      <c r="T2141" s="2" t="s">
        <v>100</v>
      </c>
      <c r="U2141" s="2" t="s">
        <v>100</v>
      </c>
      <c r="V2141" s="2" t="s">
        <v>601</v>
      </c>
      <c r="W2141" s="2" t="s">
        <v>2195</v>
      </c>
      <c r="X2141" s="2" t="s">
        <v>100</v>
      </c>
      <c r="Y2141" s="2" t="s">
        <v>106</v>
      </c>
      <c r="Z2141" s="4"/>
      <c r="AA2141" s="4">
        <f>=ROUNDDOWN({0},0)</f>
      </c>
      <c r="AB2141" s="5"/>
      <c r="AC2141" s="2" t="s">
        <v>100</v>
      </c>
      <c r="AD2141" s="4"/>
      <c r="AE2141" s="4"/>
      <c r="AF2141" s="6"/>
      <c r="AG2141" s="6"/>
      <c r="AH2141" s="7">
        <v>0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>
        <v>0</v>
      </c>
      <c r="AP2141" s="4"/>
      <c r="AQ2141" s="8"/>
      <c r="AR2141" s="4">
        <v>4</v>
      </c>
      <c r="AS2141" s="8">
        <v>719.28</v>
      </c>
      <c r="AT2141" s="7">
        <v>-1</v>
      </c>
      <c r="AU2141" s="7">
        <v>-1</v>
      </c>
      <c r="AV2141" s="4"/>
      <c r="AW2141" s="8"/>
      <c r="AX2141" s="4">
        <v>4</v>
      </c>
      <c r="AY2141" s="8">
        <v>719.28</v>
      </c>
      <c r="AZ2141" s="7">
        <v>-1</v>
      </c>
      <c r="BA2141" s="7">
        <v>-1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/>
      <c r="BK2141" s="8"/>
      <c r="BL2141" s="2" t="s">
        <v>7489</v>
      </c>
      <c r="BM2141" s="7"/>
      <c r="BN2141" s="7"/>
      <c r="BO2141" s="4"/>
      <c r="BP2141" s="8"/>
      <c r="BQ2141" s="4">
        <v>4</v>
      </c>
      <c r="BR2141" s="8">
        <v>719.28</v>
      </c>
      <c r="BS2141" s="7">
        <v>-1</v>
      </c>
      <c r="BT2141" s="7">
        <v>-1</v>
      </c>
      <c r="BU2141" s="2" t="s">
        <v>109</v>
      </c>
      <c r="BV2141" s="2" t="s">
        <v>552</v>
      </c>
      <c r="BW2141" s="2" t="s">
        <v>7311</v>
      </c>
      <c r="BX2141" s="2" t="s">
        <v>5003</v>
      </c>
      <c r="BY2141" s="2" t="s">
        <v>112</v>
      </c>
      <c r="BZ2141" s="2" t="s">
        <v>100</v>
      </c>
    </row>
    <row r="2142">
      <c r="A2142" s="2" t="s">
        <v>7490</v>
      </c>
      <c r="B2142" s="2" t="s">
        <v>7252</v>
      </c>
      <c r="C2142" s="2" t="s">
        <v>88</v>
      </c>
      <c r="D2142" s="2" t="s">
        <v>7253</v>
      </c>
      <c r="E2142" s="2" t="s">
        <v>7254</v>
      </c>
      <c r="F2142" s="2" t="s">
        <v>7491</v>
      </c>
      <c r="G2142" s="2" t="s">
        <v>7492</v>
      </c>
      <c r="H2142" s="2" t="s">
        <v>7493</v>
      </c>
      <c r="I2142" s="2" t="s">
        <v>7494</v>
      </c>
      <c r="J2142" s="2" t="s">
        <v>6103</v>
      </c>
      <c r="K2142" s="2" t="s">
        <v>1767</v>
      </c>
      <c r="L2142" s="3">
        <v>202.5</v>
      </c>
      <c r="M2142" s="3">
        <v>212.62</v>
      </c>
      <c r="N2142" s="3">
        <v>429</v>
      </c>
      <c r="O2142" s="2" t="s">
        <v>97</v>
      </c>
      <c r="P2142" s="2" t="s">
        <v>1265</v>
      </c>
      <c r="Q2142" s="2" t="s">
        <v>99</v>
      </c>
      <c r="R2142" s="2" t="s">
        <v>100</v>
      </c>
      <c r="S2142" s="2" t="s">
        <v>7495</v>
      </c>
      <c r="T2142" s="2" t="s">
        <v>100</v>
      </c>
      <c r="U2142" s="2" t="s">
        <v>100</v>
      </c>
      <c r="V2142" s="2" t="s">
        <v>3244</v>
      </c>
      <c r="W2142" s="2" t="s">
        <v>602</v>
      </c>
      <c r="X2142" s="2" t="s">
        <v>100</v>
      </c>
      <c r="Y2142" s="2" t="s">
        <v>106</v>
      </c>
      <c r="Z2142" s="4">
        <v>135</v>
      </c>
      <c r="AA2142" s="4">
        <f>=ROUNDDOWN(22.5,0)</f>
      </c>
      <c r="AB2142" s="5">
        <v>6</v>
      </c>
      <c r="AC2142" s="2" t="s">
        <v>100</v>
      </c>
      <c r="AD2142" s="4"/>
      <c r="AE2142" s="4"/>
      <c r="AF2142" s="6">
        <v>66</v>
      </c>
      <c r="AG2142" s="6">
        <v>49</v>
      </c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>
        <v>0</v>
      </c>
      <c r="AP2142" s="4">
        <v>7</v>
      </c>
      <c r="AQ2142" s="8">
        <v>1396.5</v>
      </c>
      <c r="AR2142" s="4"/>
      <c r="AS2142" s="8"/>
      <c r="AT2142" s="7"/>
      <c r="AU2142" s="7"/>
      <c r="AV2142" s="4">
        <v>7</v>
      </c>
      <c r="AW2142" s="8">
        <v>1396.5</v>
      </c>
      <c r="AX2142" s="4"/>
      <c r="AY2142" s="8"/>
      <c r="AZ2142" s="7"/>
      <c r="BA2142" s="7"/>
      <c r="BB2142" s="7">
        <v>1</v>
      </c>
      <c r="BC2142" s="4">
        <v>7</v>
      </c>
      <c r="BD2142" s="8">
        <v>1396.5</v>
      </c>
      <c r="BE2142" s="4"/>
      <c r="BF2142" s="8"/>
      <c r="BG2142" s="7"/>
      <c r="BH2142" s="7"/>
      <c r="BI2142" s="7">
        <v>1</v>
      </c>
      <c r="BJ2142" s="4">
        <v>91</v>
      </c>
      <c r="BK2142" s="8">
        <v>16560.21</v>
      </c>
      <c r="BL2142" s="2" t="s">
        <v>7496</v>
      </c>
      <c r="BM2142" s="7">
        <v>0.0769</v>
      </c>
      <c r="BN2142" s="7">
        <v>0.0843</v>
      </c>
      <c r="BO2142" s="4">
        <v>7</v>
      </c>
      <c r="BP2142" s="8">
        <v>1396.5</v>
      </c>
      <c r="BQ2142" s="4"/>
      <c r="BR2142" s="8"/>
      <c r="BS2142" s="7"/>
      <c r="BT2142" s="7"/>
      <c r="BU2142" s="2" t="s">
        <v>109</v>
      </c>
      <c r="BV2142" s="2" t="s">
        <v>97</v>
      </c>
      <c r="BW2142" s="2" t="s">
        <v>3536</v>
      </c>
      <c r="BX2142" s="2" t="s">
        <v>7497</v>
      </c>
      <c r="BY2142" s="2" t="s">
        <v>112</v>
      </c>
      <c r="BZ2142" s="2" t="s">
        <v>100</v>
      </c>
    </row>
    <row r="2143">
      <c r="A2143" s="2" t="s">
        <v>7498</v>
      </c>
      <c r="B2143" s="2" t="s">
        <v>7252</v>
      </c>
      <c r="C2143" s="2" t="s">
        <v>88</v>
      </c>
      <c r="D2143" s="2" t="s">
        <v>7253</v>
      </c>
      <c r="E2143" s="2" t="s">
        <v>7254</v>
      </c>
      <c r="F2143" s="2" t="s">
        <v>7499</v>
      </c>
      <c r="G2143" s="2" t="s">
        <v>2311</v>
      </c>
      <c r="H2143" s="2" t="s">
        <v>2551</v>
      </c>
      <c r="I2143" s="2" t="s">
        <v>7500</v>
      </c>
      <c r="J2143" s="2" t="s">
        <v>6103</v>
      </c>
      <c r="K2143" s="2" t="s">
        <v>7501</v>
      </c>
      <c r="L2143" s="3">
        <v>180.5</v>
      </c>
      <c r="M2143" s="3">
        <v>189.52</v>
      </c>
      <c r="N2143" s="3">
        <v>379</v>
      </c>
      <c r="O2143" s="2" t="s">
        <v>97</v>
      </c>
      <c r="P2143" s="2" t="s">
        <v>182</v>
      </c>
      <c r="Q2143" s="2" t="s">
        <v>99</v>
      </c>
      <c r="R2143" s="2" t="s">
        <v>100</v>
      </c>
      <c r="S2143" s="2" t="s">
        <v>7502</v>
      </c>
      <c r="T2143" s="2" t="s">
        <v>100</v>
      </c>
      <c r="U2143" s="2" t="s">
        <v>100</v>
      </c>
      <c r="V2143" s="2" t="s">
        <v>601</v>
      </c>
      <c r="W2143" s="2" t="s">
        <v>602</v>
      </c>
      <c r="X2143" s="2" t="s">
        <v>100</v>
      </c>
      <c r="Y2143" s="2" t="s">
        <v>106</v>
      </c>
      <c r="Z2143" s="4">
        <v>145</v>
      </c>
      <c r="AA2143" s="4">
        <f>=ROUNDDOWN(20.7142857142857,0)</f>
      </c>
      <c r="AB2143" s="5">
        <v>7</v>
      </c>
      <c r="AC2143" s="2" t="s">
        <v>100</v>
      </c>
      <c r="AD2143" s="4"/>
      <c r="AE2143" s="4"/>
      <c r="AF2143" s="6">
        <v>66</v>
      </c>
      <c r="AG2143" s="6">
        <v>49</v>
      </c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>
        <v>0</v>
      </c>
      <c r="AP2143" s="4">
        <v>5</v>
      </c>
      <c r="AQ2143" s="8">
        <v>850</v>
      </c>
      <c r="AR2143" s="4">
        <v>1</v>
      </c>
      <c r="AS2143" s="8">
        <v>127.5</v>
      </c>
      <c r="AT2143" s="7">
        <v>4</v>
      </c>
      <c r="AU2143" s="7">
        <v>5.6667</v>
      </c>
      <c r="AV2143" s="4">
        <v>5</v>
      </c>
      <c r="AW2143" s="8">
        <v>850</v>
      </c>
      <c r="AX2143" s="4">
        <v>1</v>
      </c>
      <c r="AY2143" s="8">
        <v>127.5</v>
      </c>
      <c r="AZ2143" s="7">
        <v>4</v>
      </c>
      <c r="BA2143" s="7">
        <v>5.6667</v>
      </c>
      <c r="BB2143" s="7">
        <v>1</v>
      </c>
      <c r="BC2143" s="4">
        <v>6</v>
      </c>
      <c r="BD2143" s="8">
        <v>1020</v>
      </c>
      <c r="BE2143" s="4">
        <v>1</v>
      </c>
      <c r="BF2143" s="8">
        <v>127.5</v>
      </c>
      <c r="BG2143" s="7">
        <v>5</v>
      </c>
      <c r="BH2143" s="7">
        <v>7</v>
      </c>
      <c r="BI2143" s="7">
        <v>0.8333</v>
      </c>
      <c r="BJ2143" s="4">
        <v>154</v>
      </c>
      <c r="BK2143" s="8">
        <v>26307.76</v>
      </c>
      <c r="BL2143" s="2" t="s">
        <v>7503</v>
      </c>
      <c r="BM2143" s="7">
        <v>0.0325</v>
      </c>
      <c r="BN2143" s="7">
        <v>0.0323</v>
      </c>
      <c r="BO2143" s="4">
        <v>5</v>
      </c>
      <c r="BP2143" s="8">
        <v>850</v>
      </c>
      <c r="BQ2143" s="4">
        <v>1</v>
      </c>
      <c r="BR2143" s="8">
        <v>127.5</v>
      </c>
      <c r="BS2143" s="7">
        <v>4</v>
      </c>
      <c r="BT2143" s="7">
        <v>5.6667</v>
      </c>
      <c r="BU2143" s="2" t="s">
        <v>109</v>
      </c>
      <c r="BV2143" s="2" t="s">
        <v>97</v>
      </c>
      <c r="BW2143" s="2" t="s">
        <v>3536</v>
      </c>
      <c r="BX2143" s="2" t="s">
        <v>3867</v>
      </c>
      <c r="BY2143" s="2" t="s">
        <v>112</v>
      </c>
      <c r="BZ2143" s="2" t="s">
        <v>100</v>
      </c>
    </row>
    <row r="2144">
      <c r="A2144" s="2" t="s">
        <v>7504</v>
      </c>
      <c r="B2144" s="2" t="s">
        <v>7252</v>
      </c>
      <c r="C2144" s="2" t="s">
        <v>88</v>
      </c>
      <c r="D2144" s="2" t="s">
        <v>7253</v>
      </c>
      <c r="E2144" s="2" t="s">
        <v>7254</v>
      </c>
      <c r="F2144" s="2" t="s">
        <v>7499</v>
      </c>
      <c r="G2144" s="2" t="s">
        <v>2311</v>
      </c>
      <c r="H2144" s="2" t="s">
        <v>2551</v>
      </c>
      <c r="I2144" s="2" t="s">
        <v>7500</v>
      </c>
      <c r="J2144" s="2" t="s">
        <v>6103</v>
      </c>
      <c r="K2144" s="2" t="s">
        <v>2367</v>
      </c>
      <c r="L2144" s="3">
        <v>180.5</v>
      </c>
      <c r="M2144" s="3">
        <v>189.52</v>
      </c>
      <c r="N2144" s="3">
        <v>379</v>
      </c>
      <c r="O2144" s="2" t="s">
        <v>97</v>
      </c>
      <c r="P2144" s="2" t="s">
        <v>1265</v>
      </c>
      <c r="Q2144" s="2" t="s">
        <v>99</v>
      </c>
      <c r="R2144" s="2" t="s">
        <v>100</v>
      </c>
      <c r="S2144" s="2" t="s">
        <v>7505</v>
      </c>
      <c r="T2144" s="2" t="s">
        <v>100</v>
      </c>
      <c r="U2144" s="2" t="s">
        <v>100</v>
      </c>
      <c r="V2144" s="2" t="s">
        <v>601</v>
      </c>
      <c r="W2144" s="2" t="s">
        <v>602</v>
      </c>
      <c r="X2144" s="2" t="s">
        <v>100</v>
      </c>
      <c r="Y2144" s="2" t="s">
        <v>106</v>
      </c>
      <c r="Z2144" s="4">
        <v>70</v>
      </c>
      <c r="AA2144" s="4">
        <f>=ROUNDDOWN(25.9259259259259,0)</f>
      </c>
      <c r="AB2144" s="5">
        <v>2.7</v>
      </c>
      <c r="AC2144" s="2" t="s">
        <v>100</v>
      </c>
      <c r="AD2144" s="4"/>
      <c r="AE2144" s="4"/>
      <c r="AF2144" s="6">
        <v>66</v>
      </c>
      <c r="AG2144" s="6"/>
      <c r="AH2144" s="7">
        <v>0.9515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>
        <v>0</v>
      </c>
      <c r="AP2144" s="4">
        <v>1</v>
      </c>
      <c r="AQ2144" s="8">
        <v>170</v>
      </c>
      <c r="AR2144" s="4"/>
      <c r="AS2144" s="8"/>
      <c r="AT2144" s="7"/>
      <c r="AU2144" s="7"/>
      <c r="AV2144" s="4">
        <v>1</v>
      </c>
      <c r="AW2144" s="8">
        <v>170</v>
      </c>
      <c r="AX2144" s="4"/>
      <c r="AY2144" s="8"/>
      <c r="AZ2144" s="7"/>
      <c r="BA2144" s="7"/>
      <c r="BB2144" s="7">
        <v>1</v>
      </c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>
        <v>0.1667</v>
      </c>
      <c r="BJ2144" s="4">
        <v>33</v>
      </c>
      <c r="BK2144" s="8">
        <v>5650.44</v>
      </c>
      <c r="BL2144" s="2" t="s">
        <v>7506</v>
      </c>
      <c r="BM2144" s="7">
        <v>0.0303</v>
      </c>
      <c r="BN2144" s="7">
        <v>0.0301</v>
      </c>
      <c r="BO2144" s="4">
        <v>1</v>
      </c>
      <c r="BP2144" s="8">
        <v>170</v>
      </c>
      <c r="BQ2144" s="4"/>
      <c r="BR2144" s="8"/>
      <c r="BS2144" s="7"/>
      <c r="BT2144" s="7"/>
      <c r="BU2144" s="2" t="s">
        <v>109</v>
      </c>
      <c r="BV2144" s="2" t="s">
        <v>97</v>
      </c>
      <c r="BW2144" s="2" t="s">
        <v>3536</v>
      </c>
      <c r="BX2144" s="2" t="s">
        <v>7507</v>
      </c>
      <c r="BY2144" s="2" t="s">
        <v>112</v>
      </c>
      <c r="BZ2144" s="2" t="s">
        <v>100</v>
      </c>
    </row>
    <row r="2145">
      <c r="A2145" s="2" t="s">
        <v>7508</v>
      </c>
      <c r="B2145" s="2" t="s">
        <v>7252</v>
      </c>
      <c r="C2145" s="2" t="s">
        <v>88</v>
      </c>
      <c r="D2145" s="2" t="s">
        <v>7253</v>
      </c>
      <c r="E2145" s="2" t="s">
        <v>7254</v>
      </c>
      <c r="F2145" s="2" t="s">
        <v>7509</v>
      </c>
      <c r="G2145" s="2" t="s">
        <v>2298</v>
      </c>
      <c r="H2145" s="2" t="s">
        <v>7510</v>
      </c>
      <c r="I2145" s="2" t="s">
        <v>7313</v>
      </c>
      <c r="J2145" s="2" t="s">
        <v>6103</v>
      </c>
      <c r="K2145" s="2" t="s">
        <v>7511</v>
      </c>
      <c r="L2145" s="3">
        <v>230</v>
      </c>
      <c r="M2145" s="3">
        <v>241.5</v>
      </c>
      <c r="N2145" s="3">
        <v>479</v>
      </c>
      <c r="O2145" s="2" t="s">
        <v>229</v>
      </c>
      <c r="P2145" s="2" t="s">
        <v>198</v>
      </c>
      <c r="Q2145" s="2" t="s">
        <v>99</v>
      </c>
      <c r="R2145" s="2" t="s">
        <v>100</v>
      </c>
      <c r="S2145" s="2" t="s">
        <v>7512</v>
      </c>
      <c r="T2145" s="2" t="s">
        <v>100</v>
      </c>
      <c r="U2145" s="2" t="s">
        <v>100</v>
      </c>
      <c r="V2145" s="2" t="s">
        <v>601</v>
      </c>
      <c r="W2145" s="2" t="s">
        <v>104</v>
      </c>
      <c r="X2145" s="2" t="s">
        <v>100</v>
      </c>
      <c r="Y2145" s="2" t="s">
        <v>7513</v>
      </c>
      <c r="Z2145" s="4">
        <v>164</v>
      </c>
      <c r="AA2145" s="4">
        <f>=ROUNDDOWN(58.5714285714286,0)</f>
      </c>
      <c r="AB2145" s="5">
        <v>2.8</v>
      </c>
      <c r="AC2145" s="2" t="s">
        <v>100</v>
      </c>
      <c r="AD2145" s="4"/>
      <c r="AE2145" s="4"/>
      <c r="AF2145" s="6">
        <v>67</v>
      </c>
      <c r="AG2145" s="6">
        <v>50</v>
      </c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>
        <v>0</v>
      </c>
      <c r="AP2145" s="4">
        <v>4</v>
      </c>
      <c r="AQ2145" s="8">
        <v>966</v>
      </c>
      <c r="AR2145" s="4">
        <v>2</v>
      </c>
      <c r="AS2145" s="8">
        <v>483</v>
      </c>
      <c r="AT2145" s="7">
        <v>1</v>
      </c>
      <c r="AU2145" s="7">
        <v>1</v>
      </c>
      <c r="AV2145" s="4">
        <v>4</v>
      </c>
      <c r="AW2145" s="8">
        <v>966</v>
      </c>
      <c r="AX2145" s="4">
        <v>2</v>
      </c>
      <c r="AY2145" s="8">
        <v>483</v>
      </c>
      <c r="AZ2145" s="7">
        <v>1</v>
      </c>
      <c r="BA2145" s="7">
        <v>1</v>
      </c>
      <c r="BB2145" s="7">
        <v>1</v>
      </c>
      <c r="BC2145" s="4">
        <v>4</v>
      </c>
      <c r="BD2145" s="8">
        <v>966</v>
      </c>
      <c r="BE2145" s="4">
        <v>2</v>
      </c>
      <c r="BF2145" s="8">
        <v>483</v>
      </c>
      <c r="BG2145" s="7">
        <v>1</v>
      </c>
      <c r="BH2145" s="7">
        <v>1</v>
      </c>
      <c r="BI2145" s="7">
        <v>1</v>
      </c>
      <c r="BJ2145" s="4">
        <v>62</v>
      </c>
      <c r="BK2145" s="8">
        <v>11772.06</v>
      </c>
      <c r="BL2145" s="2" t="s">
        <v>7327</v>
      </c>
      <c r="BM2145" s="7">
        <v>0.0645</v>
      </c>
      <c r="BN2145" s="7">
        <v>0.0821</v>
      </c>
      <c r="BO2145" s="4">
        <v>4</v>
      </c>
      <c r="BP2145" s="8">
        <v>966</v>
      </c>
      <c r="BQ2145" s="4">
        <v>2</v>
      </c>
      <c r="BR2145" s="8">
        <v>483</v>
      </c>
      <c r="BS2145" s="7">
        <v>1</v>
      </c>
      <c r="BT2145" s="7">
        <v>1</v>
      </c>
      <c r="BU2145" s="2" t="s">
        <v>109</v>
      </c>
      <c r="BV2145" s="2" t="s">
        <v>97</v>
      </c>
      <c r="BW2145" s="2" t="s">
        <v>3536</v>
      </c>
      <c r="BX2145" s="2" t="s">
        <v>7514</v>
      </c>
      <c r="BY2145" s="2" t="s">
        <v>112</v>
      </c>
      <c r="BZ2145" s="2" t="s">
        <v>100</v>
      </c>
    </row>
    <row r="2146">
      <c r="A2146" s="2" t="s">
        <v>7515</v>
      </c>
      <c r="B2146" s="2" t="s">
        <v>7252</v>
      </c>
      <c r="C2146" s="2" t="s">
        <v>88</v>
      </c>
      <c r="D2146" s="2" t="s">
        <v>7253</v>
      </c>
      <c r="E2146" s="2" t="s">
        <v>7254</v>
      </c>
      <c r="F2146" s="2" t="s">
        <v>7509</v>
      </c>
      <c r="G2146" s="2" t="s">
        <v>2298</v>
      </c>
      <c r="H2146" s="2" t="s">
        <v>7510</v>
      </c>
      <c r="I2146" s="2" t="s">
        <v>7313</v>
      </c>
      <c r="J2146" s="2" t="s">
        <v>6103</v>
      </c>
      <c r="K2146" s="2" t="s">
        <v>2367</v>
      </c>
      <c r="L2146" s="3">
        <v>230</v>
      </c>
      <c r="M2146" s="3">
        <v>241.5</v>
      </c>
      <c r="N2146" s="3">
        <v>479</v>
      </c>
      <c r="O2146" s="2" t="s">
        <v>229</v>
      </c>
      <c r="P2146" s="2" t="s">
        <v>198</v>
      </c>
      <c r="Q2146" s="2" t="s">
        <v>99</v>
      </c>
      <c r="R2146" s="2" t="s">
        <v>100</v>
      </c>
      <c r="S2146" s="2" t="s">
        <v>100</v>
      </c>
      <c r="T2146" s="2" t="s">
        <v>100</v>
      </c>
      <c r="U2146" s="2" t="s">
        <v>3531</v>
      </c>
      <c r="V2146" s="2" t="s">
        <v>601</v>
      </c>
      <c r="W2146" s="2" t="s">
        <v>104</v>
      </c>
      <c r="X2146" s="2" t="s">
        <v>100</v>
      </c>
      <c r="Y2146" s="2" t="s">
        <v>7516</v>
      </c>
      <c r="Z2146" s="4">
        <v>75</v>
      </c>
      <c r="AA2146" s="4">
        <f>=ROUNDDOWN(150,0)</f>
      </c>
      <c r="AB2146" s="5">
        <v>0.5</v>
      </c>
      <c r="AC2146" s="2" t="s">
        <v>100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15</v>
      </c>
      <c r="BK2146" s="8">
        <v>2199.63</v>
      </c>
      <c r="BL2146" s="2" t="s">
        <v>7517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147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7518</v>
      </c>
      <c r="B2147" s="2" t="s">
        <v>7252</v>
      </c>
      <c r="C2147" s="2" t="s">
        <v>88</v>
      </c>
      <c r="D2147" s="2" t="s">
        <v>7253</v>
      </c>
      <c r="E2147" s="2" t="s">
        <v>7254</v>
      </c>
      <c r="F2147" s="2" t="s">
        <v>7319</v>
      </c>
      <c r="G2147" s="2" t="s">
        <v>7519</v>
      </c>
      <c r="H2147" s="2" t="s">
        <v>7520</v>
      </c>
      <c r="I2147" s="2" t="s">
        <v>7313</v>
      </c>
      <c r="J2147" s="2" t="s">
        <v>6103</v>
      </c>
      <c r="K2147" s="2" t="s">
        <v>2367</v>
      </c>
      <c r="L2147" s="3">
        <v>189</v>
      </c>
      <c r="M2147" s="3">
        <v>198.45</v>
      </c>
      <c r="N2147" s="3">
        <v>399</v>
      </c>
      <c r="O2147" s="2" t="s">
        <v>97</v>
      </c>
      <c r="P2147" s="2" t="s">
        <v>182</v>
      </c>
      <c r="Q2147" s="2" t="s">
        <v>99</v>
      </c>
      <c r="R2147" s="2" t="s">
        <v>100</v>
      </c>
      <c r="S2147" s="2" t="s">
        <v>7521</v>
      </c>
      <c r="T2147" s="2" t="s">
        <v>100</v>
      </c>
      <c r="U2147" s="2" t="s">
        <v>100</v>
      </c>
      <c r="V2147" s="2" t="s">
        <v>3244</v>
      </c>
      <c r="W2147" s="2" t="s">
        <v>104</v>
      </c>
      <c r="X2147" s="2" t="s">
        <v>100</v>
      </c>
      <c r="Y2147" s="2" t="s">
        <v>1322</v>
      </c>
      <c r="Z2147" s="4">
        <v>171</v>
      </c>
      <c r="AA2147" s="4">
        <f>=ROUNDDOWN(24.4285714285714,0)</f>
      </c>
      <c r="AB2147" s="5">
        <v>7</v>
      </c>
      <c r="AC2147" s="2" t="s">
        <v>100</v>
      </c>
      <c r="AD2147" s="4"/>
      <c r="AE2147" s="4"/>
      <c r="AF2147" s="6">
        <v>74</v>
      </c>
      <c r="AG2147" s="6"/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>
        <v>0</v>
      </c>
      <c r="AP2147" s="4">
        <v>7</v>
      </c>
      <c r="AQ2147" s="8">
        <v>955.01</v>
      </c>
      <c r="AR2147" s="4">
        <v>8</v>
      </c>
      <c r="AS2147" s="8">
        <v>1091.44</v>
      </c>
      <c r="AT2147" s="7">
        <v>-0.125</v>
      </c>
      <c r="AU2147" s="7">
        <v>-0.125</v>
      </c>
      <c r="AV2147" s="4">
        <v>7</v>
      </c>
      <c r="AW2147" s="8">
        <v>955.01</v>
      </c>
      <c r="AX2147" s="4">
        <v>8</v>
      </c>
      <c r="AY2147" s="8">
        <v>1091.44</v>
      </c>
      <c r="AZ2147" s="7">
        <v>-0.125</v>
      </c>
      <c r="BA2147" s="7">
        <v>-0.125</v>
      </c>
      <c r="BB2147" s="7">
        <v>1</v>
      </c>
      <c r="BC2147" s="4">
        <v>7</v>
      </c>
      <c r="BD2147" s="8">
        <v>955.01</v>
      </c>
      <c r="BE2147" s="4">
        <v>8</v>
      </c>
      <c r="BF2147" s="8">
        <v>1091.44</v>
      </c>
      <c r="BG2147" s="7">
        <v>-0.125</v>
      </c>
      <c r="BH2147" s="7">
        <v>-0.125</v>
      </c>
      <c r="BI2147" s="7">
        <v>1</v>
      </c>
      <c r="BJ2147" s="4">
        <v>172</v>
      </c>
      <c r="BK2147" s="8">
        <v>29463.16</v>
      </c>
      <c r="BL2147" s="2" t="s">
        <v>7522</v>
      </c>
      <c r="BM2147" s="7">
        <v>0.0407</v>
      </c>
      <c r="BN2147" s="7">
        <v>0.0324</v>
      </c>
      <c r="BO2147" s="4">
        <v>7</v>
      </c>
      <c r="BP2147" s="8">
        <v>955.01</v>
      </c>
      <c r="BQ2147" s="4">
        <v>8</v>
      </c>
      <c r="BR2147" s="8">
        <v>1091.44</v>
      </c>
      <c r="BS2147" s="7">
        <v>-0.125</v>
      </c>
      <c r="BT2147" s="7">
        <v>-0.125</v>
      </c>
      <c r="BU2147" s="2" t="s">
        <v>109</v>
      </c>
      <c r="BV2147" s="2" t="s">
        <v>97</v>
      </c>
      <c r="BW2147" s="2" t="s">
        <v>3536</v>
      </c>
      <c r="BX2147" s="2" t="s">
        <v>3629</v>
      </c>
      <c r="BY2147" s="2" t="s">
        <v>112</v>
      </c>
      <c r="BZ2147" s="2" t="s">
        <v>100</v>
      </c>
    </row>
    <row r="2148">
      <c r="A2148" s="2" t="s">
        <v>7523</v>
      </c>
      <c r="B2148" s="2" t="s">
        <v>7252</v>
      </c>
      <c r="C2148" s="2" t="s">
        <v>88</v>
      </c>
      <c r="D2148" s="2" t="s">
        <v>7253</v>
      </c>
      <c r="E2148" s="2" t="s">
        <v>7254</v>
      </c>
      <c r="F2148" s="2" t="s">
        <v>7319</v>
      </c>
      <c r="G2148" s="2" t="s">
        <v>7519</v>
      </c>
      <c r="H2148" s="2" t="s">
        <v>7520</v>
      </c>
      <c r="I2148" s="2" t="s">
        <v>7524</v>
      </c>
      <c r="J2148" s="2" t="s">
        <v>6103</v>
      </c>
      <c r="K2148" s="2" t="s">
        <v>123</v>
      </c>
      <c r="L2148" s="3">
        <v>189</v>
      </c>
      <c r="M2148" s="3">
        <v>198.45</v>
      </c>
      <c r="N2148" s="3">
        <v>399</v>
      </c>
      <c r="O2148" s="2" t="s">
        <v>97</v>
      </c>
      <c r="P2148" s="2" t="s">
        <v>182</v>
      </c>
      <c r="Q2148" s="2" t="s">
        <v>99</v>
      </c>
      <c r="R2148" s="2" t="s">
        <v>100</v>
      </c>
      <c r="S2148" s="2" t="s">
        <v>100</v>
      </c>
      <c r="T2148" s="2" t="s">
        <v>100</v>
      </c>
      <c r="U2148" s="2" t="s">
        <v>3531</v>
      </c>
      <c r="V2148" s="2" t="s">
        <v>601</v>
      </c>
      <c r="W2148" s="2" t="s">
        <v>104</v>
      </c>
      <c r="X2148" s="2" t="s">
        <v>100</v>
      </c>
      <c r="Y2148" s="2" t="s">
        <v>1035</v>
      </c>
      <c r="Z2148" s="4">
        <v>103</v>
      </c>
      <c r="AA2148" s="4">
        <f>=ROUNDDOWN(25.75,0)</f>
      </c>
      <c r="AB2148" s="5">
        <v>4</v>
      </c>
      <c r="AC2148" s="2" t="s">
        <v>3872</v>
      </c>
      <c r="AD2148" s="4">
        <v>100</v>
      </c>
      <c r="AE2148" s="4">
        <v>100</v>
      </c>
      <c r="AF2148" s="6">
        <v>74</v>
      </c>
      <c r="AG2148" s="6"/>
      <c r="AH2148" s="7">
        <v>0.7212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64</v>
      </c>
      <c r="BK2148" s="8">
        <v>12050.04</v>
      </c>
      <c r="BL2148" s="2" t="s">
        <v>7525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6185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7526</v>
      </c>
      <c r="B2149" s="2" t="s">
        <v>7252</v>
      </c>
      <c r="C2149" s="2" t="s">
        <v>88</v>
      </c>
      <c r="D2149" s="2" t="s">
        <v>7253</v>
      </c>
      <c r="E2149" s="2" t="s">
        <v>7254</v>
      </c>
      <c r="F2149" s="2" t="s">
        <v>7527</v>
      </c>
      <c r="G2149" s="2" t="s">
        <v>7528</v>
      </c>
      <c r="H2149" s="2" t="s">
        <v>7529</v>
      </c>
      <c r="I2149" s="2" t="s">
        <v>7530</v>
      </c>
      <c r="J2149" s="2" t="s">
        <v>6103</v>
      </c>
      <c r="K2149" s="2" t="s">
        <v>158</v>
      </c>
      <c r="L2149" s="3">
        <v>158.36</v>
      </c>
      <c r="M2149" s="3">
        <v>166.28</v>
      </c>
      <c r="N2149" s="3">
        <v>329</v>
      </c>
      <c r="O2149" s="2" t="s">
        <v>97</v>
      </c>
      <c r="P2149" s="2" t="s">
        <v>182</v>
      </c>
      <c r="Q2149" s="2" t="s">
        <v>99</v>
      </c>
      <c r="R2149" s="2" t="s">
        <v>100</v>
      </c>
      <c r="S2149" s="2" t="s">
        <v>7531</v>
      </c>
      <c r="T2149" s="2" t="s">
        <v>100</v>
      </c>
      <c r="U2149" s="2" t="s">
        <v>100</v>
      </c>
      <c r="V2149" s="2" t="s">
        <v>601</v>
      </c>
      <c r="W2149" s="2" t="s">
        <v>602</v>
      </c>
      <c r="X2149" s="2" t="s">
        <v>100</v>
      </c>
      <c r="Y2149" s="2" t="s">
        <v>106</v>
      </c>
      <c r="Z2149" s="4">
        <v>169</v>
      </c>
      <c r="AA2149" s="4">
        <f>=ROUNDDOWN(28.1666666666667,0)</f>
      </c>
      <c r="AB2149" s="5">
        <v>6</v>
      </c>
      <c r="AC2149" s="2" t="s">
        <v>919</v>
      </c>
      <c r="AD2149" s="4">
        <v>83</v>
      </c>
      <c r="AE2149" s="4">
        <v>83</v>
      </c>
      <c r="AF2149" s="6">
        <v>66</v>
      </c>
      <c r="AG2149" s="6">
        <v>49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>
        <v>0</v>
      </c>
      <c r="AP2149" s="4">
        <v>4</v>
      </c>
      <c r="AQ2149" s="8">
        <v>598.52</v>
      </c>
      <c r="AR2149" s="4">
        <v>1</v>
      </c>
      <c r="AS2149" s="8">
        <v>112.22</v>
      </c>
      <c r="AT2149" s="7">
        <v>3</v>
      </c>
      <c r="AU2149" s="7">
        <v>4.3335</v>
      </c>
      <c r="AV2149" s="4">
        <v>4</v>
      </c>
      <c r="AW2149" s="8">
        <v>598.52</v>
      </c>
      <c r="AX2149" s="4">
        <v>1</v>
      </c>
      <c r="AY2149" s="8">
        <v>112.22</v>
      </c>
      <c r="AZ2149" s="7">
        <v>3</v>
      </c>
      <c r="BA2149" s="7">
        <v>4.3335</v>
      </c>
      <c r="BB2149" s="7">
        <v>1</v>
      </c>
      <c r="BC2149" s="4">
        <v>5</v>
      </c>
      <c r="BD2149" s="8">
        <v>748.15</v>
      </c>
      <c r="BE2149" s="4">
        <v>3</v>
      </c>
      <c r="BF2149" s="8">
        <v>411.48</v>
      </c>
      <c r="BG2149" s="7">
        <v>0.6667</v>
      </c>
      <c r="BH2149" s="7">
        <v>0.8182</v>
      </c>
      <c r="BI2149" s="7">
        <v>0.8</v>
      </c>
      <c r="BJ2149" s="4">
        <v>160</v>
      </c>
      <c r="BK2149" s="8">
        <v>21876.08</v>
      </c>
      <c r="BL2149" s="2" t="s">
        <v>7532</v>
      </c>
      <c r="BM2149" s="7">
        <v>0.025</v>
      </c>
      <c r="BN2149" s="7">
        <v>0.0274</v>
      </c>
      <c r="BO2149" s="4">
        <v>4</v>
      </c>
      <c r="BP2149" s="8">
        <v>598.52</v>
      </c>
      <c r="BQ2149" s="4">
        <v>1</v>
      </c>
      <c r="BR2149" s="8">
        <v>112.22</v>
      </c>
      <c r="BS2149" s="7">
        <v>3</v>
      </c>
      <c r="BT2149" s="7">
        <v>4.3335</v>
      </c>
      <c r="BU2149" s="2" t="s">
        <v>109</v>
      </c>
      <c r="BV2149" s="2" t="s">
        <v>97</v>
      </c>
      <c r="BW2149" s="2" t="s">
        <v>3536</v>
      </c>
      <c r="BX2149" s="2" t="s">
        <v>1025</v>
      </c>
      <c r="BY2149" s="2" t="s">
        <v>112</v>
      </c>
      <c r="BZ2149" s="2" t="s">
        <v>100</v>
      </c>
    </row>
    <row r="2150">
      <c r="A2150" s="2" t="s">
        <v>7533</v>
      </c>
      <c r="B2150" s="2" t="s">
        <v>7252</v>
      </c>
      <c r="C2150" s="2" t="s">
        <v>88</v>
      </c>
      <c r="D2150" s="2" t="s">
        <v>7253</v>
      </c>
      <c r="E2150" s="2" t="s">
        <v>7254</v>
      </c>
      <c r="F2150" s="2" t="s">
        <v>7527</v>
      </c>
      <c r="G2150" s="2" t="s">
        <v>7528</v>
      </c>
      <c r="H2150" s="2" t="s">
        <v>7529</v>
      </c>
      <c r="I2150" s="2" t="s">
        <v>7530</v>
      </c>
      <c r="J2150" s="2" t="s">
        <v>6103</v>
      </c>
      <c r="K2150" s="2" t="s">
        <v>1828</v>
      </c>
      <c r="L2150" s="3">
        <v>158.36</v>
      </c>
      <c r="M2150" s="3">
        <v>166.28</v>
      </c>
      <c r="N2150" s="3">
        <v>329</v>
      </c>
      <c r="O2150" s="2" t="s">
        <v>97</v>
      </c>
      <c r="P2150" s="2" t="s">
        <v>182</v>
      </c>
      <c r="Q2150" s="2" t="s">
        <v>99</v>
      </c>
      <c r="R2150" s="2" t="s">
        <v>100</v>
      </c>
      <c r="S2150" s="2" t="s">
        <v>7534</v>
      </c>
      <c r="T2150" s="2" t="s">
        <v>100</v>
      </c>
      <c r="U2150" s="2" t="s">
        <v>100</v>
      </c>
      <c r="V2150" s="2" t="s">
        <v>601</v>
      </c>
      <c r="W2150" s="2" t="s">
        <v>602</v>
      </c>
      <c r="X2150" s="2" t="s">
        <v>100</v>
      </c>
      <c r="Y2150" s="2" t="s">
        <v>106</v>
      </c>
      <c r="Z2150" s="4">
        <v>76</v>
      </c>
      <c r="AA2150" s="4">
        <f>=ROUNDDOWN(15.2,0)</f>
      </c>
      <c r="AB2150" s="5">
        <v>5</v>
      </c>
      <c r="AC2150" s="2" t="s">
        <v>659</v>
      </c>
      <c r="AD2150" s="4">
        <v>84</v>
      </c>
      <c r="AE2150" s="4">
        <v>84</v>
      </c>
      <c r="AF2150" s="6">
        <v>66</v>
      </c>
      <c r="AG2150" s="6">
        <v>49</v>
      </c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>
        <v>0</v>
      </c>
      <c r="AP2150" s="4">
        <v>1</v>
      </c>
      <c r="AQ2150" s="8">
        <v>149.63</v>
      </c>
      <c r="AR2150" s="4">
        <v>2</v>
      </c>
      <c r="AS2150" s="8">
        <v>299.26</v>
      </c>
      <c r="AT2150" s="7">
        <v>-0.5</v>
      </c>
      <c r="AU2150" s="7">
        <v>-0.5</v>
      </c>
      <c r="AV2150" s="4">
        <v>1</v>
      </c>
      <c r="AW2150" s="8">
        <v>149.63</v>
      </c>
      <c r="AX2150" s="4">
        <v>2</v>
      </c>
      <c r="AY2150" s="8">
        <v>299.26</v>
      </c>
      <c r="AZ2150" s="7">
        <v>-0.5</v>
      </c>
      <c r="BA2150" s="7">
        <v>-0.5</v>
      </c>
      <c r="BB2150" s="7">
        <v>1</v>
      </c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>
        <v>0.2</v>
      </c>
      <c r="BJ2150" s="4">
        <v>108</v>
      </c>
      <c r="BK2150" s="8">
        <v>14978.72</v>
      </c>
      <c r="BL2150" s="2" t="s">
        <v>7535</v>
      </c>
      <c r="BM2150" s="7">
        <v>0.0093</v>
      </c>
      <c r="BN2150" s="7">
        <v>0.01</v>
      </c>
      <c r="BO2150" s="4">
        <v>1</v>
      </c>
      <c r="BP2150" s="8">
        <v>149.63</v>
      </c>
      <c r="BQ2150" s="4">
        <v>2</v>
      </c>
      <c r="BR2150" s="8">
        <v>299.26</v>
      </c>
      <c r="BS2150" s="7">
        <v>-0.5</v>
      </c>
      <c r="BT2150" s="7">
        <v>-0.5</v>
      </c>
      <c r="BU2150" s="2" t="s">
        <v>109</v>
      </c>
      <c r="BV2150" s="2" t="s">
        <v>97</v>
      </c>
      <c r="BW2150" s="2" t="s">
        <v>3536</v>
      </c>
      <c r="BX2150" s="2" t="s">
        <v>3870</v>
      </c>
      <c r="BY2150" s="2" t="s">
        <v>112</v>
      </c>
      <c r="BZ2150" s="2" t="s">
        <v>100</v>
      </c>
    </row>
    <row r="2151">
      <c r="A2151" s="2" t="s">
        <v>7536</v>
      </c>
      <c r="B2151" s="2" t="s">
        <v>7252</v>
      </c>
      <c r="C2151" s="2" t="s">
        <v>88</v>
      </c>
      <c r="D2151" s="2" t="s">
        <v>7253</v>
      </c>
      <c r="E2151" s="2" t="s">
        <v>7254</v>
      </c>
      <c r="F2151" s="2" t="s">
        <v>7527</v>
      </c>
      <c r="G2151" s="2" t="s">
        <v>7528</v>
      </c>
      <c r="H2151" s="2" t="s">
        <v>7529</v>
      </c>
      <c r="I2151" s="2" t="s">
        <v>7530</v>
      </c>
      <c r="J2151" s="2" t="s">
        <v>6103</v>
      </c>
      <c r="K2151" s="2" t="s">
        <v>333</v>
      </c>
      <c r="L2151" s="3">
        <v>158.36</v>
      </c>
      <c r="M2151" s="3">
        <v>166.28</v>
      </c>
      <c r="N2151" s="3">
        <v>329</v>
      </c>
      <c r="O2151" s="2" t="s">
        <v>97</v>
      </c>
      <c r="P2151" s="2" t="s">
        <v>1265</v>
      </c>
      <c r="Q2151" s="2" t="s">
        <v>99</v>
      </c>
      <c r="R2151" s="2" t="s">
        <v>100</v>
      </c>
      <c r="S2151" s="2" t="s">
        <v>7537</v>
      </c>
      <c r="T2151" s="2" t="s">
        <v>100</v>
      </c>
      <c r="U2151" s="2" t="s">
        <v>100</v>
      </c>
      <c r="V2151" s="2" t="s">
        <v>601</v>
      </c>
      <c r="W2151" s="2" t="s">
        <v>602</v>
      </c>
      <c r="X2151" s="2" t="s">
        <v>100</v>
      </c>
      <c r="Y2151" s="2" t="s">
        <v>106</v>
      </c>
      <c r="Z2151" s="4">
        <v>118</v>
      </c>
      <c r="AA2151" s="4">
        <f>=ROUNDDOWN(29.5,0)</f>
      </c>
      <c r="AB2151" s="5">
        <v>4</v>
      </c>
      <c r="AC2151" s="2" t="s">
        <v>100</v>
      </c>
      <c r="AD2151" s="4"/>
      <c r="AE2151" s="4"/>
      <c r="AF2151" s="6">
        <v>66</v>
      </c>
      <c r="AG2151" s="6">
        <v>49</v>
      </c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100</v>
      </c>
      <c r="BD2151" s="8" t="s">
        <v>100</v>
      </c>
      <c r="BE2151" s="4" t="s">
        <v>100</v>
      </c>
      <c r="BF2151" s="8" t="s">
        <v>100</v>
      </c>
      <c r="BG2151" s="7" t="s">
        <v>100</v>
      </c>
      <c r="BH2151" s="7" t="s">
        <v>100</v>
      </c>
      <c r="BI2151" s="7"/>
      <c r="BJ2151" s="4">
        <v>80</v>
      </c>
      <c r="BK2151" s="8">
        <v>11391.7</v>
      </c>
      <c r="BL2151" s="2" t="s">
        <v>7538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109</v>
      </c>
      <c r="BV2151" s="2" t="s">
        <v>97</v>
      </c>
      <c r="BW2151" s="2" t="s">
        <v>3536</v>
      </c>
      <c r="BX2151" s="2" t="s">
        <v>100</v>
      </c>
      <c r="BY2151" s="2" t="s">
        <v>112</v>
      </c>
      <c r="BZ2151" s="2" t="s">
        <v>100</v>
      </c>
    </row>
    <row r="2152">
      <c r="A2152" s="2" t="s">
        <v>7539</v>
      </c>
      <c r="B2152" s="2" t="s">
        <v>7252</v>
      </c>
      <c r="C2152" s="2" t="s">
        <v>88</v>
      </c>
      <c r="D2152" s="2" t="s">
        <v>7253</v>
      </c>
      <c r="E2152" s="2" t="s">
        <v>7254</v>
      </c>
      <c r="F2152" s="2" t="s">
        <v>7527</v>
      </c>
      <c r="G2152" s="2" t="s">
        <v>7528</v>
      </c>
      <c r="H2152" s="2" t="s">
        <v>7529</v>
      </c>
      <c r="I2152" s="2" t="s">
        <v>7530</v>
      </c>
      <c r="J2152" s="2" t="s">
        <v>6103</v>
      </c>
      <c r="K2152" s="2" t="s">
        <v>168</v>
      </c>
      <c r="L2152" s="3">
        <v>158.36</v>
      </c>
      <c r="M2152" s="3">
        <v>166.28</v>
      </c>
      <c r="N2152" s="3">
        <v>329</v>
      </c>
      <c r="O2152" s="2" t="s">
        <v>97</v>
      </c>
      <c r="P2152" s="2" t="s">
        <v>182</v>
      </c>
      <c r="Q2152" s="2" t="s">
        <v>99</v>
      </c>
      <c r="R2152" s="2" t="s">
        <v>100</v>
      </c>
      <c r="S2152" s="2" t="s">
        <v>7540</v>
      </c>
      <c r="T2152" s="2" t="s">
        <v>100</v>
      </c>
      <c r="U2152" s="2" t="s">
        <v>100</v>
      </c>
      <c r="V2152" s="2" t="s">
        <v>601</v>
      </c>
      <c r="W2152" s="2" t="s">
        <v>602</v>
      </c>
      <c r="X2152" s="2" t="s">
        <v>100</v>
      </c>
      <c r="Y2152" s="2" t="s">
        <v>106</v>
      </c>
      <c r="Z2152" s="4">
        <v>117</v>
      </c>
      <c r="AA2152" s="4">
        <f>=ROUNDDOWN(29.25,0)</f>
      </c>
      <c r="AB2152" s="5">
        <v>4</v>
      </c>
      <c r="AC2152" s="2" t="s">
        <v>919</v>
      </c>
      <c r="AD2152" s="4">
        <v>83</v>
      </c>
      <c r="AE2152" s="4">
        <v>83</v>
      </c>
      <c r="AF2152" s="6">
        <v>66</v>
      </c>
      <c r="AG2152" s="6"/>
      <c r="AH2152" s="7">
        <v>0.8061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96</v>
      </c>
      <c r="BK2152" s="8">
        <v>13892.07</v>
      </c>
      <c r="BL2152" s="2" t="s">
        <v>7541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147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7542</v>
      </c>
      <c r="B2153" s="2" t="s">
        <v>7252</v>
      </c>
      <c r="C2153" s="2" t="s">
        <v>88</v>
      </c>
      <c r="D2153" s="2" t="s">
        <v>7253</v>
      </c>
      <c r="E2153" s="2" t="s">
        <v>7254</v>
      </c>
      <c r="F2153" s="2" t="s">
        <v>91</v>
      </c>
      <c r="G2153" s="2" t="s">
        <v>7543</v>
      </c>
      <c r="H2153" s="2" t="s">
        <v>7544</v>
      </c>
      <c r="I2153" s="2" t="s">
        <v>7313</v>
      </c>
      <c r="J2153" s="2" t="s">
        <v>6103</v>
      </c>
      <c r="K2153" s="2" t="s">
        <v>2367</v>
      </c>
      <c r="L2153" s="3">
        <v>171</v>
      </c>
      <c r="M2153" s="3">
        <v>179.55</v>
      </c>
      <c r="N2153" s="3">
        <v>359</v>
      </c>
      <c r="O2153" s="2" t="s">
        <v>97</v>
      </c>
      <c r="P2153" s="2" t="s">
        <v>182</v>
      </c>
      <c r="Q2153" s="2" t="s">
        <v>99</v>
      </c>
      <c r="R2153" s="2" t="s">
        <v>100</v>
      </c>
      <c r="S2153" s="2" t="s">
        <v>7545</v>
      </c>
      <c r="T2153" s="2" t="s">
        <v>100</v>
      </c>
      <c r="U2153" s="2" t="s">
        <v>100</v>
      </c>
      <c r="V2153" s="2" t="s">
        <v>601</v>
      </c>
      <c r="W2153" s="2" t="s">
        <v>104</v>
      </c>
      <c r="X2153" s="2" t="s">
        <v>100</v>
      </c>
      <c r="Y2153" s="2" t="s">
        <v>7546</v>
      </c>
      <c r="Z2153" s="4">
        <v>123</v>
      </c>
      <c r="AA2153" s="4">
        <f>=ROUNDDOWN(24.6,0)</f>
      </c>
      <c r="AB2153" s="5">
        <v>5</v>
      </c>
      <c r="AC2153" s="2" t="s">
        <v>7547</v>
      </c>
      <c r="AD2153" s="4">
        <v>100</v>
      </c>
      <c r="AE2153" s="4">
        <v>100</v>
      </c>
      <c r="AF2153" s="6">
        <v>74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>
        <v>0</v>
      </c>
      <c r="AP2153" s="4">
        <v>5</v>
      </c>
      <c r="AQ2153" s="8">
        <v>748.15</v>
      </c>
      <c r="AR2153" s="4">
        <v>7</v>
      </c>
      <c r="AS2153" s="8">
        <v>1047.38</v>
      </c>
      <c r="AT2153" s="7">
        <v>-0.2857</v>
      </c>
      <c r="AU2153" s="7">
        <v>-0.2857</v>
      </c>
      <c r="AV2153" s="4">
        <v>5</v>
      </c>
      <c r="AW2153" s="8">
        <v>748.15</v>
      </c>
      <c r="AX2153" s="4">
        <v>7</v>
      </c>
      <c r="AY2153" s="8">
        <v>1047.38</v>
      </c>
      <c r="AZ2153" s="7">
        <v>-0.2857</v>
      </c>
      <c r="BA2153" s="7">
        <v>-0.2857</v>
      </c>
      <c r="BB2153" s="7">
        <v>1</v>
      </c>
      <c r="BC2153" s="4">
        <v>5</v>
      </c>
      <c r="BD2153" s="8">
        <v>748.15</v>
      </c>
      <c r="BE2153" s="4">
        <v>7</v>
      </c>
      <c r="BF2153" s="8">
        <v>1047.38</v>
      </c>
      <c r="BG2153" s="7">
        <v>-0.2857</v>
      </c>
      <c r="BH2153" s="7">
        <v>-0.2857</v>
      </c>
      <c r="BI2153" s="7">
        <v>1</v>
      </c>
      <c r="BJ2153" s="4">
        <v>120</v>
      </c>
      <c r="BK2153" s="8">
        <v>18630.53</v>
      </c>
      <c r="BL2153" s="2" t="s">
        <v>7548</v>
      </c>
      <c r="BM2153" s="7">
        <v>0.0417</v>
      </c>
      <c r="BN2153" s="7">
        <v>0.0402</v>
      </c>
      <c r="BO2153" s="4">
        <v>5</v>
      </c>
      <c r="BP2153" s="8">
        <v>748.15</v>
      </c>
      <c r="BQ2153" s="4">
        <v>7</v>
      </c>
      <c r="BR2153" s="8">
        <v>1047.38</v>
      </c>
      <c r="BS2153" s="7">
        <v>-0.2857</v>
      </c>
      <c r="BT2153" s="7">
        <v>-0.2857</v>
      </c>
      <c r="BU2153" s="2" t="s">
        <v>109</v>
      </c>
      <c r="BV2153" s="2" t="s">
        <v>97</v>
      </c>
      <c r="BW2153" s="2" t="s">
        <v>7307</v>
      </c>
      <c r="BX2153" s="2" t="s">
        <v>6050</v>
      </c>
      <c r="BY2153" s="2" t="s">
        <v>112</v>
      </c>
      <c r="BZ2153" s="2" t="s">
        <v>100</v>
      </c>
    </row>
    <row r="2154">
      <c r="A2154" s="2" t="s">
        <v>7549</v>
      </c>
      <c r="B2154" s="2" t="s">
        <v>7252</v>
      </c>
      <c r="C2154" s="2" t="s">
        <v>88</v>
      </c>
      <c r="D2154" s="2" t="s">
        <v>7253</v>
      </c>
      <c r="E2154" s="2" t="s">
        <v>7254</v>
      </c>
      <c r="F2154" s="2" t="s">
        <v>7550</v>
      </c>
      <c r="G2154" s="2" t="s">
        <v>7551</v>
      </c>
      <c r="H2154" s="2" t="s">
        <v>7552</v>
      </c>
      <c r="I2154" s="2" t="s">
        <v>7313</v>
      </c>
      <c r="J2154" s="2" t="s">
        <v>6103</v>
      </c>
      <c r="K2154" s="2" t="s">
        <v>635</v>
      </c>
      <c r="L2154" s="3">
        <v>210.9</v>
      </c>
      <c r="M2154" s="3">
        <v>221.44</v>
      </c>
      <c r="N2154" s="3">
        <v>449</v>
      </c>
      <c r="O2154" s="2" t="s">
        <v>229</v>
      </c>
      <c r="P2154" s="2" t="s">
        <v>198</v>
      </c>
      <c r="Q2154" s="2" t="s">
        <v>99</v>
      </c>
      <c r="R2154" s="2" t="s">
        <v>100</v>
      </c>
      <c r="S2154" s="2" t="s">
        <v>100</v>
      </c>
      <c r="T2154" s="2" t="s">
        <v>100</v>
      </c>
      <c r="U2154" s="2" t="s">
        <v>3531</v>
      </c>
      <c r="V2154" s="2" t="s">
        <v>601</v>
      </c>
      <c r="W2154" s="2" t="s">
        <v>602</v>
      </c>
      <c r="X2154" s="2" t="s">
        <v>104</v>
      </c>
      <c r="Y2154" s="2" t="s">
        <v>7553</v>
      </c>
      <c r="Z2154" s="4"/>
      <c r="AA2154" s="4">
        <f>=ROUNDDOWN({0},0)</f>
      </c>
      <c r="AB2154" s="5"/>
      <c r="AC2154" s="2" t="s">
        <v>100</v>
      </c>
      <c r="AD2154" s="4"/>
      <c r="AE2154" s="4"/>
      <c r="AF2154" s="6">
        <v>65</v>
      </c>
      <c r="AG2154" s="6"/>
      <c r="AH2154" s="7">
        <v>0.6121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>
        <v>0</v>
      </c>
      <c r="AP2154" s="4">
        <v>3</v>
      </c>
      <c r="AQ2154" s="8">
        <v>664.35</v>
      </c>
      <c r="AR2154" s="4">
        <v>8</v>
      </c>
      <c r="AS2154" s="8">
        <v>1774.49</v>
      </c>
      <c r="AT2154" s="7">
        <v>-0.625</v>
      </c>
      <c r="AU2154" s="7">
        <v>-0.6256</v>
      </c>
      <c r="AV2154" s="4">
        <v>3</v>
      </c>
      <c r="AW2154" s="8">
        <v>664.35</v>
      </c>
      <c r="AX2154" s="4">
        <v>8</v>
      </c>
      <c r="AY2154" s="8">
        <v>1774.49</v>
      </c>
      <c r="AZ2154" s="7">
        <v>-0.625</v>
      </c>
      <c r="BA2154" s="7">
        <v>-0.6256</v>
      </c>
      <c r="BB2154" s="7">
        <v>1</v>
      </c>
      <c r="BC2154" s="4">
        <v>3</v>
      </c>
      <c r="BD2154" s="8">
        <v>664.35</v>
      </c>
      <c r="BE2154" s="4">
        <v>8</v>
      </c>
      <c r="BF2154" s="8">
        <v>1774.49</v>
      </c>
      <c r="BG2154" s="7">
        <v>-0.625</v>
      </c>
      <c r="BH2154" s="7">
        <v>-0.6256</v>
      </c>
      <c r="BI2154" s="7">
        <v>1</v>
      </c>
      <c r="BJ2154" s="4">
        <v>23</v>
      </c>
      <c r="BK2154" s="8">
        <v>3971.52</v>
      </c>
      <c r="BL2154" s="2" t="s">
        <v>7554</v>
      </c>
      <c r="BM2154" s="7">
        <v>0.1304</v>
      </c>
      <c r="BN2154" s="7">
        <v>0.1673</v>
      </c>
      <c r="BO2154" s="4">
        <v>3</v>
      </c>
      <c r="BP2154" s="8">
        <v>664.35</v>
      </c>
      <c r="BQ2154" s="4">
        <v>8</v>
      </c>
      <c r="BR2154" s="8">
        <v>1774.49</v>
      </c>
      <c r="BS2154" s="7">
        <v>-0.625</v>
      </c>
      <c r="BT2154" s="7">
        <v>-0.6256</v>
      </c>
      <c r="BU2154" s="2" t="s">
        <v>109</v>
      </c>
      <c r="BV2154" s="2" t="s">
        <v>552</v>
      </c>
      <c r="BW2154" s="2" t="s">
        <v>7311</v>
      </c>
      <c r="BX2154" s="2" t="s">
        <v>7555</v>
      </c>
      <c r="BY2154" s="2" t="s">
        <v>112</v>
      </c>
      <c r="BZ2154" s="2" t="s">
        <v>100</v>
      </c>
    </row>
    <row r="2155">
      <c r="A2155" s="2" t="s">
        <v>7556</v>
      </c>
      <c r="B2155" s="2" t="s">
        <v>7252</v>
      </c>
      <c r="C2155" s="2" t="s">
        <v>88</v>
      </c>
      <c r="D2155" s="2" t="s">
        <v>7253</v>
      </c>
      <c r="E2155" s="2" t="s">
        <v>7254</v>
      </c>
      <c r="F2155" s="2" t="s">
        <v>7557</v>
      </c>
      <c r="G2155" s="2" t="s">
        <v>7558</v>
      </c>
      <c r="H2155" s="2" t="s">
        <v>7559</v>
      </c>
      <c r="I2155" s="2" t="s">
        <v>7560</v>
      </c>
      <c r="J2155" s="2" t="s">
        <v>6103</v>
      </c>
      <c r="K2155" s="2" t="s">
        <v>2367</v>
      </c>
      <c r="L2155" s="3">
        <v>207.9</v>
      </c>
      <c r="M2155" s="3">
        <v>218.3</v>
      </c>
      <c r="N2155" s="3">
        <v>439</v>
      </c>
      <c r="O2155" s="2" t="s">
        <v>97</v>
      </c>
      <c r="P2155" s="2" t="s">
        <v>1265</v>
      </c>
      <c r="Q2155" s="2" t="s">
        <v>99</v>
      </c>
      <c r="R2155" s="2" t="s">
        <v>100</v>
      </c>
      <c r="S2155" s="2" t="s">
        <v>7561</v>
      </c>
      <c r="T2155" s="2" t="s">
        <v>100</v>
      </c>
      <c r="U2155" s="2" t="s">
        <v>3531</v>
      </c>
      <c r="V2155" s="2" t="s">
        <v>601</v>
      </c>
      <c r="W2155" s="2" t="s">
        <v>1288</v>
      </c>
      <c r="X2155" s="2" t="s">
        <v>100</v>
      </c>
      <c r="Y2155" s="2" t="s">
        <v>7562</v>
      </c>
      <c r="Z2155" s="4">
        <v>142</v>
      </c>
      <c r="AA2155" s="4">
        <f>=ROUNDDOWN(30.2127659574468,0)</f>
      </c>
      <c r="AB2155" s="5">
        <v>4.7</v>
      </c>
      <c r="AC2155" s="2" t="s">
        <v>100</v>
      </c>
      <c r="AD2155" s="4"/>
      <c r="AE2155" s="4"/>
      <c r="AF2155" s="6">
        <v>66</v>
      </c>
      <c r="AG2155" s="6">
        <v>49</v>
      </c>
      <c r="AH2155" s="7">
        <v>0.9758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>
        <v>0</v>
      </c>
      <c r="AP2155" s="4">
        <v>3</v>
      </c>
      <c r="AQ2155" s="8">
        <v>598.5</v>
      </c>
      <c r="AR2155" s="4">
        <v>4</v>
      </c>
      <c r="AS2155" s="8">
        <v>798</v>
      </c>
      <c r="AT2155" s="7">
        <v>-0.25</v>
      </c>
      <c r="AU2155" s="7">
        <v>-0.25</v>
      </c>
      <c r="AV2155" s="4">
        <v>3</v>
      </c>
      <c r="AW2155" s="8">
        <v>598.5</v>
      </c>
      <c r="AX2155" s="4">
        <v>4</v>
      </c>
      <c r="AY2155" s="8">
        <v>798</v>
      </c>
      <c r="AZ2155" s="7">
        <v>-0.25</v>
      </c>
      <c r="BA2155" s="7">
        <v>-0.25</v>
      </c>
      <c r="BB2155" s="7">
        <v>1</v>
      </c>
      <c r="BC2155" s="4">
        <v>3</v>
      </c>
      <c r="BD2155" s="8">
        <v>598.5</v>
      </c>
      <c r="BE2155" s="4">
        <v>4</v>
      </c>
      <c r="BF2155" s="8">
        <v>798</v>
      </c>
      <c r="BG2155" s="7">
        <v>-0.25</v>
      </c>
      <c r="BH2155" s="7">
        <v>-0.25</v>
      </c>
      <c r="BI2155" s="7">
        <v>1</v>
      </c>
      <c r="BJ2155" s="4">
        <v>90</v>
      </c>
      <c r="BK2155" s="8">
        <v>18314.76</v>
      </c>
      <c r="BL2155" s="2" t="s">
        <v>7563</v>
      </c>
      <c r="BM2155" s="7">
        <v>0.0333</v>
      </c>
      <c r="BN2155" s="7">
        <v>0.0327</v>
      </c>
      <c r="BO2155" s="4">
        <v>3</v>
      </c>
      <c r="BP2155" s="8">
        <v>598.5</v>
      </c>
      <c r="BQ2155" s="4">
        <v>4</v>
      </c>
      <c r="BR2155" s="8">
        <v>798</v>
      </c>
      <c r="BS2155" s="7">
        <v>-0.25</v>
      </c>
      <c r="BT2155" s="7">
        <v>-0.25</v>
      </c>
      <c r="BU2155" s="2" t="s">
        <v>109</v>
      </c>
      <c r="BV2155" s="2" t="s">
        <v>97</v>
      </c>
      <c r="BW2155" s="2" t="s">
        <v>3536</v>
      </c>
      <c r="BX2155" s="2" t="s">
        <v>3915</v>
      </c>
      <c r="BY2155" s="2" t="s">
        <v>112</v>
      </c>
      <c r="BZ2155" s="2" t="s">
        <v>100</v>
      </c>
    </row>
    <row r="2156">
      <c r="A2156" s="2" t="s">
        <v>7564</v>
      </c>
      <c r="B2156" s="2" t="s">
        <v>7252</v>
      </c>
      <c r="C2156" s="2" t="s">
        <v>88</v>
      </c>
      <c r="D2156" s="2" t="s">
        <v>7253</v>
      </c>
      <c r="E2156" s="2" t="s">
        <v>7254</v>
      </c>
      <c r="F2156" s="2" t="s">
        <v>7565</v>
      </c>
      <c r="G2156" s="2" t="s">
        <v>7566</v>
      </c>
      <c r="H2156" s="2" t="s">
        <v>7567</v>
      </c>
      <c r="I2156" s="2" t="s">
        <v>7568</v>
      </c>
      <c r="J2156" s="2" t="s">
        <v>6103</v>
      </c>
      <c r="K2156" s="2" t="s">
        <v>7569</v>
      </c>
      <c r="L2156" s="3">
        <v>180.5</v>
      </c>
      <c r="M2156" s="3">
        <v>189.52</v>
      </c>
      <c r="N2156" s="3">
        <v>379</v>
      </c>
      <c r="O2156" s="2" t="s">
        <v>97</v>
      </c>
      <c r="P2156" s="2" t="s">
        <v>182</v>
      </c>
      <c r="Q2156" s="2" t="s">
        <v>99</v>
      </c>
      <c r="R2156" s="2" t="s">
        <v>100</v>
      </c>
      <c r="S2156" s="2" t="s">
        <v>7570</v>
      </c>
      <c r="T2156" s="2" t="s">
        <v>100</v>
      </c>
      <c r="U2156" s="2" t="s">
        <v>100</v>
      </c>
      <c r="V2156" s="2" t="s">
        <v>3244</v>
      </c>
      <c r="W2156" s="2" t="s">
        <v>405</v>
      </c>
      <c r="X2156" s="2" t="s">
        <v>100</v>
      </c>
      <c r="Y2156" s="2" t="s">
        <v>106</v>
      </c>
      <c r="Z2156" s="4">
        <v>293</v>
      </c>
      <c r="AA2156" s="4">
        <f>=ROUNDDOWN(48.8333333333333,0)</f>
      </c>
      <c r="AB2156" s="5">
        <v>6</v>
      </c>
      <c r="AC2156" s="2" t="s">
        <v>100</v>
      </c>
      <c r="AD2156" s="4"/>
      <c r="AE2156" s="4"/>
      <c r="AF2156" s="6">
        <v>69</v>
      </c>
      <c r="AG2156" s="6">
        <v>52</v>
      </c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>
        <v>0</v>
      </c>
      <c r="AP2156" s="4">
        <v>3</v>
      </c>
      <c r="AQ2156" s="8">
        <v>568.59</v>
      </c>
      <c r="AR2156" s="4">
        <v>9</v>
      </c>
      <c r="AS2156" s="8">
        <v>1478.84</v>
      </c>
      <c r="AT2156" s="7">
        <v>-0.6667</v>
      </c>
      <c r="AU2156" s="7">
        <v>-0.6155</v>
      </c>
      <c r="AV2156" s="4">
        <v>3</v>
      </c>
      <c r="AW2156" s="8">
        <v>568.59</v>
      </c>
      <c r="AX2156" s="4">
        <v>9</v>
      </c>
      <c r="AY2156" s="8">
        <v>1478.84</v>
      </c>
      <c r="AZ2156" s="7">
        <v>-0.6667</v>
      </c>
      <c r="BA2156" s="7">
        <v>-0.6155</v>
      </c>
      <c r="BB2156" s="7">
        <v>1</v>
      </c>
      <c r="BC2156" s="4">
        <v>3</v>
      </c>
      <c r="BD2156" s="8">
        <v>568.59</v>
      </c>
      <c r="BE2156" s="4">
        <v>9</v>
      </c>
      <c r="BF2156" s="8">
        <v>1478.84</v>
      </c>
      <c r="BG2156" s="7">
        <v>-0.6667</v>
      </c>
      <c r="BH2156" s="7">
        <v>-0.6155</v>
      </c>
      <c r="BI2156" s="7">
        <v>1</v>
      </c>
      <c r="BJ2156" s="4">
        <v>119</v>
      </c>
      <c r="BK2156" s="8">
        <v>21675.84</v>
      </c>
      <c r="BL2156" s="2" t="s">
        <v>7571</v>
      </c>
      <c r="BM2156" s="7">
        <v>0.0252</v>
      </c>
      <c r="BN2156" s="7">
        <v>0.0262</v>
      </c>
      <c r="BO2156" s="4">
        <v>3</v>
      </c>
      <c r="BP2156" s="8">
        <v>568.59</v>
      </c>
      <c r="BQ2156" s="4">
        <v>9</v>
      </c>
      <c r="BR2156" s="8">
        <v>1478.84</v>
      </c>
      <c r="BS2156" s="7">
        <v>-0.6667</v>
      </c>
      <c r="BT2156" s="7">
        <v>-0.6155</v>
      </c>
      <c r="BU2156" s="2" t="s">
        <v>109</v>
      </c>
      <c r="BV2156" s="2" t="s">
        <v>97</v>
      </c>
      <c r="BW2156" s="2" t="s">
        <v>7311</v>
      </c>
      <c r="BX2156" s="2" t="s">
        <v>7572</v>
      </c>
      <c r="BY2156" s="2" t="s">
        <v>112</v>
      </c>
      <c r="BZ2156" s="2" t="s">
        <v>100</v>
      </c>
    </row>
    <row r="2157">
      <c r="A2157" s="2" t="s">
        <v>7573</v>
      </c>
      <c r="B2157" s="2" t="s">
        <v>7252</v>
      </c>
      <c r="C2157" s="2" t="s">
        <v>88</v>
      </c>
      <c r="D2157" s="2" t="s">
        <v>7253</v>
      </c>
      <c r="E2157" s="2" t="s">
        <v>7254</v>
      </c>
      <c r="F2157" s="2" t="s">
        <v>7574</v>
      </c>
      <c r="G2157" s="2" t="s">
        <v>7575</v>
      </c>
      <c r="H2157" s="2" t="s">
        <v>7576</v>
      </c>
      <c r="I2157" s="2" t="s">
        <v>7577</v>
      </c>
      <c r="J2157" s="2" t="s">
        <v>6103</v>
      </c>
      <c r="K2157" s="2" t="s">
        <v>635</v>
      </c>
      <c r="L2157" s="3">
        <v>204.25</v>
      </c>
      <c r="M2157" s="3">
        <v>214.46</v>
      </c>
      <c r="N2157" s="3">
        <v>429</v>
      </c>
      <c r="O2157" s="2" t="s">
        <v>97</v>
      </c>
      <c r="P2157" s="2" t="s">
        <v>182</v>
      </c>
      <c r="Q2157" s="2" t="s">
        <v>99</v>
      </c>
      <c r="R2157" s="2" t="s">
        <v>100</v>
      </c>
      <c r="S2157" s="2" t="s">
        <v>7578</v>
      </c>
      <c r="T2157" s="2" t="s">
        <v>100</v>
      </c>
      <c r="U2157" s="2" t="s">
        <v>100</v>
      </c>
      <c r="V2157" s="2" t="s">
        <v>601</v>
      </c>
      <c r="W2157" s="2" t="s">
        <v>104</v>
      </c>
      <c r="X2157" s="2" t="s">
        <v>100</v>
      </c>
      <c r="Y2157" s="2" t="s">
        <v>106</v>
      </c>
      <c r="Z2157" s="4">
        <v>211</v>
      </c>
      <c r="AA2157" s="4">
        <f>=ROUNDDOWN(43.0612244897959,0)</f>
      </c>
      <c r="AB2157" s="5">
        <v>4.9</v>
      </c>
      <c r="AC2157" s="2" t="s">
        <v>107</v>
      </c>
      <c r="AD2157" s="4">
        <v>117</v>
      </c>
      <c r="AE2157" s="4">
        <v>118</v>
      </c>
      <c r="AF2157" s="6">
        <v>74</v>
      </c>
      <c r="AG2157" s="6">
        <v>60</v>
      </c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>
        <v>0</v>
      </c>
      <c r="AP2157" s="4">
        <v>2</v>
      </c>
      <c r="AQ2157" s="8">
        <v>399</v>
      </c>
      <c r="AR2157" s="4"/>
      <c r="AS2157" s="8"/>
      <c r="AT2157" s="7"/>
      <c r="AU2157" s="7"/>
      <c r="AV2157" s="4">
        <v>2</v>
      </c>
      <c r="AW2157" s="8">
        <v>399</v>
      </c>
      <c r="AX2157" s="4"/>
      <c r="AY2157" s="8"/>
      <c r="AZ2157" s="7"/>
      <c r="BA2157" s="7"/>
      <c r="BB2157" s="7">
        <v>1</v>
      </c>
      <c r="BC2157" s="4">
        <v>2</v>
      </c>
      <c r="BD2157" s="8">
        <v>399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>
        <v>1</v>
      </c>
      <c r="BJ2157" s="4">
        <v>154</v>
      </c>
      <c r="BK2157" s="8">
        <v>29711.16</v>
      </c>
      <c r="BL2157" s="2" t="s">
        <v>7579</v>
      </c>
      <c r="BM2157" s="7">
        <v>0.013</v>
      </c>
      <c r="BN2157" s="7">
        <v>0.0134</v>
      </c>
      <c r="BO2157" s="4">
        <v>2</v>
      </c>
      <c r="BP2157" s="8">
        <v>399</v>
      </c>
      <c r="BQ2157" s="4"/>
      <c r="BR2157" s="8"/>
      <c r="BS2157" s="7"/>
      <c r="BT2157" s="7"/>
      <c r="BU2157" s="2" t="s">
        <v>109</v>
      </c>
      <c r="BV2157" s="2" t="s">
        <v>97</v>
      </c>
      <c r="BW2157" s="2" t="s">
        <v>2013</v>
      </c>
      <c r="BX2157" s="2" t="s">
        <v>7580</v>
      </c>
      <c r="BY2157" s="2" t="s">
        <v>112</v>
      </c>
      <c r="BZ2157" s="2" t="s">
        <v>100</v>
      </c>
    </row>
    <row r="2158">
      <c r="A2158" s="2" t="s">
        <v>7581</v>
      </c>
      <c r="B2158" s="2" t="s">
        <v>7252</v>
      </c>
      <c r="C2158" s="2" t="s">
        <v>88</v>
      </c>
      <c r="D2158" s="2" t="s">
        <v>7253</v>
      </c>
      <c r="E2158" s="2" t="s">
        <v>7254</v>
      </c>
      <c r="F2158" s="2" t="s">
        <v>7574</v>
      </c>
      <c r="G2158" s="2" t="s">
        <v>7575</v>
      </c>
      <c r="H2158" s="2" t="s">
        <v>7576</v>
      </c>
      <c r="I2158" s="2" t="s">
        <v>7577</v>
      </c>
      <c r="J2158" s="2" t="s">
        <v>6103</v>
      </c>
      <c r="K2158" s="2" t="s">
        <v>1592</v>
      </c>
      <c r="L2158" s="3">
        <v>204.25</v>
      </c>
      <c r="M2158" s="3">
        <v>214.46</v>
      </c>
      <c r="N2158" s="3">
        <v>429</v>
      </c>
      <c r="O2158" s="2" t="s">
        <v>97</v>
      </c>
      <c r="P2158" s="2" t="s">
        <v>182</v>
      </c>
      <c r="Q2158" s="2" t="s">
        <v>99</v>
      </c>
      <c r="R2158" s="2" t="s">
        <v>100</v>
      </c>
      <c r="S2158" s="2" t="s">
        <v>7582</v>
      </c>
      <c r="T2158" s="2" t="s">
        <v>100</v>
      </c>
      <c r="U2158" s="2" t="s">
        <v>100</v>
      </c>
      <c r="V2158" s="2" t="s">
        <v>601</v>
      </c>
      <c r="W2158" s="2" t="s">
        <v>104</v>
      </c>
      <c r="X2158" s="2" t="s">
        <v>100</v>
      </c>
      <c r="Y2158" s="2" t="s">
        <v>106</v>
      </c>
      <c r="Z2158" s="4">
        <v>151</v>
      </c>
      <c r="AA2158" s="4">
        <f>=ROUNDDOWN(30.2,0)</f>
      </c>
      <c r="AB2158" s="5">
        <v>5</v>
      </c>
      <c r="AC2158" s="2" t="s">
        <v>100</v>
      </c>
      <c r="AD2158" s="4"/>
      <c r="AE2158" s="4"/>
      <c r="AF2158" s="6">
        <v>74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/>
      <c r="AW2158" s="8"/>
      <c r="AX2158" s="4"/>
      <c r="AY2158" s="8"/>
      <c r="AZ2158" s="7"/>
      <c r="BA2158" s="7"/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103</v>
      </c>
      <c r="BK2158" s="8">
        <v>20066.32</v>
      </c>
      <c r="BL2158" s="2" t="s">
        <v>7583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6185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7584</v>
      </c>
      <c r="B2159" s="2" t="s">
        <v>7252</v>
      </c>
      <c r="C2159" s="2" t="s">
        <v>88</v>
      </c>
      <c r="D2159" s="2" t="s">
        <v>7253</v>
      </c>
      <c r="E2159" s="2" t="s">
        <v>7254</v>
      </c>
      <c r="F2159" s="2" t="s">
        <v>7585</v>
      </c>
      <c r="G2159" s="2" t="s">
        <v>7586</v>
      </c>
      <c r="H2159" s="2" t="s">
        <v>7587</v>
      </c>
      <c r="I2159" s="2" t="s">
        <v>7313</v>
      </c>
      <c r="J2159" s="2" t="s">
        <v>6103</v>
      </c>
      <c r="K2159" s="2" t="s">
        <v>1004</v>
      </c>
      <c r="L2159" s="3">
        <v>207.9</v>
      </c>
      <c r="M2159" s="3">
        <v>218.3</v>
      </c>
      <c r="N2159" s="3">
        <v>439</v>
      </c>
      <c r="O2159" s="2" t="s">
        <v>97</v>
      </c>
      <c r="P2159" s="2" t="s">
        <v>182</v>
      </c>
      <c r="Q2159" s="2" t="s">
        <v>99</v>
      </c>
      <c r="R2159" s="2" t="s">
        <v>100</v>
      </c>
      <c r="S2159" s="2" t="s">
        <v>100</v>
      </c>
      <c r="T2159" s="2" t="s">
        <v>100</v>
      </c>
      <c r="U2159" s="2" t="s">
        <v>100</v>
      </c>
      <c r="V2159" s="2" t="s">
        <v>601</v>
      </c>
      <c r="W2159" s="2" t="s">
        <v>759</v>
      </c>
      <c r="X2159" s="2" t="s">
        <v>100</v>
      </c>
      <c r="Y2159" s="2" t="s">
        <v>7588</v>
      </c>
      <c r="Z2159" s="4">
        <v>54</v>
      </c>
      <c r="AA2159" s="4">
        <f>=ROUNDDOWN(13.5,0)</f>
      </c>
      <c r="AB2159" s="5">
        <v>4</v>
      </c>
      <c r="AC2159" s="2" t="s">
        <v>659</v>
      </c>
      <c r="AD2159" s="4">
        <v>92</v>
      </c>
      <c r="AE2159" s="4">
        <v>92</v>
      </c>
      <c r="AF2159" s="6">
        <v>66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>
        <v>0</v>
      </c>
      <c r="AP2159" s="4">
        <v>2</v>
      </c>
      <c r="AQ2159" s="8">
        <v>399</v>
      </c>
      <c r="AR2159" s="4">
        <v>4</v>
      </c>
      <c r="AS2159" s="8">
        <v>698.26</v>
      </c>
      <c r="AT2159" s="7">
        <v>-0.5</v>
      </c>
      <c r="AU2159" s="7">
        <v>-0.4286</v>
      </c>
      <c r="AV2159" s="4">
        <v>2</v>
      </c>
      <c r="AW2159" s="8">
        <v>399</v>
      </c>
      <c r="AX2159" s="4">
        <v>4</v>
      </c>
      <c r="AY2159" s="8">
        <v>698.26</v>
      </c>
      <c r="AZ2159" s="7">
        <v>-0.5</v>
      </c>
      <c r="BA2159" s="7">
        <v>-0.4286</v>
      </c>
      <c r="BB2159" s="7">
        <v>1</v>
      </c>
      <c r="BC2159" s="4">
        <v>2</v>
      </c>
      <c r="BD2159" s="8">
        <v>399</v>
      </c>
      <c r="BE2159" s="4">
        <v>4</v>
      </c>
      <c r="BF2159" s="8">
        <v>698.26</v>
      </c>
      <c r="BG2159" s="7">
        <v>-0.5</v>
      </c>
      <c r="BH2159" s="7">
        <v>-0.4286</v>
      </c>
      <c r="BI2159" s="7">
        <v>1</v>
      </c>
      <c r="BJ2159" s="4">
        <v>92</v>
      </c>
      <c r="BK2159" s="8">
        <v>18457.87</v>
      </c>
      <c r="BL2159" s="2" t="s">
        <v>7589</v>
      </c>
      <c r="BM2159" s="7">
        <v>0.0217</v>
      </c>
      <c r="BN2159" s="7">
        <v>0.0216</v>
      </c>
      <c r="BO2159" s="4">
        <v>2</v>
      </c>
      <c r="BP2159" s="8">
        <v>399</v>
      </c>
      <c r="BQ2159" s="4">
        <v>4</v>
      </c>
      <c r="BR2159" s="8">
        <v>698.26</v>
      </c>
      <c r="BS2159" s="7">
        <v>-0.5</v>
      </c>
      <c r="BT2159" s="7">
        <v>-0.4286</v>
      </c>
      <c r="BU2159" s="2" t="s">
        <v>109</v>
      </c>
      <c r="BV2159" s="2" t="s">
        <v>97</v>
      </c>
      <c r="BW2159" s="2" t="s">
        <v>3536</v>
      </c>
      <c r="BX2159" s="2" t="s">
        <v>3629</v>
      </c>
      <c r="BY2159" s="2" t="s">
        <v>112</v>
      </c>
      <c r="BZ2159" s="2" t="s">
        <v>100</v>
      </c>
    </row>
    <row r="2160">
      <c r="A2160" s="2" t="s">
        <v>7590</v>
      </c>
      <c r="B2160" s="2" t="s">
        <v>7252</v>
      </c>
      <c r="C2160" s="2" t="s">
        <v>88</v>
      </c>
      <c r="D2160" s="2" t="s">
        <v>7253</v>
      </c>
      <c r="E2160" s="2" t="s">
        <v>7254</v>
      </c>
      <c r="F2160" s="2" t="s">
        <v>7585</v>
      </c>
      <c r="G2160" s="2" t="s">
        <v>7586</v>
      </c>
      <c r="H2160" s="2" t="s">
        <v>7587</v>
      </c>
      <c r="I2160" s="2" t="s">
        <v>7313</v>
      </c>
      <c r="J2160" s="2" t="s">
        <v>6103</v>
      </c>
      <c r="K2160" s="2" t="s">
        <v>333</v>
      </c>
      <c r="L2160" s="3">
        <v>207.9</v>
      </c>
      <c r="M2160" s="3">
        <v>218.3</v>
      </c>
      <c r="N2160" s="3">
        <v>439</v>
      </c>
      <c r="O2160" s="2" t="s">
        <v>97</v>
      </c>
      <c r="P2160" s="2" t="s">
        <v>1265</v>
      </c>
      <c r="Q2160" s="2" t="s">
        <v>99</v>
      </c>
      <c r="R2160" s="2" t="s">
        <v>100</v>
      </c>
      <c r="S2160" s="2" t="s">
        <v>100</v>
      </c>
      <c r="T2160" s="2" t="s">
        <v>100</v>
      </c>
      <c r="U2160" s="2" t="s">
        <v>100</v>
      </c>
      <c r="V2160" s="2" t="s">
        <v>601</v>
      </c>
      <c r="W2160" s="2" t="s">
        <v>759</v>
      </c>
      <c r="X2160" s="2" t="s">
        <v>100</v>
      </c>
      <c r="Y2160" s="2" t="s">
        <v>7588</v>
      </c>
      <c r="Z2160" s="4">
        <v>89</v>
      </c>
      <c r="AA2160" s="4">
        <f>=ROUNDDOWN(29.6666666666667,0)</f>
      </c>
      <c r="AB2160" s="5">
        <v>3</v>
      </c>
      <c r="AC2160" s="2" t="s">
        <v>100</v>
      </c>
      <c r="AD2160" s="4"/>
      <c r="AE2160" s="4"/>
      <c r="AF2160" s="6">
        <v>66</v>
      </c>
      <c r="AG2160" s="6"/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/>
      <c r="AW2160" s="8"/>
      <c r="AX2160" s="4"/>
      <c r="AY2160" s="8"/>
      <c r="AZ2160" s="7"/>
      <c r="BA2160" s="7"/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67</v>
      </c>
      <c r="BK2160" s="8">
        <v>12655.53</v>
      </c>
      <c r="BL2160" s="2" t="s">
        <v>7591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147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7592</v>
      </c>
      <c r="B2161" s="2" t="s">
        <v>7252</v>
      </c>
      <c r="C2161" s="2" t="s">
        <v>88</v>
      </c>
      <c r="D2161" s="2" t="s">
        <v>7253</v>
      </c>
      <c r="E2161" s="2" t="s">
        <v>7254</v>
      </c>
      <c r="F2161" s="2" t="s">
        <v>7585</v>
      </c>
      <c r="G2161" s="2" t="s">
        <v>7586</v>
      </c>
      <c r="H2161" s="2" t="s">
        <v>7593</v>
      </c>
      <c r="I2161" s="2" t="s">
        <v>7313</v>
      </c>
      <c r="J2161" s="2" t="s">
        <v>6103</v>
      </c>
      <c r="K2161" s="2" t="s">
        <v>7594</v>
      </c>
      <c r="L2161" s="3">
        <v>207.9</v>
      </c>
      <c r="M2161" s="3">
        <v>218.3</v>
      </c>
      <c r="N2161" s="3">
        <v>439</v>
      </c>
      <c r="O2161" s="2" t="s">
        <v>97</v>
      </c>
      <c r="P2161" s="2" t="s">
        <v>1265</v>
      </c>
      <c r="Q2161" s="2" t="s">
        <v>99</v>
      </c>
      <c r="R2161" s="2" t="s">
        <v>100</v>
      </c>
      <c r="S2161" s="2" t="s">
        <v>7595</v>
      </c>
      <c r="T2161" s="2" t="s">
        <v>100</v>
      </c>
      <c r="U2161" s="2" t="s">
        <v>100</v>
      </c>
      <c r="V2161" s="2" t="s">
        <v>601</v>
      </c>
      <c r="W2161" s="2" t="s">
        <v>104</v>
      </c>
      <c r="X2161" s="2" t="s">
        <v>100</v>
      </c>
      <c r="Y2161" s="2" t="s">
        <v>6992</v>
      </c>
      <c r="Z2161" s="4">
        <v>99</v>
      </c>
      <c r="AA2161" s="4">
        <f>=ROUNDDOWN(21.5217391304348,0)</f>
      </c>
      <c r="AB2161" s="5">
        <v>4.6</v>
      </c>
      <c r="AC2161" s="2" t="s">
        <v>430</v>
      </c>
      <c r="AD2161" s="4">
        <v>76</v>
      </c>
      <c r="AE2161" s="4">
        <v>76</v>
      </c>
      <c r="AF2161" s="6">
        <v>66</v>
      </c>
      <c r="AG2161" s="6">
        <v>49</v>
      </c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/>
      <c r="AW2161" s="8"/>
      <c r="AX2161" s="4"/>
      <c r="AY2161" s="8"/>
      <c r="AZ2161" s="7"/>
      <c r="BA2161" s="7"/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89</v>
      </c>
      <c r="BK2161" s="8">
        <v>17208.45</v>
      </c>
      <c r="BL2161" s="2" t="s">
        <v>7596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6185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7597</v>
      </c>
      <c r="B2162" s="2" t="s">
        <v>7252</v>
      </c>
      <c r="C2162" s="2" t="s">
        <v>88</v>
      </c>
      <c r="D2162" s="2" t="s">
        <v>7253</v>
      </c>
      <c r="E2162" s="2" t="s">
        <v>7254</v>
      </c>
      <c r="F2162" s="2" t="s">
        <v>7598</v>
      </c>
      <c r="G2162" s="2" t="s">
        <v>7599</v>
      </c>
      <c r="H2162" s="2" t="s">
        <v>7600</v>
      </c>
      <c r="I2162" s="2" t="s">
        <v>7313</v>
      </c>
      <c r="J2162" s="2" t="s">
        <v>6103</v>
      </c>
      <c r="K2162" s="2" t="s">
        <v>2367</v>
      </c>
      <c r="L2162" s="3">
        <v>178.2</v>
      </c>
      <c r="M2162" s="3">
        <v>187.11</v>
      </c>
      <c r="N2162" s="3">
        <v>379</v>
      </c>
      <c r="O2162" s="2" t="s">
        <v>97</v>
      </c>
      <c r="P2162" s="2" t="s">
        <v>1265</v>
      </c>
      <c r="Q2162" s="2" t="s">
        <v>99</v>
      </c>
      <c r="R2162" s="2" t="s">
        <v>100</v>
      </c>
      <c r="S2162" s="2" t="s">
        <v>7601</v>
      </c>
      <c r="T2162" s="2" t="s">
        <v>100</v>
      </c>
      <c r="U2162" s="2" t="s">
        <v>3531</v>
      </c>
      <c r="V2162" s="2" t="s">
        <v>601</v>
      </c>
      <c r="W2162" s="2" t="s">
        <v>104</v>
      </c>
      <c r="X2162" s="2" t="s">
        <v>100</v>
      </c>
      <c r="Y2162" s="2" t="s">
        <v>7602</v>
      </c>
      <c r="Z2162" s="4">
        <v>85</v>
      </c>
      <c r="AA2162" s="4">
        <f>=ROUNDDOWN(17,0)</f>
      </c>
      <c r="AB2162" s="5">
        <v>5</v>
      </c>
      <c r="AC2162" s="2" t="s">
        <v>533</v>
      </c>
      <c r="AD2162" s="4">
        <v>72</v>
      </c>
      <c r="AE2162" s="4">
        <v>72</v>
      </c>
      <c r="AF2162" s="6">
        <v>66</v>
      </c>
      <c r="AG2162" s="6">
        <v>49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>
        <v>0</v>
      </c>
      <c r="AP2162" s="4">
        <v>2</v>
      </c>
      <c r="AQ2162" s="8">
        <v>330.76</v>
      </c>
      <c r="AR2162" s="4">
        <v>4</v>
      </c>
      <c r="AS2162" s="8">
        <v>661.52</v>
      </c>
      <c r="AT2162" s="7">
        <v>-0.5</v>
      </c>
      <c r="AU2162" s="7">
        <v>-0.5</v>
      </c>
      <c r="AV2162" s="4">
        <v>2</v>
      </c>
      <c r="AW2162" s="8">
        <v>330.76</v>
      </c>
      <c r="AX2162" s="4">
        <v>4</v>
      </c>
      <c r="AY2162" s="8">
        <v>661.52</v>
      </c>
      <c r="AZ2162" s="7">
        <v>-0.5</v>
      </c>
      <c r="BA2162" s="7">
        <v>-0.5</v>
      </c>
      <c r="BB2162" s="7">
        <v>1</v>
      </c>
      <c r="BC2162" s="4">
        <v>2</v>
      </c>
      <c r="BD2162" s="8">
        <v>330.76</v>
      </c>
      <c r="BE2162" s="4">
        <v>4</v>
      </c>
      <c r="BF2162" s="8">
        <v>661.52</v>
      </c>
      <c r="BG2162" s="7">
        <v>-0.5</v>
      </c>
      <c r="BH2162" s="7">
        <v>-0.5</v>
      </c>
      <c r="BI2162" s="7">
        <v>1</v>
      </c>
      <c r="BJ2162" s="4">
        <v>110</v>
      </c>
      <c r="BK2162" s="8">
        <v>18215.72</v>
      </c>
      <c r="BL2162" s="2" t="s">
        <v>7603</v>
      </c>
      <c r="BM2162" s="7">
        <v>0.0182</v>
      </c>
      <c r="BN2162" s="7">
        <v>0.0182</v>
      </c>
      <c r="BO2162" s="4">
        <v>2</v>
      </c>
      <c r="BP2162" s="8">
        <v>330.76</v>
      </c>
      <c r="BQ2162" s="4">
        <v>4</v>
      </c>
      <c r="BR2162" s="8">
        <v>661.52</v>
      </c>
      <c r="BS2162" s="7">
        <v>-0.5</v>
      </c>
      <c r="BT2162" s="7">
        <v>-0.5</v>
      </c>
      <c r="BU2162" s="2" t="s">
        <v>109</v>
      </c>
      <c r="BV2162" s="2" t="s">
        <v>97</v>
      </c>
      <c r="BW2162" s="2" t="s">
        <v>3536</v>
      </c>
      <c r="BX2162" s="2" t="s">
        <v>3915</v>
      </c>
      <c r="BY2162" s="2" t="s">
        <v>112</v>
      </c>
      <c r="BZ2162" s="2" t="s">
        <v>100</v>
      </c>
    </row>
    <row r="2163">
      <c r="A2163" s="2" t="s">
        <v>7604</v>
      </c>
      <c r="B2163" s="2" t="s">
        <v>7252</v>
      </c>
      <c r="C2163" s="2" t="s">
        <v>88</v>
      </c>
      <c r="D2163" s="2" t="s">
        <v>7253</v>
      </c>
      <c r="E2163" s="2" t="s">
        <v>7254</v>
      </c>
      <c r="F2163" s="2" t="s">
        <v>7598</v>
      </c>
      <c r="G2163" s="2" t="s">
        <v>7599</v>
      </c>
      <c r="H2163" s="2" t="s">
        <v>7600</v>
      </c>
      <c r="I2163" s="2" t="s">
        <v>7313</v>
      </c>
      <c r="J2163" s="2" t="s">
        <v>6103</v>
      </c>
      <c r="K2163" s="2" t="s">
        <v>1204</v>
      </c>
      <c r="L2163" s="3">
        <v>178.2</v>
      </c>
      <c r="M2163" s="3">
        <v>187.11</v>
      </c>
      <c r="N2163" s="3">
        <v>379</v>
      </c>
      <c r="O2163" s="2" t="s">
        <v>229</v>
      </c>
      <c r="P2163" s="2" t="s">
        <v>198</v>
      </c>
      <c r="Q2163" s="2" t="s">
        <v>99</v>
      </c>
      <c r="R2163" s="2" t="s">
        <v>100</v>
      </c>
      <c r="S2163" s="2" t="s">
        <v>100</v>
      </c>
      <c r="T2163" s="2" t="s">
        <v>100</v>
      </c>
      <c r="U2163" s="2" t="s">
        <v>3531</v>
      </c>
      <c r="V2163" s="2" t="s">
        <v>601</v>
      </c>
      <c r="W2163" s="2" t="s">
        <v>104</v>
      </c>
      <c r="X2163" s="2" t="s">
        <v>100</v>
      </c>
      <c r="Y2163" s="2" t="s">
        <v>959</v>
      </c>
      <c r="Z2163" s="4">
        <v>35</v>
      </c>
      <c r="AA2163" s="4">
        <f>=ROUNDDOWN({0},0)</f>
      </c>
      <c r="AB2163" s="5"/>
      <c r="AC2163" s="2" t="s">
        <v>100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41</v>
      </c>
      <c r="BK2163" s="8">
        <v>6210.99</v>
      </c>
      <c r="BL2163" s="2" t="s">
        <v>7605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147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7606</v>
      </c>
      <c r="B2164" s="2" t="s">
        <v>7252</v>
      </c>
      <c r="C2164" s="2" t="s">
        <v>88</v>
      </c>
      <c r="D2164" s="2" t="s">
        <v>7253</v>
      </c>
      <c r="E2164" s="2" t="s">
        <v>7254</v>
      </c>
      <c r="F2164" s="2" t="s">
        <v>7607</v>
      </c>
      <c r="G2164" s="2" t="s">
        <v>7608</v>
      </c>
      <c r="H2164" s="2" t="s">
        <v>7609</v>
      </c>
      <c r="I2164" s="2" t="s">
        <v>7610</v>
      </c>
      <c r="J2164" s="2" t="s">
        <v>6103</v>
      </c>
      <c r="K2164" s="2" t="s">
        <v>7611</v>
      </c>
      <c r="L2164" s="3">
        <v>247</v>
      </c>
      <c r="M2164" s="3">
        <v>259.35</v>
      </c>
      <c r="N2164" s="3">
        <v>519</v>
      </c>
      <c r="O2164" s="2" t="s">
        <v>229</v>
      </c>
      <c r="P2164" s="2" t="s">
        <v>198</v>
      </c>
      <c r="Q2164" s="2" t="s">
        <v>99</v>
      </c>
      <c r="R2164" s="2" t="s">
        <v>100</v>
      </c>
      <c r="S2164" s="2" t="s">
        <v>100</v>
      </c>
      <c r="T2164" s="2" t="s">
        <v>100</v>
      </c>
      <c r="U2164" s="2" t="s">
        <v>3531</v>
      </c>
      <c r="V2164" s="2" t="s">
        <v>601</v>
      </c>
      <c r="W2164" s="2" t="s">
        <v>405</v>
      </c>
      <c r="X2164" s="2" t="s">
        <v>104</v>
      </c>
      <c r="Y2164" s="2" t="s">
        <v>7612</v>
      </c>
      <c r="Z2164" s="4"/>
      <c r="AA2164" s="4">
        <f>=ROUNDDOWN({0},0)</f>
      </c>
      <c r="AB2164" s="5">
        <v>1.9</v>
      </c>
      <c r="AC2164" s="2" t="s">
        <v>100</v>
      </c>
      <c r="AD2164" s="4"/>
      <c r="AE2164" s="4"/>
      <c r="AF2164" s="6">
        <v>65</v>
      </c>
      <c r="AG2164" s="6">
        <v>48</v>
      </c>
      <c r="AH2164" s="7">
        <v>0.2848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>
        <v>1</v>
      </c>
      <c r="AQ2164" s="8">
        <v>249.9</v>
      </c>
      <c r="AR2164" s="4">
        <v>4</v>
      </c>
      <c r="AS2164" s="8">
        <v>874.66</v>
      </c>
      <c r="AT2164" s="7">
        <v>-0.75</v>
      </c>
      <c r="AU2164" s="7">
        <v>-0.7143</v>
      </c>
      <c r="AV2164" s="4">
        <v>1</v>
      </c>
      <c r="AW2164" s="8">
        <v>249.9</v>
      </c>
      <c r="AX2164" s="4">
        <v>4</v>
      </c>
      <c r="AY2164" s="8">
        <v>874.66</v>
      </c>
      <c r="AZ2164" s="7">
        <v>-0.75</v>
      </c>
      <c r="BA2164" s="7">
        <v>-0.7143</v>
      </c>
      <c r="BB2164" s="7">
        <v>1</v>
      </c>
      <c r="BC2164" s="4">
        <v>1</v>
      </c>
      <c r="BD2164" s="8">
        <v>249.9</v>
      </c>
      <c r="BE2164" s="4">
        <v>4</v>
      </c>
      <c r="BF2164" s="8">
        <v>874.66</v>
      </c>
      <c r="BG2164" s="7">
        <v>-0.75</v>
      </c>
      <c r="BH2164" s="7">
        <v>-0.7143</v>
      </c>
      <c r="BI2164" s="7">
        <v>1</v>
      </c>
      <c r="BJ2164" s="4">
        <v>13</v>
      </c>
      <c r="BK2164" s="8">
        <v>3202.44</v>
      </c>
      <c r="BL2164" s="2" t="s">
        <v>7613</v>
      </c>
      <c r="BM2164" s="7">
        <v>0.0769</v>
      </c>
      <c r="BN2164" s="7">
        <v>0.078</v>
      </c>
      <c r="BO2164" s="4">
        <v>1</v>
      </c>
      <c r="BP2164" s="8">
        <v>249.9</v>
      </c>
      <c r="BQ2164" s="4">
        <v>4</v>
      </c>
      <c r="BR2164" s="8">
        <v>874.66</v>
      </c>
      <c r="BS2164" s="7">
        <v>-0.75</v>
      </c>
      <c r="BT2164" s="7">
        <v>-0.7143</v>
      </c>
      <c r="BU2164" s="2" t="s">
        <v>109</v>
      </c>
      <c r="BV2164" s="2" t="s">
        <v>552</v>
      </c>
      <c r="BW2164" s="2" t="s">
        <v>3536</v>
      </c>
      <c r="BX2164" s="2" t="s">
        <v>5726</v>
      </c>
      <c r="BY2164" s="2" t="s">
        <v>112</v>
      </c>
      <c r="BZ2164" s="2" t="s">
        <v>100</v>
      </c>
    </row>
    <row r="2165">
      <c r="A2165" s="2" t="s">
        <v>7614</v>
      </c>
      <c r="B2165" s="2" t="s">
        <v>7252</v>
      </c>
      <c r="C2165" s="2" t="s">
        <v>88</v>
      </c>
      <c r="D2165" s="2" t="s">
        <v>7253</v>
      </c>
      <c r="E2165" s="2" t="s">
        <v>7254</v>
      </c>
      <c r="F2165" s="2" t="s">
        <v>7615</v>
      </c>
      <c r="G2165" s="2" t="s">
        <v>7616</v>
      </c>
      <c r="H2165" s="2" t="s">
        <v>7617</v>
      </c>
      <c r="I2165" s="2" t="s">
        <v>7618</v>
      </c>
      <c r="J2165" s="2" t="s">
        <v>6103</v>
      </c>
      <c r="K2165" s="2" t="s">
        <v>7619</v>
      </c>
      <c r="L2165" s="3">
        <v>207</v>
      </c>
      <c r="M2165" s="3">
        <v>217.35</v>
      </c>
      <c r="N2165" s="3">
        <v>439</v>
      </c>
      <c r="O2165" s="2" t="s">
        <v>97</v>
      </c>
      <c r="P2165" s="2" t="s">
        <v>1265</v>
      </c>
      <c r="Q2165" s="2" t="s">
        <v>99</v>
      </c>
      <c r="R2165" s="2" t="s">
        <v>100</v>
      </c>
      <c r="S2165" s="2" t="s">
        <v>7620</v>
      </c>
      <c r="T2165" s="2" t="s">
        <v>100</v>
      </c>
      <c r="U2165" s="2" t="s">
        <v>100</v>
      </c>
      <c r="V2165" s="2" t="s">
        <v>601</v>
      </c>
      <c r="W2165" s="2" t="s">
        <v>2195</v>
      </c>
      <c r="X2165" s="2" t="s">
        <v>100</v>
      </c>
      <c r="Y2165" s="2" t="s">
        <v>106</v>
      </c>
      <c r="Z2165" s="4">
        <v>135</v>
      </c>
      <c r="AA2165" s="4">
        <f>=ROUNDDOWN(19.2857142857143,0)</f>
      </c>
      <c r="AB2165" s="5">
        <v>7</v>
      </c>
      <c r="AC2165" s="2" t="s">
        <v>936</v>
      </c>
      <c r="AD2165" s="4">
        <v>92</v>
      </c>
      <c r="AE2165" s="4">
        <v>206</v>
      </c>
      <c r="AF2165" s="6">
        <v>66</v>
      </c>
      <c r="AG2165" s="6"/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>
        <v>0</v>
      </c>
      <c r="AP2165" s="4">
        <v>1</v>
      </c>
      <c r="AQ2165" s="8">
        <v>199.5</v>
      </c>
      <c r="AR2165" s="4"/>
      <c r="AS2165" s="8"/>
      <c r="AT2165" s="7"/>
      <c r="AU2165" s="7"/>
      <c r="AV2165" s="4">
        <v>1</v>
      </c>
      <c r="AW2165" s="8">
        <v>199.5</v>
      </c>
      <c r="AX2165" s="4"/>
      <c r="AY2165" s="8"/>
      <c r="AZ2165" s="7"/>
      <c r="BA2165" s="7"/>
      <c r="BB2165" s="7">
        <v>1</v>
      </c>
      <c r="BC2165" s="4">
        <v>1</v>
      </c>
      <c r="BD2165" s="8">
        <v>199.5</v>
      </c>
      <c r="BE2165" s="4"/>
      <c r="BF2165" s="8"/>
      <c r="BG2165" s="7"/>
      <c r="BH2165" s="7"/>
      <c r="BI2165" s="7">
        <v>1</v>
      </c>
      <c r="BJ2165" s="4">
        <v>107</v>
      </c>
      <c r="BK2165" s="8">
        <v>22345.37</v>
      </c>
      <c r="BL2165" s="2" t="s">
        <v>7621</v>
      </c>
      <c r="BM2165" s="7">
        <v>0.0093</v>
      </c>
      <c r="BN2165" s="7">
        <v>0.0089</v>
      </c>
      <c r="BO2165" s="4">
        <v>1</v>
      </c>
      <c r="BP2165" s="8">
        <v>199.5</v>
      </c>
      <c r="BQ2165" s="4"/>
      <c r="BR2165" s="8"/>
      <c r="BS2165" s="7"/>
      <c r="BT2165" s="7"/>
      <c r="BU2165" s="2" t="s">
        <v>109</v>
      </c>
      <c r="BV2165" s="2" t="s">
        <v>97</v>
      </c>
      <c r="BW2165" s="2" t="s">
        <v>3536</v>
      </c>
      <c r="BX2165" s="2" t="s">
        <v>1781</v>
      </c>
      <c r="BY2165" s="2" t="s">
        <v>112</v>
      </c>
      <c r="BZ2165" s="2" t="s">
        <v>100</v>
      </c>
    </row>
    <row r="2166">
      <c r="A2166" s="2" t="s">
        <v>7622</v>
      </c>
      <c r="B2166" s="2" t="s">
        <v>7252</v>
      </c>
      <c r="C2166" s="2" t="s">
        <v>88</v>
      </c>
      <c r="D2166" s="2" t="s">
        <v>7253</v>
      </c>
      <c r="E2166" s="2" t="s">
        <v>7254</v>
      </c>
      <c r="F2166" s="2" t="s">
        <v>7623</v>
      </c>
      <c r="G2166" s="2" t="s">
        <v>4391</v>
      </c>
      <c r="H2166" s="2" t="s">
        <v>7624</v>
      </c>
      <c r="I2166" s="2" t="s">
        <v>7625</v>
      </c>
      <c r="J2166" s="2" t="s">
        <v>6103</v>
      </c>
      <c r="K2166" s="2" t="s">
        <v>158</v>
      </c>
      <c r="L2166" s="3">
        <v>212.85</v>
      </c>
      <c r="M2166" s="3">
        <v>223.49</v>
      </c>
      <c r="N2166" s="3">
        <v>449</v>
      </c>
      <c r="O2166" s="2" t="s">
        <v>97</v>
      </c>
      <c r="P2166" s="2" t="s">
        <v>182</v>
      </c>
      <c r="Q2166" s="2" t="s">
        <v>99</v>
      </c>
      <c r="R2166" s="2" t="s">
        <v>100</v>
      </c>
      <c r="S2166" s="2" t="s">
        <v>7626</v>
      </c>
      <c r="T2166" s="2" t="s">
        <v>100</v>
      </c>
      <c r="U2166" s="2" t="s">
        <v>100</v>
      </c>
      <c r="V2166" s="2" t="s">
        <v>601</v>
      </c>
      <c r="W2166" s="2" t="s">
        <v>104</v>
      </c>
      <c r="X2166" s="2" t="s">
        <v>100</v>
      </c>
      <c r="Y2166" s="2" t="s">
        <v>106</v>
      </c>
      <c r="Z2166" s="4">
        <v>258</v>
      </c>
      <c r="AA2166" s="4">
        <f>=ROUNDDOWN(51.6,0)</f>
      </c>
      <c r="AB2166" s="5">
        <v>5</v>
      </c>
      <c r="AC2166" s="2" t="s">
        <v>100</v>
      </c>
      <c r="AD2166" s="4"/>
      <c r="AE2166" s="4"/>
      <c r="AF2166" s="6">
        <v>66</v>
      </c>
      <c r="AG2166" s="6">
        <v>49</v>
      </c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>
        <v>1</v>
      </c>
      <c r="AQ2166" s="8">
        <v>192.94</v>
      </c>
      <c r="AR2166" s="4">
        <v>5</v>
      </c>
      <c r="AS2166" s="8">
        <v>1241.65</v>
      </c>
      <c r="AT2166" s="7">
        <v>-0.8</v>
      </c>
      <c r="AU2166" s="7">
        <v>-0.8446</v>
      </c>
      <c r="AV2166" s="4">
        <v>1</v>
      </c>
      <c r="AW2166" s="8">
        <v>192.94</v>
      </c>
      <c r="AX2166" s="4">
        <v>5</v>
      </c>
      <c r="AY2166" s="8">
        <v>1241.65</v>
      </c>
      <c r="AZ2166" s="7">
        <v>-0.8</v>
      </c>
      <c r="BA2166" s="7">
        <v>-0.8446</v>
      </c>
      <c r="BB2166" s="7">
        <v>1</v>
      </c>
      <c r="BC2166" s="4">
        <v>1</v>
      </c>
      <c r="BD2166" s="8">
        <v>192.94</v>
      </c>
      <c r="BE2166" s="4">
        <v>5</v>
      </c>
      <c r="BF2166" s="8">
        <v>1241.65</v>
      </c>
      <c r="BG2166" s="7">
        <v>-0.8</v>
      </c>
      <c r="BH2166" s="7">
        <v>-0.8446</v>
      </c>
      <c r="BI2166" s="7">
        <v>1</v>
      </c>
      <c r="BJ2166" s="4">
        <v>143</v>
      </c>
      <c r="BK2166" s="8">
        <v>31060.39</v>
      </c>
      <c r="BL2166" s="2" t="s">
        <v>7627</v>
      </c>
      <c r="BM2166" s="7">
        <v>0.007</v>
      </c>
      <c r="BN2166" s="7">
        <v>0.0062</v>
      </c>
      <c r="BO2166" s="4">
        <v>1</v>
      </c>
      <c r="BP2166" s="8">
        <v>192.94</v>
      </c>
      <c r="BQ2166" s="4">
        <v>5</v>
      </c>
      <c r="BR2166" s="8">
        <v>1241.65</v>
      </c>
      <c r="BS2166" s="7">
        <v>-0.8</v>
      </c>
      <c r="BT2166" s="7">
        <v>-0.8446</v>
      </c>
      <c r="BU2166" s="2" t="s">
        <v>109</v>
      </c>
      <c r="BV2166" s="2" t="s">
        <v>97</v>
      </c>
      <c r="BW2166" s="2" t="s">
        <v>217</v>
      </c>
      <c r="BX2166" s="2" t="s">
        <v>347</v>
      </c>
      <c r="BY2166" s="2" t="s">
        <v>112</v>
      </c>
      <c r="BZ2166" s="2" t="s">
        <v>100</v>
      </c>
    </row>
    <row r="2167">
      <c r="A2167" s="2" t="s">
        <v>7628</v>
      </c>
      <c r="B2167" s="2" t="s">
        <v>7252</v>
      </c>
      <c r="C2167" s="2" t="s">
        <v>88</v>
      </c>
      <c r="D2167" s="2" t="s">
        <v>7253</v>
      </c>
      <c r="E2167" s="2" t="s">
        <v>7254</v>
      </c>
      <c r="F2167" s="2" t="s">
        <v>4846</v>
      </c>
      <c r="G2167" s="2" t="s">
        <v>7629</v>
      </c>
      <c r="H2167" s="2" t="s">
        <v>7630</v>
      </c>
      <c r="I2167" s="2" t="s">
        <v>7631</v>
      </c>
      <c r="J2167" s="2" t="s">
        <v>6103</v>
      </c>
      <c r="K2167" s="2" t="s">
        <v>1767</v>
      </c>
      <c r="L2167" s="3">
        <v>192.28</v>
      </c>
      <c r="M2167" s="3">
        <v>201.89</v>
      </c>
      <c r="N2167" s="3">
        <v>399</v>
      </c>
      <c r="O2167" s="2" t="s">
        <v>97</v>
      </c>
      <c r="P2167" s="2" t="s">
        <v>198</v>
      </c>
      <c r="Q2167" s="2" t="s">
        <v>99</v>
      </c>
      <c r="R2167" s="2" t="s">
        <v>100</v>
      </c>
      <c r="S2167" s="2" t="s">
        <v>7632</v>
      </c>
      <c r="T2167" s="2" t="s">
        <v>100</v>
      </c>
      <c r="U2167" s="2" t="s">
        <v>100</v>
      </c>
      <c r="V2167" s="2" t="s">
        <v>491</v>
      </c>
      <c r="W2167" s="2" t="s">
        <v>602</v>
      </c>
      <c r="X2167" s="2" t="s">
        <v>100</v>
      </c>
      <c r="Y2167" s="2" t="s">
        <v>106</v>
      </c>
      <c r="Z2167" s="4">
        <v>75</v>
      </c>
      <c r="AA2167" s="4">
        <f>=ROUNDDOWN(17.0454545454545,0)</f>
      </c>
      <c r="AB2167" s="5">
        <v>4.4</v>
      </c>
      <c r="AC2167" s="2" t="s">
        <v>7364</v>
      </c>
      <c r="AD2167" s="4">
        <v>67</v>
      </c>
      <c r="AE2167" s="4">
        <v>67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>
        <v>0</v>
      </c>
      <c r="AP2167" s="4">
        <v>1</v>
      </c>
      <c r="AQ2167" s="8">
        <v>176.4</v>
      </c>
      <c r="AR2167" s="4"/>
      <c r="AS2167" s="8"/>
      <c r="AT2167" s="7"/>
      <c r="AU2167" s="7"/>
      <c r="AV2167" s="4">
        <v>1</v>
      </c>
      <c r="AW2167" s="8">
        <v>176.4</v>
      </c>
      <c r="AX2167" s="4"/>
      <c r="AY2167" s="8"/>
      <c r="AZ2167" s="7"/>
      <c r="BA2167" s="7"/>
      <c r="BB2167" s="7">
        <v>1</v>
      </c>
      <c r="BC2167" s="4">
        <v>1</v>
      </c>
      <c r="BD2167" s="8">
        <v>176.4</v>
      </c>
      <c r="BE2167" s="4"/>
      <c r="BF2167" s="8"/>
      <c r="BG2167" s="7"/>
      <c r="BH2167" s="7"/>
      <c r="BI2167" s="7">
        <v>1</v>
      </c>
      <c r="BJ2167" s="4">
        <v>98</v>
      </c>
      <c r="BK2167" s="8">
        <v>18894.64</v>
      </c>
      <c r="BL2167" s="2" t="s">
        <v>7633</v>
      </c>
      <c r="BM2167" s="7">
        <v>0.0102</v>
      </c>
      <c r="BN2167" s="7">
        <v>0.0093</v>
      </c>
      <c r="BO2167" s="4">
        <v>1</v>
      </c>
      <c r="BP2167" s="8">
        <v>176.4</v>
      </c>
      <c r="BQ2167" s="4"/>
      <c r="BR2167" s="8"/>
      <c r="BS2167" s="7"/>
      <c r="BT2167" s="7"/>
      <c r="BU2167" s="2" t="s">
        <v>109</v>
      </c>
      <c r="BV2167" s="2" t="s">
        <v>97</v>
      </c>
      <c r="BW2167" s="2" t="s">
        <v>3536</v>
      </c>
      <c r="BX2167" s="2" t="s">
        <v>4609</v>
      </c>
      <c r="BY2167" s="2" t="s">
        <v>112</v>
      </c>
      <c r="BZ2167" s="2" t="s">
        <v>100</v>
      </c>
    </row>
    <row r="2168">
      <c r="A2168" s="2" t="s">
        <v>7634</v>
      </c>
      <c r="B2168" s="2" t="s">
        <v>7252</v>
      </c>
      <c r="C2168" s="2" t="s">
        <v>88</v>
      </c>
      <c r="D2168" s="2" t="s">
        <v>7253</v>
      </c>
      <c r="E2168" s="2" t="s">
        <v>7254</v>
      </c>
      <c r="F2168" s="2" t="s">
        <v>7635</v>
      </c>
      <c r="G2168" s="2" t="s">
        <v>7636</v>
      </c>
      <c r="H2168" s="2" t="s">
        <v>7637</v>
      </c>
      <c r="I2168" s="2" t="s">
        <v>7313</v>
      </c>
      <c r="J2168" s="2" t="s">
        <v>6103</v>
      </c>
      <c r="K2168" s="2" t="s">
        <v>933</v>
      </c>
      <c r="L2168" s="3">
        <v>125</v>
      </c>
      <c r="M2168" s="3">
        <v>131.25</v>
      </c>
      <c r="N2168" s="3">
        <v>259</v>
      </c>
      <c r="O2168" s="2" t="s">
        <v>550</v>
      </c>
      <c r="P2168" s="2" t="s">
        <v>198</v>
      </c>
      <c r="Q2168" s="2" t="s">
        <v>99</v>
      </c>
      <c r="R2168" s="2" t="s">
        <v>100</v>
      </c>
      <c r="S2168" s="2" t="s">
        <v>100</v>
      </c>
      <c r="T2168" s="2" t="s">
        <v>100</v>
      </c>
      <c r="U2168" s="2" t="s">
        <v>3531</v>
      </c>
      <c r="V2168" s="2" t="s">
        <v>601</v>
      </c>
      <c r="W2168" s="2" t="s">
        <v>602</v>
      </c>
      <c r="X2168" s="2" t="s">
        <v>2195</v>
      </c>
      <c r="Y2168" s="2" t="s">
        <v>6104</v>
      </c>
      <c r="Z2168" s="4">
        <v>107</v>
      </c>
      <c r="AA2168" s="4">
        <f>=ROUNDDOWN(33.4375,0)</f>
      </c>
      <c r="AB2168" s="5">
        <v>3.2</v>
      </c>
      <c r="AC2168" s="2" t="s">
        <v>100</v>
      </c>
      <c r="AD2168" s="4"/>
      <c r="AE2168" s="4"/>
      <c r="AF2168" s="6">
        <v>66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>
        <v>0</v>
      </c>
      <c r="AP2168" s="4">
        <v>1</v>
      </c>
      <c r="AQ2168" s="8">
        <v>131.25</v>
      </c>
      <c r="AR2168" s="4">
        <v>2</v>
      </c>
      <c r="AS2168" s="8">
        <v>262.5</v>
      </c>
      <c r="AT2168" s="7">
        <v>-0.5</v>
      </c>
      <c r="AU2168" s="7">
        <v>-0.5</v>
      </c>
      <c r="AV2168" s="4">
        <v>1</v>
      </c>
      <c r="AW2168" s="8">
        <v>131.25</v>
      </c>
      <c r="AX2168" s="4">
        <v>2</v>
      </c>
      <c r="AY2168" s="8">
        <v>262.5</v>
      </c>
      <c r="AZ2168" s="7">
        <v>-0.5</v>
      </c>
      <c r="BA2168" s="7">
        <v>-0.5</v>
      </c>
      <c r="BB2168" s="7">
        <v>1</v>
      </c>
      <c r="BC2168" s="4">
        <v>1</v>
      </c>
      <c r="BD2168" s="8">
        <v>131.25</v>
      </c>
      <c r="BE2168" s="4">
        <v>2</v>
      </c>
      <c r="BF2168" s="8">
        <v>262.5</v>
      </c>
      <c r="BG2168" s="7">
        <v>-0.5</v>
      </c>
      <c r="BH2168" s="7">
        <v>-0.5</v>
      </c>
      <c r="BI2168" s="7">
        <v>1</v>
      </c>
      <c r="BJ2168" s="4">
        <v>45</v>
      </c>
      <c r="BK2168" s="8">
        <v>3877.54</v>
      </c>
      <c r="BL2168" s="2" t="s">
        <v>7638</v>
      </c>
      <c r="BM2168" s="7">
        <v>0.0222</v>
      </c>
      <c r="BN2168" s="7">
        <v>0.0338</v>
      </c>
      <c r="BO2168" s="4">
        <v>1</v>
      </c>
      <c r="BP2168" s="8">
        <v>131.25</v>
      </c>
      <c r="BQ2168" s="4">
        <v>2</v>
      </c>
      <c r="BR2168" s="8">
        <v>262.5</v>
      </c>
      <c r="BS2168" s="7">
        <v>-0.5</v>
      </c>
      <c r="BT2168" s="7">
        <v>-0.5</v>
      </c>
      <c r="BU2168" s="2" t="s">
        <v>109</v>
      </c>
      <c r="BV2168" s="2" t="s">
        <v>97</v>
      </c>
      <c r="BW2168" s="2" t="s">
        <v>4849</v>
      </c>
      <c r="BX2168" s="2" t="s">
        <v>373</v>
      </c>
      <c r="BY2168" s="2" t="s">
        <v>112</v>
      </c>
      <c r="BZ2168" s="2" t="s">
        <v>100</v>
      </c>
    </row>
    <row r="2169">
      <c r="A2169" s="2" t="s">
        <v>7639</v>
      </c>
      <c r="B2169" s="2" t="s">
        <v>7252</v>
      </c>
      <c r="C2169" s="2" t="s">
        <v>88</v>
      </c>
      <c r="D2169" s="2" t="s">
        <v>7253</v>
      </c>
      <c r="E2169" s="2" t="s">
        <v>7254</v>
      </c>
      <c r="F2169" s="2" t="s">
        <v>7640</v>
      </c>
      <c r="G2169" s="2" t="s">
        <v>7641</v>
      </c>
      <c r="H2169" s="2" t="s">
        <v>7642</v>
      </c>
      <c r="I2169" s="2" t="s">
        <v>7320</v>
      </c>
      <c r="J2169" s="2" t="s">
        <v>6103</v>
      </c>
      <c r="K2169" s="2" t="s">
        <v>333</v>
      </c>
      <c r="L2169" s="3">
        <v>228</v>
      </c>
      <c r="M2169" s="3">
        <v>239.4</v>
      </c>
      <c r="N2169" s="3">
        <v>479</v>
      </c>
      <c r="O2169" s="2" t="s">
        <v>97</v>
      </c>
      <c r="P2169" s="2" t="s">
        <v>1265</v>
      </c>
      <c r="Q2169" s="2" t="s">
        <v>99</v>
      </c>
      <c r="R2169" s="2" t="s">
        <v>100</v>
      </c>
      <c r="S2169" s="2" t="s">
        <v>7643</v>
      </c>
      <c r="T2169" s="2" t="s">
        <v>100</v>
      </c>
      <c r="U2169" s="2" t="s">
        <v>100</v>
      </c>
      <c r="V2169" s="2" t="s">
        <v>601</v>
      </c>
      <c r="W2169" s="2" t="s">
        <v>104</v>
      </c>
      <c r="X2169" s="2" t="s">
        <v>100</v>
      </c>
      <c r="Y2169" s="2" t="s">
        <v>106</v>
      </c>
      <c r="Z2169" s="4">
        <v>173</v>
      </c>
      <c r="AA2169" s="4">
        <f>=ROUNDDOWN(34.6,0)</f>
      </c>
      <c r="AB2169" s="5">
        <v>5</v>
      </c>
      <c r="AC2169" s="2" t="s">
        <v>100</v>
      </c>
      <c r="AD2169" s="4"/>
      <c r="AE2169" s="4"/>
      <c r="AF2169" s="6">
        <v>66</v>
      </c>
      <c r="AG2169" s="6"/>
      <c r="AH2169" s="7">
        <v>0.9636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/>
      <c r="AW2169" s="8"/>
      <c r="AX2169" s="4"/>
      <c r="AY2169" s="8"/>
      <c r="AZ2169" s="7"/>
      <c r="BA2169" s="7"/>
      <c r="BB2169" s="7"/>
      <c r="BC2169" s="4"/>
      <c r="BD2169" s="8"/>
      <c r="BE2169" s="4"/>
      <c r="BF2169" s="8"/>
      <c r="BG2169" s="7"/>
      <c r="BH2169" s="7"/>
      <c r="BI2169" s="7"/>
      <c r="BJ2169" s="4">
        <v>84</v>
      </c>
      <c r="BK2169" s="8">
        <v>16383.05</v>
      </c>
      <c r="BL2169" s="2" t="s">
        <v>7644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147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7645</v>
      </c>
      <c r="B2170" s="2" t="s">
        <v>7252</v>
      </c>
      <c r="C2170" s="2" t="s">
        <v>88</v>
      </c>
      <c r="D2170" s="2" t="s">
        <v>7253</v>
      </c>
      <c r="E2170" s="2" t="s">
        <v>7254</v>
      </c>
      <c r="F2170" s="2" t="s">
        <v>7646</v>
      </c>
      <c r="G2170" s="2" t="s">
        <v>7647</v>
      </c>
      <c r="H2170" s="2" t="s">
        <v>7648</v>
      </c>
      <c r="I2170" s="2" t="s">
        <v>7649</v>
      </c>
      <c r="J2170" s="2" t="s">
        <v>6103</v>
      </c>
      <c r="K2170" s="2" t="s">
        <v>323</v>
      </c>
      <c r="L2170" s="3">
        <v>187.91</v>
      </c>
      <c r="M2170" s="3">
        <v>197.31</v>
      </c>
      <c r="N2170" s="3">
        <v>399</v>
      </c>
      <c r="O2170" s="2" t="s">
        <v>229</v>
      </c>
      <c r="P2170" s="2" t="s">
        <v>198</v>
      </c>
      <c r="Q2170" s="2" t="s">
        <v>99</v>
      </c>
      <c r="R2170" s="2" t="s">
        <v>100</v>
      </c>
      <c r="S2170" s="2" t="s">
        <v>7650</v>
      </c>
      <c r="T2170" s="2" t="s">
        <v>100</v>
      </c>
      <c r="U2170" s="2" t="s">
        <v>100</v>
      </c>
      <c r="V2170" s="2" t="s">
        <v>601</v>
      </c>
      <c r="W2170" s="2" t="s">
        <v>405</v>
      </c>
      <c r="X2170" s="2" t="s">
        <v>100</v>
      </c>
      <c r="Y2170" s="2" t="s">
        <v>373</v>
      </c>
      <c r="Z2170" s="4">
        <v>70</v>
      </c>
      <c r="AA2170" s="4">
        <f>=ROUNDDOWN(70,0)</f>
      </c>
      <c r="AB2170" s="5">
        <v>1</v>
      </c>
      <c r="AC2170" s="2" t="s">
        <v>100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/>
      <c r="BD2170" s="8"/>
      <c r="BE2170" s="4"/>
      <c r="BF2170" s="8"/>
      <c r="BG2170" s="7"/>
      <c r="BH2170" s="7"/>
      <c r="BI2170" s="7"/>
      <c r="BJ2170" s="4">
        <v>15</v>
      </c>
      <c r="BK2170" s="8">
        <v>3262.04</v>
      </c>
      <c r="BL2170" s="2" t="s">
        <v>7651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6185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7652</v>
      </c>
      <c r="B2171" s="2" t="s">
        <v>7252</v>
      </c>
      <c r="C2171" s="2" t="s">
        <v>88</v>
      </c>
      <c r="D2171" s="2" t="s">
        <v>7253</v>
      </c>
      <c r="E2171" s="2" t="s">
        <v>7254</v>
      </c>
      <c r="F2171" s="2" t="s">
        <v>7653</v>
      </c>
      <c r="G2171" s="2" t="s">
        <v>7654</v>
      </c>
      <c r="H2171" s="2" t="s">
        <v>1895</v>
      </c>
      <c r="I2171" s="2" t="s">
        <v>7313</v>
      </c>
      <c r="J2171" s="2" t="s">
        <v>6103</v>
      </c>
      <c r="K2171" s="2" t="s">
        <v>333</v>
      </c>
      <c r="L2171" s="3">
        <v>276</v>
      </c>
      <c r="M2171" s="3">
        <v>289.8</v>
      </c>
      <c r="N2171" s="3">
        <v>579</v>
      </c>
      <c r="O2171" s="2" t="s">
        <v>97</v>
      </c>
      <c r="P2171" s="2" t="s">
        <v>1265</v>
      </c>
      <c r="Q2171" s="2" t="s">
        <v>99</v>
      </c>
      <c r="R2171" s="2" t="s">
        <v>100</v>
      </c>
      <c r="S2171" s="2" t="s">
        <v>7655</v>
      </c>
      <c r="T2171" s="2" t="s">
        <v>100</v>
      </c>
      <c r="U2171" s="2" t="s">
        <v>3531</v>
      </c>
      <c r="V2171" s="2" t="s">
        <v>601</v>
      </c>
      <c r="W2171" s="2" t="s">
        <v>104</v>
      </c>
      <c r="X2171" s="2" t="s">
        <v>100</v>
      </c>
      <c r="Y2171" s="2" t="s">
        <v>7656</v>
      </c>
      <c r="Z2171" s="4">
        <v>37</v>
      </c>
      <c r="AA2171" s="4">
        <f>=ROUNDDOWN(12.3333333333333,0)</f>
      </c>
      <c r="AB2171" s="5">
        <v>3</v>
      </c>
      <c r="AC2171" s="2" t="s">
        <v>6016</v>
      </c>
      <c r="AD2171" s="4">
        <v>100</v>
      </c>
      <c r="AE2171" s="4">
        <v>100</v>
      </c>
      <c r="AF2171" s="6">
        <v>66</v>
      </c>
      <c r="AG2171" s="6"/>
      <c r="AH2171" s="7">
        <v>0.9455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/>
      <c r="AW2171" s="8"/>
      <c r="AX2171" s="4"/>
      <c r="AY2171" s="8"/>
      <c r="AZ2171" s="7"/>
      <c r="BA2171" s="7"/>
      <c r="BB2171" s="7"/>
      <c r="BC2171" s="4"/>
      <c r="BD2171" s="8"/>
      <c r="BE2171" s="4"/>
      <c r="BF2171" s="8"/>
      <c r="BG2171" s="7"/>
      <c r="BH2171" s="7"/>
      <c r="BI2171" s="7"/>
      <c r="BJ2171" s="4">
        <v>63</v>
      </c>
      <c r="BK2171" s="8">
        <v>17748.85</v>
      </c>
      <c r="BL2171" s="2" t="s">
        <v>7657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109</v>
      </c>
      <c r="BV2171" s="2" t="s">
        <v>97</v>
      </c>
      <c r="BW2171" s="2" t="s">
        <v>3536</v>
      </c>
      <c r="BX2171" s="2" t="s">
        <v>100</v>
      </c>
      <c r="BY2171" s="2" t="s">
        <v>112</v>
      </c>
      <c r="BZ2171" s="2" t="s">
        <v>100</v>
      </c>
    </row>
    <row r="2172">
      <c r="A2172" s="2" t="s">
        <v>7658</v>
      </c>
      <c r="B2172" s="2" t="s">
        <v>7252</v>
      </c>
      <c r="C2172" s="2" t="s">
        <v>88</v>
      </c>
      <c r="D2172" s="2" t="s">
        <v>7253</v>
      </c>
      <c r="E2172" s="2" t="s">
        <v>7254</v>
      </c>
      <c r="F2172" s="2" t="s">
        <v>7659</v>
      </c>
      <c r="G2172" s="2" t="s">
        <v>4116</v>
      </c>
      <c r="H2172" s="2" t="s">
        <v>7660</v>
      </c>
      <c r="I2172" s="2" t="s">
        <v>7661</v>
      </c>
      <c r="J2172" s="2" t="s">
        <v>6103</v>
      </c>
      <c r="K2172" s="2" t="s">
        <v>1412</v>
      </c>
      <c r="L2172" s="3">
        <v>180.5</v>
      </c>
      <c r="M2172" s="3">
        <v>189.52</v>
      </c>
      <c r="N2172" s="3">
        <v>379</v>
      </c>
      <c r="O2172" s="2" t="s">
        <v>97</v>
      </c>
      <c r="P2172" s="2" t="s">
        <v>1265</v>
      </c>
      <c r="Q2172" s="2" t="s">
        <v>99</v>
      </c>
      <c r="R2172" s="2" t="s">
        <v>100</v>
      </c>
      <c r="S2172" s="2" t="s">
        <v>100</v>
      </c>
      <c r="T2172" s="2" t="s">
        <v>100</v>
      </c>
      <c r="U2172" s="2" t="s">
        <v>100</v>
      </c>
      <c r="V2172" s="2" t="s">
        <v>1752</v>
      </c>
      <c r="W2172" s="2" t="s">
        <v>602</v>
      </c>
      <c r="X2172" s="2" t="s">
        <v>100</v>
      </c>
      <c r="Y2172" s="2" t="s">
        <v>3599</v>
      </c>
      <c r="Z2172" s="4">
        <v>106</v>
      </c>
      <c r="AA2172" s="4">
        <f>=ROUNDDOWN(26.5,0)</f>
      </c>
      <c r="AB2172" s="5">
        <v>4</v>
      </c>
      <c r="AC2172" s="2" t="s">
        <v>100</v>
      </c>
      <c r="AD2172" s="4"/>
      <c r="AE2172" s="4"/>
      <c r="AF2172" s="6">
        <v>66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>
        <v>0</v>
      </c>
      <c r="AP2172" s="4"/>
      <c r="AQ2172" s="8"/>
      <c r="AR2172" s="4">
        <v>2</v>
      </c>
      <c r="AS2172" s="8">
        <v>284.3</v>
      </c>
      <c r="AT2172" s="7">
        <v>-1</v>
      </c>
      <c r="AU2172" s="7">
        <v>-1</v>
      </c>
      <c r="AV2172" s="4"/>
      <c r="AW2172" s="8"/>
      <c r="AX2172" s="4">
        <v>2</v>
      </c>
      <c r="AY2172" s="8">
        <v>284.3</v>
      </c>
      <c r="AZ2172" s="7">
        <v>-1</v>
      </c>
      <c r="BA2172" s="7">
        <v>-1</v>
      </c>
      <c r="BB2172" s="7"/>
      <c r="BC2172" s="4"/>
      <c r="BD2172" s="8"/>
      <c r="BE2172" s="4">
        <v>2</v>
      </c>
      <c r="BF2172" s="8">
        <v>284.3</v>
      </c>
      <c r="BG2172" s="7">
        <v>-1</v>
      </c>
      <c r="BH2172" s="7">
        <v>-1</v>
      </c>
      <c r="BI2172" s="7"/>
      <c r="BJ2172" s="4">
        <v>90</v>
      </c>
      <c r="BK2172" s="8">
        <v>16153.02</v>
      </c>
      <c r="BL2172" s="2" t="s">
        <v>7662</v>
      </c>
      <c r="BM2172" s="7"/>
      <c r="BN2172" s="7"/>
      <c r="BO2172" s="4"/>
      <c r="BP2172" s="8"/>
      <c r="BQ2172" s="4">
        <v>2</v>
      </c>
      <c r="BR2172" s="8">
        <v>284.3</v>
      </c>
      <c r="BS2172" s="7">
        <v>-1</v>
      </c>
      <c r="BT2172" s="7">
        <v>-1</v>
      </c>
      <c r="BU2172" s="2" t="s">
        <v>109</v>
      </c>
      <c r="BV2172" s="2" t="s">
        <v>97</v>
      </c>
      <c r="BW2172" s="2" t="s">
        <v>7311</v>
      </c>
      <c r="BX2172" s="2" t="s">
        <v>7663</v>
      </c>
      <c r="BY2172" s="2" t="s">
        <v>112</v>
      </c>
      <c r="BZ2172" s="2" t="s">
        <v>100</v>
      </c>
    </row>
    <row r="2173">
      <c r="A2173" s="2" t="s">
        <v>7664</v>
      </c>
      <c r="B2173" s="2" t="s">
        <v>7252</v>
      </c>
      <c r="C2173" s="2" t="s">
        <v>88</v>
      </c>
      <c r="D2173" s="2" t="s">
        <v>7253</v>
      </c>
      <c r="E2173" s="2" t="s">
        <v>7254</v>
      </c>
      <c r="F2173" s="2" t="s">
        <v>7665</v>
      </c>
      <c r="G2173" s="2" t="s">
        <v>7666</v>
      </c>
      <c r="H2173" s="2" t="s">
        <v>7667</v>
      </c>
      <c r="I2173" s="2" t="s">
        <v>7313</v>
      </c>
      <c r="J2173" s="2" t="s">
        <v>6103</v>
      </c>
      <c r="K2173" s="2" t="s">
        <v>123</v>
      </c>
      <c r="L2173" s="3">
        <v>214.2</v>
      </c>
      <c r="M2173" s="3">
        <v>224.91</v>
      </c>
      <c r="N2173" s="3">
        <v>449</v>
      </c>
      <c r="O2173" s="2" t="s">
        <v>97</v>
      </c>
      <c r="P2173" s="2" t="s">
        <v>182</v>
      </c>
      <c r="Q2173" s="2" t="s">
        <v>99</v>
      </c>
      <c r="R2173" s="2" t="s">
        <v>100</v>
      </c>
      <c r="S2173" s="2" t="s">
        <v>100</v>
      </c>
      <c r="T2173" s="2" t="s">
        <v>100</v>
      </c>
      <c r="U2173" s="2" t="s">
        <v>3531</v>
      </c>
      <c r="V2173" s="2" t="s">
        <v>601</v>
      </c>
      <c r="W2173" s="2" t="s">
        <v>906</v>
      </c>
      <c r="X2173" s="2" t="s">
        <v>104</v>
      </c>
      <c r="Y2173" s="2" t="s">
        <v>2932</v>
      </c>
      <c r="Z2173" s="4">
        <v>145</v>
      </c>
      <c r="AA2173" s="4">
        <f>=ROUNDDOWN(24.1666666666667,0)</f>
      </c>
      <c r="AB2173" s="5">
        <v>6</v>
      </c>
      <c r="AC2173" s="2" t="s">
        <v>2305</v>
      </c>
      <c r="AD2173" s="4">
        <v>121</v>
      </c>
      <c r="AE2173" s="4">
        <v>121</v>
      </c>
      <c r="AF2173" s="6">
        <v>76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/>
      <c r="AW2173" s="8"/>
      <c r="AX2173" s="4"/>
      <c r="AY2173" s="8"/>
      <c r="AZ2173" s="7"/>
      <c r="BA2173" s="7"/>
      <c r="BB2173" s="7"/>
      <c r="BC2173" s="4"/>
      <c r="BD2173" s="8"/>
      <c r="BE2173" s="4"/>
      <c r="BF2173" s="8"/>
      <c r="BG2173" s="7"/>
      <c r="BH2173" s="7"/>
      <c r="BI2173" s="7"/>
      <c r="BJ2173" s="4">
        <v>128</v>
      </c>
      <c r="BK2173" s="8">
        <v>27669.62</v>
      </c>
      <c r="BL2173" s="2" t="s">
        <v>7668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147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7669</v>
      </c>
      <c r="B2174" s="2" t="s">
        <v>7252</v>
      </c>
      <c r="C2174" s="2" t="s">
        <v>88</v>
      </c>
      <c r="D2174" s="2" t="s">
        <v>7253</v>
      </c>
      <c r="E2174" s="2" t="s">
        <v>7254</v>
      </c>
      <c r="F2174" s="2" t="s">
        <v>7670</v>
      </c>
      <c r="G2174" s="2" t="s">
        <v>7671</v>
      </c>
      <c r="H2174" s="2" t="s">
        <v>7672</v>
      </c>
      <c r="I2174" s="2" t="s">
        <v>7313</v>
      </c>
      <c r="J2174" s="2" t="s">
        <v>6103</v>
      </c>
      <c r="K2174" s="2" t="s">
        <v>7673</v>
      </c>
      <c r="L2174" s="3">
        <v>243.75</v>
      </c>
      <c r="M2174" s="3">
        <v>255.94</v>
      </c>
      <c r="N2174" s="3">
        <v>509</v>
      </c>
      <c r="O2174" s="2" t="s">
        <v>229</v>
      </c>
      <c r="P2174" s="2" t="s">
        <v>198</v>
      </c>
      <c r="Q2174" s="2" t="s">
        <v>99</v>
      </c>
      <c r="R2174" s="2" t="s">
        <v>100</v>
      </c>
      <c r="S2174" s="2" t="s">
        <v>100</v>
      </c>
      <c r="T2174" s="2" t="s">
        <v>100</v>
      </c>
      <c r="U2174" s="2" t="s">
        <v>3531</v>
      </c>
      <c r="V2174" s="2" t="s">
        <v>601</v>
      </c>
      <c r="W2174" s="2" t="s">
        <v>104</v>
      </c>
      <c r="X2174" s="2" t="s">
        <v>759</v>
      </c>
      <c r="Y2174" s="2" t="s">
        <v>7674</v>
      </c>
      <c r="Z2174" s="4"/>
      <c r="AA2174" s="4">
        <f>=ROUNDDOWN({0},0)</f>
      </c>
      <c r="AB2174" s="5"/>
      <c r="AC2174" s="2" t="s">
        <v>100</v>
      </c>
      <c r="AD2174" s="4"/>
      <c r="AE2174" s="4"/>
      <c r="AF2174" s="6">
        <v>65</v>
      </c>
      <c r="AG2174" s="6"/>
      <c r="AH2174" s="7">
        <v>0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>
        <v>0</v>
      </c>
      <c r="AP2174" s="4"/>
      <c r="AQ2174" s="8"/>
      <c r="AR2174" s="4">
        <v>12</v>
      </c>
      <c r="AS2174" s="8">
        <v>3071.28</v>
      </c>
      <c r="AT2174" s="7">
        <v>-1</v>
      </c>
      <c r="AU2174" s="7">
        <v>-1</v>
      </c>
      <c r="AV2174" s="4"/>
      <c r="AW2174" s="8"/>
      <c r="AX2174" s="4">
        <v>12</v>
      </c>
      <c r="AY2174" s="8">
        <v>3071.28</v>
      </c>
      <c r="AZ2174" s="7">
        <v>-1</v>
      </c>
      <c r="BA2174" s="7">
        <v>-1</v>
      </c>
      <c r="BB2174" s="7"/>
      <c r="BC2174" s="4"/>
      <c r="BD2174" s="8"/>
      <c r="BE2174" s="4">
        <v>12</v>
      </c>
      <c r="BF2174" s="8">
        <v>3071.28</v>
      </c>
      <c r="BG2174" s="7">
        <v>-1</v>
      </c>
      <c r="BH2174" s="7">
        <v>-1</v>
      </c>
      <c r="BI2174" s="7"/>
      <c r="BJ2174" s="4"/>
      <c r="BK2174" s="8"/>
      <c r="BL2174" s="2" t="s">
        <v>7675</v>
      </c>
      <c r="BM2174" s="7"/>
      <c r="BN2174" s="7"/>
      <c r="BO2174" s="4"/>
      <c r="BP2174" s="8"/>
      <c r="BQ2174" s="4">
        <v>12</v>
      </c>
      <c r="BR2174" s="8">
        <v>3071.28</v>
      </c>
      <c r="BS2174" s="7">
        <v>-1</v>
      </c>
      <c r="BT2174" s="7">
        <v>-1</v>
      </c>
      <c r="BU2174" s="2" t="s">
        <v>109</v>
      </c>
      <c r="BV2174" s="2" t="s">
        <v>552</v>
      </c>
      <c r="BW2174" s="2" t="s">
        <v>7676</v>
      </c>
      <c r="BX2174" s="2" t="s">
        <v>7677</v>
      </c>
      <c r="BY2174" s="2" t="s">
        <v>112</v>
      </c>
      <c r="BZ2174" s="2" t="s">
        <v>100</v>
      </c>
    </row>
    <row r="2175">
      <c r="A2175" s="2" t="s">
        <v>7678</v>
      </c>
      <c r="B2175" s="2" t="s">
        <v>7252</v>
      </c>
      <c r="C2175" s="2" t="s">
        <v>88</v>
      </c>
      <c r="D2175" s="2" t="s">
        <v>7253</v>
      </c>
      <c r="E2175" s="2" t="s">
        <v>7254</v>
      </c>
      <c r="F2175" s="2" t="s">
        <v>6589</v>
      </c>
      <c r="G2175" s="2" t="s">
        <v>2902</v>
      </c>
      <c r="H2175" s="2" t="s">
        <v>7679</v>
      </c>
      <c r="I2175" s="2" t="s">
        <v>7680</v>
      </c>
      <c r="J2175" s="2" t="s">
        <v>6103</v>
      </c>
      <c r="K2175" s="2" t="s">
        <v>7681</v>
      </c>
      <c r="L2175" s="3">
        <v>195.5</v>
      </c>
      <c r="M2175" s="3">
        <v>205.28</v>
      </c>
      <c r="N2175" s="3">
        <v>409</v>
      </c>
      <c r="O2175" s="2" t="s">
        <v>229</v>
      </c>
      <c r="P2175" s="2" t="s">
        <v>198</v>
      </c>
      <c r="Q2175" s="2" t="s">
        <v>99</v>
      </c>
      <c r="R2175" s="2" t="s">
        <v>100</v>
      </c>
      <c r="S2175" s="2" t="s">
        <v>100</v>
      </c>
      <c r="T2175" s="2" t="s">
        <v>100</v>
      </c>
      <c r="U2175" s="2" t="s">
        <v>3531</v>
      </c>
      <c r="V2175" s="2" t="s">
        <v>1752</v>
      </c>
      <c r="W2175" s="2" t="s">
        <v>104</v>
      </c>
      <c r="X2175" s="2" t="s">
        <v>602</v>
      </c>
      <c r="Y2175" s="2" t="s">
        <v>6424</v>
      </c>
      <c r="Z2175" s="4">
        <v>87</v>
      </c>
      <c r="AA2175" s="4">
        <f>=ROUNDDOWN(435,0)</f>
      </c>
      <c r="AB2175" s="5">
        <v>0.2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/>
      <c r="AW2175" s="8"/>
      <c r="AX2175" s="4"/>
      <c r="AY2175" s="8"/>
      <c r="AZ2175" s="7"/>
      <c r="BA2175" s="7"/>
      <c r="BB2175" s="7"/>
      <c r="BC2175" s="4"/>
      <c r="BD2175" s="8"/>
      <c r="BE2175" s="4"/>
      <c r="BF2175" s="8"/>
      <c r="BG2175" s="7"/>
      <c r="BH2175" s="7"/>
      <c r="BI2175" s="7"/>
      <c r="BJ2175" s="4">
        <v>7</v>
      </c>
      <c r="BK2175" s="8">
        <v>1546.59</v>
      </c>
      <c r="BL2175" s="2" t="s">
        <v>7682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7683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7684</v>
      </c>
      <c r="B2176" s="2" t="s">
        <v>7252</v>
      </c>
      <c r="C2176" s="2" t="s">
        <v>88</v>
      </c>
      <c r="D2176" s="2" t="s">
        <v>7253</v>
      </c>
      <c r="E2176" s="2" t="s">
        <v>7254</v>
      </c>
      <c r="F2176" s="2" t="s">
        <v>7685</v>
      </c>
      <c r="G2176" s="2" t="s">
        <v>7686</v>
      </c>
      <c r="H2176" s="2" t="s">
        <v>7687</v>
      </c>
      <c r="I2176" s="2" t="s">
        <v>7688</v>
      </c>
      <c r="J2176" s="2" t="s">
        <v>6103</v>
      </c>
      <c r="K2176" s="2" t="s">
        <v>1767</v>
      </c>
      <c r="L2176" s="3">
        <v>135</v>
      </c>
      <c r="M2176" s="3">
        <v>141.75</v>
      </c>
      <c r="N2176" s="3">
        <v>289</v>
      </c>
      <c r="O2176" s="2" t="s">
        <v>97</v>
      </c>
      <c r="P2176" s="2" t="s">
        <v>1265</v>
      </c>
      <c r="Q2176" s="2" t="s">
        <v>99</v>
      </c>
      <c r="R2176" s="2" t="s">
        <v>100</v>
      </c>
      <c r="S2176" s="2" t="s">
        <v>7689</v>
      </c>
      <c r="T2176" s="2" t="s">
        <v>100</v>
      </c>
      <c r="U2176" s="2" t="s">
        <v>100</v>
      </c>
      <c r="V2176" s="2" t="s">
        <v>3244</v>
      </c>
      <c r="W2176" s="2" t="s">
        <v>602</v>
      </c>
      <c r="X2176" s="2" t="s">
        <v>100</v>
      </c>
      <c r="Y2176" s="2" t="s">
        <v>106</v>
      </c>
      <c r="Z2176" s="4">
        <v>96</v>
      </c>
      <c r="AA2176" s="4">
        <f>=ROUNDDOWN(25.2631578947368,0)</f>
      </c>
      <c r="AB2176" s="5">
        <v>3.8</v>
      </c>
      <c r="AC2176" s="2" t="s">
        <v>2670</v>
      </c>
      <c r="AD2176" s="4">
        <v>100</v>
      </c>
      <c r="AE2176" s="4">
        <v>100</v>
      </c>
      <c r="AF2176" s="6">
        <v>74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/>
      <c r="AW2176" s="8"/>
      <c r="AX2176" s="4"/>
      <c r="AY2176" s="8"/>
      <c r="AZ2176" s="7"/>
      <c r="BA2176" s="7"/>
      <c r="BB2176" s="7"/>
      <c r="BC2176" s="4"/>
      <c r="BD2176" s="8"/>
      <c r="BE2176" s="4"/>
      <c r="BF2176" s="8"/>
      <c r="BG2176" s="7"/>
      <c r="BH2176" s="7"/>
      <c r="BI2176" s="7"/>
      <c r="BJ2176" s="4">
        <v>98</v>
      </c>
      <c r="BK2176" s="8">
        <v>14828.65</v>
      </c>
      <c r="BL2176" s="2" t="s">
        <v>7690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6185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7691</v>
      </c>
      <c r="B2177" s="2" t="s">
        <v>7252</v>
      </c>
      <c r="C2177" s="2" t="s">
        <v>88</v>
      </c>
      <c r="D2177" s="2" t="s">
        <v>7253</v>
      </c>
      <c r="E2177" s="2" t="s">
        <v>7254</v>
      </c>
      <c r="F2177" s="2" t="s">
        <v>7692</v>
      </c>
      <c r="G2177" s="2" t="s">
        <v>7693</v>
      </c>
      <c r="H2177" s="2" t="s">
        <v>7694</v>
      </c>
      <c r="I2177" s="2" t="s">
        <v>7695</v>
      </c>
      <c r="J2177" s="2" t="s">
        <v>6103</v>
      </c>
      <c r="K2177" s="2" t="s">
        <v>7696</v>
      </c>
      <c r="L2177" s="3">
        <v>209.76</v>
      </c>
      <c r="M2177" s="3">
        <v>220.25</v>
      </c>
      <c r="N2177" s="3">
        <v>439</v>
      </c>
      <c r="O2177" s="2" t="s">
        <v>97</v>
      </c>
      <c r="P2177" s="2" t="s">
        <v>198</v>
      </c>
      <c r="Q2177" s="2" t="s">
        <v>99</v>
      </c>
      <c r="R2177" s="2" t="s">
        <v>100</v>
      </c>
      <c r="S2177" s="2" t="s">
        <v>100</v>
      </c>
      <c r="T2177" s="2" t="s">
        <v>100</v>
      </c>
      <c r="U2177" s="2" t="s">
        <v>3531</v>
      </c>
      <c r="V2177" s="2" t="s">
        <v>1752</v>
      </c>
      <c r="W2177" s="2" t="s">
        <v>602</v>
      </c>
      <c r="X2177" s="2" t="s">
        <v>1288</v>
      </c>
      <c r="Y2177" s="2" t="s">
        <v>7697</v>
      </c>
      <c r="Z2177" s="4">
        <v>41</v>
      </c>
      <c r="AA2177" s="4">
        <f>=ROUNDDOWN(20.5,0)</f>
      </c>
      <c r="AB2177" s="5">
        <v>2</v>
      </c>
      <c r="AC2177" s="2" t="s">
        <v>100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/>
      <c r="AW2177" s="8"/>
      <c r="AX2177" s="4"/>
      <c r="AY2177" s="8"/>
      <c r="AZ2177" s="7"/>
      <c r="BA2177" s="7"/>
      <c r="BB2177" s="7"/>
      <c r="BC2177" s="4"/>
      <c r="BD2177" s="8"/>
      <c r="BE2177" s="4"/>
      <c r="BF2177" s="8"/>
      <c r="BG2177" s="7"/>
      <c r="BH2177" s="7"/>
      <c r="BI2177" s="7"/>
      <c r="BJ2177" s="4">
        <v>21</v>
      </c>
      <c r="BK2177" s="8">
        <v>4725.7</v>
      </c>
      <c r="BL2177" s="2" t="s">
        <v>3510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6185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7698</v>
      </c>
      <c r="B2178" s="2" t="s">
        <v>7252</v>
      </c>
      <c r="C2178" s="2" t="s">
        <v>88</v>
      </c>
      <c r="D2178" s="2" t="s">
        <v>7253</v>
      </c>
      <c r="E2178" s="2" t="s">
        <v>7254</v>
      </c>
      <c r="F2178" s="2" t="s">
        <v>7699</v>
      </c>
      <c r="G2178" s="2" t="s">
        <v>7700</v>
      </c>
      <c r="H2178" s="2" t="s">
        <v>7701</v>
      </c>
      <c r="I2178" s="2" t="s">
        <v>7702</v>
      </c>
      <c r="J2178" s="2" t="s">
        <v>6103</v>
      </c>
      <c r="K2178" s="2" t="s">
        <v>2367</v>
      </c>
      <c r="L2178" s="3">
        <v>227.27</v>
      </c>
      <c r="M2178" s="3">
        <v>238.63</v>
      </c>
      <c r="N2178" s="3">
        <v>479</v>
      </c>
      <c r="O2178" s="2" t="s">
        <v>550</v>
      </c>
      <c r="P2178" s="2" t="s">
        <v>198</v>
      </c>
      <c r="Q2178" s="2" t="s">
        <v>99</v>
      </c>
      <c r="R2178" s="2" t="s">
        <v>100</v>
      </c>
      <c r="S2178" s="2" t="s">
        <v>7703</v>
      </c>
      <c r="T2178" s="2" t="s">
        <v>100</v>
      </c>
      <c r="U2178" s="2" t="s">
        <v>100</v>
      </c>
      <c r="V2178" s="2" t="s">
        <v>601</v>
      </c>
      <c r="W2178" s="2" t="s">
        <v>602</v>
      </c>
      <c r="X2178" s="2" t="s">
        <v>100</v>
      </c>
      <c r="Y2178" s="2" t="s">
        <v>106</v>
      </c>
      <c r="Z2178" s="4"/>
      <c r="AA2178" s="4">
        <f>=ROUNDDOWN({0},0)</f>
      </c>
      <c r="AB2178" s="5"/>
      <c r="AC2178" s="2" t="s">
        <v>100</v>
      </c>
      <c r="AD2178" s="4"/>
      <c r="AE2178" s="4"/>
      <c r="AF2178" s="6">
        <v>65</v>
      </c>
      <c r="AG2178" s="6">
        <v>48</v>
      </c>
      <c r="AH2178" s="7">
        <v>0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>
        <v>0</v>
      </c>
      <c r="AP2178" s="4"/>
      <c r="AQ2178" s="8"/>
      <c r="AR2178" s="4">
        <v>1</v>
      </c>
      <c r="AS2178" s="8">
        <v>238.63</v>
      </c>
      <c r="AT2178" s="7">
        <v>-1</v>
      </c>
      <c r="AU2178" s="7">
        <v>-1</v>
      </c>
      <c r="AV2178" s="4"/>
      <c r="AW2178" s="8"/>
      <c r="AX2178" s="4">
        <v>1</v>
      </c>
      <c r="AY2178" s="8">
        <v>238.63</v>
      </c>
      <c r="AZ2178" s="7">
        <v>-1</v>
      </c>
      <c r="BA2178" s="7">
        <v>-1</v>
      </c>
      <c r="BB2178" s="7"/>
      <c r="BC2178" s="4"/>
      <c r="BD2178" s="8"/>
      <c r="BE2178" s="4">
        <v>1</v>
      </c>
      <c r="BF2178" s="8">
        <v>238.63</v>
      </c>
      <c r="BG2178" s="7">
        <v>-1</v>
      </c>
      <c r="BH2178" s="7">
        <v>-1</v>
      </c>
      <c r="BI2178" s="7"/>
      <c r="BJ2178" s="4"/>
      <c r="BK2178" s="8"/>
      <c r="BL2178" s="2" t="s">
        <v>7704</v>
      </c>
      <c r="BM2178" s="7"/>
      <c r="BN2178" s="7"/>
      <c r="BO2178" s="4"/>
      <c r="BP2178" s="8"/>
      <c r="BQ2178" s="4">
        <v>1</v>
      </c>
      <c r="BR2178" s="8">
        <v>238.63</v>
      </c>
      <c r="BS2178" s="7">
        <v>-1</v>
      </c>
      <c r="BT2178" s="7">
        <v>-1</v>
      </c>
      <c r="BU2178" s="2" t="s">
        <v>109</v>
      </c>
      <c r="BV2178" s="2" t="s">
        <v>552</v>
      </c>
      <c r="BW2178" s="2" t="s">
        <v>7307</v>
      </c>
      <c r="BX2178" s="2" t="s">
        <v>915</v>
      </c>
      <c r="BY2178" s="2" t="s">
        <v>112</v>
      </c>
      <c r="BZ2178" s="2" t="s">
        <v>100</v>
      </c>
    </row>
    <row r="2179">
      <c r="A2179" s="2" t="s">
        <v>7705</v>
      </c>
      <c r="B2179" s="2" t="s">
        <v>7252</v>
      </c>
      <c r="C2179" s="2" t="s">
        <v>88</v>
      </c>
      <c r="D2179" s="2" t="s">
        <v>7253</v>
      </c>
      <c r="E2179" s="2" t="s">
        <v>7254</v>
      </c>
      <c r="F2179" s="2" t="s">
        <v>7706</v>
      </c>
      <c r="G2179" s="2" t="s">
        <v>1716</v>
      </c>
      <c r="H2179" s="2" t="s">
        <v>1215</v>
      </c>
      <c r="I2179" s="2" t="s">
        <v>7707</v>
      </c>
      <c r="J2179" s="2" t="s">
        <v>6103</v>
      </c>
      <c r="K2179" s="2" t="s">
        <v>158</v>
      </c>
      <c r="L2179" s="3">
        <v>187</v>
      </c>
      <c r="M2179" s="3">
        <v>196.35</v>
      </c>
      <c r="N2179" s="3">
        <v>389</v>
      </c>
      <c r="O2179" s="2" t="s">
        <v>550</v>
      </c>
      <c r="P2179" s="2" t="s">
        <v>198</v>
      </c>
      <c r="Q2179" s="2" t="s">
        <v>99</v>
      </c>
      <c r="R2179" s="2" t="s">
        <v>100</v>
      </c>
      <c r="S2179" s="2" t="s">
        <v>7708</v>
      </c>
      <c r="T2179" s="2" t="s">
        <v>100</v>
      </c>
      <c r="U2179" s="2" t="s">
        <v>100</v>
      </c>
      <c r="V2179" s="2" t="s">
        <v>601</v>
      </c>
      <c r="W2179" s="2" t="s">
        <v>602</v>
      </c>
      <c r="X2179" s="2" t="s">
        <v>100</v>
      </c>
      <c r="Y2179" s="2" t="s">
        <v>106</v>
      </c>
      <c r="Z2179" s="4"/>
      <c r="AA2179" s="4">
        <f>=ROUNDDOWN({0},0)</f>
      </c>
      <c r="AB2179" s="5"/>
      <c r="AC2179" s="2" t="s">
        <v>100</v>
      </c>
      <c r="AD2179" s="4"/>
      <c r="AE2179" s="4"/>
      <c r="AF2179" s="6">
        <v>67</v>
      </c>
      <c r="AG2179" s="6">
        <v>50</v>
      </c>
      <c r="AH2179" s="7">
        <v>0.5818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>
        <v>0</v>
      </c>
      <c r="AP2179" s="4"/>
      <c r="AQ2179" s="8"/>
      <c r="AR2179" s="4">
        <v>10</v>
      </c>
      <c r="AS2179" s="8">
        <v>1963.5</v>
      </c>
      <c r="AT2179" s="7">
        <v>-1</v>
      </c>
      <c r="AU2179" s="7">
        <v>-1</v>
      </c>
      <c r="AV2179" s="4"/>
      <c r="AW2179" s="8"/>
      <c r="AX2179" s="4">
        <v>10</v>
      </c>
      <c r="AY2179" s="8">
        <v>1963.5</v>
      </c>
      <c r="AZ2179" s="7">
        <v>-1</v>
      </c>
      <c r="BA2179" s="7">
        <v>-1</v>
      </c>
      <c r="BB2179" s="7"/>
      <c r="BC2179" s="4"/>
      <c r="BD2179" s="8"/>
      <c r="BE2179" s="4">
        <v>10</v>
      </c>
      <c r="BF2179" s="8">
        <v>1963.5</v>
      </c>
      <c r="BG2179" s="7">
        <v>-1</v>
      </c>
      <c r="BH2179" s="7">
        <v>-1</v>
      </c>
      <c r="BI2179" s="7"/>
      <c r="BJ2179" s="4">
        <v>20</v>
      </c>
      <c r="BK2179" s="8">
        <v>3340.99</v>
      </c>
      <c r="BL2179" s="2" t="s">
        <v>7709</v>
      </c>
      <c r="BM2179" s="7"/>
      <c r="BN2179" s="7"/>
      <c r="BO2179" s="4"/>
      <c r="BP2179" s="8"/>
      <c r="BQ2179" s="4">
        <v>10</v>
      </c>
      <c r="BR2179" s="8">
        <v>1963.5</v>
      </c>
      <c r="BS2179" s="7">
        <v>-1</v>
      </c>
      <c r="BT2179" s="7">
        <v>-1</v>
      </c>
      <c r="BU2179" s="2" t="s">
        <v>109</v>
      </c>
      <c r="BV2179" s="2" t="s">
        <v>552</v>
      </c>
      <c r="BW2179" s="2" t="s">
        <v>217</v>
      </c>
      <c r="BX2179" s="2" t="s">
        <v>516</v>
      </c>
      <c r="BY2179" s="2" t="s">
        <v>112</v>
      </c>
      <c r="BZ2179" s="2" t="s">
        <v>100</v>
      </c>
    </row>
    <row r="2180">
      <c r="A2180" s="2" t="s">
        <v>7710</v>
      </c>
      <c r="B2180" s="2" t="s">
        <v>7252</v>
      </c>
      <c r="C2180" s="2" t="s">
        <v>88</v>
      </c>
      <c r="D2180" s="2" t="s">
        <v>7253</v>
      </c>
      <c r="E2180" s="2" t="s">
        <v>7254</v>
      </c>
      <c r="F2180" s="2" t="s">
        <v>7711</v>
      </c>
      <c r="G2180" s="2" t="s">
        <v>7712</v>
      </c>
      <c r="H2180" s="2" t="s">
        <v>7713</v>
      </c>
      <c r="I2180" s="2" t="s">
        <v>7577</v>
      </c>
      <c r="J2180" s="2" t="s">
        <v>6103</v>
      </c>
      <c r="K2180" s="2" t="s">
        <v>4481</v>
      </c>
      <c r="L2180" s="3">
        <v>207</v>
      </c>
      <c r="M2180" s="3">
        <v>217.35</v>
      </c>
      <c r="N2180" s="3">
        <v>439</v>
      </c>
      <c r="O2180" s="2" t="s">
        <v>97</v>
      </c>
      <c r="P2180" s="2" t="s">
        <v>1265</v>
      </c>
      <c r="Q2180" s="2" t="s">
        <v>99</v>
      </c>
      <c r="R2180" s="2" t="s">
        <v>100</v>
      </c>
      <c r="S2180" s="2" t="s">
        <v>7714</v>
      </c>
      <c r="T2180" s="2" t="s">
        <v>100</v>
      </c>
      <c r="U2180" s="2" t="s">
        <v>100</v>
      </c>
      <c r="V2180" s="2" t="s">
        <v>601</v>
      </c>
      <c r="W2180" s="2" t="s">
        <v>104</v>
      </c>
      <c r="X2180" s="2" t="s">
        <v>100</v>
      </c>
      <c r="Y2180" s="2" t="s">
        <v>106</v>
      </c>
      <c r="Z2180" s="4">
        <v>44</v>
      </c>
      <c r="AA2180" s="4">
        <f>=ROUNDDOWN(11,0)</f>
      </c>
      <c r="AB2180" s="5">
        <v>4</v>
      </c>
      <c r="AC2180" s="2" t="s">
        <v>107</v>
      </c>
      <c r="AD2180" s="4">
        <v>10</v>
      </c>
      <c r="AE2180" s="4">
        <v>170</v>
      </c>
      <c r="AF2180" s="6">
        <v>74</v>
      </c>
      <c r="AG2180" s="6"/>
      <c r="AH2180" s="7">
        <v>0.8485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/>
      <c r="AW2180" s="8"/>
      <c r="AX2180" s="4"/>
      <c r="AY2180" s="8"/>
      <c r="AZ2180" s="7"/>
      <c r="BA2180" s="7"/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60</v>
      </c>
      <c r="BK2180" s="8">
        <v>11521.94</v>
      </c>
      <c r="BL2180" s="2" t="s">
        <v>7715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6185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7716</v>
      </c>
      <c r="B2181" s="2" t="s">
        <v>7252</v>
      </c>
      <c r="C2181" s="2" t="s">
        <v>88</v>
      </c>
      <c r="D2181" s="2" t="s">
        <v>7253</v>
      </c>
      <c r="E2181" s="2" t="s">
        <v>7254</v>
      </c>
      <c r="F2181" s="2" t="s">
        <v>7711</v>
      </c>
      <c r="G2181" s="2" t="s">
        <v>7712</v>
      </c>
      <c r="H2181" s="2" t="s">
        <v>7713</v>
      </c>
      <c r="I2181" s="2" t="s">
        <v>7577</v>
      </c>
      <c r="J2181" s="2" t="s">
        <v>6103</v>
      </c>
      <c r="K2181" s="2" t="s">
        <v>197</v>
      </c>
      <c r="L2181" s="3">
        <v>207</v>
      </c>
      <c r="M2181" s="3">
        <v>217.35</v>
      </c>
      <c r="N2181" s="3">
        <v>439</v>
      </c>
      <c r="O2181" s="2" t="s">
        <v>97</v>
      </c>
      <c r="P2181" s="2" t="s">
        <v>1265</v>
      </c>
      <c r="Q2181" s="2" t="s">
        <v>99</v>
      </c>
      <c r="R2181" s="2" t="s">
        <v>100</v>
      </c>
      <c r="S2181" s="2" t="s">
        <v>7717</v>
      </c>
      <c r="T2181" s="2" t="s">
        <v>100</v>
      </c>
      <c r="U2181" s="2" t="s">
        <v>100</v>
      </c>
      <c r="V2181" s="2" t="s">
        <v>601</v>
      </c>
      <c r="W2181" s="2" t="s">
        <v>104</v>
      </c>
      <c r="X2181" s="2" t="s">
        <v>100</v>
      </c>
      <c r="Y2181" s="2" t="s">
        <v>106</v>
      </c>
      <c r="Z2181" s="4">
        <v>133</v>
      </c>
      <c r="AA2181" s="4">
        <f>=ROUNDDOWN(33.25,0)</f>
      </c>
      <c r="AB2181" s="5">
        <v>4</v>
      </c>
      <c r="AC2181" s="2" t="s">
        <v>100</v>
      </c>
      <c r="AD2181" s="4"/>
      <c r="AE2181" s="4"/>
      <c r="AF2181" s="6">
        <v>74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/>
      <c r="AW2181" s="8"/>
      <c r="AX2181" s="4"/>
      <c r="AY2181" s="8"/>
      <c r="AZ2181" s="7"/>
      <c r="BA2181" s="7"/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99</v>
      </c>
      <c r="BK2181" s="8">
        <v>18190.53</v>
      </c>
      <c r="BL2181" s="2" t="s">
        <v>7718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6185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7719</v>
      </c>
      <c r="B2182" s="2" t="s">
        <v>7252</v>
      </c>
      <c r="C2182" s="2" t="s">
        <v>88</v>
      </c>
      <c r="D2182" s="2" t="s">
        <v>7253</v>
      </c>
      <c r="E2182" s="2" t="s">
        <v>7254</v>
      </c>
      <c r="F2182" s="2" t="s">
        <v>7720</v>
      </c>
      <c r="G2182" s="2" t="s">
        <v>7721</v>
      </c>
      <c r="H2182" s="2" t="s">
        <v>7722</v>
      </c>
      <c r="I2182" s="2" t="s">
        <v>7449</v>
      </c>
      <c r="J2182" s="2" t="s">
        <v>6103</v>
      </c>
      <c r="K2182" s="2" t="s">
        <v>123</v>
      </c>
      <c r="L2182" s="3">
        <v>260</v>
      </c>
      <c r="M2182" s="3">
        <v>273</v>
      </c>
      <c r="N2182" s="3">
        <v>549</v>
      </c>
      <c r="O2182" s="2" t="s">
        <v>97</v>
      </c>
      <c r="P2182" s="2" t="s">
        <v>182</v>
      </c>
      <c r="Q2182" s="2" t="s">
        <v>99</v>
      </c>
      <c r="R2182" s="2" t="s">
        <v>100</v>
      </c>
      <c r="S2182" s="2" t="s">
        <v>100</v>
      </c>
      <c r="T2182" s="2" t="s">
        <v>100</v>
      </c>
      <c r="U2182" s="2" t="s">
        <v>3531</v>
      </c>
      <c r="V2182" s="2" t="s">
        <v>1752</v>
      </c>
      <c r="W2182" s="2" t="s">
        <v>104</v>
      </c>
      <c r="X2182" s="2" t="s">
        <v>906</v>
      </c>
      <c r="Y2182" s="2" t="s">
        <v>7723</v>
      </c>
      <c r="Z2182" s="4">
        <v>38</v>
      </c>
      <c r="AA2182" s="4">
        <f>=ROUNDDOWN(3.45454545454546,0)</f>
      </c>
      <c r="AB2182" s="5">
        <v>11</v>
      </c>
      <c r="AC2182" s="2" t="s">
        <v>430</v>
      </c>
      <c r="AD2182" s="4">
        <v>108</v>
      </c>
      <c r="AE2182" s="4">
        <v>252</v>
      </c>
      <c r="AF2182" s="6">
        <v>66</v>
      </c>
      <c r="AG2182" s="6"/>
      <c r="AH2182" s="7">
        <v>0.7394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/>
      <c r="AW2182" s="8"/>
      <c r="AX2182" s="4"/>
      <c r="AY2182" s="8"/>
      <c r="AZ2182" s="7"/>
      <c r="BA2182" s="7"/>
      <c r="BB2182" s="7"/>
      <c r="BC2182" s="4"/>
      <c r="BD2182" s="8"/>
      <c r="BE2182" s="4"/>
      <c r="BF2182" s="8"/>
      <c r="BG2182" s="7"/>
      <c r="BH2182" s="7"/>
      <c r="BI2182" s="7"/>
      <c r="BJ2182" s="4">
        <v>208</v>
      </c>
      <c r="BK2182" s="8">
        <v>55103.11</v>
      </c>
      <c r="BL2182" s="2" t="s">
        <v>7724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6185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7725</v>
      </c>
      <c r="B2183" s="2" t="s">
        <v>7252</v>
      </c>
      <c r="C2183" s="2" t="s">
        <v>88</v>
      </c>
      <c r="D2183" s="2" t="s">
        <v>7253</v>
      </c>
      <c r="E2183" s="2" t="s">
        <v>7254</v>
      </c>
      <c r="F2183" s="2" t="s">
        <v>7726</v>
      </c>
      <c r="G2183" s="2" t="s">
        <v>7727</v>
      </c>
      <c r="H2183" s="2" t="s">
        <v>1251</v>
      </c>
      <c r="I2183" s="2" t="s">
        <v>7313</v>
      </c>
      <c r="J2183" s="2" t="s">
        <v>6103</v>
      </c>
      <c r="K2183" s="2" t="s">
        <v>7728</v>
      </c>
      <c r="L2183" s="3">
        <v>214.2</v>
      </c>
      <c r="M2183" s="3">
        <v>224.91</v>
      </c>
      <c r="N2183" s="3">
        <v>449</v>
      </c>
      <c r="O2183" s="2" t="s">
        <v>97</v>
      </c>
      <c r="P2183" s="2" t="s">
        <v>198</v>
      </c>
      <c r="Q2183" s="2" t="s">
        <v>99</v>
      </c>
      <c r="R2183" s="2" t="s">
        <v>100</v>
      </c>
      <c r="S2183" s="2" t="s">
        <v>100</v>
      </c>
      <c r="T2183" s="2" t="s">
        <v>100</v>
      </c>
      <c r="U2183" s="2" t="s">
        <v>3531</v>
      </c>
      <c r="V2183" s="2" t="s">
        <v>1752</v>
      </c>
      <c r="W2183" s="2" t="s">
        <v>1288</v>
      </c>
      <c r="X2183" s="2" t="s">
        <v>104</v>
      </c>
      <c r="Y2183" s="2" t="s">
        <v>7729</v>
      </c>
      <c r="Z2183" s="4">
        <v>7</v>
      </c>
      <c r="AA2183" s="4">
        <f>=ROUNDDOWN(6.36363636363636,0)</f>
      </c>
      <c r="AB2183" s="5">
        <v>1.1</v>
      </c>
      <c r="AC2183" s="2" t="s">
        <v>100</v>
      </c>
      <c r="AD2183" s="4"/>
      <c r="AE2183" s="4"/>
      <c r="AF2183" s="6">
        <v>65</v>
      </c>
      <c r="AG2183" s="6">
        <v>48</v>
      </c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/>
      <c r="AW2183" s="8"/>
      <c r="AX2183" s="4"/>
      <c r="AY2183" s="8"/>
      <c r="AZ2183" s="7"/>
      <c r="BA2183" s="7"/>
      <c r="BB2183" s="7"/>
      <c r="BC2183" s="4"/>
      <c r="BD2183" s="8"/>
      <c r="BE2183" s="4"/>
      <c r="BF2183" s="8"/>
      <c r="BG2183" s="7"/>
      <c r="BH2183" s="7"/>
      <c r="BI2183" s="7"/>
      <c r="BJ2183" s="4">
        <v>44</v>
      </c>
      <c r="BK2183" s="8">
        <v>10066.23</v>
      </c>
      <c r="BL2183" s="2" t="s">
        <v>7730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147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7731</v>
      </c>
      <c r="B2184" s="2" t="s">
        <v>7252</v>
      </c>
      <c r="C2184" s="2" t="s">
        <v>88</v>
      </c>
      <c r="D2184" s="2" t="s">
        <v>7253</v>
      </c>
      <c r="E2184" s="2" t="s">
        <v>7254</v>
      </c>
      <c r="F2184" s="2" t="s">
        <v>7732</v>
      </c>
      <c r="G2184" s="2" t="s">
        <v>7733</v>
      </c>
      <c r="H2184" s="2" t="s">
        <v>7734</v>
      </c>
      <c r="I2184" s="2" t="s">
        <v>7735</v>
      </c>
      <c r="J2184" s="2" t="s">
        <v>6103</v>
      </c>
      <c r="K2184" s="2" t="s">
        <v>635</v>
      </c>
      <c r="L2184" s="3">
        <v>172.8</v>
      </c>
      <c r="M2184" s="3">
        <v>181.44</v>
      </c>
      <c r="N2184" s="3">
        <v>359</v>
      </c>
      <c r="O2184" s="2" t="s">
        <v>97</v>
      </c>
      <c r="P2184" s="2" t="s">
        <v>1265</v>
      </c>
      <c r="Q2184" s="2" t="s">
        <v>99</v>
      </c>
      <c r="R2184" s="2" t="s">
        <v>100</v>
      </c>
      <c r="S2184" s="2" t="s">
        <v>100</v>
      </c>
      <c r="T2184" s="2" t="s">
        <v>100</v>
      </c>
      <c r="U2184" s="2" t="s">
        <v>3531</v>
      </c>
      <c r="V2184" s="2" t="s">
        <v>1752</v>
      </c>
      <c r="W2184" s="2" t="s">
        <v>104</v>
      </c>
      <c r="X2184" s="2" t="s">
        <v>405</v>
      </c>
      <c r="Y2184" s="2" t="s">
        <v>7697</v>
      </c>
      <c r="Z2184" s="4">
        <v>52</v>
      </c>
      <c r="AA2184" s="4">
        <f>=ROUNDDOWN(20,0)</f>
      </c>
      <c r="AB2184" s="5">
        <v>2.6</v>
      </c>
      <c r="AC2184" s="2" t="s">
        <v>100</v>
      </c>
      <c r="AD2184" s="4"/>
      <c r="AE2184" s="4"/>
      <c r="AF2184" s="6">
        <v>66</v>
      </c>
      <c r="AG2184" s="6"/>
      <c r="AH2184" s="7">
        <v>0.6606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/>
      <c r="AW2184" s="8"/>
      <c r="AX2184" s="4"/>
      <c r="AY2184" s="8"/>
      <c r="AZ2184" s="7"/>
      <c r="BA2184" s="7"/>
      <c r="BB2184" s="7"/>
      <c r="BC2184" s="4"/>
      <c r="BD2184" s="8"/>
      <c r="BE2184" s="4"/>
      <c r="BF2184" s="8"/>
      <c r="BG2184" s="7"/>
      <c r="BH2184" s="7"/>
      <c r="BI2184" s="7"/>
      <c r="BJ2184" s="4">
        <v>34</v>
      </c>
      <c r="BK2184" s="8">
        <v>6392.72</v>
      </c>
      <c r="BL2184" s="2" t="s">
        <v>7736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6185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7737</v>
      </c>
      <c r="B2185" s="2" t="s">
        <v>7252</v>
      </c>
      <c r="C2185" s="2" t="s">
        <v>88</v>
      </c>
      <c r="D2185" s="2" t="s">
        <v>7253</v>
      </c>
      <c r="E2185" s="2" t="s">
        <v>7738</v>
      </c>
      <c r="F2185" s="2" t="s">
        <v>803</v>
      </c>
      <c r="G2185" s="2" t="s">
        <v>7739</v>
      </c>
      <c r="H2185" s="2" t="s">
        <v>7740</v>
      </c>
      <c r="I2185" s="2" t="s">
        <v>7741</v>
      </c>
      <c r="J2185" s="2" t="s">
        <v>6103</v>
      </c>
      <c r="K2185" s="2" t="s">
        <v>333</v>
      </c>
      <c r="L2185" s="3">
        <v>142.5</v>
      </c>
      <c r="M2185" s="3">
        <v>150</v>
      </c>
      <c r="N2185" s="3">
        <v>209</v>
      </c>
      <c r="O2185" s="2" t="s">
        <v>550</v>
      </c>
      <c r="P2185" s="2" t="s">
        <v>198</v>
      </c>
      <c r="Q2185" s="2" t="s">
        <v>99</v>
      </c>
      <c r="R2185" s="2" t="s">
        <v>100</v>
      </c>
      <c r="S2185" s="2" t="s">
        <v>7742</v>
      </c>
      <c r="T2185" s="2" t="s">
        <v>100</v>
      </c>
      <c r="U2185" s="2" t="s">
        <v>100</v>
      </c>
      <c r="V2185" s="2" t="s">
        <v>601</v>
      </c>
      <c r="W2185" s="2" t="s">
        <v>602</v>
      </c>
      <c r="X2185" s="2" t="s">
        <v>100</v>
      </c>
      <c r="Y2185" s="2" t="s">
        <v>106</v>
      </c>
      <c r="Z2185" s="4"/>
      <c r="AA2185" s="4">
        <f>=ROUNDDOWN({0},0)</f>
      </c>
      <c r="AB2185" s="5"/>
      <c r="AC2185" s="2" t="s">
        <v>100</v>
      </c>
      <c r="AD2185" s="4"/>
      <c r="AE2185" s="4"/>
      <c r="AF2185" s="6"/>
      <c r="AG2185" s="6"/>
      <c r="AH2185" s="7">
        <v>0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/>
      <c r="AW2185" s="8"/>
      <c r="AX2185" s="4"/>
      <c r="AY2185" s="8"/>
      <c r="AZ2185" s="7"/>
      <c r="BA2185" s="7"/>
      <c r="BB2185" s="7"/>
      <c r="BC2185" s="4"/>
      <c r="BD2185" s="8"/>
      <c r="BE2185" s="4"/>
      <c r="BF2185" s="8"/>
      <c r="BG2185" s="7"/>
      <c r="BH2185" s="7"/>
      <c r="BI2185" s="7"/>
      <c r="BJ2185" s="4"/>
      <c r="BK2185" s="8"/>
      <c r="BL2185" s="2" t="s">
        <v>100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147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7743</v>
      </c>
      <c r="B2186" s="2" t="s">
        <v>7252</v>
      </c>
      <c r="C2186" s="2" t="s">
        <v>88</v>
      </c>
      <c r="D2186" s="2" t="s">
        <v>7253</v>
      </c>
      <c r="E2186" s="2" t="s">
        <v>7744</v>
      </c>
      <c r="F2186" s="2" t="s">
        <v>7745</v>
      </c>
      <c r="G2186" s="2" t="s">
        <v>7746</v>
      </c>
      <c r="H2186" s="2" t="s">
        <v>7747</v>
      </c>
      <c r="I2186" s="2" t="s">
        <v>7748</v>
      </c>
      <c r="J2186" s="2" t="s">
        <v>6103</v>
      </c>
      <c r="K2186" s="2" t="s">
        <v>713</v>
      </c>
      <c r="L2186" s="3">
        <v>140</v>
      </c>
      <c r="M2186" s="3">
        <v>147</v>
      </c>
      <c r="N2186" s="3">
        <v>299</v>
      </c>
      <c r="O2186" s="2" t="s">
        <v>97</v>
      </c>
      <c r="P2186" s="2" t="s">
        <v>198</v>
      </c>
      <c r="Q2186" s="2" t="s">
        <v>99</v>
      </c>
      <c r="R2186" s="2" t="s">
        <v>100</v>
      </c>
      <c r="S2186" s="2" t="s">
        <v>100</v>
      </c>
      <c r="T2186" s="2" t="s">
        <v>100</v>
      </c>
      <c r="U2186" s="2" t="s">
        <v>3531</v>
      </c>
      <c r="V2186" s="2" t="s">
        <v>1752</v>
      </c>
      <c r="W2186" s="2" t="s">
        <v>602</v>
      </c>
      <c r="X2186" s="2" t="s">
        <v>100</v>
      </c>
      <c r="Y2186" s="2" t="s">
        <v>7749</v>
      </c>
      <c r="Z2186" s="4">
        <v>35</v>
      </c>
      <c r="AA2186" s="4">
        <f>=ROUNDDOWN(7.29166666666667,0)</f>
      </c>
      <c r="AB2186" s="5">
        <v>4.8</v>
      </c>
      <c r="AC2186" s="2" t="s">
        <v>100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/>
      <c r="AW2186" s="8"/>
      <c r="AX2186" s="4"/>
      <c r="AY2186" s="8"/>
      <c r="AZ2186" s="7"/>
      <c r="BA2186" s="7"/>
      <c r="BB2186" s="7"/>
      <c r="BC2186" s="4"/>
      <c r="BD2186" s="8"/>
      <c r="BE2186" s="4"/>
      <c r="BF2186" s="8"/>
      <c r="BG2186" s="7"/>
      <c r="BH2186" s="7"/>
      <c r="BI2186" s="7"/>
      <c r="BJ2186" s="4">
        <v>68</v>
      </c>
      <c r="BK2186" s="8">
        <v>8499.52</v>
      </c>
      <c r="BL2186" s="2" t="s">
        <v>7750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147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7751</v>
      </c>
      <c r="B2187" s="2" t="s">
        <v>7252</v>
      </c>
      <c r="C2187" s="2" t="s">
        <v>88</v>
      </c>
      <c r="D2187" s="2" t="s">
        <v>7253</v>
      </c>
      <c r="E2187" s="2" t="s">
        <v>7744</v>
      </c>
      <c r="F2187" s="2" t="s">
        <v>7752</v>
      </c>
      <c r="G2187" s="2" t="s">
        <v>1225</v>
      </c>
      <c r="H2187" s="2" t="s">
        <v>7753</v>
      </c>
      <c r="I2187" s="2" t="s">
        <v>7754</v>
      </c>
      <c r="J2187" s="2" t="s">
        <v>6103</v>
      </c>
      <c r="K2187" s="2" t="s">
        <v>323</v>
      </c>
      <c r="L2187" s="3">
        <v>214.2</v>
      </c>
      <c r="M2187" s="3">
        <v>224.91</v>
      </c>
      <c r="N2187" s="3">
        <v>449</v>
      </c>
      <c r="O2187" s="2" t="s">
        <v>97</v>
      </c>
      <c r="P2187" s="2" t="s">
        <v>198</v>
      </c>
      <c r="Q2187" s="2" t="s">
        <v>99</v>
      </c>
      <c r="R2187" s="2" t="s">
        <v>100</v>
      </c>
      <c r="S2187" s="2" t="s">
        <v>100</v>
      </c>
      <c r="T2187" s="2" t="s">
        <v>100</v>
      </c>
      <c r="U2187" s="2" t="s">
        <v>3531</v>
      </c>
      <c r="V2187" s="2" t="s">
        <v>1752</v>
      </c>
      <c r="W2187" s="2" t="s">
        <v>104</v>
      </c>
      <c r="X2187" s="2" t="s">
        <v>602</v>
      </c>
      <c r="Y2187" s="2" t="s">
        <v>4328</v>
      </c>
      <c r="Z2187" s="4">
        <v>31</v>
      </c>
      <c r="AA2187" s="4">
        <f>=ROUNDDOWN(31,0)</f>
      </c>
      <c r="AB2187" s="5">
        <v>1</v>
      </c>
      <c r="AC2187" s="2" t="s">
        <v>100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/>
      <c r="AW2187" s="8"/>
      <c r="AX2187" s="4"/>
      <c r="AY2187" s="8"/>
      <c r="AZ2187" s="7"/>
      <c r="BA2187" s="7"/>
      <c r="BB2187" s="7"/>
      <c r="BC2187" s="4"/>
      <c r="BD2187" s="8"/>
      <c r="BE2187" s="4"/>
      <c r="BF2187" s="8"/>
      <c r="BG2187" s="7"/>
      <c r="BH2187" s="7"/>
      <c r="BI2187" s="7"/>
      <c r="BJ2187" s="4">
        <v>24</v>
      </c>
      <c r="BK2187" s="8">
        <v>5445.23</v>
      </c>
      <c r="BL2187" s="2" t="s">
        <v>7755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147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7756</v>
      </c>
      <c r="B2188" s="2" t="s">
        <v>7252</v>
      </c>
      <c r="C2188" s="2" t="s">
        <v>88</v>
      </c>
      <c r="D2188" s="2" t="s">
        <v>7253</v>
      </c>
      <c r="E2188" s="2" t="s">
        <v>7744</v>
      </c>
      <c r="F2188" s="2" t="s">
        <v>7757</v>
      </c>
      <c r="G2188" s="2" t="s">
        <v>7758</v>
      </c>
      <c r="H2188" s="2" t="s">
        <v>7759</v>
      </c>
      <c r="I2188" s="2" t="s">
        <v>7760</v>
      </c>
      <c r="J2188" s="2" t="s">
        <v>6103</v>
      </c>
      <c r="K2188" s="2" t="s">
        <v>713</v>
      </c>
      <c r="L2188" s="3">
        <v>143</v>
      </c>
      <c r="M2188" s="3">
        <v>150.15</v>
      </c>
      <c r="N2188" s="3">
        <v>299</v>
      </c>
      <c r="O2188" s="2" t="s">
        <v>229</v>
      </c>
      <c r="P2188" s="2" t="s">
        <v>198</v>
      </c>
      <c r="Q2188" s="2" t="s">
        <v>99</v>
      </c>
      <c r="R2188" s="2" t="s">
        <v>100</v>
      </c>
      <c r="S2188" s="2" t="s">
        <v>100</v>
      </c>
      <c r="T2188" s="2" t="s">
        <v>100</v>
      </c>
      <c r="U2188" s="2" t="s">
        <v>3531</v>
      </c>
      <c r="V2188" s="2" t="s">
        <v>1752</v>
      </c>
      <c r="W2188" s="2" t="s">
        <v>104</v>
      </c>
      <c r="X2188" s="2" t="s">
        <v>100</v>
      </c>
      <c r="Y2188" s="2" t="s">
        <v>7761</v>
      </c>
      <c r="Z2188" s="4">
        <v>65</v>
      </c>
      <c r="AA2188" s="4">
        <f>=ROUNDDOWN({0},0)</f>
      </c>
      <c r="AB2188" s="5"/>
      <c r="AC2188" s="2" t="s">
        <v>100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/>
      <c r="AW2188" s="8"/>
      <c r="AX2188" s="4"/>
      <c r="AY2188" s="8"/>
      <c r="AZ2188" s="7"/>
      <c r="BA2188" s="7"/>
      <c r="BB2188" s="7"/>
      <c r="BC2188" s="4"/>
      <c r="BD2188" s="8"/>
      <c r="BE2188" s="4"/>
      <c r="BF2188" s="8"/>
      <c r="BG2188" s="7"/>
      <c r="BH2188" s="7"/>
      <c r="BI2188" s="7"/>
      <c r="BJ2188" s="4">
        <v>3</v>
      </c>
      <c r="BK2188" s="8">
        <v>459.01</v>
      </c>
      <c r="BL2188" s="2" t="s">
        <v>7762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147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7763</v>
      </c>
      <c r="B2189" s="2" t="s">
        <v>7252</v>
      </c>
      <c r="C2189" s="2" t="s">
        <v>88</v>
      </c>
      <c r="D2189" s="2" t="s">
        <v>7253</v>
      </c>
      <c r="E2189" s="2" t="s">
        <v>7744</v>
      </c>
      <c r="F2189" s="2" t="s">
        <v>7764</v>
      </c>
      <c r="G2189" s="2" t="s">
        <v>7765</v>
      </c>
      <c r="H2189" s="2" t="s">
        <v>7070</v>
      </c>
      <c r="I2189" s="2" t="s">
        <v>7766</v>
      </c>
      <c r="J2189" s="2" t="s">
        <v>6103</v>
      </c>
      <c r="K2189" s="2" t="s">
        <v>158</v>
      </c>
      <c r="L2189" s="3">
        <v>205</v>
      </c>
      <c r="M2189" s="3">
        <v>215.25</v>
      </c>
      <c r="N2189" s="3">
        <v>429</v>
      </c>
      <c r="O2189" s="2" t="s">
        <v>229</v>
      </c>
      <c r="P2189" s="2" t="s">
        <v>198</v>
      </c>
      <c r="Q2189" s="2" t="s">
        <v>99</v>
      </c>
      <c r="R2189" s="2" t="s">
        <v>100</v>
      </c>
      <c r="S2189" s="2" t="s">
        <v>100</v>
      </c>
      <c r="T2189" s="2" t="s">
        <v>100</v>
      </c>
      <c r="U2189" s="2" t="s">
        <v>3531</v>
      </c>
      <c r="V2189" s="2" t="s">
        <v>1752</v>
      </c>
      <c r="W2189" s="2" t="s">
        <v>602</v>
      </c>
      <c r="X2189" s="2" t="s">
        <v>2195</v>
      </c>
      <c r="Y2189" s="2" t="s">
        <v>7767</v>
      </c>
      <c r="Z2189" s="4">
        <v>197</v>
      </c>
      <c r="AA2189" s="4">
        <f>=ROUNDDOWN(197,0)</f>
      </c>
      <c r="AB2189" s="5">
        <v>1</v>
      </c>
      <c r="AC2189" s="2" t="s">
        <v>100</v>
      </c>
      <c r="AD2189" s="4"/>
      <c r="AE2189" s="4"/>
      <c r="AF2189" s="6">
        <v>66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/>
      <c r="AW2189" s="8"/>
      <c r="AX2189" s="4"/>
      <c r="AY2189" s="8"/>
      <c r="AZ2189" s="7"/>
      <c r="BA2189" s="7"/>
      <c r="BB2189" s="7"/>
      <c r="BC2189" s="4"/>
      <c r="BD2189" s="8"/>
      <c r="BE2189" s="4"/>
      <c r="BF2189" s="8"/>
      <c r="BG2189" s="7"/>
      <c r="BH2189" s="7"/>
      <c r="BI2189" s="7"/>
      <c r="BJ2189" s="4">
        <v>12</v>
      </c>
      <c r="BK2189" s="8">
        <v>2708.49</v>
      </c>
      <c r="BL2189" s="2" t="s">
        <v>7768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147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7769</v>
      </c>
      <c r="B2190" s="2" t="s">
        <v>7252</v>
      </c>
      <c r="C2190" s="2" t="s">
        <v>88</v>
      </c>
      <c r="D2190" s="2" t="s">
        <v>7253</v>
      </c>
      <c r="E2190" s="2" t="s">
        <v>7744</v>
      </c>
      <c r="F2190" s="2" t="s">
        <v>7770</v>
      </c>
      <c r="G2190" s="2" t="s">
        <v>7771</v>
      </c>
      <c r="H2190" s="2" t="s">
        <v>7772</v>
      </c>
      <c r="I2190" s="2" t="s">
        <v>7773</v>
      </c>
      <c r="J2190" s="2" t="s">
        <v>6103</v>
      </c>
      <c r="K2190" s="2" t="s">
        <v>1412</v>
      </c>
      <c r="L2190" s="3">
        <v>171</v>
      </c>
      <c r="M2190" s="3">
        <v>179.55</v>
      </c>
      <c r="N2190" s="3">
        <v>359</v>
      </c>
      <c r="O2190" s="2" t="s">
        <v>550</v>
      </c>
      <c r="P2190" s="2" t="s">
        <v>198</v>
      </c>
      <c r="Q2190" s="2" t="s">
        <v>99</v>
      </c>
      <c r="R2190" s="2" t="s">
        <v>100</v>
      </c>
      <c r="S2190" s="2" t="s">
        <v>100</v>
      </c>
      <c r="T2190" s="2" t="s">
        <v>100</v>
      </c>
      <c r="U2190" s="2" t="s">
        <v>3531</v>
      </c>
      <c r="V2190" s="2" t="s">
        <v>1752</v>
      </c>
      <c r="W2190" s="2" t="s">
        <v>602</v>
      </c>
      <c r="X2190" s="2" t="s">
        <v>104</v>
      </c>
      <c r="Y2190" s="2" t="s">
        <v>7767</v>
      </c>
      <c r="Z2190" s="4">
        <v>2</v>
      </c>
      <c r="AA2190" s="4">
        <f>=ROUNDDOWN(1.25,0)</f>
      </c>
      <c r="AB2190" s="5">
        <v>1.6</v>
      </c>
      <c r="AC2190" s="2" t="s">
        <v>100</v>
      </c>
      <c r="AD2190" s="4"/>
      <c r="AE2190" s="4"/>
      <c r="AF2190" s="6">
        <v>66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/>
      <c r="AW2190" s="8"/>
      <c r="AX2190" s="4"/>
      <c r="AY2190" s="8"/>
      <c r="AZ2190" s="7"/>
      <c r="BA2190" s="7"/>
      <c r="BB2190" s="7"/>
      <c r="BC2190" s="4"/>
      <c r="BD2190" s="8"/>
      <c r="BE2190" s="4"/>
      <c r="BF2190" s="8"/>
      <c r="BG2190" s="7"/>
      <c r="BH2190" s="7"/>
      <c r="BI2190" s="7"/>
      <c r="BJ2190" s="4">
        <v>50</v>
      </c>
      <c r="BK2190" s="8">
        <v>8214.75</v>
      </c>
      <c r="BL2190" s="2" t="s">
        <v>7774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147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7775</v>
      </c>
      <c r="B2191" s="2" t="s">
        <v>7252</v>
      </c>
      <c r="C2191" s="2" t="s">
        <v>88</v>
      </c>
      <c r="D2191" s="2" t="s">
        <v>7253</v>
      </c>
      <c r="E2191" s="2" t="s">
        <v>7776</v>
      </c>
      <c r="F2191" s="2" t="s">
        <v>7777</v>
      </c>
      <c r="G2191" s="2" t="s">
        <v>7778</v>
      </c>
      <c r="H2191" s="2" t="s">
        <v>2909</v>
      </c>
      <c r="I2191" s="2" t="s">
        <v>7779</v>
      </c>
      <c r="J2191" s="2" t="s">
        <v>6103</v>
      </c>
      <c r="K2191" s="2" t="s">
        <v>323</v>
      </c>
      <c r="L2191" s="3">
        <v>183.83</v>
      </c>
      <c r="M2191" s="3">
        <v>193.02</v>
      </c>
      <c r="N2191" s="3">
        <v>389</v>
      </c>
      <c r="O2191" s="2" t="s">
        <v>229</v>
      </c>
      <c r="P2191" s="2" t="s">
        <v>198</v>
      </c>
      <c r="Q2191" s="2" t="s">
        <v>99</v>
      </c>
      <c r="R2191" s="2" t="s">
        <v>100</v>
      </c>
      <c r="S2191" s="2" t="s">
        <v>100</v>
      </c>
      <c r="T2191" s="2" t="s">
        <v>100</v>
      </c>
      <c r="U2191" s="2" t="s">
        <v>3531</v>
      </c>
      <c r="V2191" s="2" t="s">
        <v>1752</v>
      </c>
      <c r="W2191" s="2" t="s">
        <v>104</v>
      </c>
      <c r="X2191" s="2" t="s">
        <v>759</v>
      </c>
      <c r="Y2191" s="2" t="s">
        <v>7780</v>
      </c>
      <c r="Z2191" s="4">
        <v>64</v>
      </c>
      <c r="AA2191" s="4">
        <f>=ROUNDDOWN(64,0)</f>
      </c>
      <c r="AB2191" s="5">
        <v>1</v>
      </c>
      <c r="AC2191" s="2" t="s">
        <v>100</v>
      </c>
      <c r="AD2191" s="4"/>
      <c r="AE2191" s="4"/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/>
      <c r="AW2191" s="8"/>
      <c r="AX2191" s="4"/>
      <c r="AY2191" s="8"/>
      <c r="AZ2191" s="7"/>
      <c r="BA2191" s="7"/>
      <c r="BB2191" s="7"/>
      <c r="BC2191" s="4"/>
      <c r="BD2191" s="8"/>
      <c r="BE2191" s="4"/>
      <c r="BF2191" s="8"/>
      <c r="BG2191" s="7"/>
      <c r="BH2191" s="7"/>
      <c r="BI2191" s="7"/>
      <c r="BJ2191" s="4">
        <v>16</v>
      </c>
      <c r="BK2191" s="8">
        <v>2885.21</v>
      </c>
      <c r="BL2191" s="2" t="s">
        <v>7781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6185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7782</v>
      </c>
      <c r="B2192" s="2" t="s">
        <v>7252</v>
      </c>
      <c r="C2192" s="2" t="s">
        <v>88</v>
      </c>
      <c r="D2192" s="2" t="s">
        <v>7253</v>
      </c>
      <c r="E2192" s="2" t="s">
        <v>1608</v>
      </c>
      <c r="F2192" s="2" t="s">
        <v>7348</v>
      </c>
      <c r="G2192" s="2" t="s">
        <v>7349</v>
      </c>
      <c r="H2192" s="2" t="s">
        <v>3171</v>
      </c>
      <c r="I2192" s="2" t="s">
        <v>7350</v>
      </c>
      <c r="J2192" s="2" t="s">
        <v>6103</v>
      </c>
      <c r="K2192" s="2" t="s">
        <v>7783</v>
      </c>
      <c r="L2192" s="3">
        <v>104.76</v>
      </c>
      <c r="M2192" s="3">
        <v>110</v>
      </c>
      <c r="N2192" s="3">
        <v>219</v>
      </c>
      <c r="O2192" s="2" t="s">
        <v>1148</v>
      </c>
      <c r="P2192" s="2" t="s">
        <v>198</v>
      </c>
      <c r="Q2192" s="2" t="s">
        <v>99</v>
      </c>
      <c r="R2192" s="2" t="s">
        <v>100</v>
      </c>
      <c r="S2192" s="2" t="s">
        <v>100</v>
      </c>
      <c r="T2192" s="2" t="s">
        <v>100</v>
      </c>
      <c r="U2192" s="2" t="s">
        <v>100</v>
      </c>
      <c r="V2192" s="2" t="s">
        <v>3244</v>
      </c>
      <c r="W2192" s="2" t="s">
        <v>759</v>
      </c>
      <c r="X2192" s="2" t="s">
        <v>100</v>
      </c>
      <c r="Y2192" s="2" t="s">
        <v>7784</v>
      </c>
      <c r="Z2192" s="4"/>
      <c r="AA2192" s="4">
        <f>=ROUNDDOWN({0},0)</f>
      </c>
      <c r="AB2192" s="5"/>
      <c r="AC2192" s="2" t="s">
        <v>100</v>
      </c>
      <c r="AD2192" s="4"/>
      <c r="AE2192" s="4"/>
      <c r="AF2192" s="6"/>
      <c r="AG2192" s="6"/>
      <c r="AH2192" s="7">
        <v>0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/>
      <c r="BD2192" s="8"/>
      <c r="BE2192" s="4"/>
      <c r="BF2192" s="8"/>
      <c r="BG2192" s="7"/>
      <c r="BH2192" s="7"/>
      <c r="BI2192" s="7"/>
      <c r="BJ2192" s="4"/>
      <c r="BK2192" s="8"/>
      <c r="BL2192" s="2" t="s">
        <v>100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147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7785</v>
      </c>
      <c r="B2193" s="2" t="s">
        <v>7252</v>
      </c>
      <c r="C2193" s="2" t="s">
        <v>88</v>
      </c>
      <c r="D2193" s="2" t="s">
        <v>7786</v>
      </c>
      <c r="E2193" s="2" t="s">
        <v>7787</v>
      </c>
      <c r="F2193" s="2" t="s">
        <v>7623</v>
      </c>
      <c r="G2193" s="2" t="s">
        <v>4391</v>
      </c>
      <c r="H2193" s="2" t="s">
        <v>7624</v>
      </c>
      <c r="I2193" s="2" t="s">
        <v>7788</v>
      </c>
      <c r="J2193" s="2" t="s">
        <v>6103</v>
      </c>
      <c r="K2193" s="2" t="s">
        <v>7789</v>
      </c>
      <c r="L2193" s="3">
        <v>153</v>
      </c>
      <c r="M2193" s="3">
        <v>160.65</v>
      </c>
      <c r="N2193" s="3">
        <v>319</v>
      </c>
      <c r="O2193" s="2" t="s">
        <v>229</v>
      </c>
      <c r="P2193" s="2" t="s">
        <v>198</v>
      </c>
      <c r="Q2193" s="2" t="s">
        <v>99</v>
      </c>
      <c r="R2193" s="2" t="s">
        <v>100</v>
      </c>
      <c r="S2193" s="2" t="s">
        <v>7790</v>
      </c>
      <c r="T2193" s="2" t="s">
        <v>100</v>
      </c>
      <c r="U2193" s="2" t="s">
        <v>100</v>
      </c>
      <c r="V2193" s="2" t="s">
        <v>601</v>
      </c>
      <c r="W2193" s="2" t="s">
        <v>104</v>
      </c>
      <c r="X2193" s="2" t="s">
        <v>100</v>
      </c>
      <c r="Y2193" s="2" t="s">
        <v>1322</v>
      </c>
      <c r="Z2193" s="4">
        <v>142</v>
      </c>
      <c r="AA2193" s="4">
        <f>=ROUNDDOWN(21.5151515151515,0)</f>
      </c>
      <c r="AB2193" s="5">
        <v>6.6</v>
      </c>
      <c r="AC2193" s="2" t="s">
        <v>100</v>
      </c>
      <c r="AD2193" s="4"/>
      <c r="AE2193" s="4"/>
      <c r="AF2193" s="6">
        <v>65</v>
      </c>
      <c r="AG2193" s="6">
        <v>48</v>
      </c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>
        <v>0</v>
      </c>
      <c r="AP2193" s="4">
        <v>33</v>
      </c>
      <c r="AQ2193" s="8">
        <v>3703.26</v>
      </c>
      <c r="AR2193" s="4">
        <v>39</v>
      </c>
      <c r="AS2193" s="8">
        <v>5238.22</v>
      </c>
      <c r="AT2193" s="7">
        <v>-0.1538</v>
      </c>
      <c r="AU2193" s="7">
        <v>-0.293</v>
      </c>
      <c r="AV2193" s="4">
        <v>33</v>
      </c>
      <c r="AW2193" s="8">
        <v>3703.26</v>
      </c>
      <c r="AX2193" s="4">
        <v>39</v>
      </c>
      <c r="AY2193" s="8">
        <v>5238.22</v>
      </c>
      <c r="AZ2193" s="7">
        <v>-0.1538</v>
      </c>
      <c r="BA2193" s="7">
        <v>-0.293</v>
      </c>
      <c r="BB2193" s="7">
        <v>1</v>
      </c>
      <c r="BC2193" s="4">
        <v>60</v>
      </c>
      <c r="BD2193" s="8">
        <v>7743.27</v>
      </c>
      <c r="BE2193" s="4">
        <v>128</v>
      </c>
      <c r="BF2193" s="8">
        <v>18623.16</v>
      </c>
      <c r="BG2193" s="7">
        <v>-0.5312</v>
      </c>
      <c r="BH2193" s="7">
        <v>-0.5842</v>
      </c>
      <c r="BI2193" s="7">
        <v>0.4783</v>
      </c>
      <c r="BJ2193" s="4">
        <v>130</v>
      </c>
      <c r="BK2193" s="8">
        <v>15783.2</v>
      </c>
      <c r="BL2193" s="2" t="s">
        <v>7791</v>
      </c>
      <c r="BM2193" s="7">
        <v>0.2538</v>
      </c>
      <c r="BN2193" s="7">
        <v>0.2346</v>
      </c>
      <c r="BO2193" s="4">
        <v>33</v>
      </c>
      <c r="BP2193" s="8">
        <v>3703.26</v>
      </c>
      <c r="BQ2193" s="4">
        <v>39</v>
      </c>
      <c r="BR2193" s="8">
        <v>5238.22</v>
      </c>
      <c r="BS2193" s="7">
        <v>-0.1538</v>
      </c>
      <c r="BT2193" s="7">
        <v>-0.293</v>
      </c>
      <c r="BU2193" s="2" t="s">
        <v>109</v>
      </c>
      <c r="BV2193" s="2" t="s">
        <v>97</v>
      </c>
      <c r="BW2193" s="2" t="s">
        <v>7307</v>
      </c>
      <c r="BX2193" s="2" t="s">
        <v>7792</v>
      </c>
      <c r="BY2193" s="2" t="s">
        <v>112</v>
      </c>
      <c r="BZ2193" s="2" t="s">
        <v>100</v>
      </c>
    </row>
    <row r="2194">
      <c r="A2194" s="2" t="s">
        <v>7793</v>
      </c>
      <c r="B2194" s="2" t="s">
        <v>7252</v>
      </c>
      <c r="C2194" s="2" t="s">
        <v>88</v>
      </c>
      <c r="D2194" s="2" t="s">
        <v>7786</v>
      </c>
      <c r="E2194" s="2" t="s">
        <v>7787</v>
      </c>
      <c r="F2194" s="2" t="s">
        <v>7623</v>
      </c>
      <c r="G2194" s="2" t="s">
        <v>4391</v>
      </c>
      <c r="H2194" s="2" t="s">
        <v>7624</v>
      </c>
      <c r="I2194" s="2" t="s">
        <v>7788</v>
      </c>
      <c r="J2194" s="2" t="s">
        <v>6103</v>
      </c>
      <c r="K2194" s="2" t="s">
        <v>333</v>
      </c>
      <c r="L2194" s="3">
        <v>153</v>
      </c>
      <c r="M2194" s="3">
        <v>160.65</v>
      </c>
      <c r="N2194" s="3">
        <v>319</v>
      </c>
      <c r="O2194" s="2" t="s">
        <v>97</v>
      </c>
      <c r="P2194" s="2" t="s">
        <v>1265</v>
      </c>
      <c r="Q2194" s="2" t="s">
        <v>99</v>
      </c>
      <c r="R2194" s="2" t="s">
        <v>100</v>
      </c>
      <c r="S2194" s="2" t="s">
        <v>100</v>
      </c>
      <c r="T2194" s="2" t="s">
        <v>100</v>
      </c>
      <c r="U2194" s="2" t="s">
        <v>3531</v>
      </c>
      <c r="V2194" s="2" t="s">
        <v>601</v>
      </c>
      <c r="W2194" s="2" t="s">
        <v>104</v>
      </c>
      <c r="X2194" s="2" t="s">
        <v>100</v>
      </c>
      <c r="Y2194" s="2" t="s">
        <v>2142</v>
      </c>
      <c r="Z2194" s="4">
        <v>411</v>
      </c>
      <c r="AA2194" s="4">
        <f>=ROUNDDOWN(241.764705882353,0)</f>
      </c>
      <c r="AB2194" s="5">
        <v>1.7</v>
      </c>
      <c r="AC2194" s="2" t="s">
        <v>100</v>
      </c>
      <c r="AD2194" s="4"/>
      <c r="AE2194" s="4"/>
      <c r="AF2194" s="6">
        <v>66</v>
      </c>
      <c r="AG2194" s="6">
        <v>49</v>
      </c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>
        <v>0</v>
      </c>
      <c r="AP2194" s="4">
        <v>21</v>
      </c>
      <c r="AQ2194" s="8">
        <v>3142.23</v>
      </c>
      <c r="AR2194" s="4">
        <v>43</v>
      </c>
      <c r="AS2194" s="8">
        <v>6594.69</v>
      </c>
      <c r="AT2194" s="7">
        <v>-0.5116</v>
      </c>
      <c r="AU2194" s="7">
        <v>-0.5235</v>
      </c>
      <c r="AV2194" s="4">
        <v>21</v>
      </c>
      <c r="AW2194" s="8">
        <v>3142.23</v>
      </c>
      <c r="AX2194" s="4">
        <v>43</v>
      </c>
      <c r="AY2194" s="8">
        <v>6594.69</v>
      </c>
      <c r="AZ2194" s="7">
        <v>-0.5116</v>
      </c>
      <c r="BA2194" s="7">
        <v>-0.5235</v>
      </c>
      <c r="BB2194" s="7">
        <v>1</v>
      </c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>
        <v>0.4058</v>
      </c>
      <c r="BJ2194" s="4">
        <v>54</v>
      </c>
      <c r="BK2194" s="8">
        <v>8553.1</v>
      </c>
      <c r="BL2194" s="2" t="s">
        <v>7794</v>
      </c>
      <c r="BM2194" s="7">
        <v>0.3889</v>
      </c>
      <c r="BN2194" s="7">
        <v>0.3674</v>
      </c>
      <c r="BO2194" s="4">
        <v>21</v>
      </c>
      <c r="BP2194" s="8">
        <v>3142.23</v>
      </c>
      <c r="BQ2194" s="4">
        <v>43</v>
      </c>
      <c r="BR2194" s="8">
        <v>6594.69</v>
      </c>
      <c r="BS2194" s="7">
        <v>-0.5116</v>
      </c>
      <c r="BT2194" s="7">
        <v>-0.5235</v>
      </c>
      <c r="BU2194" s="2" t="s">
        <v>109</v>
      </c>
      <c r="BV2194" s="2" t="s">
        <v>97</v>
      </c>
      <c r="BW2194" s="2" t="s">
        <v>7307</v>
      </c>
      <c r="BX2194" s="2" t="s">
        <v>4459</v>
      </c>
      <c r="BY2194" s="2" t="s">
        <v>112</v>
      </c>
      <c r="BZ2194" s="2" t="s">
        <v>100</v>
      </c>
    </row>
    <row r="2195">
      <c r="A2195" s="2" t="s">
        <v>7795</v>
      </c>
      <c r="B2195" s="2" t="s">
        <v>7252</v>
      </c>
      <c r="C2195" s="2" t="s">
        <v>88</v>
      </c>
      <c r="D2195" s="2" t="s">
        <v>7786</v>
      </c>
      <c r="E2195" s="2" t="s">
        <v>7787</v>
      </c>
      <c r="F2195" s="2" t="s">
        <v>7623</v>
      </c>
      <c r="G2195" s="2" t="s">
        <v>4391</v>
      </c>
      <c r="H2195" s="2" t="s">
        <v>7624</v>
      </c>
      <c r="I2195" s="2" t="s">
        <v>7788</v>
      </c>
      <c r="J2195" s="2" t="s">
        <v>6103</v>
      </c>
      <c r="K2195" s="2" t="s">
        <v>1004</v>
      </c>
      <c r="L2195" s="3">
        <v>153</v>
      </c>
      <c r="M2195" s="3">
        <v>160.65</v>
      </c>
      <c r="N2195" s="3">
        <v>319</v>
      </c>
      <c r="O2195" s="2" t="s">
        <v>97</v>
      </c>
      <c r="P2195" s="2" t="s">
        <v>198</v>
      </c>
      <c r="Q2195" s="2" t="s">
        <v>99</v>
      </c>
      <c r="R2195" s="2" t="s">
        <v>100</v>
      </c>
      <c r="S2195" s="2" t="s">
        <v>100</v>
      </c>
      <c r="T2195" s="2" t="s">
        <v>100</v>
      </c>
      <c r="U2195" s="2" t="s">
        <v>100</v>
      </c>
      <c r="V2195" s="2" t="s">
        <v>601</v>
      </c>
      <c r="W2195" s="2" t="s">
        <v>104</v>
      </c>
      <c r="X2195" s="2" t="s">
        <v>602</v>
      </c>
      <c r="Y2195" s="2" t="s">
        <v>2091</v>
      </c>
      <c r="Z2195" s="4">
        <v>84</v>
      </c>
      <c r="AA2195" s="4">
        <f>=ROUNDDOWN(28,0)</f>
      </c>
      <c r="AB2195" s="5">
        <v>3</v>
      </c>
      <c r="AC2195" s="2" t="s">
        <v>100</v>
      </c>
      <c r="AD2195" s="4"/>
      <c r="AE2195" s="4"/>
      <c r="AF2195" s="6">
        <v>65</v>
      </c>
      <c r="AG2195" s="6">
        <v>48</v>
      </c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>
        <v>0</v>
      </c>
      <c r="AP2195" s="4">
        <v>6</v>
      </c>
      <c r="AQ2195" s="8">
        <v>897.78</v>
      </c>
      <c r="AR2195" s="4">
        <v>46</v>
      </c>
      <c r="AS2195" s="8">
        <v>6790.25</v>
      </c>
      <c r="AT2195" s="7">
        <v>-0.8696</v>
      </c>
      <c r="AU2195" s="7">
        <v>-0.8678</v>
      </c>
      <c r="AV2195" s="4">
        <v>6</v>
      </c>
      <c r="AW2195" s="8">
        <v>897.78</v>
      </c>
      <c r="AX2195" s="4">
        <v>46</v>
      </c>
      <c r="AY2195" s="8">
        <v>6790.25</v>
      </c>
      <c r="AZ2195" s="7">
        <v>-0.8696</v>
      </c>
      <c r="BA2195" s="7">
        <v>-0.8678</v>
      </c>
      <c r="BB2195" s="7">
        <v>1</v>
      </c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>
        <v>0.1159</v>
      </c>
      <c r="BJ2195" s="4">
        <v>49</v>
      </c>
      <c r="BK2195" s="8">
        <v>7909.16</v>
      </c>
      <c r="BL2195" s="2" t="s">
        <v>7796</v>
      </c>
      <c r="BM2195" s="7">
        <v>0.1224</v>
      </c>
      <c r="BN2195" s="7">
        <v>0.1135</v>
      </c>
      <c r="BO2195" s="4">
        <v>6</v>
      </c>
      <c r="BP2195" s="8">
        <v>897.78</v>
      </c>
      <c r="BQ2195" s="4">
        <v>46</v>
      </c>
      <c r="BR2195" s="8">
        <v>6790.25</v>
      </c>
      <c r="BS2195" s="7">
        <v>-0.8696</v>
      </c>
      <c r="BT2195" s="7">
        <v>-0.8678</v>
      </c>
      <c r="BU2195" s="2" t="s">
        <v>109</v>
      </c>
      <c r="BV2195" s="2" t="s">
        <v>97</v>
      </c>
      <c r="BW2195" s="2" t="s">
        <v>573</v>
      </c>
      <c r="BX2195" s="2" t="s">
        <v>7797</v>
      </c>
      <c r="BY2195" s="2" t="s">
        <v>112</v>
      </c>
      <c r="BZ2195" s="2" t="s">
        <v>100</v>
      </c>
    </row>
    <row r="2196">
      <c r="A2196" s="2" t="s">
        <v>7798</v>
      </c>
      <c r="B2196" s="2" t="s">
        <v>7252</v>
      </c>
      <c r="C2196" s="2" t="s">
        <v>88</v>
      </c>
      <c r="D2196" s="2" t="s">
        <v>7786</v>
      </c>
      <c r="E2196" s="2" t="s">
        <v>7787</v>
      </c>
      <c r="F2196" s="2" t="s">
        <v>7799</v>
      </c>
      <c r="G2196" s="2" t="s">
        <v>4861</v>
      </c>
      <c r="H2196" s="2" t="s">
        <v>7800</v>
      </c>
      <c r="I2196" s="2" t="s">
        <v>7801</v>
      </c>
      <c r="J2196" s="2" t="s">
        <v>6103</v>
      </c>
      <c r="K2196" s="2" t="s">
        <v>158</v>
      </c>
      <c r="L2196" s="3">
        <v>80.87</v>
      </c>
      <c r="M2196" s="3">
        <v>84.91</v>
      </c>
      <c r="N2196" s="3">
        <v>169</v>
      </c>
      <c r="O2196" s="2" t="s">
        <v>97</v>
      </c>
      <c r="P2196" s="2" t="s">
        <v>182</v>
      </c>
      <c r="Q2196" s="2" t="s">
        <v>99</v>
      </c>
      <c r="R2196" s="2" t="s">
        <v>100</v>
      </c>
      <c r="S2196" s="2" t="s">
        <v>7802</v>
      </c>
      <c r="T2196" s="2" t="s">
        <v>100</v>
      </c>
      <c r="U2196" s="2" t="s">
        <v>100</v>
      </c>
      <c r="V2196" s="2" t="s">
        <v>3244</v>
      </c>
      <c r="W2196" s="2" t="s">
        <v>104</v>
      </c>
      <c r="X2196" s="2" t="s">
        <v>100</v>
      </c>
      <c r="Y2196" s="2" t="s">
        <v>106</v>
      </c>
      <c r="Z2196" s="4">
        <v>246</v>
      </c>
      <c r="AA2196" s="4">
        <f>=ROUNDDOWN(35.1428571428571,0)</f>
      </c>
      <c r="AB2196" s="5">
        <v>7</v>
      </c>
      <c r="AC2196" s="2" t="s">
        <v>100</v>
      </c>
      <c r="AD2196" s="4"/>
      <c r="AE2196" s="4"/>
      <c r="AF2196" s="6">
        <v>76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>
        <v>0</v>
      </c>
      <c r="AP2196" s="4">
        <v>20</v>
      </c>
      <c r="AQ2196" s="8">
        <v>1698.2</v>
      </c>
      <c r="AR2196" s="4">
        <v>57</v>
      </c>
      <c r="AS2196" s="8">
        <v>4964.68</v>
      </c>
      <c r="AT2196" s="7">
        <v>-0.6491</v>
      </c>
      <c r="AU2196" s="7">
        <v>-0.6579</v>
      </c>
      <c r="AV2196" s="4">
        <v>20</v>
      </c>
      <c r="AW2196" s="8">
        <v>1698.2</v>
      </c>
      <c r="AX2196" s="4">
        <v>57</v>
      </c>
      <c r="AY2196" s="8">
        <v>4964.68</v>
      </c>
      <c r="AZ2196" s="7">
        <v>-0.6491</v>
      </c>
      <c r="BA2196" s="7">
        <v>-0.6579</v>
      </c>
      <c r="BB2196" s="7">
        <v>1</v>
      </c>
      <c r="BC2196" s="4">
        <v>55</v>
      </c>
      <c r="BD2196" s="8">
        <v>4670.05</v>
      </c>
      <c r="BE2196" s="4">
        <v>174</v>
      </c>
      <c r="BF2196" s="8">
        <v>14594.57</v>
      </c>
      <c r="BG2196" s="7">
        <v>-0.6839</v>
      </c>
      <c r="BH2196" s="7">
        <v>-0.68</v>
      </c>
      <c r="BI2196" s="7">
        <v>0.3636</v>
      </c>
      <c r="BJ2196" s="4">
        <v>140</v>
      </c>
      <c r="BK2196" s="8">
        <v>12423.83</v>
      </c>
      <c r="BL2196" s="2" t="s">
        <v>7803</v>
      </c>
      <c r="BM2196" s="7">
        <v>0.1429</v>
      </c>
      <c r="BN2196" s="7">
        <v>0.1367</v>
      </c>
      <c r="BO2196" s="4">
        <v>20</v>
      </c>
      <c r="BP2196" s="8">
        <v>1698.2</v>
      </c>
      <c r="BQ2196" s="4">
        <v>57</v>
      </c>
      <c r="BR2196" s="8">
        <v>4964.68</v>
      </c>
      <c r="BS2196" s="7">
        <v>-0.6491</v>
      </c>
      <c r="BT2196" s="7">
        <v>-0.6579</v>
      </c>
      <c r="BU2196" s="2" t="s">
        <v>109</v>
      </c>
      <c r="BV2196" s="2" t="s">
        <v>97</v>
      </c>
      <c r="BW2196" s="2" t="s">
        <v>7307</v>
      </c>
      <c r="BX2196" s="2" t="s">
        <v>6391</v>
      </c>
      <c r="BY2196" s="2" t="s">
        <v>112</v>
      </c>
      <c r="BZ2196" s="2" t="s">
        <v>100</v>
      </c>
    </row>
    <row r="2197">
      <c r="A2197" s="2" t="s">
        <v>7804</v>
      </c>
      <c r="B2197" s="2" t="s">
        <v>7252</v>
      </c>
      <c r="C2197" s="2" t="s">
        <v>88</v>
      </c>
      <c r="D2197" s="2" t="s">
        <v>7786</v>
      </c>
      <c r="E2197" s="2" t="s">
        <v>7787</v>
      </c>
      <c r="F2197" s="2" t="s">
        <v>7799</v>
      </c>
      <c r="G2197" s="2" t="s">
        <v>4861</v>
      </c>
      <c r="H2197" s="2" t="s">
        <v>7800</v>
      </c>
      <c r="I2197" s="2" t="s">
        <v>7801</v>
      </c>
      <c r="J2197" s="2" t="s">
        <v>6103</v>
      </c>
      <c r="K2197" s="2" t="s">
        <v>7442</v>
      </c>
      <c r="L2197" s="3">
        <v>80.87</v>
      </c>
      <c r="M2197" s="3">
        <v>84.91</v>
      </c>
      <c r="N2197" s="3">
        <v>169</v>
      </c>
      <c r="O2197" s="2" t="s">
        <v>97</v>
      </c>
      <c r="P2197" s="2" t="s">
        <v>1265</v>
      </c>
      <c r="Q2197" s="2" t="s">
        <v>99</v>
      </c>
      <c r="R2197" s="2" t="s">
        <v>100</v>
      </c>
      <c r="S2197" s="2" t="s">
        <v>100</v>
      </c>
      <c r="T2197" s="2" t="s">
        <v>100</v>
      </c>
      <c r="U2197" s="2" t="s">
        <v>100</v>
      </c>
      <c r="V2197" s="2" t="s">
        <v>491</v>
      </c>
      <c r="W2197" s="2" t="s">
        <v>104</v>
      </c>
      <c r="X2197" s="2" t="s">
        <v>100</v>
      </c>
      <c r="Y2197" s="2" t="s">
        <v>7805</v>
      </c>
      <c r="Z2197" s="4">
        <v>211</v>
      </c>
      <c r="AA2197" s="4">
        <f>=ROUNDDOWN(35.1666666666667,0)</f>
      </c>
      <c r="AB2197" s="5">
        <v>6</v>
      </c>
      <c r="AC2197" s="2" t="s">
        <v>100</v>
      </c>
      <c r="AD2197" s="4"/>
      <c r="AE2197" s="4"/>
      <c r="AF2197" s="6">
        <v>76</v>
      </c>
      <c r="AG2197" s="6">
        <v>67</v>
      </c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>
        <v>0</v>
      </c>
      <c r="AP2197" s="4">
        <v>19</v>
      </c>
      <c r="AQ2197" s="8">
        <v>1613.29</v>
      </c>
      <c r="AR2197" s="4">
        <v>10</v>
      </c>
      <c r="AS2197" s="8">
        <v>943.5</v>
      </c>
      <c r="AT2197" s="7">
        <v>0.9</v>
      </c>
      <c r="AU2197" s="7">
        <v>0.7099</v>
      </c>
      <c r="AV2197" s="4">
        <v>19</v>
      </c>
      <c r="AW2197" s="8">
        <v>1613.29</v>
      </c>
      <c r="AX2197" s="4">
        <v>10</v>
      </c>
      <c r="AY2197" s="8">
        <v>943.5</v>
      </c>
      <c r="AZ2197" s="7">
        <v>0.9</v>
      </c>
      <c r="BA2197" s="7">
        <v>0.7099</v>
      </c>
      <c r="BB2197" s="7">
        <v>1</v>
      </c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>
        <v>0.3455</v>
      </c>
      <c r="BJ2197" s="4">
        <v>97</v>
      </c>
      <c r="BK2197" s="8">
        <v>8163.45</v>
      </c>
      <c r="BL2197" s="2" t="s">
        <v>7806</v>
      </c>
      <c r="BM2197" s="7">
        <v>0.1959</v>
      </c>
      <c r="BN2197" s="7">
        <v>0.1976</v>
      </c>
      <c r="BO2197" s="4">
        <v>19</v>
      </c>
      <c r="BP2197" s="8">
        <v>1613.29</v>
      </c>
      <c r="BQ2197" s="4">
        <v>10</v>
      </c>
      <c r="BR2197" s="8">
        <v>943.5</v>
      </c>
      <c r="BS2197" s="7">
        <v>0.9</v>
      </c>
      <c r="BT2197" s="7">
        <v>0.7099</v>
      </c>
      <c r="BU2197" s="2" t="s">
        <v>109</v>
      </c>
      <c r="BV2197" s="2" t="s">
        <v>97</v>
      </c>
      <c r="BW2197" s="2" t="s">
        <v>7676</v>
      </c>
      <c r="BX2197" s="2" t="s">
        <v>7807</v>
      </c>
      <c r="BY2197" s="2" t="s">
        <v>112</v>
      </c>
      <c r="BZ2197" s="2" t="s">
        <v>100</v>
      </c>
    </row>
    <row r="2198">
      <c r="A2198" s="2" t="s">
        <v>7808</v>
      </c>
      <c r="B2198" s="2" t="s">
        <v>7252</v>
      </c>
      <c r="C2198" s="2" t="s">
        <v>88</v>
      </c>
      <c r="D2198" s="2" t="s">
        <v>7786</v>
      </c>
      <c r="E2198" s="2" t="s">
        <v>7787</v>
      </c>
      <c r="F2198" s="2" t="s">
        <v>7799</v>
      </c>
      <c r="G2198" s="2" t="s">
        <v>4861</v>
      </c>
      <c r="H2198" s="2" t="s">
        <v>7800</v>
      </c>
      <c r="I2198" s="2" t="s">
        <v>7801</v>
      </c>
      <c r="J2198" s="2" t="s">
        <v>6103</v>
      </c>
      <c r="K2198" s="2" t="s">
        <v>333</v>
      </c>
      <c r="L2198" s="3">
        <v>80.87</v>
      </c>
      <c r="M2198" s="3">
        <v>84.91</v>
      </c>
      <c r="N2198" s="3">
        <v>169</v>
      </c>
      <c r="O2198" s="2" t="s">
        <v>97</v>
      </c>
      <c r="P2198" s="2" t="s">
        <v>1265</v>
      </c>
      <c r="Q2198" s="2" t="s">
        <v>99</v>
      </c>
      <c r="R2198" s="2" t="s">
        <v>100</v>
      </c>
      <c r="S2198" s="2" t="s">
        <v>7809</v>
      </c>
      <c r="T2198" s="2" t="s">
        <v>100</v>
      </c>
      <c r="U2198" s="2" t="s">
        <v>100</v>
      </c>
      <c r="V2198" s="2" t="s">
        <v>601</v>
      </c>
      <c r="W2198" s="2" t="s">
        <v>104</v>
      </c>
      <c r="X2198" s="2" t="s">
        <v>100</v>
      </c>
      <c r="Y2198" s="2" t="s">
        <v>106</v>
      </c>
      <c r="Z2198" s="4">
        <v>504</v>
      </c>
      <c r="AA2198" s="4">
        <f>=ROUNDDOWN(100.8,0)</f>
      </c>
      <c r="AB2198" s="5">
        <v>5</v>
      </c>
      <c r="AC2198" s="2" t="s">
        <v>100</v>
      </c>
      <c r="AD2198" s="4"/>
      <c r="AE2198" s="4"/>
      <c r="AF2198" s="6">
        <v>76</v>
      </c>
      <c r="AG2198" s="6">
        <v>67</v>
      </c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>
        <v>0</v>
      </c>
      <c r="AP2198" s="4">
        <v>13</v>
      </c>
      <c r="AQ2198" s="8">
        <v>1103.83</v>
      </c>
      <c r="AR2198" s="4">
        <v>44</v>
      </c>
      <c r="AS2198" s="8">
        <v>3589.65</v>
      </c>
      <c r="AT2198" s="7">
        <v>-0.7045</v>
      </c>
      <c r="AU2198" s="7">
        <v>-0.6925</v>
      </c>
      <c r="AV2198" s="4">
        <v>13</v>
      </c>
      <c r="AW2198" s="8">
        <v>1103.83</v>
      </c>
      <c r="AX2198" s="4">
        <v>44</v>
      </c>
      <c r="AY2198" s="8">
        <v>3589.65</v>
      </c>
      <c r="AZ2198" s="7">
        <v>-0.7045</v>
      </c>
      <c r="BA2198" s="7">
        <v>-0.6925</v>
      </c>
      <c r="BB2198" s="7">
        <v>1</v>
      </c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>
        <v>0.2364</v>
      </c>
      <c r="BJ2198" s="4">
        <v>96</v>
      </c>
      <c r="BK2198" s="8">
        <v>8547.03</v>
      </c>
      <c r="BL2198" s="2" t="s">
        <v>7810</v>
      </c>
      <c r="BM2198" s="7">
        <v>0.1354</v>
      </c>
      <c r="BN2198" s="7">
        <v>0.1291</v>
      </c>
      <c r="BO2198" s="4">
        <v>13</v>
      </c>
      <c r="BP2198" s="8">
        <v>1103.83</v>
      </c>
      <c r="BQ2198" s="4">
        <v>44</v>
      </c>
      <c r="BR2198" s="8">
        <v>3589.65</v>
      </c>
      <c r="BS2198" s="7">
        <v>-0.7045</v>
      </c>
      <c r="BT2198" s="7">
        <v>-0.6925</v>
      </c>
      <c r="BU2198" s="2" t="s">
        <v>109</v>
      </c>
      <c r="BV2198" s="2" t="s">
        <v>97</v>
      </c>
      <c r="BW2198" s="2" t="s">
        <v>7307</v>
      </c>
      <c r="BX2198" s="2" t="s">
        <v>7811</v>
      </c>
      <c r="BY2198" s="2" t="s">
        <v>112</v>
      </c>
      <c r="BZ2198" s="2" t="s">
        <v>100</v>
      </c>
    </row>
    <row r="2199">
      <c r="A2199" s="2" t="s">
        <v>7812</v>
      </c>
      <c r="B2199" s="2" t="s">
        <v>7252</v>
      </c>
      <c r="C2199" s="2" t="s">
        <v>88</v>
      </c>
      <c r="D2199" s="2" t="s">
        <v>7786</v>
      </c>
      <c r="E2199" s="2" t="s">
        <v>7787</v>
      </c>
      <c r="F2199" s="2" t="s">
        <v>7799</v>
      </c>
      <c r="G2199" s="2" t="s">
        <v>4861</v>
      </c>
      <c r="H2199" s="2" t="s">
        <v>7800</v>
      </c>
      <c r="I2199" s="2" t="s">
        <v>7801</v>
      </c>
      <c r="J2199" s="2" t="s">
        <v>6103</v>
      </c>
      <c r="K2199" s="2" t="s">
        <v>2367</v>
      </c>
      <c r="L2199" s="3">
        <v>80.87</v>
      </c>
      <c r="M2199" s="3">
        <v>84.91</v>
      </c>
      <c r="N2199" s="3">
        <v>169</v>
      </c>
      <c r="O2199" s="2" t="s">
        <v>97</v>
      </c>
      <c r="P2199" s="2" t="s">
        <v>1265</v>
      </c>
      <c r="Q2199" s="2" t="s">
        <v>99</v>
      </c>
      <c r="R2199" s="2" t="s">
        <v>100</v>
      </c>
      <c r="S2199" s="2" t="s">
        <v>7813</v>
      </c>
      <c r="T2199" s="2" t="s">
        <v>100</v>
      </c>
      <c r="U2199" s="2" t="s">
        <v>100</v>
      </c>
      <c r="V2199" s="2" t="s">
        <v>601</v>
      </c>
      <c r="W2199" s="2" t="s">
        <v>104</v>
      </c>
      <c r="X2199" s="2" t="s">
        <v>100</v>
      </c>
      <c r="Y2199" s="2" t="s">
        <v>106</v>
      </c>
      <c r="Z2199" s="4">
        <v>298</v>
      </c>
      <c r="AA2199" s="4">
        <f>=ROUNDDOWN(59.6,0)</f>
      </c>
      <c r="AB2199" s="5">
        <v>5</v>
      </c>
      <c r="AC2199" s="2" t="s">
        <v>100</v>
      </c>
      <c r="AD2199" s="4"/>
      <c r="AE2199" s="4"/>
      <c r="AF2199" s="6">
        <v>76</v>
      </c>
      <c r="AG2199" s="6">
        <v>67</v>
      </c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>
        <v>0</v>
      </c>
      <c r="AP2199" s="4">
        <v>3</v>
      </c>
      <c r="AQ2199" s="8">
        <v>254.73</v>
      </c>
      <c r="AR2199" s="4">
        <v>63</v>
      </c>
      <c r="AS2199" s="8">
        <v>5096.74</v>
      </c>
      <c r="AT2199" s="7">
        <v>-0.9524</v>
      </c>
      <c r="AU2199" s="7">
        <v>-0.95</v>
      </c>
      <c r="AV2199" s="4">
        <v>3</v>
      </c>
      <c r="AW2199" s="8">
        <v>254.73</v>
      </c>
      <c r="AX2199" s="4">
        <v>63</v>
      </c>
      <c r="AY2199" s="8">
        <v>5096.74</v>
      </c>
      <c r="AZ2199" s="7">
        <v>-0.9524</v>
      </c>
      <c r="BA2199" s="7">
        <v>-0.95</v>
      </c>
      <c r="BB2199" s="7">
        <v>1</v>
      </c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>
        <v>0.0545</v>
      </c>
      <c r="BJ2199" s="4">
        <v>113</v>
      </c>
      <c r="BK2199" s="8">
        <v>9505.77</v>
      </c>
      <c r="BL2199" s="2" t="s">
        <v>7814</v>
      </c>
      <c r="BM2199" s="7">
        <v>0.0265</v>
      </c>
      <c r="BN2199" s="7">
        <v>0.0268</v>
      </c>
      <c r="BO2199" s="4">
        <v>3</v>
      </c>
      <c r="BP2199" s="8">
        <v>254.73</v>
      </c>
      <c r="BQ2199" s="4">
        <v>63</v>
      </c>
      <c r="BR2199" s="8">
        <v>5096.74</v>
      </c>
      <c r="BS2199" s="7">
        <v>-0.9524</v>
      </c>
      <c r="BT2199" s="7">
        <v>-0.95</v>
      </c>
      <c r="BU2199" s="2" t="s">
        <v>109</v>
      </c>
      <c r="BV2199" s="2" t="s">
        <v>97</v>
      </c>
      <c r="BW2199" s="2" t="s">
        <v>7307</v>
      </c>
      <c r="BX2199" s="2" t="s">
        <v>6545</v>
      </c>
      <c r="BY2199" s="2" t="s">
        <v>112</v>
      </c>
      <c r="BZ2199" s="2" t="s">
        <v>100</v>
      </c>
    </row>
    <row r="2200">
      <c r="A2200" s="2" t="s">
        <v>7815</v>
      </c>
      <c r="B2200" s="2" t="s">
        <v>7252</v>
      </c>
      <c r="C2200" s="2" t="s">
        <v>88</v>
      </c>
      <c r="D2200" s="2" t="s">
        <v>7786</v>
      </c>
      <c r="E2200" s="2" t="s">
        <v>7787</v>
      </c>
      <c r="F2200" s="2" t="s">
        <v>7816</v>
      </c>
      <c r="G2200" s="2" t="s">
        <v>7817</v>
      </c>
      <c r="H2200" s="2" t="s">
        <v>7818</v>
      </c>
      <c r="I2200" s="2" t="s">
        <v>7819</v>
      </c>
      <c r="J2200" s="2" t="s">
        <v>6103</v>
      </c>
      <c r="K2200" s="2" t="s">
        <v>197</v>
      </c>
      <c r="L2200" s="3">
        <v>123.5</v>
      </c>
      <c r="M2200" s="3">
        <v>129.68</v>
      </c>
      <c r="N2200" s="3">
        <v>259</v>
      </c>
      <c r="O2200" s="2" t="s">
        <v>97</v>
      </c>
      <c r="P2200" s="2" t="s">
        <v>182</v>
      </c>
      <c r="Q2200" s="2" t="s">
        <v>99</v>
      </c>
      <c r="R2200" s="2" t="s">
        <v>100</v>
      </c>
      <c r="S2200" s="2" t="s">
        <v>7820</v>
      </c>
      <c r="T2200" s="2" t="s">
        <v>100</v>
      </c>
      <c r="U2200" s="2" t="s">
        <v>2104</v>
      </c>
      <c r="V2200" s="2" t="s">
        <v>601</v>
      </c>
      <c r="W2200" s="2" t="s">
        <v>6998</v>
      </c>
      <c r="X2200" s="2" t="s">
        <v>100</v>
      </c>
      <c r="Y2200" s="2" t="s">
        <v>106</v>
      </c>
      <c r="Z2200" s="4">
        <v>270</v>
      </c>
      <c r="AA2200" s="4">
        <f>=ROUNDDOWN(54,0)</f>
      </c>
      <c r="AB2200" s="5">
        <v>5</v>
      </c>
      <c r="AC2200" s="2" t="s">
        <v>100</v>
      </c>
      <c r="AD2200" s="4"/>
      <c r="AE2200" s="4"/>
      <c r="AF2200" s="6">
        <v>76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>
        <v>0</v>
      </c>
      <c r="AP2200" s="4">
        <v>14</v>
      </c>
      <c r="AQ2200" s="8">
        <v>1815.52</v>
      </c>
      <c r="AR2200" s="4">
        <v>20</v>
      </c>
      <c r="AS2200" s="8">
        <v>2102.16</v>
      </c>
      <c r="AT2200" s="7">
        <v>-0.3</v>
      </c>
      <c r="AU2200" s="7">
        <v>-0.1364</v>
      </c>
      <c r="AV2200" s="4">
        <v>14</v>
      </c>
      <c r="AW2200" s="8">
        <v>1815.52</v>
      </c>
      <c r="AX2200" s="4">
        <v>20</v>
      </c>
      <c r="AY2200" s="8">
        <v>2102.16</v>
      </c>
      <c r="AZ2200" s="7">
        <v>-0.3</v>
      </c>
      <c r="BA2200" s="7">
        <v>-0.1364</v>
      </c>
      <c r="BB2200" s="7">
        <v>1</v>
      </c>
      <c r="BC2200" s="4">
        <v>30</v>
      </c>
      <c r="BD2200" s="8">
        <v>3890.4</v>
      </c>
      <c r="BE2200" s="4">
        <v>34</v>
      </c>
      <c r="BF2200" s="8">
        <v>3623.44</v>
      </c>
      <c r="BG2200" s="7">
        <v>-0.1176</v>
      </c>
      <c r="BH2200" s="7">
        <v>0.0737</v>
      </c>
      <c r="BI2200" s="7">
        <v>0.4667</v>
      </c>
      <c r="BJ2200" s="4">
        <v>111</v>
      </c>
      <c r="BK2200" s="8">
        <v>13268.16</v>
      </c>
      <c r="BL2200" s="2" t="s">
        <v>7821</v>
      </c>
      <c r="BM2200" s="7">
        <v>0.1261</v>
      </c>
      <c r="BN2200" s="7">
        <v>0.1368</v>
      </c>
      <c r="BO2200" s="4">
        <v>14</v>
      </c>
      <c r="BP2200" s="8">
        <v>1815.52</v>
      </c>
      <c r="BQ2200" s="4">
        <v>20</v>
      </c>
      <c r="BR2200" s="8">
        <v>2102.16</v>
      </c>
      <c r="BS2200" s="7">
        <v>-0.3</v>
      </c>
      <c r="BT2200" s="7">
        <v>-0.1364</v>
      </c>
      <c r="BU2200" s="2" t="s">
        <v>109</v>
      </c>
      <c r="BV2200" s="2" t="s">
        <v>97</v>
      </c>
      <c r="BW2200" s="2" t="s">
        <v>7307</v>
      </c>
      <c r="BX2200" s="2" t="s">
        <v>7822</v>
      </c>
      <c r="BY2200" s="2" t="s">
        <v>112</v>
      </c>
      <c r="BZ2200" s="2" t="s">
        <v>100</v>
      </c>
    </row>
    <row r="2201">
      <c r="A2201" s="2" t="s">
        <v>7823</v>
      </c>
      <c r="B2201" s="2" t="s">
        <v>7252</v>
      </c>
      <c r="C2201" s="2" t="s">
        <v>88</v>
      </c>
      <c r="D2201" s="2" t="s">
        <v>7786</v>
      </c>
      <c r="E2201" s="2" t="s">
        <v>7787</v>
      </c>
      <c r="F2201" s="2" t="s">
        <v>7816</v>
      </c>
      <c r="G2201" s="2" t="s">
        <v>7817</v>
      </c>
      <c r="H2201" s="2" t="s">
        <v>7818</v>
      </c>
      <c r="I2201" s="2" t="s">
        <v>7819</v>
      </c>
      <c r="J2201" s="2" t="s">
        <v>6103</v>
      </c>
      <c r="K2201" s="2" t="s">
        <v>333</v>
      </c>
      <c r="L2201" s="3">
        <v>123.5</v>
      </c>
      <c r="M2201" s="3">
        <v>129.68</v>
      </c>
      <c r="N2201" s="3">
        <v>259</v>
      </c>
      <c r="O2201" s="2" t="s">
        <v>97</v>
      </c>
      <c r="P2201" s="2" t="s">
        <v>182</v>
      </c>
      <c r="Q2201" s="2" t="s">
        <v>99</v>
      </c>
      <c r="R2201" s="2" t="s">
        <v>100</v>
      </c>
      <c r="S2201" s="2" t="s">
        <v>7824</v>
      </c>
      <c r="T2201" s="2" t="s">
        <v>100</v>
      </c>
      <c r="U2201" s="2" t="s">
        <v>100</v>
      </c>
      <c r="V2201" s="2" t="s">
        <v>601</v>
      </c>
      <c r="W2201" s="2" t="s">
        <v>6998</v>
      </c>
      <c r="X2201" s="2" t="s">
        <v>100</v>
      </c>
      <c r="Y2201" s="2" t="s">
        <v>363</v>
      </c>
      <c r="Z2201" s="4">
        <v>80</v>
      </c>
      <c r="AA2201" s="4">
        <f>=ROUNDDOWN(10,0)</f>
      </c>
      <c r="AB2201" s="5">
        <v>8</v>
      </c>
      <c r="AC2201" s="2" t="s">
        <v>1221</v>
      </c>
      <c r="AD2201" s="4">
        <v>55</v>
      </c>
      <c r="AE2201" s="4">
        <v>255</v>
      </c>
      <c r="AF2201" s="6">
        <v>76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>
        <v>0</v>
      </c>
      <c r="AP2201" s="4">
        <v>12</v>
      </c>
      <c r="AQ2201" s="8">
        <v>1556.16</v>
      </c>
      <c r="AR2201" s="4">
        <v>5</v>
      </c>
      <c r="AS2201" s="8">
        <v>518.72</v>
      </c>
      <c r="AT2201" s="7">
        <v>1.4</v>
      </c>
      <c r="AU2201" s="7">
        <v>2</v>
      </c>
      <c r="AV2201" s="4">
        <v>12</v>
      </c>
      <c r="AW2201" s="8">
        <v>1556.16</v>
      </c>
      <c r="AX2201" s="4">
        <v>12</v>
      </c>
      <c r="AY2201" s="8">
        <v>1326.76</v>
      </c>
      <c r="AZ2201" s="7" t="s">
        <v>100</v>
      </c>
      <c r="BA2201" s="7">
        <v>0.1729</v>
      </c>
      <c r="BB2201" s="7">
        <v>1</v>
      </c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>
        <v>0.4</v>
      </c>
      <c r="BJ2201" s="4">
        <v>162</v>
      </c>
      <c r="BK2201" s="8">
        <v>18481.54</v>
      </c>
      <c r="BL2201" s="2" t="s">
        <v>7825</v>
      </c>
      <c r="BM2201" s="7">
        <v>0.0741</v>
      </c>
      <c r="BN2201" s="7">
        <v>0.0842</v>
      </c>
      <c r="BO2201" s="4">
        <v>12</v>
      </c>
      <c r="BP2201" s="8">
        <v>1556.16</v>
      </c>
      <c r="BQ2201" s="4">
        <v>5</v>
      </c>
      <c r="BR2201" s="8">
        <v>518.72</v>
      </c>
      <c r="BS2201" s="7">
        <v>1.4</v>
      </c>
      <c r="BT2201" s="7">
        <v>2</v>
      </c>
      <c r="BU2201" s="2" t="s">
        <v>109</v>
      </c>
      <c r="BV2201" s="2" t="s">
        <v>7826</v>
      </c>
      <c r="BW2201" s="2" t="s">
        <v>7827</v>
      </c>
      <c r="BX2201" s="2" t="s">
        <v>5076</v>
      </c>
      <c r="BY2201" s="2" t="s">
        <v>112</v>
      </c>
      <c r="BZ2201" s="2" t="s">
        <v>100</v>
      </c>
    </row>
    <row r="2202">
      <c r="A2202" s="2" t="s">
        <v>7828</v>
      </c>
      <c r="B2202" s="2" t="s">
        <v>7252</v>
      </c>
      <c r="C2202" s="2" t="s">
        <v>88</v>
      </c>
      <c r="D2202" s="2" t="s">
        <v>7786</v>
      </c>
      <c r="E2202" s="2" t="s">
        <v>7787</v>
      </c>
      <c r="F2202" s="2" t="s">
        <v>7816</v>
      </c>
      <c r="G2202" s="2" t="s">
        <v>7817</v>
      </c>
      <c r="H2202" s="2" t="s">
        <v>7818</v>
      </c>
      <c r="I2202" s="2" t="s">
        <v>7787</v>
      </c>
      <c r="J2202" s="2" t="s">
        <v>6103</v>
      </c>
      <c r="K2202" s="2" t="s">
        <v>333</v>
      </c>
      <c r="L2202" s="3">
        <v>128.85</v>
      </c>
      <c r="M2202" s="3">
        <v>135.29</v>
      </c>
      <c r="N2202" s="3">
        <v>269</v>
      </c>
      <c r="O2202" s="2" t="s">
        <v>97</v>
      </c>
      <c r="P2202" s="2" t="s">
        <v>1265</v>
      </c>
      <c r="Q2202" s="2" t="s">
        <v>99</v>
      </c>
      <c r="R2202" s="2" t="s">
        <v>100</v>
      </c>
      <c r="S2202" s="2" t="s">
        <v>7829</v>
      </c>
      <c r="T2202" s="2" t="s">
        <v>100</v>
      </c>
      <c r="U2202" s="2" t="s">
        <v>100</v>
      </c>
      <c r="V2202" s="2" t="s">
        <v>601</v>
      </c>
      <c r="W2202" s="2" t="s">
        <v>6998</v>
      </c>
      <c r="X2202" s="2" t="s">
        <v>100</v>
      </c>
      <c r="Y2202" s="2" t="s">
        <v>3138</v>
      </c>
      <c r="Z2202" s="4">
        <v>99</v>
      </c>
      <c r="AA2202" s="4">
        <f>=ROUNDDOWN(49.5,0)</f>
      </c>
      <c r="AB2202" s="5">
        <v>2</v>
      </c>
      <c r="AC2202" s="2" t="s">
        <v>2120</v>
      </c>
      <c r="AD2202" s="4">
        <v>98</v>
      </c>
      <c r="AE2202" s="4">
        <v>100</v>
      </c>
      <c r="AF2202" s="6">
        <v>76</v>
      </c>
      <c r="AG2202" s="6">
        <v>67</v>
      </c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>
        <v>0</v>
      </c>
      <c r="AP2202" s="4"/>
      <c r="AQ2202" s="8"/>
      <c r="AR2202" s="4">
        <v>7</v>
      </c>
      <c r="AS2202" s="8">
        <v>808.04</v>
      </c>
      <c r="AT2202" s="7">
        <v>-1</v>
      </c>
      <c r="AU2202" s="7">
        <v>-1</v>
      </c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 t="s">
        <v>100</v>
      </c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 t="s">
        <v>100</v>
      </c>
      <c r="BJ2202" s="4">
        <v>71</v>
      </c>
      <c r="BK2202" s="8">
        <v>8903.63</v>
      </c>
      <c r="BL2202" s="2" t="s">
        <v>7830</v>
      </c>
      <c r="BM2202" s="7"/>
      <c r="BN2202" s="7"/>
      <c r="BO2202" s="4"/>
      <c r="BP2202" s="8"/>
      <c r="BQ2202" s="4">
        <v>7</v>
      </c>
      <c r="BR2202" s="8">
        <v>808.04</v>
      </c>
      <c r="BS2202" s="7">
        <v>-1</v>
      </c>
      <c r="BT2202" s="7">
        <v>-1</v>
      </c>
      <c r="BU2202" s="2" t="s">
        <v>109</v>
      </c>
      <c r="BV2202" s="2" t="s">
        <v>97</v>
      </c>
      <c r="BW2202" s="2" t="s">
        <v>4819</v>
      </c>
      <c r="BX2202" s="2" t="s">
        <v>3595</v>
      </c>
      <c r="BY2202" s="2" t="s">
        <v>112</v>
      </c>
      <c r="BZ2202" s="2" t="s">
        <v>100</v>
      </c>
    </row>
    <row r="2203">
      <c r="A2203" s="2" t="s">
        <v>7831</v>
      </c>
      <c r="B2203" s="2" t="s">
        <v>7252</v>
      </c>
      <c r="C2203" s="2" t="s">
        <v>88</v>
      </c>
      <c r="D2203" s="2" t="s">
        <v>7786</v>
      </c>
      <c r="E2203" s="2" t="s">
        <v>7787</v>
      </c>
      <c r="F2203" s="2" t="s">
        <v>7816</v>
      </c>
      <c r="G2203" s="2" t="s">
        <v>7817</v>
      </c>
      <c r="H2203" s="2" t="s">
        <v>7818</v>
      </c>
      <c r="I2203" s="2" t="s">
        <v>7819</v>
      </c>
      <c r="J2203" s="2" t="s">
        <v>6103</v>
      </c>
      <c r="K2203" s="2" t="s">
        <v>7362</v>
      </c>
      <c r="L2203" s="3">
        <v>123.5</v>
      </c>
      <c r="M2203" s="3">
        <v>129.68</v>
      </c>
      <c r="N2203" s="3">
        <v>259</v>
      </c>
      <c r="O2203" s="2" t="s">
        <v>97</v>
      </c>
      <c r="P2203" s="2" t="s">
        <v>1265</v>
      </c>
      <c r="Q2203" s="2" t="s">
        <v>99</v>
      </c>
      <c r="R2203" s="2" t="s">
        <v>100</v>
      </c>
      <c r="S2203" s="2" t="s">
        <v>7832</v>
      </c>
      <c r="T2203" s="2" t="s">
        <v>100</v>
      </c>
      <c r="U2203" s="2" t="s">
        <v>2104</v>
      </c>
      <c r="V2203" s="2" t="s">
        <v>601</v>
      </c>
      <c r="W2203" s="2" t="s">
        <v>6998</v>
      </c>
      <c r="X2203" s="2" t="s">
        <v>100</v>
      </c>
      <c r="Y2203" s="2" t="s">
        <v>106</v>
      </c>
      <c r="Z2203" s="4">
        <v>80</v>
      </c>
      <c r="AA2203" s="4">
        <f>=ROUNDDOWN(20,0)</f>
      </c>
      <c r="AB2203" s="5">
        <v>4</v>
      </c>
      <c r="AC2203" s="2" t="s">
        <v>1221</v>
      </c>
      <c r="AD2203" s="4">
        <v>100</v>
      </c>
      <c r="AE2203" s="4">
        <v>100</v>
      </c>
      <c r="AF2203" s="6">
        <v>76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>
        <v>4</v>
      </c>
      <c r="AQ2203" s="8">
        <v>518.72</v>
      </c>
      <c r="AR2203" s="4">
        <v>2</v>
      </c>
      <c r="AS2203" s="8">
        <v>194.52</v>
      </c>
      <c r="AT2203" s="7">
        <v>1</v>
      </c>
      <c r="AU2203" s="7">
        <v>1.6667</v>
      </c>
      <c r="AV2203" s="4">
        <v>4</v>
      </c>
      <c r="AW2203" s="8">
        <v>518.72</v>
      </c>
      <c r="AX2203" s="4">
        <v>2</v>
      </c>
      <c r="AY2203" s="8">
        <v>194.52</v>
      </c>
      <c r="AZ2203" s="7">
        <v>1</v>
      </c>
      <c r="BA2203" s="7">
        <v>1.6667</v>
      </c>
      <c r="BB2203" s="7">
        <v>1</v>
      </c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>
        <v>0.1333</v>
      </c>
      <c r="BJ2203" s="4">
        <v>75</v>
      </c>
      <c r="BK2203" s="8">
        <v>8517.17</v>
      </c>
      <c r="BL2203" s="2" t="s">
        <v>7833</v>
      </c>
      <c r="BM2203" s="7">
        <v>0.0533</v>
      </c>
      <c r="BN2203" s="7">
        <v>0.0609</v>
      </c>
      <c r="BO2203" s="4">
        <v>4</v>
      </c>
      <c r="BP2203" s="8">
        <v>518.72</v>
      </c>
      <c r="BQ2203" s="4">
        <v>2</v>
      </c>
      <c r="BR2203" s="8">
        <v>194.52</v>
      </c>
      <c r="BS2203" s="7">
        <v>1</v>
      </c>
      <c r="BT2203" s="7">
        <v>1.6667</v>
      </c>
      <c r="BU2203" s="2" t="s">
        <v>109</v>
      </c>
      <c r="BV2203" s="2" t="s">
        <v>97</v>
      </c>
      <c r="BW2203" s="2" t="s">
        <v>7382</v>
      </c>
      <c r="BX2203" s="2" t="s">
        <v>1611</v>
      </c>
      <c r="BY2203" s="2" t="s">
        <v>112</v>
      </c>
      <c r="BZ2203" s="2" t="s">
        <v>100</v>
      </c>
    </row>
    <row r="2204">
      <c r="A2204" s="2" t="s">
        <v>7834</v>
      </c>
      <c r="B2204" s="2" t="s">
        <v>7252</v>
      </c>
      <c r="C2204" s="2" t="s">
        <v>88</v>
      </c>
      <c r="D2204" s="2" t="s">
        <v>7786</v>
      </c>
      <c r="E2204" s="2" t="s">
        <v>7787</v>
      </c>
      <c r="F2204" s="2" t="s">
        <v>7835</v>
      </c>
      <c r="G2204" s="2" t="s">
        <v>7836</v>
      </c>
      <c r="H2204" s="2" t="s">
        <v>7837</v>
      </c>
      <c r="I2204" s="2" t="s">
        <v>7838</v>
      </c>
      <c r="J2204" s="2" t="s">
        <v>6103</v>
      </c>
      <c r="K2204" s="2" t="s">
        <v>197</v>
      </c>
      <c r="L2204" s="3">
        <v>84.15</v>
      </c>
      <c r="M2204" s="3">
        <v>88.36</v>
      </c>
      <c r="N2204" s="3">
        <v>179</v>
      </c>
      <c r="O2204" s="2" t="s">
        <v>97</v>
      </c>
      <c r="P2204" s="2" t="s">
        <v>182</v>
      </c>
      <c r="Q2204" s="2" t="s">
        <v>99</v>
      </c>
      <c r="R2204" s="2" t="s">
        <v>100</v>
      </c>
      <c r="S2204" s="2" t="s">
        <v>7839</v>
      </c>
      <c r="T2204" s="2" t="s">
        <v>100</v>
      </c>
      <c r="U2204" s="2" t="s">
        <v>100</v>
      </c>
      <c r="V2204" s="2" t="s">
        <v>601</v>
      </c>
      <c r="W2204" s="2" t="s">
        <v>602</v>
      </c>
      <c r="X2204" s="2" t="s">
        <v>100</v>
      </c>
      <c r="Y2204" s="2" t="s">
        <v>106</v>
      </c>
      <c r="Z2204" s="4">
        <v>260</v>
      </c>
      <c r="AA2204" s="4">
        <f>=ROUNDDOWN(65,0)</f>
      </c>
      <c r="AB2204" s="5">
        <v>4</v>
      </c>
      <c r="AC2204" s="2" t="s">
        <v>1328</v>
      </c>
      <c r="AD2204" s="4">
        <v>100</v>
      </c>
      <c r="AE2204" s="4">
        <v>100</v>
      </c>
      <c r="AF2204" s="6">
        <v>76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>
        <v>0</v>
      </c>
      <c r="AP2204" s="4">
        <v>23</v>
      </c>
      <c r="AQ2204" s="8">
        <v>2032.28</v>
      </c>
      <c r="AR2204" s="4">
        <v>48</v>
      </c>
      <c r="AS2204" s="8">
        <v>4393.54</v>
      </c>
      <c r="AT2204" s="7">
        <v>-0.5208</v>
      </c>
      <c r="AU2204" s="7">
        <v>-0.5374</v>
      </c>
      <c r="AV2204" s="4">
        <v>23</v>
      </c>
      <c r="AW2204" s="8">
        <v>2032.28</v>
      </c>
      <c r="AX2204" s="4">
        <v>48</v>
      </c>
      <c r="AY2204" s="8">
        <v>4393.54</v>
      </c>
      <c r="AZ2204" s="7">
        <v>-0.5208</v>
      </c>
      <c r="BA2204" s="7">
        <v>-0.5374</v>
      </c>
      <c r="BB2204" s="7">
        <v>1</v>
      </c>
      <c r="BC2204" s="4">
        <v>29</v>
      </c>
      <c r="BD2204" s="8">
        <v>2562.44</v>
      </c>
      <c r="BE2204" s="4">
        <v>98</v>
      </c>
      <c r="BF2204" s="8">
        <v>8828.79</v>
      </c>
      <c r="BG2204" s="7">
        <v>-0.7041</v>
      </c>
      <c r="BH2204" s="7">
        <v>-0.7098</v>
      </c>
      <c r="BI2204" s="7">
        <v>0.7931</v>
      </c>
      <c r="BJ2204" s="4">
        <v>131</v>
      </c>
      <c r="BK2204" s="8">
        <v>10838.59</v>
      </c>
      <c r="BL2204" s="2" t="s">
        <v>7840</v>
      </c>
      <c r="BM2204" s="7">
        <v>0.1756</v>
      </c>
      <c r="BN2204" s="7">
        <v>0.1875</v>
      </c>
      <c r="BO2204" s="4">
        <v>23</v>
      </c>
      <c r="BP2204" s="8">
        <v>2032.28</v>
      </c>
      <c r="BQ2204" s="4">
        <v>48</v>
      </c>
      <c r="BR2204" s="8">
        <v>4393.54</v>
      </c>
      <c r="BS2204" s="7">
        <v>-0.5208</v>
      </c>
      <c r="BT2204" s="7">
        <v>-0.5374</v>
      </c>
      <c r="BU2204" s="2" t="s">
        <v>109</v>
      </c>
      <c r="BV2204" s="2" t="s">
        <v>97</v>
      </c>
      <c r="BW2204" s="2" t="s">
        <v>7841</v>
      </c>
      <c r="BX2204" s="2" t="s">
        <v>7842</v>
      </c>
      <c r="BY2204" s="2" t="s">
        <v>112</v>
      </c>
      <c r="BZ2204" s="2" t="s">
        <v>100</v>
      </c>
    </row>
    <row r="2205">
      <c r="A2205" s="2" t="s">
        <v>7843</v>
      </c>
      <c r="B2205" s="2" t="s">
        <v>7252</v>
      </c>
      <c r="C2205" s="2" t="s">
        <v>88</v>
      </c>
      <c r="D2205" s="2" t="s">
        <v>7786</v>
      </c>
      <c r="E2205" s="2" t="s">
        <v>7787</v>
      </c>
      <c r="F2205" s="2" t="s">
        <v>7835</v>
      </c>
      <c r="G2205" s="2" t="s">
        <v>7836</v>
      </c>
      <c r="H2205" s="2" t="s">
        <v>7837</v>
      </c>
      <c r="I2205" s="2" t="s">
        <v>7838</v>
      </c>
      <c r="J2205" s="2" t="s">
        <v>6103</v>
      </c>
      <c r="K2205" s="2" t="s">
        <v>310</v>
      </c>
      <c r="L2205" s="3">
        <v>84.15</v>
      </c>
      <c r="M2205" s="3">
        <v>88.36</v>
      </c>
      <c r="N2205" s="3">
        <v>179</v>
      </c>
      <c r="O2205" s="2" t="s">
        <v>97</v>
      </c>
      <c r="P2205" s="2" t="s">
        <v>182</v>
      </c>
      <c r="Q2205" s="2" t="s">
        <v>99</v>
      </c>
      <c r="R2205" s="2" t="s">
        <v>100</v>
      </c>
      <c r="S2205" s="2" t="s">
        <v>7844</v>
      </c>
      <c r="T2205" s="2" t="s">
        <v>100</v>
      </c>
      <c r="U2205" s="2" t="s">
        <v>100</v>
      </c>
      <c r="V2205" s="2" t="s">
        <v>601</v>
      </c>
      <c r="W2205" s="2" t="s">
        <v>104</v>
      </c>
      <c r="X2205" s="2" t="s">
        <v>100</v>
      </c>
      <c r="Y2205" s="2" t="s">
        <v>106</v>
      </c>
      <c r="Z2205" s="4">
        <v>594</v>
      </c>
      <c r="AA2205" s="4">
        <f>=ROUNDDOWN(33,0)</f>
      </c>
      <c r="AB2205" s="5">
        <v>18</v>
      </c>
      <c r="AC2205" s="2" t="s">
        <v>7845</v>
      </c>
      <c r="AD2205" s="4">
        <v>185</v>
      </c>
      <c r="AE2205" s="4">
        <v>185</v>
      </c>
      <c r="AF2205" s="6">
        <v>76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>
        <v>0</v>
      </c>
      <c r="AP2205" s="4">
        <v>6</v>
      </c>
      <c r="AQ2205" s="8">
        <v>530.16</v>
      </c>
      <c r="AR2205" s="4">
        <v>50</v>
      </c>
      <c r="AS2205" s="8">
        <v>4435.25</v>
      </c>
      <c r="AT2205" s="7">
        <v>-0.88</v>
      </c>
      <c r="AU2205" s="7">
        <v>-0.8805</v>
      </c>
      <c r="AV2205" s="4">
        <v>6</v>
      </c>
      <c r="AW2205" s="8">
        <v>530.16</v>
      </c>
      <c r="AX2205" s="4">
        <v>50</v>
      </c>
      <c r="AY2205" s="8">
        <v>4435.25</v>
      </c>
      <c r="AZ2205" s="7">
        <v>-0.88</v>
      </c>
      <c r="BA2205" s="7">
        <v>-0.8805</v>
      </c>
      <c r="BB2205" s="7">
        <v>1</v>
      </c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>
        <v>0.2069</v>
      </c>
      <c r="BJ2205" s="4">
        <v>351</v>
      </c>
      <c r="BK2205" s="8">
        <v>27887.08</v>
      </c>
      <c r="BL2205" s="2" t="s">
        <v>7846</v>
      </c>
      <c r="BM2205" s="7">
        <v>0.0171</v>
      </c>
      <c r="BN2205" s="7">
        <v>0.019</v>
      </c>
      <c r="BO2205" s="4">
        <v>6</v>
      </c>
      <c r="BP2205" s="8">
        <v>530.16</v>
      </c>
      <c r="BQ2205" s="4">
        <v>50</v>
      </c>
      <c r="BR2205" s="8">
        <v>4435.25</v>
      </c>
      <c r="BS2205" s="7">
        <v>-0.88</v>
      </c>
      <c r="BT2205" s="7">
        <v>-0.8805</v>
      </c>
      <c r="BU2205" s="2" t="s">
        <v>109</v>
      </c>
      <c r="BV2205" s="2" t="s">
        <v>97</v>
      </c>
      <c r="BW2205" s="2" t="s">
        <v>7311</v>
      </c>
      <c r="BX2205" s="2" t="s">
        <v>7847</v>
      </c>
      <c r="BY2205" s="2" t="s">
        <v>112</v>
      </c>
      <c r="BZ2205" s="2" t="s">
        <v>100</v>
      </c>
    </row>
    <row r="2206">
      <c r="A2206" s="2" t="s">
        <v>7848</v>
      </c>
      <c r="B2206" s="2" t="s">
        <v>7252</v>
      </c>
      <c r="C2206" s="2" t="s">
        <v>88</v>
      </c>
      <c r="D2206" s="2" t="s">
        <v>7786</v>
      </c>
      <c r="E2206" s="2" t="s">
        <v>7787</v>
      </c>
      <c r="F2206" s="2" t="s">
        <v>7835</v>
      </c>
      <c r="G2206" s="2" t="s">
        <v>7836</v>
      </c>
      <c r="H2206" s="2" t="s">
        <v>7837</v>
      </c>
      <c r="I2206" s="2" t="s">
        <v>7838</v>
      </c>
      <c r="J2206" s="2" t="s">
        <v>6103</v>
      </c>
      <c r="K2206" s="2" t="s">
        <v>7696</v>
      </c>
      <c r="L2206" s="3">
        <v>84.15</v>
      </c>
      <c r="M2206" s="3">
        <v>88.36</v>
      </c>
      <c r="N2206" s="3">
        <v>179</v>
      </c>
      <c r="O2206" s="2" t="s">
        <v>97</v>
      </c>
      <c r="P2206" s="2" t="s">
        <v>182</v>
      </c>
      <c r="Q2206" s="2" t="s">
        <v>99</v>
      </c>
      <c r="R2206" s="2" t="s">
        <v>100</v>
      </c>
      <c r="S2206" s="2" t="s">
        <v>100</v>
      </c>
      <c r="T2206" s="2" t="s">
        <v>100</v>
      </c>
      <c r="U2206" s="2" t="s">
        <v>100</v>
      </c>
      <c r="V2206" s="2" t="s">
        <v>1752</v>
      </c>
      <c r="W2206" s="2" t="s">
        <v>104</v>
      </c>
      <c r="X2206" s="2" t="s">
        <v>100</v>
      </c>
      <c r="Y2206" s="2" t="s">
        <v>7849</v>
      </c>
      <c r="Z2206" s="4">
        <v>339</v>
      </c>
      <c r="AA2206" s="4">
        <f>=ROUNDDOWN(42.375,0)</f>
      </c>
      <c r="AB2206" s="5">
        <v>8</v>
      </c>
      <c r="AC2206" s="2" t="s">
        <v>1328</v>
      </c>
      <c r="AD2206" s="4">
        <v>130</v>
      </c>
      <c r="AE2206" s="4">
        <v>130</v>
      </c>
      <c r="AF2206" s="6">
        <v>76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/>
      <c r="AW2206" s="8"/>
      <c r="AX2206" s="4"/>
      <c r="AY2206" s="8"/>
      <c r="AZ2206" s="7"/>
      <c r="BA2206" s="7"/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134</v>
      </c>
      <c r="BK2206" s="8">
        <v>11575.47</v>
      </c>
      <c r="BL2206" s="2" t="s">
        <v>7850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6185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7851</v>
      </c>
      <c r="B2207" s="2" t="s">
        <v>7252</v>
      </c>
      <c r="C2207" s="2" t="s">
        <v>88</v>
      </c>
      <c r="D2207" s="2" t="s">
        <v>7786</v>
      </c>
      <c r="E2207" s="2" t="s">
        <v>7787</v>
      </c>
      <c r="F2207" s="2" t="s">
        <v>7852</v>
      </c>
      <c r="G2207" s="2" t="s">
        <v>7853</v>
      </c>
      <c r="H2207" s="2" t="s">
        <v>7854</v>
      </c>
      <c r="I2207" s="2" t="s">
        <v>7855</v>
      </c>
      <c r="J2207" s="2" t="s">
        <v>6103</v>
      </c>
      <c r="K2207" s="2" t="s">
        <v>2553</v>
      </c>
      <c r="L2207" s="3">
        <v>131.87</v>
      </c>
      <c r="M2207" s="3">
        <v>138.46</v>
      </c>
      <c r="N2207" s="3">
        <v>279</v>
      </c>
      <c r="O2207" s="2" t="s">
        <v>97</v>
      </c>
      <c r="P2207" s="2" t="s">
        <v>182</v>
      </c>
      <c r="Q2207" s="2" t="s">
        <v>99</v>
      </c>
      <c r="R2207" s="2" t="s">
        <v>100</v>
      </c>
      <c r="S2207" s="2" t="s">
        <v>100</v>
      </c>
      <c r="T2207" s="2" t="s">
        <v>100</v>
      </c>
      <c r="U2207" s="2" t="s">
        <v>3531</v>
      </c>
      <c r="V2207" s="2" t="s">
        <v>1752</v>
      </c>
      <c r="W2207" s="2" t="s">
        <v>104</v>
      </c>
      <c r="X2207" s="2" t="s">
        <v>100</v>
      </c>
      <c r="Y2207" s="2" t="s">
        <v>7856</v>
      </c>
      <c r="Z2207" s="4">
        <v>157</v>
      </c>
      <c r="AA2207" s="4">
        <f>=ROUNDDOWN(17.4444444444444,0)</f>
      </c>
      <c r="AB2207" s="5">
        <v>9</v>
      </c>
      <c r="AC2207" s="2" t="s">
        <v>430</v>
      </c>
      <c r="AD2207" s="4">
        <v>55</v>
      </c>
      <c r="AE2207" s="4">
        <v>150</v>
      </c>
      <c r="AF2207" s="6">
        <v>66</v>
      </c>
      <c r="AG2207" s="6">
        <v>49</v>
      </c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>
        <v>0</v>
      </c>
      <c r="AP2207" s="4">
        <v>15</v>
      </c>
      <c r="AQ2207" s="8">
        <v>2077.05</v>
      </c>
      <c r="AR2207" s="4">
        <v>10</v>
      </c>
      <c r="AS2207" s="8">
        <v>1388.5</v>
      </c>
      <c r="AT2207" s="7">
        <v>0.5</v>
      </c>
      <c r="AU2207" s="7">
        <v>0.4959</v>
      </c>
      <c r="AV2207" s="4">
        <v>15</v>
      </c>
      <c r="AW2207" s="8">
        <v>2077.05</v>
      </c>
      <c r="AX2207" s="4">
        <v>10</v>
      </c>
      <c r="AY2207" s="8">
        <v>1388.5</v>
      </c>
      <c r="AZ2207" s="7">
        <v>0.5</v>
      </c>
      <c r="BA2207" s="7">
        <v>0.4959</v>
      </c>
      <c r="BB2207" s="7">
        <v>1</v>
      </c>
      <c r="BC2207" s="4">
        <v>19</v>
      </c>
      <c r="BD2207" s="8">
        <v>2492.45</v>
      </c>
      <c r="BE2207" s="4">
        <v>74</v>
      </c>
      <c r="BF2207" s="8">
        <v>9484.9</v>
      </c>
      <c r="BG2207" s="7">
        <v>-0.7432</v>
      </c>
      <c r="BH2207" s="7">
        <v>-0.7372</v>
      </c>
      <c r="BI2207" s="7">
        <v>0.8333</v>
      </c>
      <c r="BJ2207" s="4">
        <v>183</v>
      </c>
      <c r="BK2207" s="8">
        <v>25839.53</v>
      </c>
      <c r="BL2207" s="2" t="s">
        <v>7857</v>
      </c>
      <c r="BM2207" s="7">
        <v>0.082</v>
      </c>
      <c r="BN2207" s="7">
        <v>0.0804</v>
      </c>
      <c r="BO2207" s="4">
        <v>15</v>
      </c>
      <c r="BP2207" s="8">
        <v>2077.05</v>
      </c>
      <c r="BQ2207" s="4">
        <v>10</v>
      </c>
      <c r="BR2207" s="8">
        <v>1388.5</v>
      </c>
      <c r="BS2207" s="7">
        <v>0.5</v>
      </c>
      <c r="BT2207" s="7">
        <v>0.4959</v>
      </c>
      <c r="BU2207" s="2" t="s">
        <v>109</v>
      </c>
      <c r="BV2207" s="2" t="s">
        <v>97</v>
      </c>
      <c r="BW2207" s="2" t="s">
        <v>6483</v>
      </c>
      <c r="BX2207" s="2" t="s">
        <v>5844</v>
      </c>
      <c r="BY2207" s="2" t="s">
        <v>112</v>
      </c>
      <c r="BZ2207" s="2" t="s">
        <v>100</v>
      </c>
    </row>
    <row r="2208">
      <c r="A2208" s="2" t="s">
        <v>7858</v>
      </c>
      <c r="B2208" s="2" t="s">
        <v>7252</v>
      </c>
      <c r="C2208" s="2" t="s">
        <v>88</v>
      </c>
      <c r="D2208" s="2" t="s">
        <v>7786</v>
      </c>
      <c r="E2208" s="2" t="s">
        <v>7787</v>
      </c>
      <c r="F2208" s="2" t="s">
        <v>7852</v>
      </c>
      <c r="G2208" s="2" t="s">
        <v>7853</v>
      </c>
      <c r="H2208" s="2" t="s">
        <v>7854</v>
      </c>
      <c r="I2208" s="2" t="s">
        <v>7855</v>
      </c>
      <c r="J2208" s="2" t="s">
        <v>6103</v>
      </c>
      <c r="K2208" s="2" t="s">
        <v>7696</v>
      </c>
      <c r="L2208" s="3">
        <v>131.87</v>
      </c>
      <c r="M2208" s="3">
        <v>138.46</v>
      </c>
      <c r="N2208" s="3">
        <v>279</v>
      </c>
      <c r="O2208" s="2" t="s">
        <v>97</v>
      </c>
      <c r="P2208" s="2" t="s">
        <v>143</v>
      </c>
      <c r="Q2208" s="2" t="s">
        <v>99</v>
      </c>
      <c r="R2208" s="2" t="s">
        <v>100</v>
      </c>
      <c r="S2208" s="2" t="s">
        <v>100</v>
      </c>
      <c r="T2208" s="2" t="s">
        <v>100</v>
      </c>
      <c r="U2208" s="2" t="s">
        <v>3531</v>
      </c>
      <c r="V2208" s="2" t="s">
        <v>601</v>
      </c>
      <c r="W2208" s="2" t="s">
        <v>104</v>
      </c>
      <c r="X2208" s="2" t="s">
        <v>100</v>
      </c>
      <c r="Y2208" s="2" t="s">
        <v>7859</v>
      </c>
      <c r="Z2208" s="4">
        <v>822</v>
      </c>
      <c r="AA2208" s="4">
        <f>=ROUNDDOWN(43.2631578947368,0)</f>
      </c>
      <c r="AB2208" s="5">
        <v>19</v>
      </c>
      <c r="AC2208" s="2" t="s">
        <v>382</v>
      </c>
      <c r="AD2208" s="4">
        <v>310</v>
      </c>
      <c r="AE2208" s="4">
        <v>310</v>
      </c>
      <c r="AF2208" s="6">
        <v>66</v>
      </c>
      <c r="AG2208" s="6">
        <v>49</v>
      </c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>
        <v>0</v>
      </c>
      <c r="AP2208" s="4">
        <v>4</v>
      </c>
      <c r="AQ2208" s="8">
        <v>415.4</v>
      </c>
      <c r="AR2208" s="4">
        <v>35</v>
      </c>
      <c r="AS2208" s="8">
        <v>4434.75</v>
      </c>
      <c r="AT2208" s="7">
        <v>-0.8857</v>
      </c>
      <c r="AU2208" s="7">
        <v>-0.9063</v>
      </c>
      <c r="AV2208" s="4">
        <v>4</v>
      </c>
      <c r="AW2208" s="8">
        <v>415.4</v>
      </c>
      <c r="AX2208" s="4">
        <v>35</v>
      </c>
      <c r="AY2208" s="8">
        <v>4434.75</v>
      </c>
      <c r="AZ2208" s="7">
        <v>-0.8857</v>
      </c>
      <c r="BA2208" s="7">
        <v>-0.9063</v>
      </c>
      <c r="BB2208" s="7">
        <v>1</v>
      </c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>
        <v>0.1667</v>
      </c>
      <c r="BJ2208" s="4">
        <v>414</v>
      </c>
      <c r="BK2208" s="8">
        <v>60072.17</v>
      </c>
      <c r="BL2208" s="2" t="s">
        <v>7860</v>
      </c>
      <c r="BM2208" s="7">
        <v>0.0097</v>
      </c>
      <c r="BN2208" s="7">
        <v>0.0069</v>
      </c>
      <c r="BO2208" s="4">
        <v>4</v>
      </c>
      <c r="BP2208" s="8">
        <v>415.4</v>
      </c>
      <c r="BQ2208" s="4">
        <v>35</v>
      </c>
      <c r="BR2208" s="8">
        <v>4434.75</v>
      </c>
      <c r="BS2208" s="7">
        <v>-0.8857</v>
      </c>
      <c r="BT2208" s="7">
        <v>-0.9063</v>
      </c>
      <c r="BU2208" s="2" t="s">
        <v>109</v>
      </c>
      <c r="BV2208" s="2" t="s">
        <v>97</v>
      </c>
      <c r="BW2208" s="2" t="s">
        <v>7307</v>
      </c>
      <c r="BX2208" s="2" t="s">
        <v>912</v>
      </c>
      <c r="BY2208" s="2" t="s">
        <v>112</v>
      </c>
      <c r="BZ2208" s="2" t="s">
        <v>100</v>
      </c>
    </row>
    <row r="2209">
      <c r="A2209" s="2" t="s">
        <v>7861</v>
      </c>
      <c r="B2209" s="2" t="s">
        <v>7252</v>
      </c>
      <c r="C2209" s="2" t="s">
        <v>88</v>
      </c>
      <c r="D2209" s="2" t="s">
        <v>7786</v>
      </c>
      <c r="E2209" s="2" t="s">
        <v>7787</v>
      </c>
      <c r="F2209" s="2" t="s">
        <v>7852</v>
      </c>
      <c r="G2209" s="2" t="s">
        <v>7853</v>
      </c>
      <c r="H2209" s="2" t="s">
        <v>7854</v>
      </c>
      <c r="I2209" s="2" t="s">
        <v>7855</v>
      </c>
      <c r="J2209" s="2" t="s">
        <v>6103</v>
      </c>
      <c r="K2209" s="2" t="s">
        <v>1412</v>
      </c>
      <c r="L2209" s="3">
        <v>131.87</v>
      </c>
      <c r="M2209" s="3">
        <v>138.46</v>
      </c>
      <c r="N2209" s="3">
        <v>279</v>
      </c>
      <c r="O2209" s="2" t="s">
        <v>97</v>
      </c>
      <c r="P2209" s="2" t="s">
        <v>143</v>
      </c>
      <c r="Q2209" s="2" t="s">
        <v>99</v>
      </c>
      <c r="R2209" s="2" t="s">
        <v>100</v>
      </c>
      <c r="S2209" s="2" t="s">
        <v>100</v>
      </c>
      <c r="T2209" s="2" t="s">
        <v>100</v>
      </c>
      <c r="U2209" s="2" t="s">
        <v>3531</v>
      </c>
      <c r="V2209" s="2" t="s">
        <v>601</v>
      </c>
      <c r="W2209" s="2" t="s">
        <v>104</v>
      </c>
      <c r="X2209" s="2" t="s">
        <v>759</v>
      </c>
      <c r="Y2209" s="2" t="s">
        <v>7862</v>
      </c>
      <c r="Z2209" s="4">
        <v>268</v>
      </c>
      <c r="AA2209" s="4">
        <f>=ROUNDDOWN(14.1052631578947,0)</f>
      </c>
      <c r="AB2209" s="5">
        <v>19</v>
      </c>
      <c r="AC2209" s="2" t="s">
        <v>126</v>
      </c>
      <c r="AD2209" s="4">
        <v>225</v>
      </c>
      <c r="AE2209" s="4">
        <v>395</v>
      </c>
      <c r="AF2209" s="6">
        <v>66</v>
      </c>
      <c r="AG2209" s="6">
        <v>49</v>
      </c>
      <c r="AH2209" s="7">
        <v>0.9939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>
        <v>0</v>
      </c>
      <c r="AP2209" s="4"/>
      <c r="AQ2209" s="8"/>
      <c r="AR2209" s="4">
        <v>29</v>
      </c>
      <c r="AS2209" s="8">
        <v>3661.65</v>
      </c>
      <c r="AT2209" s="7">
        <v>-1</v>
      </c>
      <c r="AU2209" s="7">
        <v>-1</v>
      </c>
      <c r="AV2209" s="4"/>
      <c r="AW2209" s="8"/>
      <c r="AX2209" s="4">
        <v>29</v>
      </c>
      <c r="AY2209" s="8">
        <v>3661.65</v>
      </c>
      <c r="AZ2209" s="7">
        <v>-1</v>
      </c>
      <c r="BA2209" s="7">
        <v>-1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453</v>
      </c>
      <c r="BK2209" s="8">
        <v>64826.7</v>
      </c>
      <c r="BL2209" s="2" t="s">
        <v>7863</v>
      </c>
      <c r="BM2209" s="7"/>
      <c r="BN2209" s="7"/>
      <c r="BO2209" s="4"/>
      <c r="BP2209" s="8"/>
      <c r="BQ2209" s="4">
        <v>29</v>
      </c>
      <c r="BR2209" s="8">
        <v>3661.65</v>
      </c>
      <c r="BS2209" s="7">
        <v>-1</v>
      </c>
      <c r="BT2209" s="7">
        <v>-1</v>
      </c>
      <c r="BU2209" s="2" t="s">
        <v>109</v>
      </c>
      <c r="BV2209" s="2" t="s">
        <v>97</v>
      </c>
      <c r="BW2209" s="2" t="s">
        <v>7311</v>
      </c>
      <c r="BX2209" s="2" t="s">
        <v>4328</v>
      </c>
      <c r="BY2209" s="2" t="s">
        <v>112</v>
      </c>
      <c r="BZ2209" s="2" t="s">
        <v>100</v>
      </c>
    </row>
    <row r="2210">
      <c r="A2210" s="2" t="s">
        <v>7864</v>
      </c>
      <c r="B2210" s="2" t="s">
        <v>7252</v>
      </c>
      <c r="C2210" s="2" t="s">
        <v>88</v>
      </c>
      <c r="D2210" s="2" t="s">
        <v>7786</v>
      </c>
      <c r="E2210" s="2" t="s">
        <v>7787</v>
      </c>
      <c r="F2210" s="2" t="s">
        <v>7865</v>
      </c>
      <c r="G2210" s="2" t="s">
        <v>7866</v>
      </c>
      <c r="H2210" s="2" t="s">
        <v>7867</v>
      </c>
      <c r="I2210" s="2" t="s">
        <v>7868</v>
      </c>
      <c r="J2210" s="2" t="s">
        <v>6103</v>
      </c>
      <c r="K2210" s="2" t="s">
        <v>333</v>
      </c>
      <c r="L2210" s="3">
        <v>57.86</v>
      </c>
      <c r="M2210" s="3">
        <v>60.75</v>
      </c>
      <c r="N2210" s="3">
        <v>129</v>
      </c>
      <c r="O2210" s="2" t="s">
        <v>97</v>
      </c>
      <c r="P2210" s="2" t="s">
        <v>182</v>
      </c>
      <c r="Q2210" s="2" t="s">
        <v>99</v>
      </c>
      <c r="R2210" s="2" t="s">
        <v>100</v>
      </c>
      <c r="S2210" s="2" t="s">
        <v>7869</v>
      </c>
      <c r="T2210" s="2" t="s">
        <v>100</v>
      </c>
      <c r="U2210" s="2" t="s">
        <v>100</v>
      </c>
      <c r="V2210" s="2" t="s">
        <v>601</v>
      </c>
      <c r="W2210" s="2" t="s">
        <v>602</v>
      </c>
      <c r="X2210" s="2" t="s">
        <v>100</v>
      </c>
      <c r="Y2210" s="2" t="s">
        <v>106</v>
      </c>
      <c r="Z2210" s="4">
        <v>646</v>
      </c>
      <c r="AA2210" s="4">
        <f>=ROUNDDOWN(43.0666666666667,0)</f>
      </c>
      <c r="AB2210" s="5">
        <v>15</v>
      </c>
      <c r="AC2210" s="2" t="s">
        <v>100</v>
      </c>
      <c r="AD2210" s="4"/>
      <c r="AE2210" s="4"/>
      <c r="AF2210" s="6">
        <v>76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>
        <v>0</v>
      </c>
      <c r="AP2210" s="4">
        <v>30</v>
      </c>
      <c r="AQ2210" s="8">
        <v>1518.9</v>
      </c>
      <c r="AR2210" s="4">
        <v>137</v>
      </c>
      <c r="AS2210" s="8">
        <v>8471.62</v>
      </c>
      <c r="AT2210" s="7">
        <v>-0.781</v>
      </c>
      <c r="AU2210" s="7">
        <v>-0.8207</v>
      </c>
      <c r="AV2210" s="4">
        <v>30</v>
      </c>
      <c r="AW2210" s="8">
        <v>1518.9</v>
      </c>
      <c r="AX2210" s="4">
        <v>137</v>
      </c>
      <c r="AY2210" s="8">
        <v>8471.62</v>
      </c>
      <c r="AZ2210" s="7">
        <v>-0.781</v>
      </c>
      <c r="BA2210" s="7">
        <v>-0.8207</v>
      </c>
      <c r="BB2210" s="7">
        <v>1</v>
      </c>
      <c r="BC2210" s="4">
        <v>44</v>
      </c>
      <c r="BD2210" s="8">
        <v>2369.4</v>
      </c>
      <c r="BE2210" s="4">
        <v>193</v>
      </c>
      <c r="BF2210" s="8">
        <v>12048.12</v>
      </c>
      <c r="BG2210" s="7">
        <v>-0.772</v>
      </c>
      <c r="BH2210" s="7">
        <v>-0.8033</v>
      </c>
      <c r="BI2210" s="7">
        <v>0.641</v>
      </c>
      <c r="BJ2210" s="4">
        <v>337</v>
      </c>
      <c r="BK2210" s="8">
        <v>21572.55</v>
      </c>
      <c r="BL2210" s="2" t="s">
        <v>7870</v>
      </c>
      <c r="BM2210" s="7">
        <v>0.089</v>
      </c>
      <c r="BN2210" s="7">
        <v>0.0704</v>
      </c>
      <c r="BO2210" s="4">
        <v>30</v>
      </c>
      <c r="BP2210" s="8">
        <v>1518.9</v>
      </c>
      <c r="BQ2210" s="4">
        <v>137</v>
      </c>
      <c r="BR2210" s="8">
        <v>8471.62</v>
      </c>
      <c r="BS2210" s="7">
        <v>-0.781</v>
      </c>
      <c r="BT2210" s="7">
        <v>-0.8207</v>
      </c>
      <c r="BU2210" s="2" t="s">
        <v>109</v>
      </c>
      <c r="BV2210" s="2" t="s">
        <v>97</v>
      </c>
      <c r="BW2210" s="2" t="s">
        <v>7307</v>
      </c>
      <c r="BX2210" s="2" t="s">
        <v>7871</v>
      </c>
      <c r="BY2210" s="2" t="s">
        <v>112</v>
      </c>
      <c r="BZ2210" s="2" t="s">
        <v>100</v>
      </c>
    </row>
    <row r="2211">
      <c r="A2211" s="2" t="s">
        <v>7872</v>
      </c>
      <c r="B2211" s="2" t="s">
        <v>7252</v>
      </c>
      <c r="C2211" s="2" t="s">
        <v>88</v>
      </c>
      <c r="D2211" s="2" t="s">
        <v>7786</v>
      </c>
      <c r="E2211" s="2" t="s">
        <v>7787</v>
      </c>
      <c r="F2211" s="2" t="s">
        <v>7865</v>
      </c>
      <c r="G2211" s="2" t="s">
        <v>7866</v>
      </c>
      <c r="H2211" s="2" t="s">
        <v>7867</v>
      </c>
      <c r="I2211" s="2" t="s">
        <v>7868</v>
      </c>
      <c r="J2211" s="2" t="s">
        <v>6103</v>
      </c>
      <c r="K2211" s="2" t="s">
        <v>197</v>
      </c>
      <c r="L2211" s="3">
        <v>57.86</v>
      </c>
      <c r="M2211" s="3">
        <v>60.75</v>
      </c>
      <c r="N2211" s="3">
        <v>129</v>
      </c>
      <c r="O2211" s="2" t="s">
        <v>97</v>
      </c>
      <c r="P2211" s="2" t="s">
        <v>182</v>
      </c>
      <c r="Q2211" s="2" t="s">
        <v>99</v>
      </c>
      <c r="R2211" s="2" t="s">
        <v>100</v>
      </c>
      <c r="S2211" s="2" t="s">
        <v>7873</v>
      </c>
      <c r="T2211" s="2" t="s">
        <v>100</v>
      </c>
      <c r="U2211" s="2" t="s">
        <v>100</v>
      </c>
      <c r="V2211" s="2" t="s">
        <v>601</v>
      </c>
      <c r="W2211" s="2" t="s">
        <v>602</v>
      </c>
      <c r="X2211" s="2" t="s">
        <v>100</v>
      </c>
      <c r="Y2211" s="2" t="s">
        <v>106</v>
      </c>
      <c r="Z2211" s="4">
        <v>87</v>
      </c>
      <c r="AA2211" s="4">
        <f>=ROUNDDOWN(10.875,0)</f>
      </c>
      <c r="AB2211" s="5">
        <v>8</v>
      </c>
      <c r="AC2211" s="2" t="s">
        <v>1328</v>
      </c>
      <c r="AD2211" s="4">
        <v>200</v>
      </c>
      <c r="AE2211" s="4">
        <v>200</v>
      </c>
      <c r="AF2211" s="6">
        <v>76</v>
      </c>
      <c r="AG2211" s="6">
        <v>67</v>
      </c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>
        <v>0</v>
      </c>
      <c r="AP2211" s="4">
        <v>12</v>
      </c>
      <c r="AQ2211" s="8">
        <v>729</v>
      </c>
      <c r="AR2211" s="4">
        <v>31</v>
      </c>
      <c r="AS2211" s="8">
        <v>2115.79</v>
      </c>
      <c r="AT2211" s="7">
        <v>-0.6129</v>
      </c>
      <c r="AU2211" s="7">
        <v>-0.6554</v>
      </c>
      <c r="AV2211" s="4">
        <v>12</v>
      </c>
      <c r="AW2211" s="8">
        <v>729</v>
      </c>
      <c r="AX2211" s="4">
        <v>31</v>
      </c>
      <c r="AY2211" s="8">
        <v>2115.79</v>
      </c>
      <c r="AZ2211" s="7">
        <v>-0.6129</v>
      </c>
      <c r="BA2211" s="7">
        <v>-0.6554</v>
      </c>
      <c r="BB2211" s="7">
        <v>1</v>
      </c>
      <c r="BC2211" s="4" t="s">
        <v>100</v>
      </c>
      <c r="BD2211" s="8" t="s">
        <v>100</v>
      </c>
      <c r="BE2211" s="4" t="s">
        <v>100</v>
      </c>
      <c r="BF2211" s="8" t="s">
        <v>100</v>
      </c>
      <c r="BG2211" s="7" t="s">
        <v>100</v>
      </c>
      <c r="BH2211" s="7" t="s">
        <v>100</v>
      </c>
      <c r="BI2211" s="7">
        <v>0.3077</v>
      </c>
      <c r="BJ2211" s="4">
        <v>180</v>
      </c>
      <c r="BK2211" s="8">
        <v>12139.67</v>
      </c>
      <c r="BL2211" s="2" t="s">
        <v>7874</v>
      </c>
      <c r="BM2211" s="7">
        <v>0.0667</v>
      </c>
      <c r="BN2211" s="7">
        <v>0.0601</v>
      </c>
      <c r="BO2211" s="4">
        <v>12</v>
      </c>
      <c r="BP2211" s="8">
        <v>729</v>
      </c>
      <c r="BQ2211" s="4">
        <v>31</v>
      </c>
      <c r="BR2211" s="8">
        <v>2115.79</v>
      </c>
      <c r="BS2211" s="7">
        <v>-0.6129</v>
      </c>
      <c r="BT2211" s="7">
        <v>-0.6554</v>
      </c>
      <c r="BU2211" s="2" t="s">
        <v>109</v>
      </c>
      <c r="BV2211" s="2" t="s">
        <v>97</v>
      </c>
      <c r="BW2211" s="2" t="s">
        <v>7307</v>
      </c>
      <c r="BX2211" s="2" t="s">
        <v>5003</v>
      </c>
      <c r="BY2211" s="2" t="s">
        <v>112</v>
      </c>
      <c r="BZ2211" s="2" t="s">
        <v>100</v>
      </c>
    </row>
    <row r="2212">
      <c r="A2212" s="2" t="s">
        <v>7875</v>
      </c>
      <c r="B2212" s="2" t="s">
        <v>7252</v>
      </c>
      <c r="C2212" s="2" t="s">
        <v>88</v>
      </c>
      <c r="D2212" s="2" t="s">
        <v>7786</v>
      </c>
      <c r="E2212" s="2" t="s">
        <v>7787</v>
      </c>
      <c r="F2212" s="2" t="s">
        <v>7865</v>
      </c>
      <c r="G2212" s="2" t="s">
        <v>7866</v>
      </c>
      <c r="H2212" s="2" t="s">
        <v>7867</v>
      </c>
      <c r="I2212" s="2" t="s">
        <v>7868</v>
      </c>
      <c r="J2212" s="2" t="s">
        <v>6103</v>
      </c>
      <c r="K2212" s="2" t="s">
        <v>4481</v>
      </c>
      <c r="L2212" s="3">
        <v>57.86</v>
      </c>
      <c r="M2212" s="3">
        <v>60.75</v>
      </c>
      <c r="N2212" s="3">
        <v>129</v>
      </c>
      <c r="O2212" s="2" t="s">
        <v>97</v>
      </c>
      <c r="P2212" s="2" t="s">
        <v>182</v>
      </c>
      <c r="Q2212" s="2" t="s">
        <v>99</v>
      </c>
      <c r="R2212" s="2" t="s">
        <v>100</v>
      </c>
      <c r="S2212" s="2" t="s">
        <v>7876</v>
      </c>
      <c r="T2212" s="2" t="s">
        <v>100</v>
      </c>
      <c r="U2212" s="2" t="s">
        <v>100</v>
      </c>
      <c r="V2212" s="2" t="s">
        <v>601</v>
      </c>
      <c r="W2212" s="2" t="s">
        <v>602</v>
      </c>
      <c r="X2212" s="2" t="s">
        <v>100</v>
      </c>
      <c r="Y2212" s="2" t="s">
        <v>106</v>
      </c>
      <c r="Z2212" s="4">
        <v>130</v>
      </c>
      <c r="AA2212" s="4">
        <f>=ROUNDDOWN(10.8333333333333,0)</f>
      </c>
      <c r="AB2212" s="5">
        <v>12</v>
      </c>
      <c r="AC2212" s="2" t="s">
        <v>1328</v>
      </c>
      <c r="AD2212" s="4">
        <v>180</v>
      </c>
      <c r="AE2212" s="4">
        <v>310</v>
      </c>
      <c r="AF2212" s="6">
        <v>76</v>
      </c>
      <c r="AG2212" s="6"/>
      <c r="AH2212" s="7">
        <v>0.8606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>
        <v>0</v>
      </c>
      <c r="AP2212" s="4">
        <v>2</v>
      </c>
      <c r="AQ2212" s="8">
        <v>121.5</v>
      </c>
      <c r="AR2212" s="4">
        <v>25</v>
      </c>
      <c r="AS2212" s="8">
        <v>1460.71</v>
      </c>
      <c r="AT2212" s="7">
        <v>-0.92</v>
      </c>
      <c r="AU2212" s="7">
        <v>-0.9168</v>
      </c>
      <c r="AV2212" s="4">
        <v>2</v>
      </c>
      <c r="AW2212" s="8">
        <v>121.5</v>
      </c>
      <c r="AX2212" s="4">
        <v>25</v>
      </c>
      <c r="AY2212" s="8">
        <v>1460.71</v>
      </c>
      <c r="AZ2212" s="7">
        <v>-0.92</v>
      </c>
      <c r="BA2212" s="7">
        <v>-0.9168</v>
      </c>
      <c r="BB2212" s="7">
        <v>1</v>
      </c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>
        <v>0.0513</v>
      </c>
      <c r="BJ2212" s="4">
        <v>244</v>
      </c>
      <c r="BK2212" s="8">
        <v>16038.08</v>
      </c>
      <c r="BL2212" s="2" t="s">
        <v>7877</v>
      </c>
      <c r="BM2212" s="7">
        <v>0.0082</v>
      </c>
      <c r="BN2212" s="7">
        <v>0.0076</v>
      </c>
      <c r="BO2212" s="4">
        <v>2</v>
      </c>
      <c r="BP2212" s="8">
        <v>121.5</v>
      </c>
      <c r="BQ2212" s="4">
        <v>25</v>
      </c>
      <c r="BR2212" s="8">
        <v>1460.71</v>
      </c>
      <c r="BS2212" s="7">
        <v>-0.92</v>
      </c>
      <c r="BT2212" s="7">
        <v>-0.9168</v>
      </c>
      <c r="BU2212" s="2" t="s">
        <v>109</v>
      </c>
      <c r="BV2212" s="2" t="s">
        <v>97</v>
      </c>
      <c r="BW2212" s="2" t="s">
        <v>7311</v>
      </c>
      <c r="BX2212" s="2" t="s">
        <v>737</v>
      </c>
      <c r="BY2212" s="2" t="s">
        <v>112</v>
      </c>
      <c r="BZ2212" s="2" t="s">
        <v>100</v>
      </c>
    </row>
    <row r="2213">
      <c r="A2213" s="2" t="s">
        <v>7878</v>
      </c>
      <c r="B2213" s="2" t="s">
        <v>7252</v>
      </c>
      <c r="C2213" s="2" t="s">
        <v>88</v>
      </c>
      <c r="D2213" s="2" t="s">
        <v>7786</v>
      </c>
      <c r="E2213" s="2" t="s">
        <v>7787</v>
      </c>
      <c r="F2213" s="2" t="s">
        <v>7865</v>
      </c>
      <c r="G2213" s="2" t="s">
        <v>7866</v>
      </c>
      <c r="H2213" s="2" t="s">
        <v>7867</v>
      </c>
      <c r="I2213" s="2" t="s">
        <v>7787</v>
      </c>
      <c r="J2213" s="2" t="s">
        <v>6103</v>
      </c>
      <c r="K2213" s="2" t="s">
        <v>2367</v>
      </c>
      <c r="L2213" s="3">
        <v>57.86</v>
      </c>
      <c r="M2213" s="3">
        <v>60.75</v>
      </c>
      <c r="N2213" s="3">
        <v>129</v>
      </c>
      <c r="O2213" s="2" t="s">
        <v>97</v>
      </c>
      <c r="P2213" s="2" t="s">
        <v>1265</v>
      </c>
      <c r="Q2213" s="2" t="s">
        <v>99</v>
      </c>
      <c r="R2213" s="2" t="s">
        <v>100</v>
      </c>
      <c r="S2213" s="2" t="s">
        <v>100</v>
      </c>
      <c r="T2213" s="2" t="s">
        <v>100</v>
      </c>
      <c r="U2213" s="2" t="s">
        <v>100</v>
      </c>
      <c r="V2213" s="2" t="s">
        <v>1752</v>
      </c>
      <c r="W2213" s="2" t="s">
        <v>602</v>
      </c>
      <c r="X2213" s="2" t="s">
        <v>100</v>
      </c>
      <c r="Y2213" s="2" t="s">
        <v>7879</v>
      </c>
      <c r="Z2213" s="4">
        <v>147</v>
      </c>
      <c r="AA2213" s="4">
        <f>=ROUNDDOWN(29.4,0)</f>
      </c>
      <c r="AB2213" s="5">
        <v>5</v>
      </c>
      <c r="AC2213" s="2" t="s">
        <v>7845</v>
      </c>
      <c r="AD2213" s="4">
        <v>130</v>
      </c>
      <c r="AE2213" s="4">
        <v>130</v>
      </c>
      <c r="AF2213" s="6">
        <v>76</v>
      </c>
      <c r="AG2213" s="6"/>
      <c r="AH2213" s="7">
        <v>0.8909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>
        <v>0</v>
      </c>
      <c r="AP2213" s="4"/>
      <c r="AQ2213" s="8"/>
      <c r="AR2213" s="4"/>
      <c r="AS2213" s="8"/>
      <c r="AT2213" s="7"/>
      <c r="AU2213" s="7"/>
      <c r="AV2213" s="4"/>
      <c r="AW2213" s="8"/>
      <c r="AX2213" s="4"/>
      <c r="AY2213" s="8"/>
      <c r="AZ2213" s="7"/>
      <c r="BA2213" s="7"/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62</v>
      </c>
      <c r="BK2213" s="8">
        <v>4024.52</v>
      </c>
      <c r="BL2213" s="2" t="s">
        <v>7880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6185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7881</v>
      </c>
      <c r="B2214" s="2" t="s">
        <v>7252</v>
      </c>
      <c r="C2214" s="2" t="s">
        <v>88</v>
      </c>
      <c r="D2214" s="2" t="s">
        <v>7786</v>
      </c>
      <c r="E2214" s="2" t="s">
        <v>7787</v>
      </c>
      <c r="F2214" s="2" t="s">
        <v>7882</v>
      </c>
      <c r="G2214" s="2" t="s">
        <v>7883</v>
      </c>
      <c r="H2214" s="2" t="s">
        <v>7884</v>
      </c>
      <c r="I2214" s="2" t="s">
        <v>7885</v>
      </c>
      <c r="J2214" s="2" t="s">
        <v>6103</v>
      </c>
      <c r="K2214" s="2" t="s">
        <v>7696</v>
      </c>
      <c r="L2214" s="3">
        <v>193.5</v>
      </c>
      <c r="M2214" s="3">
        <v>203.18</v>
      </c>
      <c r="N2214" s="3">
        <v>399</v>
      </c>
      <c r="O2214" s="2" t="s">
        <v>97</v>
      </c>
      <c r="P2214" s="2" t="s">
        <v>182</v>
      </c>
      <c r="Q2214" s="2" t="s">
        <v>99</v>
      </c>
      <c r="R2214" s="2" t="s">
        <v>100</v>
      </c>
      <c r="S2214" s="2" t="s">
        <v>100</v>
      </c>
      <c r="T2214" s="2" t="s">
        <v>100</v>
      </c>
      <c r="U2214" s="2" t="s">
        <v>3531</v>
      </c>
      <c r="V2214" s="2" t="s">
        <v>601</v>
      </c>
      <c r="W2214" s="2" t="s">
        <v>104</v>
      </c>
      <c r="X2214" s="2" t="s">
        <v>100</v>
      </c>
      <c r="Y2214" s="2" t="s">
        <v>7886</v>
      </c>
      <c r="Z2214" s="4">
        <v>55</v>
      </c>
      <c r="AA2214" s="4">
        <f>=ROUNDDOWN({0},0)</f>
      </c>
      <c r="AB2214" s="5"/>
      <c r="AC2214" s="2" t="s">
        <v>7385</v>
      </c>
      <c r="AD2214" s="4">
        <v>127</v>
      </c>
      <c r="AE2214" s="4">
        <v>150</v>
      </c>
      <c r="AF2214" s="6">
        <v>66</v>
      </c>
      <c r="AG2214" s="6">
        <v>49</v>
      </c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>
        <v>0</v>
      </c>
      <c r="AP2214" s="4">
        <v>11</v>
      </c>
      <c r="AQ2214" s="8">
        <v>2234.98</v>
      </c>
      <c r="AR2214" s="4"/>
      <c r="AS2214" s="8"/>
      <c r="AT2214" s="7"/>
      <c r="AU2214" s="7"/>
      <c r="AV2214" s="4">
        <v>11</v>
      </c>
      <c r="AW2214" s="8">
        <v>2234.98</v>
      </c>
      <c r="AX2214" s="4"/>
      <c r="AY2214" s="8"/>
      <c r="AZ2214" s="7"/>
      <c r="BA2214" s="7"/>
      <c r="BB2214" s="7">
        <v>1</v>
      </c>
      <c r="BC2214" s="4">
        <v>11</v>
      </c>
      <c r="BD2214" s="8">
        <v>2234.98</v>
      </c>
      <c r="BE2214" s="4">
        <v>1</v>
      </c>
      <c r="BF2214" s="8">
        <v>225.75</v>
      </c>
      <c r="BG2214" s="7">
        <v>10</v>
      </c>
      <c r="BH2214" s="7">
        <v>8.9002</v>
      </c>
      <c r="BI2214" s="7">
        <v>1</v>
      </c>
      <c r="BJ2214" s="4">
        <v>231</v>
      </c>
      <c r="BK2214" s="8">
        <v>41441.96</v>
      </c>
      <c r="BL2214" s="2" t="s">
        <v>7887</v>
      </c>
      <c r="BM2214" s="7">
        <v>0.0476</v>
      </c>
      <c r="BN2214" s="7">
        <v>0.0539</v>
      </c>
      <c r="BO2214" s="4">
        <v>11</v>
      </c>
      <c r="BP2214" s="8">
        <v>2234.98</v>
      </c>
      <c r="BQ2214" s="4"/>
      <c r="BR2214" s="8"/>
      <c r="BS2214" s="7"/>
      <c r="BT2214" s="7"/>
      <c r="BU2214" s="2" t="s">
        <v>109</v>
      </c>
      <c r="BV2214" s="2" t="s">
        <v>97</v>
      </c>
      <c r="BW2214" s="2" t="s">
        <v>7307</v>
      </c>
      <c r="BX2214" s="2" t="s">
        <v>5003</v>
      </c>
      <c r="BY2214" s="2" t="s">
        <v>112</v>
      </c>
      <c r="BZ2214" s="2" t="s">
        <v>100</v>
      </c>
    </row>
    <row r="2215">
      <c r="A2215" s="2" t="s">
        <v>7888</v>
      </c>
      <c r="B2215" s="2" t="s">
        <v>7252</v>
      </c>
      <c r="C2215" s="2" t="s">
        <v>88</v>
      </c>
      <c r="D2215" s="2" t="s">
        <v>7786</v>
      </c>
      <c r="E2215" s="2" t="s">
        <v>7787</v>
      </c>
      <c r="F2215" s="2" t="s">
        <v>7882</v>
      </c>
      <c r="G2215" s="2" t="s">
        <v>7883</v>
      </c>
      <c r="H2215" s="2" t="s">
        <v>7884</v>
      </c>
      <c r="I2215" s="2" t="s">
        <v>7889</v>
      </c>
      <c r="J2215" s="2" t="s">
        <v>6103</v>
      </c>
      <c r="K2215" s="2" t="s">
        <v>2367</v>
      </c>
      <c r="L2215" s="3">
        <v>193.5</v>
      </c>
      <c r="M2215" s="3">
        <v>203.18</v>
      </c>
      <c r="N2215" s="3">
        <v>399</v>
      </c>
      <c r="O2215" s="2" t="s">
        <v>97</v>
      </c>
      <c r="P2215" s="2" t="s">
        <v>143</v>
      </c>
      <c r="Q2215" s="2" t="s">
        <v>99</v>
      </c>
      <c r="R2215" s="2" t="s">
        <v>100</v>
      </c>
      <c r="S2215" s="2" t="s">
        <v>7890</v>
      </c>
      <c r="T2215" s="2" t="s">
        <v>100</v>
      </c>
      <c r="U2215" s="2" t="s">
        <v>3531</v>
      </c>
      <c r="V2215" s="2" t="s">
        <v>601</v>
      </c>
      <c r="W2215" s="2" t="s">
        <v>104</v>
      </c>
      <c r="X2215" s="2" t="s">
        <v>100</v>
      </c>
      <c r="Y2215" s="2" t="s">
        <v>7588</v>
      </c>
      <c r="Z2215" s="4">
        <v>160</v>
      </c>
      <c r="AA2215" s="4">
        <f>=ROUNDDOWN(19.7530864197531,0)</f>
      </c>
      <c r="AB2215" s="5">
        <v>8.1</v>
      </c>
      <c r="AC2215" s="2" t="s">
        <v>936</v>
      </c>
      <c r="AD2215" s="4">
        <v>92</v>
      </c>
      <c r="AE2215" s="4">
        <v>408</v>
      </c>
      <c r="AF2215" s="6">
        <v>66</v>
      </c>
      <c r="AG2215" s="6">
        <v>49</v>
      </c>
      <c r="AH2215" s="7">
        <v>0.8909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>
        <v>0</v>
      </c>
      <c r="AP2215" s="4"/>
      <c r="AQ2215" s="8"/>
      <c r="AR2215" s="4">
        <v>1</v>
      </c>
      <c r="AS2215" s="8">
        <v>225.75</v>
      </c>
      <c r="AT2215" s="7">
        <v>-1</v>
      </c>
      <c r="AU2215" s="7">
        <v>-1</v>
      </c>
      <c r="AV2215" s="4"/>
      <c r="AW2215" s="8"/>
      <c r="AX2215" s="4">
        <v>1</v>
      </c>
      <c r="AY2215" s="8">
        <v>225.75</v>
      </c>
      <c r="AZ2215" s="7">
        <v>-1</v>
      </c>
      <c r="BA2215" s="7">
        <v>-1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433</v>
      </c>
      <c r="BK2215" s="8">
        <v>83404.83</v>
      </c>
      <c r="BL2215" s="2" t="s">
        <v>7891</v>
      </c>
      <c r="BM2215" s="7"/>
      <c r="BN2215" s="7"/>
      <c r="BO2215" s="4"/>
      <c r="BP2215" s="8"/>
      <c r="BQ2215" s="4">
        <v>1</v>
      </c>
      <c r="BR2215" s="8">
        <v>225.75</v>
      </c>
      <c r="BS2215" s="7">
        <v>-1</v>
      </c>
      <c r="BT2215" s="7">
        <v>-1</v>
      </c>
      <c r="BU2215" s="2" t="s">
        <v>109</v>
      </c>
      <c r="BV2215" s="2" t="s">
        <v>97</v>
      </c>
      <c r="BW2215" s="2" t="s">
        <v>7892</v>
      </c>
      <c r="BX2215" s="2" t="s">
        <v>6237</v>
      </c>
      <c r="BY2215" s="2" t="s">
        <v>112</v>
      </c>
      <c r="BZ2215" s="2" t="s">
        <v>100</v>
      </c>
    </row>
    <row r="2216">
      <c r="A2216" s="2" t="s">
        <v>7893</v>
      </c>
      <c r="B2216" s="2" t="s">
        <v>7252</v>
      </c>
      <c r="C2216" s="2" t="s">
        <v>88</v>
      </c>
      <c r="D2216" s="2" t="s">
        <v>7786</v>
      </c>
      <c r="E2216" s="2" t="s">
        <v>7787</v>
      </c>
      <c r="F2216" s="2" t="s">
        <v>7882</v>
      </c>
      <c r="G2216" s="2" t="s">
        <v>7883</v>
      </c>
      <c r="H2216" s="2" t="s">
        <v>7884</v>
      </c>
      <c r="I2216" s="2" t="s">
        <v>7885</v>
      </c>
      <c r="J2216" s="2" t="s">
        <v>6103</v>
      </c>
      <c r="K2216" s="2" t="s">
        <v>197</v>
      </c>
      <c r="L2216" s="3">
        <v>193.5</v>
      </c>
      <c r="M2216" s="3">
        <v>203.18</v>
      </c>
      <c r="N2216" s="3">
        <v>399</v>
      </c>
      <c r="O2216" s="2" t="s">
        <v>97</v>
      </c>
      <c r="P2216" s="2" t="s">
        <v>182</v>
      </c>
      <c r="Q2216" s="2" t="s">
        <v>99</v>
      </c>
      <c r="R2216" s="2" t="s">
        <v>100</v>
      </c>
      <c r="S2216" s="2" t="s">
        <v>100</v>
      </c>
      <c r="T2216" s="2" t="s">
        <v>100</v>
      </c>
      <c r="U2216" s="2" t="s">
        <v>3531</v>
      </c>
      <c r="V2216" s="2" t="s">
        <v>1752</v>
      </c>
      <c r="W2216" s="2" t="s">
        <v>104</v>
      </c>
      <c r="X2216" s="2" t="s">
        <v>100</v>
      </c>
      <c r="Y2216" s="2" t="s">
        <v>7894</v>
      </c>
      <c r="Z2216" s="4">
        <v>455</v>
      </c>
      <c r="AA2216" s="4">
        <f>=ROUNDDOWN(75.8333333333333,0)</f>
      </c>
      <c r="AB2216" s="5">
        <v>6</v>
      </c>
      <c r="AC2216" s="2" t="s">
        <v>936</v>
      </c>
      <c r="AD2216" s="4">
        <v>86</v>
      </c>
      <c r="AE2216" s="4">
        <v>250</v>
      </c>
      <c r="AF2216" s="6">
        <v>66</v>
      </c>
      <c r="AG2216" s="6">
        <v>49</v>
      </c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164</v>
      </c>
      <c r="BK2216" s="8">
        <v>32060.48</v>
      </c>
      <c r="BL2216" s="2" t="s">
        <v>7895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6185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7896</v>
      </c>
      <c r="B2217" s="2" t="s">
        <v>7252</v>
      </c>
      <c r="C2217" s="2" t="s">
        <v>88</v>
      </c>
      <c r="D2217" s="2" t="s">
        <v>7786</v>
      </c>
      <c r="E2217" s="2" t="s">
        <v>7787</v>
      </c>
      <c r="F2217" s="2" t="s">
        <v>7897</v>
      </c>
      <c r="G2217" s="2" t="s">
        <v>7898</v>
      </c>
      <c r="H2217" s="2" t="s">
        <v>7899</v>
      </c>
      <c r="I2217" s="2" t="s">
        <v>7787</v>
      </c>
      <c r="J2217" s="2" t="s">
        <v>6103</v>
      </c>
      <c r="K2217" s="2" t="s">
        <v>2367</v>
      </c>
      <c r="L2217" s="3">
        <v>95</v>
      </c>
      <c r="M2217" s="3">
        <v>99.75</v>
      </c>
      <c r="N2217" s="3">
        <v>199</v>
      </c>
      <c r="O2217" s="2" t="s">
        <v>229</v>
      </c>
      <c r="P2217" s="2" t="s">
        <v>198</v>
      </c>
      <c r="Q2217" s="2" t="s">
        <v>99</v>
      </c>
      <c r="R2217" s="2" t="s">
        <v>100</v>
      </c>
      <c r="S2217" s="2" t="s">
        <v>7900</v>
      </c>
      <c r="T2217" s="2" t="s">
        <v>100</v>
      </c>
      <c r="U2217" s="2" t="s">
        <v>100</v>
      </c>
      <c r="V2217" s="2" t="s">
        <v>601</v>
      </c>
      <c r="W2217" s="2" t="s">
        <v>104</v>
      </c>
      <c r="X2217" s="2" t="s">
        <v>100</v>
      </c>
      <c r="Y2217" s="2" t="s">
        <v>106</v>
      </c>
      <c r="Z2217" s="4"/>
      <c r="AA2217" s="4">
        <f>=ROUNDDOWN({0},0)</f>
      </c>
      <c r="AB2217" s="5">
        <v>6.2</v>
      </c>
      <c r="AC2217" s="2" t="s">
        <v>100</v>
      </c>
      <c r="AD2217" s="4"/>
      <c r="AE2217" s="4"/>
      <c r="AF2217" s="6">
        <v>75</v>
      </c>
      <c r="AG2217" s="6"/>
      <c r="AH2217" s="7">
        <v>0.1576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>
        <v>0</v>
      </c>
      <c r="AP2217" s="4">
        <v>15</v>
      </c>
      <c r="AQ2217" s="8">
        <v>1496.25</v>
      </c>
      <c r="AR2217" s="4">
        <v>42</v>
      </c>
      <c r="AS2217" s="8">
        <v>3724.82</v>
      </c>
      <c r="AT2217" s="7">
        <v>-0.6429</v>
      </c>
      <c r="AU2217" s="7">
        <v>-0.5983</v>
      </c>
      <c r="AV2217" s="4">
        <v>15</v>
      </c>
      <c r="AW2217" s="8">
        <v>1496.25</v>
      </c>
      <c r="AX2217" s="4">
        <v>42</v>
      </c>
      <c r="AY2217" s="8">
        <v>3724.82</v>
      </c>
      <c r="AZ2217" s="7">
        <v>-0.6429</v>
      </c>
      <c r="BA2217" s="7">
        <v>-0.5983</v>
      </c>
      <c r="BB2217" s="7">
        <v>1</v>
      </c>
      <c r="BC2217" s="4">
        <v>17</v>
      </c>
      <c r="BD2217" s="8">
        <v>1695.75</v>
      </c>
      <c r="BE2217" s="4">
        <v>62</v>
      </c>
      <c r="BF2217" s="8">
        <v>5647.62</v>
      </c>
      <c r="BG2217" s="7">
        <v>-0.7258</v>
      </c>
      <c r="BH2217" s="7">
        <v>-0.6997</v>
      </c>
      <c r="BI2217" s="7">
        <v>0.8824</v>
      </c>
      <c r="BJ2217" s="4">
        <v>23</v>
      </c>
      <c r="BK2217" s="8">
        <v>2401.26</v>
      </c>
      <c r="BL2217" s="2" t="s">
        <v>7901</v>
      </c>
      <c r="BM2217" s="7">
        <v>0.6522</v>
      </c>
      <c r="BN2217" s="7">
        <v>0.6231</v>
      </c>
      <c r="BO2217" s="4">
        <v>15</v>
      </c>
      <c r="BP2217" s="8">
        <v>1496.25</v>
      </c>
      <c r="BQ2217" s="4">
        <v>42</v>
      </c>
      <c r="BR2217" s="8">
        <v>3724.82</v>
      </c>
      <c r="BS2217" s="7">
        <v>-0.6429</v>
      </c>
      <c r="BT2217" s="7">
        <v>-0.5983</v>
      </c>
      <c r="BU2217" s="2" t="s">
        <v>109</v>
      </c>
      <c r="BV2217" s="2" t="s">
        <v>552</v>
      </c>
      <c r="BW2217" s="2" t="s">
        <v>7841</v>
      </c>
      <c r="BX2217" s="2" t="s">
        <v>6163</v>
      </c>
      <c r="BY2217" s="2" t="s">
        <v>112</v>
      </c>
      <c r="BZ2217" s="2" t="s">
        <v>100</v>
      </c>
    </row>
    <row r="2218">
      <c r="A2218" s="2" t="s">
        <v>7902</v>
      </c>
      <c r="B2218" s="2" t="s">
        <v>7252</v>
      </c>
      <c r="C2218" s="2" t="s">
        <v>88</v>
      </c>
      <c r="D2218" s="2" t="s">
        <v>7786</v>
      </c>
      <c r="E2218" s="2" t="s">
        <v>7787</v>
      </c>
      <c r="F2218" s="2" t="s">
        <v>7897</v>
      </c>
      <c r="G2218" s="2" t="s">
        <v>7898</v>
      </c>
      <c r="H2218" s="2" t="s">
        <v>7899</v>
      </c>
      <c r="I2218" s="2" t="s">
        <v>7787</v>
      </c>
      <c r="J2218" s="2" t="s">
        <v>6103</v>
      </c>
      <c r="K2218" s="2" t="s">
        <v>333</v>
      </c>
      <c r="L2218" s="3">
        <v>95</v>
      </c>
      <c r="M2218" s="3">
        <v>99.75</v>
      </c>
      <c r="N2218" s="3">
        <v>199</v>
      </c>
      <c r="O2218" s="2" t="s">
        <v>97</v>
      </c>
      <c r="P2218" s="2" t="s">
        <v>1265</v>
      </c>
      <c r="Q2218" s="2" t="s">
        <v>99</v>
      </c>
      <c r="R2218" s="2" t="s">
        <v>100</v>
      </c>
      <c r="S2218" s="2" t="s">
        <v>7903</v>
      </c>
      <c r="T2218" s="2" t="s">
        <v>100</v>
      </c>
      <c r="U2218" s="2" t="s">
        <v>100</v>
      </c>
      <c r="V2218" s="2" t="s">
        <v>601</v>
      </c>
      <c r="W2218" s="2" t="s">
        <v>104</v>
      </c>
      <c r="X2218" s="2" t="s">
        <v>100</v>
      </c>
      <c r="Y2218" s="2" t="s">
        <v>106</v>
      </c>
      <c r="Z2218" s="4">
        <v>104</v>
      </c>
      <c r="AA2218" s="4">
        <f>=ROUNDDOWN(52,0)</f>
      </c>
      <c r="AB2218" s="5">
        <v>2</v>
      </c>
      <c r="AC2218" s="2" t="s">
        <v>1328</v>
      </c>
      <c r="AD2218" s="4">
        <v>100</v>
      </c>
      <c r="AE2218" s="4">
        <v>100</v>
      </c>
      <c r="AF2218" s="6">
        <v>76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>
        <v>0</v>
      </c>
      <c r="AP2218" s="4">
        <v>2</v>
      </c>
      <c r="AQ2218" s="8">
        <v>199.5</v>
      </c>
      <c r="AR2218" s="4">
        <v>20</v>
      </c>
      <c r="AS2218" s="8">
        <v>1922.8</v>
      </c>
      <c r="AT2218" s="7">
        <v>-0.9</v>
      </c>
      <c r="AU2218" s="7">
        <v>-0.8962</v>
      </c>
      <c r="AV2218" s="4">
        <v>2</v>
      </c>
      <c r="AW2218" s="8">
        <v>199.5</v>
      </c>
      <c r="AX2218" s="4">
        <v>20</v>
      </c>
      <c r="AY2218" s="8">
        <v>1922.8</v>
      </c>
      <c r="AZ2218" s="7">
        <v>-0.9</v>
      </c>
      <c r="BA2218" s="7">
        <v>-0.8962</v>
      </c>
      <c r="BB2218" s="7">
        <v>1</v>
      </c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>
        <v>0.1176</v>
      </c>
      <c r="BJ2218" s="4">
        <v>34</v>
      </c>
      <c r="BK2218" s="8">
        <v>3082.13</v>
      </c>
      <c r="BL2218" s="2" t="s">
        <v>7904</v>
      </c>
      <c r="BM2218" s="7">
        <v>0.0588</v>
      </c>
      <c r="BN2218" s="7">
        <v>0.0647</v>
      </c>
      <c r="BO2218" s="4">
        <v>2</v>
      </c>
      <c r="BP2218" s="8">
        <v>199.5</v>
      </c>
      <c r="BQ2218" s="4">
        <v>20</v>
      </c>
      <c r="BR2218" s="8">
        <v>1922.8</v>
      </c>
      <c r="BS2218" s="7">
        <v>-0.9</v>
      </c>
      <c r="BT2218" s="7">
        <v>-0.8962</v>
      </c>
      <c r="BU2218" s="2" t="s">
        <v>109</v>
      </c>
      <c r="BV2218" s="2" t="s">
        <v>97</v>
      </c>
      <c r="BW2218" s="2" t="s">
        <v>7841</v>
      </c>
      <c r="BX2218" s="2" t="s">
        <v>7156</v>
      </c>
      <c r="BY2218" s="2" t="s">
        <v>112</v>
      </c>
      <c r="BZ2218" s="2" t="s">
        <v>100</v>
      </c>
    </row>
    <row r="2219">
      <c r="A2219" s="2" t="s">
        <v>7905</v>
      </c>
      <c r="B2219" s="2" t="s">
        <v>7252</v>
      </c>
      <c r="C2219" s="2" t="s">
        <v>88</v>
      </c>
      <c r="D2219" s="2" t="s">
        <v>7786</v>
      </c>
      <c r="E2219" s="2" t="s">
        <v>7787</v>
      </c>
      <c r="F2219" s="2" t="s">
        <v>7906</v>
      </c>
      <c r="G2219" s="2" t="s">
        <v>7907</v>
      </c>
      <c r="H2219" s="2" t="s">
        <v>7908</v>
      </c>
      <c r="I2219" s="2" t="s">
        <v>7889</v>
      </c>
      <c r="J2219" s="2" t="s">
        <v>6103</v>
      </c>
      <c r="K2219" s="2" t="s">
        <v>333</v>
      </c>
      <c r="L2219" s="3">
        <v>162</v>
      </c>
      <c r="M2219" s="3">
        <v>170.1</v>
      </c>
      <c r="N2219" s="3">
        <v>349</v>
      </c>
      <c r="O2219" s="2" t="s">
        <v>97</v>
      </c>
      <c r="P2219" s="2" t="s">
        <v>124</v>
      </c>
      <c r="Q2219" s="2" t="s">
        <v>99</v>
      </c>
      <c r="R2219" s="2" t="s">
        <v>100</v>
      </c>
      <c r="S2219" s="2" t="s">
        <v>7909</v>
      </c>
      <c r="T2219" s="2" t="s">
        <v>100</v>
      </c>
      <c r="U2219" s="2" t="s">
        <v>3531</v>
      </c>
      <c r="V2219" s="2" t="s">
        <v>601</v>
      </c>
      <c r="W2219" s="2" t="s">
        <v>104</v>
      </c>
      <c r="X2219" s="2" t="s">
        <v>100</v>
      </c>
      <c r="Y2219" s="2" t="s">
        <v>7910</v>
      </c>
      <c r="Z2219" s="4">
        <v>224</v>
      </c>
      <c r="AA2219" s="4">
        <f>=ROUNDDOWN(35,0)</f>
      </c>
      <c r="AB2219" s="5">
        <v>6.4</v>
      </c>
      <c r="AC2219" s="2" t="s">
        <v>7911</v>
      </c>
      <c r="AD2219" s="4">
        <v>100</v>
      </c>
      <c r="AE2219" s="4">
        <v>100</v>
      </c>
      <c r="AF2219" s="6">
        <v>66</v>
      </c>
      <c r="AG2219" s="6">
        <v>49</v>
      </c>
      <c r="AH2219" s="7">
        <v>0.9515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>
        <v>0</v>
      </c>
      <c r="AP2219" s="4">
        <v>4</v>
      </c>
      <c r="AQ2219" s="8">
        <v>680.4</v>
      </c>
      <c r="AR2219" s="4">
        <v>2</v>
      </c>
      <c r="AS2219" s="8">
        <v>378</v>
      </c>
      <c r="AT2219" s="7">
        <v>1</v>
      </c>
      <c r="AU2219" s="7">
        <v>0.8</v>
      </c>
      <c r="AV2219" s="4">
        <v>4</v>
      </c>
      <c r="AW2219" s="8">
        <v>680.4</v>
      </c>
      <c r="AX2219" s="4">
        <v>2</v>
      </c>
      <c r="AY2219" s="8">
        <v>378</v>
      </c>
      <c r="AZ2219" s="7">
        <v>1</v>
      </c>
      <c r="BA2219" s="7">
        <v>0.8</v>
      </c>
      <c r="BB2219" s="7">
        <v>1</v>
      </c>
      <c r="BC2219" s="4">
        <v>8</v>
      </c>
      <c r="BD2219" s="8">
        <v>1360.8</v>
      </c>
      <c r="BE2219" s="4">
        <v>33</v>
      </c>
      <c r="BF2219" s="8">
        <v>6137.78</v>
      </c>
      <c r="BG2219" s="7">
        <v>-0.7576</v>
      </c>
      <c r="BH2219" s="7">
        <v>-0.7783</v>
      </c>
      <c r="BI2219" s="7">
        <v>0.5</v>
      </c>
      <c r="BJ2219" s="4">
        <v>780</v>
      </c>
      <c r="BK2219" s="8">
        <v>118537.24</v>
      </c>
      <c r="BL2219" s="2" t="s">
        <v>7912</v>
      </c>
      <c r="BM2219" s="7">
        <v>0.0051</v>
      </c>
      <c r="BN2219" s="7">
        <v>0.0057</v>
      </c>
      <c r="BO2219" s="4">
        <v>4</v>
      </c>
      <c r="BP2219" s="8">
        <v>680.4</v>
      </c>
      <c r="BQ2219" s="4">
        <v>2</v>
      </c>
      <c r="BR2219" s="8">
        <v>378</v>
      </c>
      <c r="BS2219" s="7">
        <v>1</v>
      </c>
      <c r="BT2219" s="7">
        <v>0.8</v>
      </c>
      <c r="BU2219" s="2" t="s">
        <v>109</v>
      </c>
      <c r="BV2219" s="2" t="s">
        <v>97</v>
      </c>
      <c r="BW2219" s="2" t="s">
        <v>7841</v>
      </c>
      <c r="BX2219" s="2" t="s">
        <v>7913</v>
      </c>
      <c r="BY2219" s="2" t="s">
        <v>112</v>
      </c>
      <c r="BZ2219" s="2" t="s">
        <v>100</v>
      </c>
    </row>
    <row r="2220">
      <c r="A2220" s="2" t="s">
        <v>7914</v>
      </c>
      <c r="B2220" s="2" t="s">
        <v>7252</v>
      </c>
      <c r="C2220" s="2" t="s">
        <v>88</v>
      </c>
      <c r="D2220" s="2" t="s">
        <v>7786</v>
      </c>
      <c r="E2220" s="2" t="s">
        <v>7787</v>
      </c>
      <c r="F2220" s="2" t="s">
        <v>7906</v>
      </c>
      <c r="G2220" s="2" t="s">
        <v>7907</v>
      </c>
      <c r="H2220" s="2" t="s">
        <v>7908</v>
      </c>
      <c r="I2220" s="2" t="s">
        <v>7885</v>
      </c>
      <c r="J2220" s="2" t="s">
        <v>6103</v>
      </c>
      <c r="K2220" s="2" t="s">
        <v>7362</v>
      </c>
      <c r="L2220" s="3">
        <v>162</v>
      </c>
      <c r="M2220" s="3">
        <v>170.1</v>
      </c>
      <c r="N2220" s="3">
        <v>349</v>
      </c>
      <c r="O2220" s="2" t="s">
        <v>97</v>
      </c>
      <c r="P2220" s="2" t="s">
        <v>124</v>
      </c>
      <c r="Q2220" s="2" t="s">
        <v>99</v>
      </c>
      <c r="R2220" s="2" t="s">
        <v>100</v>
      </c>
      <c r="S2220" s="2" t="s">
        <v>100</v>
      </c>
      <c r="T2220" s="2" t="s">
        <v>100</v>
      </c>
      <c r="U2220" s="2" t="s">
        <v>3531</v>
      </c>
      <c r="V2220" s="2" t="s">
        <v>601</v>
      </c>
      <c r="W2220" s="2" t="s">
        <v>104</v>
      </c>
      <c r="X2220" s="2" t="s">
        <v>100</v>
      </c>
      <c r="Y2220" s="2" t="s">
        <v>7886</v>
      </c>
      <c r="Z2220" s="4">
        <v>430</v>
      </c>
      <c r="AA2220" s="4">
        <f>=ROUNDDOWN(67.1875,0)</f>
      </c>
      <c r="AB2220" s="5">
        <v>6.4</v>
      </c>
      <c r="AC2220" s="2" t="s">
        <v>7911</v>
      </c>
      <c r="AD2220" s="4">
        <v>100</v>
      </c>
      <c r="AE2220" s="4">
        <v>100</v>
      </c>
      <c r="AF2220" s="6">
        <v>66</v>
      </c>
      <c r="AG2220" s="6">
        <v>49</v>
      </c>
      <c r="AH2220" s="7">
        <v>0.9515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>
        <v>0</v>
      </c>
      <c r="AP2220" s="4">
        <v>4</v>
      </c>
      <c r="AQ2220" s="8">
        <v>680.4</v>
      </c>
      <c r="AR2220" s="4">
        <v>31</v>
      </c>
      <c r="AS2220" s="8">
        <v>5759.78</v>
      </c>
      <c r="AT2220" s="7">
        <v>-0.871</v>
      </c>
      <c r="AU2220" s="7">
        <v>-0.8819</v>
      </c>
      <c r="AV2220" s="4">
        <v>4</v>
      </c>
      <c r="AW2220" s="8">
        <v>680.4</v>
      </c>
      <c r="AX2220" s="4">
        <v>31</v>
      </c>
      <c r="AY2220" s="8">
        <v>5759.78</v>
      </c>
      <c r="AZ2220" s="7">
        <v>-0.871</v>
      </c>
      <c r="BA2220" s="7">
        <v>-0.8819</v>
      </c>
      <c r="BB2220" s="7">
        <v>1</v>
      </c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>
        <v>0.5</v>
      </c>
      <c r="BJ2220" s="4">
        <v>899</v>
      </c>
      <c r="BK2220" s="8">
        <v>138534.7</v>
      </c>
      <c r="BL2220" s="2" t="s">
        <v>7915</v>
      </c>
      <c r="BM2220" s="7">
        <v>0.0044</v>
      </c>
      <c r="BN2220" s="7">
        <v>0.0049</v>
      </c>
      <c r="BO2220" s="4">
        <v>4</v>
      </c>
      <c r="BP2220" s="8">
        <v>680.4</v>
      </c>
      <c r="BQ2220" s="4">
        <v>31</v>
      </c>
      <c r="BR2220" s="8">
        <v>5759.78</v>
      </c>
      <c r="BS2220" s="7">
        <v>-0.871</v>
      </c>
      <c r="BT2220" s="7">
        <v>-0.8819</v>
      </c>
      <c r="BU2220" s="2" t="s">
        <v>109</v>
      </c>
      <c r="BV2220" s="2" t="s">
        <v>97</v>
      </c>
      <c r="BW2220" s="2" t="s">
        <v>7307</v>
      </c>
      <c r="BX2220" s="2" t="s">
        <v>6237</v>
      </c>
      <c r="BY2220" s="2" t="s">
        <v>112</v>
      </c>
      <c r="BZ2220" s="2" t="s">
        <v>100</v>
      </c>
    </row>
    <row r="2221">
      <c r="A2221" s="2" t="s">
        <v>7916</v>
      </c>
      <c r="B2221" s="2" t="s">
        <v>7252</v>
      </c>
      <c r="C2221" s="2" t="s">
        <v>88</v>
      </c>
      <c r="D2221" s="2" t="s">
        <v>7786</v>
      </c>
      <c r="E2221" s="2" t="s">
        <v>7787</v>
      </c>
      <c r="F2221" s="2" t="s">
        <v>7906</v>
      </c>
      <c r="G2221" s="2" t="s">
        <v>7907</v>
      </c>
      <c r="H2221" s="2" t="s">
        <v>7908</v>
      </c>
      <c r="I2221" s="2" t="s">
        <v>7885</v>
      </c>
      <c r="J2221" s="2" t="s">
        <v>6103</v>
      </c>
      <c r="K2221" s="2" t="s">
        <v>158</v>
      </c>
      <c r="L2221" s="3">
        <v>162</v>
      </c>
      <c r="M2221" s="3">
        <v>170.1</v>
      </c>
      <c r="N2221" s="3">
        <v>349</v>
      </c>
      <c r="O2221" s="2" t="s">
        <v>97</v>
      </c>
      <c r="P2221" s="2" t="s">
        <v>182</v>
      </c>
      <c r="Q2221" s="2" t="s">
        <v>99</v>
      </c>
      <c r="R2221" s="2" t="s">
        <v>100</v>
      </c>
      <c r="S2221" s="2" t="s">
        <v>100</v>
      </c>
      <c r="T2221" s="2" t="s">
        <v>100</v>
      </c>
      <c r="U2221" s="2" t="s">
        <v>3531</v>
      </c>
      <c r="V2221" s="2" t="s">
        <v>1752</v>
      </c>
      <c r="W2221" s="2" t="s">
        <v>104</v>
      </c>
      <c r="X2221" s="2" t="s">
        <v>100</v>
      </c>
      <c r="Y2221" s="2" t="s">
        <v>7917</v>
      </c>
      <c r="Z2221" s="4">
        <v>677</v>
      </c>
      <c r="AA2221" s="4">
        <f>=ROUNDDOWN(52.0769230769231,0)</f>
      </c>
      <c r="AB2221" s="5">
        <v>13</v>
      </c>
      <c r="AC2221" s="2" t="s">
        <v>130</v>
      </c>
      <c r="AD2221" s="4">
        <v>62</v>
      </c>
      <c r="AE2221" s="4">
        <v>62</v>
      </c>
      <c r="AF2221" s="6">
        <v>66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243</v>
      </c>
      <c r="BK2221" s="8">
        <v>37964.27</v>
      </c>
      <c r="BL2221" s="2" t="s">
        <v>7918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6185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7919</v>
      </c>
      <c r="B2222" s="2" t="s">
        <v>7252</v>
      </c>
      <c r="C2222" s="2" t="s">
        <v>88</v>
      </c>
      <c r="D2222" s="2" t="s">
        <v>7786</v>
      </c>
      <c r="E2222" s="2" t="s">
        <v>7787</v>
      </c>
      <c r="F2222" s="2" t="s">
        <v>7906</v>
      </c>
      <c r="G2222" s="2" t="s">
        <v>7907</v>
      </c>
      <c r="H2222" s="2" t="s">
        <v>7908</v>
      </c>
      <c r="I2222" s="2" t="s">
        <v>7885</v>
      </c>
      <c r="J2222" s="2" t="s">
        <v>6103</v>
      </c>
      <c r="K2222" s="2" t="s">
        <v>5935</v>
      </c>
      <c r="L2222" s="3">
        <v>162</v>
      </c>
      <c r="M2222" s="3">
        <v>170.1</v>
      </c>
      <c r="N2222" s="3">
        <v>349</v>
      </c>
      <c r="O2222" s="2" t="s">
        <v>97</v>
      </c>
      <c r="P2222" s="2" t="s">
        <v>182</v>
      </c>
      <c r="Q2222" s="2" t="s">
        <v>99</v>
      </c>
      <c r="R2222" s="2" t="s">
        <v>100</v>
      </c>
      <c r="S2222" s="2" t="s">
        <v>100</v>
      </c>
      <c r="T2222" s="2" t="s">
        <v>100</v>
      </c>
      <c r="U2222" s="2" t="s">
        <v>3531</v>
      </c>
      <c r="V2222" s="2" t="s">
        <v>1752</v>
      </c>
      <c r="W2222" s="2" t="s">
        <v>104</v>
      </c>
      <c r="X2222" s="2" t="s">
        <v>100</v>
      </c>
      <c r="Y2222" s="2" t="s">
        <v>7459</v>
      </c>
      <c r="Z2222" s="4">
        <v>236</v>
      </c>
      <c r="AA2222" s="4">
        <f>=ROUNDDOWN(39.3333333333333,0)</f>
      </c>
      <c r="AB2222" s="5">
        <v>6</v>
      </c>
      <c r="AC2222" s="2" t="s">
        <v>100</v>
      </c>
      <c r="AD2222" s="4"/>
      <c r="AE2222" s="4"/>
      <c r="AF2222" s="6">
        <v>66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/>
      <c r="AW2222" s="8"/>
      <c r="AX2222" s="4"/>
      <c r="AY2222" s="8"/>
      <c r="AZ2222" s="7"/>
      <c r="BA2222" s="7"/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98</v>
      </c>
      <c r="BK2222" s="8">
        <v>14798.88</v>
      </c>
      <c r="BL2222" s="2" t="s">
        <v>7920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6185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7921</v>
      </c>
      <c r="B2223" s="2" t="s">
        <v>7252</v>
      </c>
      <c r="C2223" s="2" t="s">
        <v>88</v>
      </c>
      <c r="D2223" s="2" t="s">
        <v>7786</v>
      </c>
      <c r="E2223" s="2" t="s">
        <v>7787</v>
      </c>
      <c r="F2223" s="2" t="s">
        <v>7922</v>
      </c>
      <c r="G2223" s="2" t="s">
        <v>7923</v>
      </c>
      <c r="H2223" s="2" t="s">
        <v>7924</v>
      </c>
      <c r="I2223" s="2" t="s">
        <v>7787</v>
      </c>
      <c r="J2223" s="2" t="s">
        <v>6103</v>
      </c>
      <c r="K2223" s="2" t="s">
        <v>2367</v>
      </c>
      <c r="L2223" s="3">
        <v>128.7</v>
      </c>
      <c r="M2223" s="3">
        <v>135.14</v>
      </c>
      <c r="N2223" s="3">
        <v>279</v>
      </c>
      <c r="O2223" s="2" t="s">
        <v>97</v>
      </c>
      <c r="P2223" s="2" t="s">
        <v>1265</v>
      </c>
      <c r="Q2223" s="2" t="s">
        <v>99</v>
      </c>
      <c r="R2223" s="2" t="s">
        <v>100</v>
      </c>
      <c r="S2223" s="2" t="s">
        <v>7925</v>
      </c>
      <c r="T2223" s="2" t="s">
        <v>100</v>
      </c>
      <c r="U2223" s="2" t="s">
        <v>100</v>
      </c>
      <c r="V2223" s="2" t="s">
        <v>601</v>
      </c>
      <c r="W2223" s="2" t="s">
        <v>104</v>
      </c>
      <c r="X2223" s="2" t="s">
        <v>100</v>
      </c>
      <c r="Y2223" s="2" t="s">
        <v>7588</v>
      </c>
      <c r="Z2223" s="4">
        <v>202</v>
      </c>
      <c r="AA2223" s="4">
        <f>=ROUNDDOWN(40.4,0)</f>
      </c>
      <c r="AB2223" s="5">
        <v>5</v>
      </c>
      <c r="AC2223" s="2" t="s">
        <v>130</v>
      </c>
      <c r="AD2223" s="4">
        <v>100</v>
      </c>
      <c r="AE2223" s="4">
        <v>100</v>
      </c>
      <c r="AF2223" s="6">
        <v>66</v>
      </c>
      <c r="AG2223" s="6">
        <v>49</v>
      </c>
      <c r="AH2223" s="7">
        <v>0.9758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>
        <v>0</v>
      </c>
      <c r="AP2223" s="4">
        <v>13</v>
      </c>
      <c r="AQ2223" s="8">
        <v>1298.05</v>
      </c>
      <c r="AR2223" s="4">
        <v>51</v>
      </c>
      <c r="AS2223" s="8">
        <v>5545.05</v>
      </c>
      <c r="AT2223" s="7">
        <v>-0.7451</v>
      </c>
      <c r="AU2223" s="7">
        <v>-0.7659</v>
      </c>
      <c r="AV2223" s="4">
        <v>13</v>
      </c>
      <c r="AW2223" s="8">
        <v>1298.05</v>
      </c>
      <c r="AX2223" s="4">
        <v>51</v>
      </c>
      <c r="AY2223" s="8">
        <v>5545.05</v>
      </c>
      <c r="AZ2223" s="7">
        <v>-0.7451</v>
      </c>
      <c r="BA2223" s="7">
        <v>-0.7659</v>
      </c>
      <c r="BB2223" s="7">
        <v>1</v>
      </c>
      <c r="BC2223" s="4">
        <v>13</v>
      </c>
      <c r="BD2223" s="8">
        <v>1298.05</v>
      </c>
      <c r="BE2223" s="4">
        <v>77</v>
      </c>
      <c r="BF2223" s="8">
        <v>8292.05</v>
      </c>
      <c r="BG2223" s="7">
        <v>-0.8312</v>
      </c>
      <c r="BH2223" s="7">
        <v>-0.8435</v>
      </c>
      <c r="BI2223" s="7">
        <v>1</v>
      </c>
      <c r="BJ2223" s="4">
        <v>86</v>
      </c>
      <c r="BK2223" s="8">
        <v>11615.89</v>
      </c>
      <c r="BL2223" s="2" t="s">
        <v>7926</v>
      </c>
      <c r="BM2223" s="7">
        <v>0.1512</v>
      </c>
      <c r="BN2223" s="7">
        <v>0.1117</v>
      </c>
      <c r="BO2223" s="4">
        <v>13</v>
      </c>
      <c r="BP2223" s="8">
        <v>1298.05</v>
      </c>
      <c r="BQ2223" s="4">
        <v>51</v>
      </c>
      <c r="BR2223" s="8">
        <v>5545.05</v>
      </c>
      <c r="BS2223" s="7">
        <v>-0.7451</v>
      </c>
      <c r="BT2223" s="7">
        <v>-0.7659</v>
      </c>
      <c r="BU2223" s="2" t="s">
        <v>109</v>
      </c>
      <c r="BV2223" s="2" t="s">
        <v>97</v>
      </c>
      <c r="BW2223" s="2" t="s">
        <v>7841</v>
      </c>
      <c r="BX2223" s="2" t="s">
        <v>2728</v>
      </c>
      <c r="BY2223" s="2" t="s">
        <v>112</v>
      </c>
      <c r="BZ2223" s="2" t="s">
        <v>100</v>
      </c>
    </row>
    <row r="2224">
      <c r="A2224" s="2" t="s">
        <v>7927</v>
      </c>
      <c r="B2224" s="2" t="s">
        <v>7252</v>
      </c>
      <c r="C2224" s="2" t="s">
        <v>88</v>
      </c>
      <c r="D2224" s="2" t="s">
        <v>7786</v>
      </c>
      <c r="E2224" s="2" t="s">
        <v>7787</v>
      </c>
      <c r="F2224" s="2" t="s">
        <v>7922</v>
      </c>
      <c r="G2224" s="2" t="s">
        <v>7923</v>
      </c>
      <c r="H2224" s="2" t="s">
        <v>7924</v>
      </c>
      <c r="I2224" s="2" t="s">
        <v>7787</v>
      </c>
      <c r="J2224" s="2" t="s">
        <v>6103</v>
      </c>
      <c r="K2224" s="2" t="s">
        <v>2553</v>
      </c>
      <c r="L2224" s="3">
        <v>128.7</v>
      </c>
      <c r="M2224" s="3">
        <v>135.14</v>
      </c>
      <c r="N2224" s="3">
        <v>279</v>
      </c>
      <c r="O2224" s="2" t="s">
        <v>550</v>
      </c>
      <c r="P2224" s="2" t="s">
        <v>198</v>
      </c>
      <c r="Q2224" s="2" t="s">
        <v>99</v>
      </c>
      <c r="R2224" s="2" t="s">
        <v>100</v>
      </c>
      <c r="S2224" s="2" t="s">
        <v>100</v>
      </c>
      <c r="T2224" s="2" t="s">
        <v>100</v>
      </c>
      <c r="U2224" s="2" t="s">
        <v>3531</v>
      </c>
      <c r="V2224" s="2" t="s">
        <v>601</v>
      </c>
      <c r="W2224" s="2" t="s">
        <v>104</v>
      </c>
      <c r="X2224" s="2" t="s">
        <v>405</v>
      </c>
      <c r="Y2224" s="2" t="s">
        <v>7928</v>
      </c>
      <c r="Z2224" s="4"/>
      <c r="AA2224" s="4">
        <f>=ROUNDDOWN({0},0)</f>
      </c>
      <c r="AB2224" s="5">
        <v>3</v>
      </c>
      <c r="AC2224" s="2" t="s">
        <v>100</v>
      </c>
      <c r="AD2224" s="4"/>
      <c r="AE2224" s="4"/>
      <c r="AF2224" s="6">
        <v>65</v>
      </c>
      <c r="AG2224" s="6">
        <v>48</v>
      </c>
      <c r="AH2224" s="7">
        <v>0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>
        <v>0</v>
      </c>
      <c r="AP2224" s="4"/>
      <c r="AQ2224" s="8"/>
      <c r="AR2224" s="4">
        <v>26</v>
      </c>
      <c r="AS2224" s="8">
        <v>2747</v>
      </c>
      <c r="AT2224" s="7">
        <v>-1</v>
      </c>
      <c r="AU2224" s="7">
        <v>-1</v>
      </c>
      <c r="AV2224" s="4"/>
      <c r="AW2224" s="8"/>
      <c r="AX2224" s="4">
        <v>26</v>
      </c>
      <c r="AY2224" s="8">
        <v>2747</v>
      </c>
      <c r="AZ2224" s="7">
        <v>-1</v>
      </c>
      <c r="BA2224" s="7">
        <v>-1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/>
      <c r="BK2224" s="8"/>
      <c r="BL2224" s="2" t="s">
        <v>7929</v>
      </c>
      <c r="BM2224" s="7"/>
      <c r="BN2224" s="7"/>
      <c r="BO2224" s="4"/>
      <c r="BP2224" s="8"/>
      <c r="BQ2224" s="4">
        <v>26</v>
      </c>
      <c r="BR2224" s="8">
        <v>2747</v>
      </c>
      <c r="BS2224" s="7">
        <v>-1</v>
      </c>
      <c r="BT2224" s="7">
        <v>-1</v>
      </c>
      <c r="BU2224" s="2" t="s">
        <v>109</v>
      </c>
      <c r="BV2224" s="2" t="s">
        <v>552</v>
      </c>
      <c r="BW2224" s="2" t="s">
        <v>7311</v>
      </c>
      <c r="BX2224" s="2" t="s">
        <v>6545</v>
      </c>
      <c r="BY2224" s="2" t="s">
        <v>112</v>
      </c>
      <c r="BZ2224" s="2" t="s">
        <v>100</v>
      </c>
    </row>
    <row r="2225">
      <c r="A2225" s="2" t="s">
        <v>7930</v>
      </c>
      <c r="B2225" s="2" t="s">
        <v>7252</v>
      </c>
      <c r="C2225" s="2" t="s">
        <v>88</v>
      </c>
      <c r="D2225" s="2" t="s">
        <v>7786</v>
      </c>
      <c r="E2225" s="2" t="s">
        <v>7787</v>
      </c>
      <c r="F2225" s="2" t="s">
        <v>7931</v>
      </c>
      <c r="G2225" s="2" t="s">
        <v>7932</v>
      </c>
      <c r="H2225" s="2" t="s">
        <v>308</v>
      </c>
      <c r="I2225" s="2" t="s">
        <v>7933</v>
      </c>
      <c r="J2225" s="2" t="s">
        <v>6103</v>
      </c>
      <c r="K2225" s="2" t="s">
        <v>7611</v>
      </c>
      <c r="L2225" s="3">
        <v>142.86</v>
      </c>
      <c r="M2225" s="3">
        <v>150</v>
      </c>
      <c r="N2225" s="3">
        <v>299</v>
      </c>
      <c r="O2225" s="2" t="s">
        <v>97</v>
      </c>
      <c r="P2225" s="2" t="s">
        <v>1265</v>
      </c>
      <c r="Q2225" s="2" t="s">
        <v>99</v>
      </c>
      <c r="R2225" s="2" t="s">
        <v>100</v>
      </c>
      <c r="S2225" s="2" t="s">
        <v>100</v>
      </c>
      <c r="T2225" s="2" t="s">
        <v>100</v>
      </c>
      <c r="U2225" s="2" t="s">
        <v>3531</v>
      </c>
      <c r="V2225" s="2" t="s">
        <v>601</v>
      </c>
      <c r="W2225" s="2" t="s">
        <v>104</v>
      </c>
      <c r="X2225" s="2" t="s">
        <v>100</v>
      </c>
      <c r="Y2225" s="2" t="s">
        <v>7934</v>
      </c>
      <c r="Z2225" s="4">
        <v>269</v>
      </c>
      <c r="AA2225" s="4">
        <f>=ROUNDDOWN(38.4285714285714,0)</f>
      </c>
      <c r="AB2225" s="5">
        <v>7</v>
      </c>
      <c r="AC2225" s="2" t="s">
        <v>126</v>
      </c>
      <c r="AD2225" s="4">
        <v>50</v>
      </c>
      <c r="AE2225" s="4">
        <v>95</v>
      </c>
      <c r="AF2225" s="6">
        <v>66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>
        <v>0</v>
      </c>
      <c r="AP2225" s="4">
        <v>5</v>
      </c>
      <c r="AQ2225" s="8">
        <v>750</v>
      </c>
      <c r="AR2225" s="4"/>
      <c r="AS2225" s="8"/>
      <c r="AT2225" s="7"/>
      <c r="AU2225" s="7"/>
      <c r="AV2225" s="4">
        <v>5</v>
      </c>
      <c r="AW2225" s="8">
        <v>750</v>
      </c>
      <c r="AX2225" s="4"/>
      <c r="AY2225" s="8"/>
      <c r="AZ2225" s="7"/>
      <c r="BA2225" s="7"/>
      <c r="BB2225" s="7">
        <v>1</v>
      </c>
      <c r="BC2225" s="4">
        <v>8</v>
      </c>
      <c r="BD2225" s="8">
        <v>1200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>
        <v>0.625</v>
      </c>
      <c r="BJ2225" s="4">
        <v>109</v>
      </c>
      <c r="BK2225" s="8">
        <v>16980.9</v>
      </c>
      <c r="BL2225" s="2" t="s">
        <v>7935</v>
      </c>
      <c r="BM2225" s="7">
        <v>0.0459</v>
      </c>
      <c r="BN2225" s="7">
        <v>0.0442</v>
      </c>
      <c r="BO2225" s="4">
        <v>5</v>
      </c>
      <c r="BP2225" s="8">
        <v>750</v>
      </c>
      <c r="BQ2225" s="4"/>
      <c r="BR2225" s="8"/>
      <c r="BS2225" s="7"/>
      <c r="BT2225" s="7"/>
      <c r="BU2225" s="2" t="s">
        <v>109</v>
      </c>
      <c r="BV2225" s="2" t="s">
        <v>97</v>
      </c>
      <c r="BW2225" s="2" t="s">
        <v>7307</v>
      </c>
      <c r="BX2225" s="2" t="s">
        <v>7133</v>
      </c>
      <c r="BY2225" s="2" t="s">
        <v>112</v>
      </c>
      <c r="BZ2225" s="2" t="s">
        <v>100</v>
      </c>
    </row>
    <row r="2226">
      <c r="A2226" s="2" t="s">
        <v>7936</v>
      </c>
      <c r="B2226" s="2" t="s">
        <v>7252</v>
      </c>
      <c r="C2226" s="2" t="s">
        <v>88</v>
      </c>
      <c r="D2226" s="2" t="s">
        <v>7786</v>
      </c>
      <c r="E2226" s="2" t="s">
        <v>7787</v>
      </c>
      <c r="F2226" s="2" t="s">
        <v>7931</v>
      </c>
      <c r="G2226" s="2" t="s">
        <v>7932</v>
      </c>
      <c r="H2226" s="2" t="s">
        <v>308</v>
      </c>
      <c r="I2226" s="2" t="s">
        <v>7933</v>
      </c>
      <c r="J2226" s="2" t="s">
        <v>6103</v>
      </c>
      <c r="K2226" s="2" t="s">
        <v>333</v>
      </c>
      <c r="L2226" s="3">
        <v>142.86</v>
      </c>
      <c r="M2226" s="3">
        <v>150</v>
      </c>
      <c r="N2226" s="3">
        <v>299</v>
      </c>
      <c r="O2226" s="2" t="s">
        <v>97</v>
      </c>
      <c r="P2226" s="2" t="s">
        <v>1265</v>
      </c>
      <c r="Q2226" s="2" t="s">
        <v>99</v>
      </c>
      <c r="R2226" s="2" t="s">
        <v>100</v>
      </c>
      <c r="S2226" s="2" t="s">
        <v>100</v>
      </c>
      <c r="T2226" s="2" t="s">
        <v>100</v>
      </c>
      <c r="U2226" s="2" t="s">
        <v>3531</v>
      </c>
      <c r="V2226" s="2" t="s">
        <v>601</v>
      </c>
      <c r="W2226" s="2" t="s">
        <v>104</v>
      </c>
      <c r="X2226" s="2" t="s">
        <v>759</v>
      </c>
      <c r="Y2226" s="2" t="s">
        <v>7862</v>
      </c>
      <c r="Z2226" s="4">
        <v>40</v>
      </c>
      <c r="AA2226" s="4">
        <f>=ROUNDDOWN({0},0)</f>
      </c>
      <c r="AB2226" s="5"/>
      <c r="AC2226" s="2" t="s">
        <v>126</v>
      </c>
      <c r="AD2226" s="4">
        <v>35</v>
      </c>
      <c r="AE2226" s="4">
        <v>35</v>
      </c>
      <c r="AF2226" s="6">
        <v>66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>
        <v>0</v>
      </c>
      <c r="AP2226" s="4">
        <v>3</v>
      </c>
      <c r="AQ2226" s="8">
        <v>450</v>
      </c>
      <c r="AR2226" s="4"/>
      <c r="AS2226" s="8"/>
      <c r="AT2226" s="7"/>
      <c r="AU2226" s="7"/>
      <c r="AV2226" s="4">
        <v>3</v>
      </c>
      <c r="AW2226" s="8">
        <v>450</v>
      </c>
      <c r="AX2226" s="4"/>
      <c r="AY2226" s="8"/>
      <c r="AZ2226" s="7"/>
      <c r="BA2226" s="7"/>
      <c r="BB2226" s="7">
        <v>1</v>
      </c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>
        <v>0.375</v>
      </c>
      <c r="BJ2226" s="4">
        <v>26</v>
      </c>
      <c r="BK2226" s="8">
        <v>4141.29</v>
      </c>
      <c r="BL2226" s="2" t="s">
        <v>7937</v>
      </c>
      <c r="BM2226" s="7">
        <v>0.1154</v>
      </c>
      <c r="BN2226" s="7">
        <v>0.1087</v>
      </c>
      <c r="BO2226" s="4">
        <v>3</v>
      </c>
      <c r="BP2226" s="8">
        <v>450</v>
      </c>
      <c r="BQ2226" s="4"/>
      <c r="BR2226" s="8"/>
      <c r="BS2226" s="7"/>
      <c r="BT2226" s="7"/>
      <c r="BU2226" s="2" t="s">
        <v>109</v>
      </c>
      <c r="BV2226" s="2" t="s">
        <v>97</v>
      </c>
      <c r="BW2226" s="2" t="s">
        <v>7938</v>
      </c>
      <c r="BX2226" s="2" t="s">
        <v>4609</v>
      </c>
      <c r="BY2226" s="2" t="s">
        <v>112</v>
      </c>
      <c r="BZ2226" s="2" t="s">
        <v>100</v>
      </c>
    </row>
    <row r="2227">
      <c r="A2227" s="2" t="s">
        <v>7939</v>
      </c>
      <c r="B2227" s="2" t="s">
        <v>7252</v>
      </c>
      <c r="C2227" s="2" t="s">
        <v>88</v>
      </c>
      <c r="D2227" s="2" t="s">
        <v>7786</v>
      </c>
      <c r="E2227" s="2" t="s">
        <v>7787</v>
      </c>
      <c r="F2227" s="2" t="s">
        <v>7940</v>
      </c>
      <c r="G2227" s="2" t="s">
        <v>7941</v>
      </c>
      <c r="H2227" s="2" t="s">
        <v>7942</v>
      </c>
      <c r="I2227" s="2" t="s">
        <v>7787</v>
      </c>
      <c r="J2227" s="2" t="s">
        <v>6103</v>
      </c>
      <c r="K2227" s="2" t="s">
        <v>7943</v>
      </c>
      <c r="L2227" s="3">
        <v>160</v>
      </c>
      <c r="M2227" s="3">
        <v>168</v>
      </c>
      <c r="N2227" s="3">
        <v>339</v>
      </c>
      <c r="O2227" s="2" t="s">
        <v>229</v>
      </c>
      <c r="P2227" s="2" t="s">
        <v>198</v>
      </c>
      <c r="Q2227" s="2" t="s">
        <v>99</v>
      </c>
      <c r="R2227" s="2" t="s">
        <v>100</v>
      </c>
      <c r="S2227" s="2" t="s">
        <v>7944</v>
      </c>
      <c r="T2227" s="2" t="s">
        <v>100</v>
      </c>
      <c r="U2227" s="2" t="s">
        <v>100</v>
      </c>
      <c r="V2227" s="2" t="s">
        <v>601</v>
      </c>
      <c r="W2227" s="2" t="s">
        <v>104</v>
      </c>
      <c r="X2227" s="2" t="s">
        <v>100</v>
      </c>
      <c r="Y2227" s="2" t="s">
        <v>7945</v>
      </c>
      <c r="Z2227" s="4">
        <v>31</v>
      </c>
      <c r="AA2227" s="4">
        <f>=ROUNDDOWN(31,0)</f>
      </c>
      <c r="AB2227" s="5">
        <v>1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>
        <v>0</v>
      </c>
      <c r="AP2227" s="4">
        <v>7</v>
      </c>
      <c r="AQ2227" s="8">
        <v>1176</v>
      </c>
      <c r="AR2227" s="4">
        <v>2</v>
      </c>
      <c r="AS2227" s="8">
        <v>336</v>
      </c>
      <c r="AT2227" s="7">
        <v>2.5</v>
      </c>
      <c r="AU2227" s="7">
        <v>2.5</v>
      </c>
      <c r="AV2227" s="4">
        <v>7</v>
      </c>
      <c r="AW2227" s="8">
        <v>1176</v>
      </c>
      <c r="AX2227" s="4">
        <v>2</v>
      </c>
      <c r="AY2227" s="8">
        <v>336</v>
      </c>
      <c r="AZ2227" s="7">
        <v>2.5</v>
      </c>
      <c r="BA2227" s="7">
        <v>2.5</v>
      </c>
      <c r="BB2227" s="7">
        <v>1</v>
      </c>
      <c r="BC2227" s="4">
        <v>7</v>
      </c>
      <c r="BD2227" s="8">
        <v>1176</v>
      </c>
      <c r="BE2227" s="4">
        <v>2</v>
      </c>
      <c r="BF2227" s="8">
        <v>336</v>
      </c>
      <c r="BG2227" s="7">
        <v>2.5</v>
      </c>
      <c r="BH2227" s="7">
        <v>2.5</v>
      </c>
      <c r="BI2227" s="7">
        <v>1</v>
      </c>
      <c r="BJ2227" s="4">
        <v>56</v>
      </c>
      <c r="BK2227" s="8">
        <v>8014.92</v>
      </c>
      <c r="BL2227" s="2" t="s">
        <v>7946</v>
      </c>
      <c r="BM2227" s="7">
        <v>0.125</v>
      </c>
      <c r="BN2227" s="7">
        <v>0.1467</v>
      </c>
      <c r="BO2227" s="4">
        <v>7</v>
      </c>
      <c r="BP2227" s="8">
        <v>1176</v>
      </c>
      <c r="BQ2227" s="4">
        <v>2</v>
      </c>
      <c r="BR2227" s="8">
        <v>336</v>
      </c>
      <c r="BS2227" s="7">
        <v>2.5</v>
      </c>
      <c r="BT2227" s="7">
        <v>2.5</v>
      </c>
      <c r="BU2227" s="2" t="s">
        <v>109</v>
      </c>
      <c r="BV2227" s="2" t="s">
        <v>97</v>
      </c>
      <c r="BW2227" s="2" t="s">
        <v>7311</v>
      </c>
      <c r="BX2227" s="2" t="s">
        <v>128</v>
      </c>
      <c r="BY2227" s="2" t="s">
        <v>112</v>
      </c>
      <c r="BZ2227" s="2" t="s">
        <v>100</v>
      </c>
    </row>
    <row r="2228">
      <c r="A2228" s="2" t="s">
        <v>7947</v>
      </c>
      <c r="B2228" s="2" t="s">
        <v>7252</v>
      </c>
      <c r="C2228" s="2" t="s">
        <v>88</v>
      </c>
      <c r="D2228" s="2" t="s">
        <v>7786</v>
      </c>
      <c r="E2228" s="2" t="s">
        <v>7787</v>
      </c>
      <c r="F2228" s="2" t="s">
        <v>7948</v>
      </c>
      <c r="G2228" s="2" t="s">
        <v>7949</v>
      </c>
      <c r="H2228" s="2" t="s">
        <v>7950</v>
      </c>
      <c r="I2228" s="2" t="s">
        <v>7885</v>
      </c>
      <c r="J2228" s="2" t="s">
        <v>6103</v>
      </c>
      <c r="K2228" s="2" t="s">
        <v>2367</v>
      </c>
      <c r="L2228" s="3">
        <v>165</v>
      </c>
      <c r="M2228" s="3">
        <v>173.25</v>
      </c>
      <c r="N2228" s="3">
        <v>349</v>
      </c>
      <c r="O2228" s="2" t="s">
        <v>97</v>
      </c>
      <c r="P2228" s="2" t="s">
        <v>182</v>
      </c>
      <c r="Q2228" s="2" t="s">
        <v>99</v>
      </c>
      <c r="R2228" s="2" t="s">
        <v>100</v>
      </c>
      <c r="S2228" s="2" t="s">
        <v>100</v>
      </c>
      <c r="T2228" s="2" t="s">
        <v>100</v>
      </c>
      <c r="U2228" s="2" t="s">
        <v>3531</v>
      </c>
      <c r="V2228" s="2" t="s">
        <v>601</v>
      </c>
      <c r="W2228" s="2" t="s">
        <v>104</v>
      </c>
      <c r="X2228" s="2" t="s">
        <v>602</v>
      </c>
      <c r="Y2228" s="2" t="s">
        <v>132</v>
      </c>
      <c r="Z2228" s="4">
        <v>298</v>
      </c>
      <c r="AA2228" s="4">
        <f>=ROUNDDOWN(24.8333333333333,0)</f>
      </c>
      <c r="AB2228" s="5">
        <v>12</v>
      </c>
      <c r="AC2228" s="2" t="s">
        <v>936</v>
      </c>
      <c r="AD2228" s="4">
        <v>160</v>
      </c>
      <c r="AE2228" s="4">
        <v>280</v>
      </c>
      <c r="AF2228" s="6">
        <v>66</v>
      </c>
      <c r="AG2228" s="6">
        <v>49</v>
      </c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>
        <v>0</v>
      </c>
      <c r="AP2228" s="4">
        <v>4</v>
      </c>
      <c r="AQ2228" s="8">
        <v>625.12</v>
      </c>
      <c r="AR2228" s="4">
        <v>2</v>
      </c>
      <c r="AS2228" s="8">
        <v>346.5</v>
      </c>
      <c r="AT2228" s="7">
        <v>1</v>
      </c>
      <c r="AU2228" s="7">
        <v>0.8041</v>
      </c>
      <c r="AV2228" s="4">
        <v>4</v>
      </c>
      <c r="AW2228" s="8">
        <v>625.12</v>
      </c>
      <c r="AX2228" s="4">
        <v>2</v>
      </c>
      <c r="AY2228" s="8">
        <v>346.5</v>
      </c>
      <c r="AZ2228" s="7">
        <v>1</v>
      </c>
      <c r="BA2228" s="7">
        <v>0.8041</v>
      </c>
      <c r="BB2228" s="7">
        <v>1</v>
      </c>
      <c r="BC2228" s="4">
        <v>4</v>
      </c>
      <c r="BD2228" s="8">
        <v>625.12</v>
      </c>
      <c r="BE2228" s="4">
        <v>9</v>
      </c>
      <c r="BF2228" s="8">
        <v>1166.97</v>
      </c>
      <c r="BG2228" s="7">
        <v>-0.5556</v>
      </c>
      <c r="BH2228" s="7">
        <v>-0.4643</v>
      </c>
      <c r="BI2228" s="7">
        <v>1</v>
      </c>
      <c r="BJ2228" s="4">
        <v>248</v>
      </c>
      <c r="BK2228" s="8">
        <v>38818.77</v>
      </c>
      <c r="BL2228" s="2" t="s">
        <v>7951</v>
      </c>
      <c r="BM2228" s="7">
        <v>0.0161</v>
      </c>
      <c r="BN2228" s="7">
        <v>0.0161</v>
      </c>
      <c r="BO2228" s="4">
        <v>4</v>
      </c>
      <c r="BP2228" s="8">
        <v>625.12</v>
      </c>
      <c r="BQ2228" s="4">
        <v>2</v>
      </c>
      <c r="BR2228" s="8">
        <v>346.5</v>
      </c>
      <c r="BS2228" s="7">
        <v>1</v>
      </c>
      <c r="BT2228" s="7">
        <v>0.8041</v>
      </c>
      <c r="BU2228" s="2" t="s">
        <v>109</v>
      </c>
      <c r="BV2228" s="2" t="s">
        <v>97</v>
      </c>
      <c r="BW2228" s="2" t="s">
        <v>7311</v>
      </c>
      <c r="BX2228" s="2" t="s">
        <v>607</v>
      </c>
      <c r="BY2228" s="2" t="s">
        <v>112</v>
      </c>
      <c r="BZ2228" s="2" t="s">
        <v>100</v>
      </c>
    </row>
    <row r="2229">
      <c r="A2229" s="2" t="s">
        <v>7952</v>
      </c>
      <c r="B2229" s="2" t="s">
        <v>7252</v>
      </c>
      <c r="C2229" s="2" t="s">
        <v>88</v>
      </c>
      <c r="D2229" s="2" t="s">
        <v>7786</v>
      </c>
      <c r="E2229" s="2" t="s">
        <v>7787</v>
      </c>
      <c r="F2229" s="2" t="s">
        <v>7948</v>
      </c>
      <c r="G2229" s="2" t="s">
        <v>7949</v>
      </c>
      <c r="H2229" s="2" t="s">
        <v>7950</v>
      </c>
      <c r="I2229" s="2" t="s">
        <v>7953</v>
      </c>
      <c r="J2229" s="2" t="s">
        <v>6103</v>
      </c>
      <c r="K2229" s="2" t="s">
        <v>158</v>
      </c>
      <c r="L2229" s="3">
        <v>165</v>
      </c>
      <c r="M2229" s="3">
        <v>173.25</v>
      </c>
      <c r="N2229" s="3">
        <v>349</v>
      </c>
      <c r="O2229" s="2" t="s">
        <v>97</v>
      </c>
      <c r="P2229" s="2" t="s">
        <v>182</v>
      </c>
      <c r="Q2229" s="2" t="s">
        <v>99</v>
      </c>
      <c r="R2229" s="2" t="s">
        <v>100</v>
      </c>
      <c r="S2229" s="2" t="s">
        <v>7954</v>
      </c>
      <c r="T2229" s="2" t="s">
        <v>100</v>
      </c>
      <c r="U2229" s="2" t="s">
        <v>100</v>
      </c>
      <c r="V2229" s="2" t="s">
        <v>601</v>
      </c>
      <c r="W2229" s="2" t="s">
        <v>104</v>
      </c>
      <c r="X2229" s="2" t="s">
        <v>100</v>
      </c>
      <c r="Y2229" s="2" t="s">
        <v>7588</v>
      </c>
      <c r="Z2229" s="4">
        <v>120</v>
      </c>
      <c r="AA2229" s="4">
        <f>=ROUNDDOWN(15,0)</f>
      </c>
      <c r="AB2229" s="5">
        <v>8</v>
      </c>
      <c r="AC2229" s="2" t="s">
        <v>4396</v>
      </c>
      <c r="AD2229" s="4">
        <v>150</v>
      </c>
      <c r="AE2229" s="4">
        <v>150</v>
      </c>
      <c r="AF2229" s="6">
        <v>66</v>
      </c>
      <c r="AG2229" s="6">
        <v>49</v>
      </c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>
        <v>0</v>
      </c>
      <c r="AP2229" s="4"/>
      <c r="AQ2229" s="8"/>
      <c r="AR2229" s="4">
        <v>7</v>
      </c>
      <c r="AS2229" s="8">
        <v>820.47</v>
      </c>
      <c r="AT2229" s="7">
        <v>-1</v>
      </c>
      <c r="AU2229" s="7">
        <v>-1</v>
      </c>
      <c r="AV2229" s="4"/>
      <c r="AW2229" s="8"/>
      <c r="AX2229" s="4">
        <v>7</v>
      </c>
      <c r="AY2229" s="8">
        <v>820.47</v>
      </c>
      <c r="AZ2229" s="7">
        <v>-1</v>
      </c>
      <c r="BA2229" s="7">
        <v>-1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148</v>
      </c>
      <c r="BK2229" s="8">
        <v>23476.93</v>
      </c>
      <c r="BL2229" s="2" t="s">
        <v>7955</v>
      </c>
      <c r="BM2229" s="7"/>
      <c r="BN2229" s="7"/>
      <c r="BO2229" s="4"/>
      <c r="BP2229" s="8"/>
      <c r="BQ2229" s="4">
        <v>7</v>
      </c>
      <c r="BR2229" s="8">
        <v>820.47</v>
      </c>
      <c r="BS2229" s="7">
        <v>-1</v>
      </c>
      <c r="BT2229" s="7">
        <v>-1</v>
      </c>
      <c r="BU2229" s="2" t="s">
        <v>109</v>
      </c>
      <c r="BV2229" s="2" t="s">
        <v>97</v>
      </c>
      <c r="BW2229" s="2" t="s">
        <v>7307</v>
      </c>
      <c r="BX2229" s="2" t="s">
        <v>7956</v>
      </c>
      <c r="BY2229" s="2" t="s">
        <v>112</v>
      </c>
      <c r="BZ2229" s="2" t="s">
        <v>100</v>
      </c>
    </row>
    <row r="2230">
      <c r="A2230" s="2" t="s">
        <v>7957</v>
      </c>
      <c r="B2230" s="2" t="s">
        <v>7252</v>
      </c>
      <c r="C2230" s="2" t="s">
        <v>88</v>
      </c>
      <c r="D2230" s="2" t="s">
        <v>7786</v>
      </c>
      <c r="E2230" s="2" t="s">
        <v>7787</v>
      </c>
      <c r="F2230" s="2" t="s">
        <v>7958</v>
      </c>
      <c r="G2230" s="2" t="s">
        <v>7959</v>
      </c>
      <c r="H2230" s="2" t="s">
        <v>7616</v>
      </c>
      <c r="I2230" s="2" t="s">
        <v>7960</v>
      </c>
      <c r="J2230" s="2" t="s">
        <v>6103</v>
      </c>
      <c r="K2230" s="2" t="s">
        <v>2367</v>
      </c>
      <c r="L2230" s="3">
        <v>80.75</v>
      </c>
      <c r="M2230" s="3">
        <v>84.79</v>
      </c>
      <c r="N2230" s="3">
        <v>169</v>
      </c>
      <c r="O2230" s="2" t="s">
        <v>97</v>
      </c>
      <c r="P2230" s="2" t="s">
        <v>1265</v>
      </c>
      <c r="Q2230" s="2" t="s">
        <v>99</v>
      </c>
      <c r="R2230" s="2" t="s">
        <v>100</v>
      </c>
      <c r="S2230" s="2" t="s">
        <v>7961</v>
      </c>
      <c r="T2230" s="2" t="s">
        <v>100</v>
      </c>
      <c r="U2230" s="2" t="s">
        <v>100</v>
      </c>
      <c r="V2230" s="2" t="s">
        <v>601</v>
      </c>
      <c r="W2230" s="2" t="s">
        <v>602</v>
      </c>
      <c r="X2230" s="2" t="s">
        <v>100</v>
      </c>
      <c r="Y2230" s="2" t="s">
        <v>106</v>
      </c>
      <c r="Z2230" s="4">
        <v>244</v>
      </c>
      <c r="AA2230" s="4">
        <f>=ROUNDDOWN(76.25,0)</f>
      </c>
      <c r="AB2230" s="5">
        <v>3.2</v>
      </c>
      <c r="AC2230" s="2" t="s">
        <v>100</v>
      </c>
      <c r="AD2230" s="4"/>
      <c r="AE2230" s="4"/>
      <c r="AF2230" s="6">
        <v>74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>
        <v>0</v>
      </c>
      <c r="AP2230" s="4">
        <v>3</v>
      </c>
      <c r="AQ2230" s="8">
        <v>254.37</v>
      </c>
      <c r="AR2230" s="4">
        <v>19</v>
      </c>
      <c r="AS2230" s="8">
        <v>1410.21</v>
      </c>
      <c r="AT2230" s="7">
        <v>-0.8421</v>
      </c>
      <c r="AU2230" s="7">
        <v>-0.8196</v>
      </c>
      <c r="AV2230" s="4">
        <v>3</v>
      </c>
      <c r="AW2230" s="8">
        <v>254.37</v>
      </c>
      <c r="AX2230" s="4">
        <v>19</v>
      </c>
      <c r="AY2230" s="8">
        <v>1410.21</v>
      </c>
      <c r="AZ2230" s="7">
        <v>-0.8421</v>
      </c>
      <c r="BA2230" s="7">
        <v>-0.8196</v>
      </c>
      <c r="BB2230" s="7">
        <v>1</v>
      </c>
      <c r="BC2230" s="4">
        <v>7</v>
      </c>
      <c r="BD2230" s="8">
        <v>508.73</v>
      </c>
      <c r="BE2230" s="4">
        <v>47</v>
      </c>
      <c r="BF2230" s="8">
        <v>3516.17</v>
      </c>
      <c r="BG2230" s="7">
        <v>-0.8511</v>
      </c>
      <c r="BH2230" s="7">
        <v>-0.8553</v>
      </c>
      <c r="BI2230" s="7">
        <v>0.5</v>
      </c>
      <c r="BJ2230" s="4">
        <v>48</v>
      </c>
      <c r="BK2230" s="8">
        <v>3947.97</v>
      </c>
      <c r="BL2230" s="2" t="s">
        <v>7962</v>
      </c>
      <c r="BM2230" s="7">
        <v>0.0625</v>
      </c>
      <c r="BN2230" s="7">
        <v>0.0644</v>
      </c>
      <c r="BO2230" s="4">
        <v>3</v>
      </c>
      <c r="BP2230" s="8">
        <v>254.37</v>
      </c>
      <c r="BQ2230" s="4">
        <v>19</v>
      </c>
      <c r="BR2230" s="8">
        <v>1410.21</v>
      </c>
      <c r="BS2230" s="7">
        <v>-0.8421</v>
      </c>
      <c r="BT2230" s="7">
        <v>-0.8196</v>
      </c>
      <c r="BU2230" s="2" t="s">
        <v>109</v>
      </c>
      <c r="BV2230" s="2" t="s">
        <v>97</v>
      </c>
      <c r="BW2230" s="2" t="s">
        <v>7307</v>
      </c>
      <c r="BX2230" s="2" t="s">
        <v>5076</v>
      </c>
      <c r="BY2230" s="2" t="s">
        <v>112</v>
      </c>
      <c r="BZ2230" s="2" t="s">
        <v>100</v>
      </c>
    </row>
    <row r="2231">
      <c r="A2231" s="2" t="s">
        <v>7963</v>
      </c>
      <c r="B2231" s="2" t="s">
        <v>7252</v>
      </c>
      <c r="C2231" s="2" t="s">
        <v>88</v>
      </c>
      <c r="D2231" s="2" t="s">
        <v>7786</v>
      </c>
      <c r="E2231" s="2" t="s">
        <v>7787</v>
      </c>
      <c r="F2231" s="2" t="s">
        <v>7958</v>
      </c>
      <c r="G2231" s="2" t="s">
        <v>7959</v>
      </c>
      <c r="H2231" s="2" t="s">
        <v>7616</v>
      </c>
      <c r="I2231" s="2" t="s">
        <v>7787</v>
      </c>
      <c r="J2231" s="2" t="s">
        <v>6103</v>
      </c>
      <c r="K2231" s="2" t="s">
        <v>333</v>
      </c>
      <c r="L2231" s="3">
        <v>80.75</v>
      </c>
      <c r="M2231" s="3">
        <v>84.79</v>
      </c>
      <c r="N2231" s="3">
        <v>169</v>
      </c>
      <c r="O2231" s="2" t="s">
        <v>97</v>
      </c>
      <c r="P2231" s="2" t="s">
        <v>1265</v>
      </c>
      <c r="Q2231" s="2" t="s">
        <v>99</v>
      </c>
      <c r="R2231" s="2" t="s">
        <v>100</v>
      </c>
      <c r="S2231" s="2" t="s">
        <v>7964</v>
      </c>
      <c r="T2231" s="2" t="s">
        <v>100</v>
      </c>
      <c r="U2231" s="2" t="s">
        <v>100</v>
      </c>
      <c r="V2231" s="2" t="s">
        <v>601</v>
      </c>
      <c r="W2231" s="2" t="s">
        <v>602</v>
      </c>
      <c r="X2231" s="2" t="s">
        <v>100</v>
      </c>
      <c r="Y2231" s="2" t="s">
        <v>106</v>
      </c>
      <c r="Z2231" s="4">
        <v>158</v>
      </c>
      <c r="AA2231" s="4">
        <f>=ROUNDDOWN(39.5,0)</f>
      </c>
      <c r="AB2231" s="5">
        <v>4</v>
      </c>
      <c r="AC2231" s="2" t="s">
        <v>735</v>
      </c>
      <c r="AD2231" s="4">
        <v>80</v>
      </c>
      <c r="AE2231" s="4">
        <v>80</v>
      </c>
      <c r="AF2231" s="6">
        <v>74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>
        <v>0</v>
      </c>
      <c r="AP2231" s="4">
        <v>4</v>
      </c>
      <c r="AQ2231" s="8">
        <v>254.36</v>
      </c>
      <c r="AR2231" s="4">
        <v>21</v>
      </c>
      <c r="AS2231" s="8">
        <v>1552.35</v>
      </c>
      <c r="AT2231" s="7">
        <v>-0.8095</v>
      </c>
      <c r="AU2231" s="7">
        <v>-0.8361</v>
      </c>
      <c r="AV2231" s="4">
        <v>4</v>
      </c>
      <c r="AW2231" s="8">
        <v>254.36</v>
      </c>
      <c r="AX2231" s="4">
        <v>21</v>
      </c>
      <c r="AY2231" s="8">
        <v>1552.35</v>
      </c>
      <c r="AZ2231" s="7">
        <v>-0.8095</v>
      </c>
      <c r="BA2231" s="7">
        <v>-0.8361</v>
      </c>
      <c r="BB2231" s="7">
        <v>1</v>
      </c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>
        <v>0.5</v>
      </c>
      <c r="BJ2231" s="4">
        <v>68</v>
      </c>
      <c r="BK2231" s="8">
        <v>5872.2</v>
      </c>
      <c r="BL2231" s="2" t="s">
        <v>7965</v>
      </c>
      <c r="BM2231" s="7">
        <v>0.0588</v>
      </c>
      <c r="BN2231" s="7">
        <v>0.0433</v>
      </c>
      <c r="BO2231" s="4">
        <v>4</v>
      </c>
      <c r="BP2231" s="8">
        <v>254.36</v>
      </c>
      <c r="BQ2231" s="4">
        <v>21</v>
      </c>
      <c r="BR2231" s="8">
        <v>1552.35</v>
      </c>
      <c r="BS2231" s="7">
        <v>-0.8095</v>
      </c>
      <c r="BT2231" s="7">
        <v>-0.8361</v>
      </c>
      <c r="BU2231" s="2" t="s">
        <v>109</v>
      </c>
      <c r="BV2231" s="2" t="s">
        <v>97</v>
      </c>
      <c r="BW2231" s="2" t="s">
        <v>7307</v>
      </c>
      <c r="BX2231" s="2" t="s">
        <v>7966</v>
      </c>
      <c r="BY2231" s="2" t="s">
        <v>112</v>
      </c>
      <c r="BZ2231" s="2" t="s">
        <v>100</v>
      </c>
    </row>
    <row r="2232">
      <c r="A2232" s="2" t="s">
        <v>7967</v>
      </c>
      <c r="B2232" s="2" t="s">
        <v>7252</v>
      </c>
      <c r="C2232" s="2" t="s">
        <v>88</v>
      </c>
      <c r="D2232" s="2" t="s">
        <v>7786</v>
      </c>
      <c r="E2232" s="2" t="s">
        <v>7787</v>
      </c>
      <c r="F2232" s="2" t="s">
        <v>7958</v>
      </c>
      <c r="G2232" s="2" t="s">
        <v>7959</v>
      </c>
      <c r="H2232" s="2" t="s">
        <v>7616</v>
      </c>
      <c r="I2232" s="2" t="s">
        <v>7960</v>
      </c>
      <c r="J2232" s="2" t="s">
        <v>6103</v>
      </c>
      <c r="K2232" s="2" t="s">
        <v>158</v>
      </c>
      <c r="L2232" s="3">
        <v>80.75</v>
      </c>
      <c r="M2232" s="3">
        <v>84.79</v>
      </c>
      <c r="N2232" s="3">
        <v>169</v>
      </c>
      <c r="O2232" s="2" t="s">
        <v>97</v>
      </c>
      <c r="P2232" s="2" t="s">
        <v>1265</v>
      </c>
      <c r="Q2232" s="2" t="s">
        <v>99</v>
      </c>
      <c r="R2232" s="2" t="s">
        <v>100</v>
      </c>
      <c r="S2232" s="2" t="s">
        <v>7968</v>
      </c>
      <c r="T2232" s="2" t="s">
        <v>100</v>
      </c>
      <c r="U2232" s="2" t="s">
        <v>100</v>
      </c>
      <c r="V2232" s="2" t="s">
        <v>601</v>
      </c>
      <c r="W2232" s="2" t="s">
        <v>602</v>
      </c>
      <c r="X2232" s="2" t="s">
        <v>100</v>
      </c>
      <c r="Y2232" s="2" t="s">
        <v>106</v>
      </c>
      <c r="Z2232" s="4">
        <v>91</v>
      </c>
      <c r="AA2232" s="4">
        <f>=ROUNDDOWN(101.111111111111,0)</f>
      </c>
      <c r="AB2232" s="5">
        <v>0.9</v>
      </c>
      <c r="AC2232" s="2" t="s">
        <v>735</v>
      </c>
      <c r="AD2232" s="4">
        <v>90</v>
      </c>
      <c r="AE2232" s="4">
        <v>90</v>
      </c>
      <c r="AF2232" s="6">
        <v>74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>
        <v>0</v>
      </c>
      <c r="AP2232" s="4"/>
      <c r="AQ2232" s="8"/>
      <c r="AR2232" s="4">
        <v>7</v>
      </c>
      <c r="AS2232" s="8">
        <v>553.61</v>
      </c>
      <c r="AT2232" s="7">
        <v>-1</v>
      </c>
      <c r="AU2232" s="7">
        <v>-1</v>
      </c>
      <c r="AV2232" s="4"/>
      <c r="AW2232" s="8"/>
      <c r="AX2232" s="4">
        <v>7</v>
      </c>
      <c r="AY2232" s="8">
        <v>553.61</v>
      </c>
      <c r="AZ2232" s="7">
        <v>-1</v>
      </c>
      <c r="BA2232" s="7">
        <v>-1</v>
      </c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91</v>
      </c>
      <c r="BK2232" s="8">
        <v>7207.54</v>
      </c>
      <c r="BL2232" s="2" t="s">
        <v>7969</v>
      </c>
      <c r="BM2232" s="7"/>
      <c r="BN2232" s="7"/>
      <c r="BO2232" s="4"/>
      <c r="BP2232" s="8"/>
      <c r="BQ2232" s="4">
        <v>7</v>
      </c>
      <c r="BR2232" s="8">
        <v>553.61</v>
      </c>
      <c r="BS2232" s="7">
        <v>-1</v>
      </c>
      <c r="BT2232" s="7">
        <v>-1</v>
      </c>
      <c r="BU2232" s="2" t="s">
        <v>109</v>
      </c>
      <c r="BV2232" s="2" t="s">
        <v>97</v>
      </c>
      <c r="BW2232" s="2" t="s">
        <v>7841</v>
      </c>
      <c r="BX2232" s="2" t="s">
        <v>7970</v>
      </c>
      <c r="BY2232" s="2" t="s">
        <v>112</v>
      </c>
      <c r="BZ2232" s="2" t="s">
        <v>100</v>
      </c>
    </row>
    <row r="2233">
      <c r="A2233" s="2" t="s">
        <v>7971</v>
      </c>
      <c r="B2233" s="2" t="s">
        <v>7252</v>
      </c>
      <c r="C2233" s="2" t="s">
        <v>88</v>
      </c>
      <c r="D2233" s="2" t="s">
        <v>7786</v>
      </c>
      <c r="E2233" s="2" t="s">
        <v>7787</v>
      </c>
      <c r="F2233" s="2" t="s">
        <v>7972</v>
      </c>
      <c r="G2233" s="2" t="s">
        <v>3134</v>
      </c>
      <c r="H2233" s="2" t="s">
        <v>7973</v>
      </c>
      <c r="I2233" s="2" t="s">
        <v>7787</v>
      </c>
      <c r="J2233" s="2" t="s">
        <v>6103</v>
      </c>
      <c r="K2233" s="2" t="s">
        <v>2367</v>
      </c>
      <c r="L2233" s="3">
        <v>80.75</v>
      </c>
      <c r="M2233" s="3">
        <v>84.79</v>
      </c>
      <c r="N2233" s="3">
        <v>169</v>
      </c>
      <c r="O2233" s="2" t="s">
        <v>97</v>
      </c>
      <c r="P2233" s="2" t="s">
        <v>182</v>
      </c>
      <c r="Q2233" s="2" t="s">
        <v>99</v>
      </c>
      <c r="R2233" s="2" t="s">
        <v>100</v>
      </c>
      <c r="S2233" s="2" t="s">
        <v>7974</v>
      </c>
      <c r="T2233" s="2" t="s">
        <v>100</v>
      </c>
      <c r="U2233" s="2" t="s">
        <v>100</v>
      </c>
      <c r="V2233" s="2" t="s">
        <v>3244</v>
      </c>
      <c r="W2233" s="2" t="s">
        <v>602</v>
      </c>
      <c r="X2233" s="2" t="s">
        <v>100</v>
      </c>
      <c r="Y2233" s="2" t="s">
        <v>106</v>
      </c>
      <c r="Z2233" s="4">
        <v>155</v>
      </c>
      <c r="AA2233" s="4">
        <f>=ROUNDDOWN(14.0909090909091,0)</f>
      </c>
      <c r="AB2233" s="5">
        <v>11</v>
      </c>
      <c r="AC2233" s="2" t="s">
        <v>138</v>
      </c>
      <c r="AD2233" s="4">
        <v>100</v>
      </c>
      <c r="AE2233" s="4">
        <v>200</v>
      </c>
      <c r="AF2233" s="6">
        <v>66</v>
      </c>
      <c r="AG2233" s="6">
        <v>49</v>
      </c>
      <c r="AH2233" s="7">
        <v>0.9879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>
        <v>0</v>
      </c>
      <c r="AP2233" s="4">
        <v>3</v>
      </c>
      <c r="AQ2233" s="8">
        <v>254.37</v>
      </c>
      <c r="AR2233" s="4">
        <v>8</v>
      </c>
      <c r="AS2233" s="8">
        <v>714</v>
      </c>
      <c r="AT2233" s="7">
        <v>-0.625</v>
      </c>
      <c r="AU2233" s="7">
        <v>-0.6437</v>
      </c>
      <c r="AV2233" s="4">
        <v>3</v>
      </c>
      <c r="AW2233" s="8">
        <v>254.37</v>
      </c>
      <c r="AX2233" s="4">
        <v>8</v>
      </c>
      <c r="AY2233" s="8">
        <v>714</v>
      </c>
      <c r="AZ2233" s="7">
        <v>-0.625</v>
      </c>
      <c r="BA2233" s="7">
        <v>-0.6437</v>
      </c>
      <c r="BB2233" s="7">
        <v>1</v>
      </c>
      <c r="BC2233" s="4">
        <v>3</v>
      </c>
      <c r="BD2233" s="8">
        <v>254.37</v>
      </c>
      <c r="BE2233" s="4">
        <v>8</v>
      </c>
      <c r="BF2233" s="8">
        <v>714</v>
      </c>
      <c r="BG2233" s="7">
        <v>-0.625</v>
      </c>
      <c r="BH2233" s="7">
        <v>-0.6437</v>
      </c>
      <c r="BI2233" s="7">
        <v>1</v>
      </c>
      <c r="BJ2233" s="4">
        <v>226</v>
      </c>
      <c r="BK2233" s="8">
        <v>17854.53</v>
      </c>
      <c r="BL2233" s="2" t="s">
        <v>7975</v>
      </c>
      <c r="BM2233" s="7">
        <v>0.0133</v>
      </c>
      <c r="BN2233" s="7">
        <v>0.0142</v>
      </c>
      <c r="BO2233" s="4">
        <v>3</v>
      </c>
      <c r="BP2233" s="8">
        <v>254.37</v>
      </c>
      <c r="BQ2233" s="4">
        <v>8</v>
      </c>
      <c r="BR2233" s="8">
        <v>714</v>
      </c>
      <c r="BS2233" s="7">
        <v>-0.625</v>
      </c>
      <c r="BT2233" s="7">
        <v>-0.6437</v>
      </c>
      <c r="BU2233" s="2" t="s">
        <v>109</v>
      </c>
      <c r="BV2233" s="2" t="s">
        <v>97</v>
      </c>
      <c r="BW2233" s="2" t="s">
        <v>7311</v>
      </c>
      <c r="BX2233" s="2" t="s">
        <v>6237</v>
      </c>
      <c r="BY2233" s="2" t="s">
        <v>112</v>
      </c>
      <c r="BZ2233" s="2" t="s">
        <v>100</v>
      </c>
    </row>
    <row r="2234">
      <c r="A2234" s="2" t="s">
        <v>7976</v>
      </c>
      <c r="B2234" s="2" t="s">
        <v>7252</v>
      </c>
      <c r="C2234" s="2" t="s">
        <v>88</v>
      </c>
      <c r="D2234" s="2" t="s">
        <v>7786</v>
      </c>
      <c r="E2234" s="2" t="s">
        <v>7787</v>
      </c>
      <c r="F2234" s="2" t="s">
        <v>7977</v>
      </c>
      <c r="G2234" s="2" t="s">
        <v>7978</v>
      </c>
      <c r="H2234" s="2" t="s">
        <v>7979</v>
      </c>
      <c r="I2234" s="2" t="s">
        <v>7787</v>
      </c>
      <c r="J2234" s="2" t="s">
        <v>6103</v>
      </c>
      <c r="K2234" s="2" t="s">
        <v>7980</v>
      </c>
      <c r="L2234" s="3">
        <v>80</v>
      </c>
      <c r="M2234" s="3">
        <v>84</v>
      </c>
      <c r="N2234" s="3">
        <v>169</v>
      </c>
      <c r="O2234" s="2" t="s">
        <v>97</v>
      </c>
      <c r="P2234" s="2" t="s">
        <v>182</v>
      </c>
      <c r="Q2234" s="2" t="s">
        <v>99</v>
      </c>
      <c r="R2234" s="2" t="s">
        <v>100</v>
      </c>
      <c r="S2234" s="2" t="s">
        <v>100</v>
      </c>
      <c r="T2234" s="2" t="s">
        <v>100</v>
      </c>
      <c r="U2234" s="2" t="s">
        <v>3531</v>
      </c>
      <c r="V2234" s="2" t="s">
        <v>601</v>
      </c>
      <c r="W2234" s="2" t="s">
        <v>602</v>
      </c>
      <c r="X2234" s="2" t="s">
        <v>2195</v>
      </c>
      <c r="Y2234" s="2" t="s">
        <v>4695</v>
      </c>
      <c r="Z2234" s="4">
        <v>615</v>
      </c>
      <c r="AA2234" s="4">
        <f>=ROUNDDOWN(47.3076923076923,0)</f>
      </c>
      <c r="AB2234" s="5">
        <v>13</v>
      </c>
      <c r="AC2234" s="2" t="s">
        <v>100</v>
      </c>
      <c r="AD2234" s="4"/>
      <c r="AE2234" s="4"/>
      <c r="AF2234" s="6">
        <v>66</v>
      </c>
      <c r="AG2234" s="6"/>
      <c r="AH2234" s="7">
        <v>1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>
        <v>0</v>
      </c>
      <c r="AP2234" s="4">
        <v>2</v>
      </c>
      <c r="AQ2234" s="8">
        <v>157.68</v>
      </c>
      <c r="AR2234" s="4"/>
      <c r="AS2234" s="8"/>
      <c r="AT2234" s="7"/>
      <c r="AU2234" s="7"/>
      <c r="AV2234" s="4">
        <v>2</v>
      </c>
      <c r="AW2234" s="8">
        <v>157.68</v>
      </c>
      <c r="AX2234" s="4"/>
      <c r="AY2234" s="8"/>
      <c r="AZ2234" s="7"/>
      <c r="BA2234" s="7"/>
      <c r="BB2234" s="7">
        <v>1</v>
      </c>
      <c r="BC2234" s="4">
        <v>2</v>
      </c>
      <c r="BD2234" s="8">
        <v>157.68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>
        <v>1</v>
      </c>
      <c r="BJ2234" s="4">
        <v>313</v>
      </c>
      <c r="BK2234" s="8">
        <v>25574.88</v>
      </c>
      <c r="BL2234" s="2" t="s">
        <v>7981</v>
      </c>
      <c r="BM2234" s="7">
        <v>0.0064</v>
      </c>
      <c r="BN2234" s="7">
        <v>0.0062</v>
      </c>
      <c r="BO2234" s="4">
        <v>2</v>
      </c>
      <c r="BP2234" s="8">
        <v>157.68</v>
      </c>
      <c r="BQ2234" s="4"/>
      <c r="BR2234" s="8"/>
      <c r="BS2234" s="7"/>
      <c r="BT2234" s="7"/>
      <c r="BU2234" s="2" t="s">
        <v>109</v>
      </c>
      <c r="BV2234" s="2" t="s">
        <v>97</v>
      </c>
      <c r="BW2234" s="2" t="s">
        <v>7841</v>
      </c>
      <c r="BX2234" s="2" t="s">
        <v>580</v>
      </c>
      <c r="BY2234" s="2" t="s">
        <v>112</v>
      </c>
      <c r="BZ2234" s="2" t="s">
        <v>100</v>
      </c>
    </row>
    <row r="2235">
      <c r="A2235" s="2" t="s">
        <v>7982</v>
      </c>
      <c r="B2235" s="2" t="s">
        <v>7252</v>
      </c>
      <c r="C2235" s="2" t="s">
        <v>88</v>
      </c>
      <c r="D2235" s="2" t="s">
        <v>7786</v>
      </c>
      <c r="E2235" s="2" t="s">
        <v>7787</v>
      </c>
      <c r="F2235" s="2" t="s">
        <v>7977</v>
      </c>
      <c r="G2235" s="2" t="s">
        <v>7978</v>
      </c>
      <c r="H2235" s="2" t="s">
        <v>7979</v>
      </c>
      <c r="I2235" s="2" t="s">
        <v>7787</v>
      </c>
      <c r="J2235" s="2" t="s">
        <v>6103</v>
      </c>
      <c r="K2235" s="2" t="s">
        <v>7983</v>
      </c>
      <c r="L2235" s="3">
        <v>80</v>
      </c>
      <c r="M2235" s="3">
        <v>84</v>
      </c>
      <c r="N2235" s="3">
        <v>169</v>
      </c>
      <c r="O2235" s="2" t="s">
        <v>97</v>
      </c>
      <c r="P2235" s="2" t="s">
        <v>1166</v>
      </c>
      <c r="Q2235" s="2" t="s">
        <v>99</v>
      </c>
      <c r="R2235" s="2" t="s">
        <v>100</v>
      </c>
      <c r="S2235" s="2" t="s">
        <v>100</v>
      </c>
      <c r="T2235" s="2" t="s">
        <v>100</v>
      </c>
      <c r="U2235" s="2" t="s">
        <v>3531</v>
      </c>
      <c r="V2235" s="2" t="s">
        <v>601</v>
      </c>
      <c r="W2235" s="2" t="s">
        <v>602</v>
      </c>
      <c r="X2235" s="2" t="s">
        <v>2195</v>
      </c>
      <c r="Y2235" s="2" t="s">
        <v>100</v>
      </c>
      <c r="Z2235" s="4"/>
      <c r="AA2235" s="4">
        <f>=ROUNDDOWN({0},0)</f>
      </c>
      <c r="AB2235" s="5">
        <v>13</v>
      </c>
      <c r="AC2235" s="2" t="s">
        <v>100</v>
      </c>
      <c r="AD2235" s="4"/>
      <c r="AE2235" s="4"/>
      <c r="AF2235" s="6">
        <v>66</v>
      </c>
      <c r="AG2235" s="6"/>
      <c r="AH2235" s="7">
        <v>0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/>
      <c r="BK2235" s="8"/>
      <c r="BL2235" s="2" t="s">
        <v>100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147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7984</v>
      </c>
      <c r="B2236" s="2" t="s">
        <v>7252</v>
      </c>
      <c r="C2236" s="2" t="s">
        <v>88</v>
      </c>
      <c r="D2236" s="2" t="s">
        <v>7786</v>
      </c>
      <c r="E2236" s="2" t="s">
        <v>7787</v>
      </c>
      <c r="F2236" s="2" t="s">
        <v>7985</v>
      </c>
      <c r="G2236" s="2" t="s">
        <v>7986</v>
      </c>
      <c r="H2236" s="2" t="s">
        <v>7987</v>
      </c>
      <c r="I2236" s="2" t="s">
        <v>7988</v>
      </c>
      <c r="J2236" s="2" t="s">
        <v>6103</v>
      </c>
      <c r="K2236" s="2" t="s">
        <v>2367</v>
      </c>
      <c r="L2236" s="3">
        <v>140</v>
      </c>
      <c r="M2236" s="3">
        <v>147</v>
      </c>
      <c r="N2236" s="3">
        <v>289</v>
      </c>
      <c r="O2236" s="2" t="s">
        <v>97</v>
      </c>
      <c r="P2236" s="2" t="s">
        <v>182</v>
      </c>
      <c r="Q2236" s="2" t="s">
        <v>99</v>
      </c>
      <c r="R2236" s="2" t="s">
        <v>100</v>
      </c>
      <c r="S2236" s="2" t="s">
        <v>100</v>
      </c>
      <c r="T2236" s="2" t="s">
        <v>100</v>
      </c>
      <c r="U2236" s="2" t="s">
        <v>3531</v>
      </c>
      <c r="V2236" s="2" t="s">
        <v>1752</v>
      </c>
      <c r="W2236" s="2" t="s">
        <v>602</v>
      </c>
      <c r="X2236" s="2" t="s">
        <v>1190</v>
      </c>
      <c r="Y2236" s="2" t="s">
        <v>7989</v>
      </c>
      <c r="Z2236" s="4"/>
      <c r="AA2236" s="4">
        <f>=ROUNDDOWN({0},0)</f>
      </c>
      <c r="AB2236" s="5">
        <v>12</v>
      </c>
      <c r="AC2236" s="2" t="s">
        <v>589</v>
      </c>
      <c r="AD2236" s="4">
        <v>230</v>
      </c>
      <c r="AE2236" s="4">
        <v>230</v>
      </c>
      <c r="AF2236" s="6">
        <v>66</v>
      </c>
      <c r="AG2236" s="6"/>
      <c r="AH2236" s="7">
        <v>0.5515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/>
      <c r="BD2236" s="8"/>
      <c r="BE2236" s="4"/>
      <c r="BF2236" s="8"/>
      <c r="BG2236" s="7"/>
      <c r="BH2236" s="7"/>
      <c r="BI2236" s="7"/>
      <c r="BJ2236" s="4">
        <v>90</v>
      </c>
      <c r="BK2236" s="8">
        <v>13290.3</v>
      </c>
      <c r="BL2236" s="2" t="s">
        <v>7990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6185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7991</v>
      </c>
      <c r="B2237" s="2" t="s">
        <v>7252</v>
      </c>
      <c r="C2237" s="2" t="s">
        <v>88</v>
      </c>
      <c r="D2237" s="2" t="s">
        <v>7786</v>
      </c>
      <c r="E2237" s="2" t="s">
        <v>7787</v>
      </c>
      <c r="F2237" s="2" t="s">
        <v>3752</v>
      </c>
      <c r="G2237" s="2" t="s">
        <v>7992</v>
      </c>
      <c r="H2237" s="2" t="s">
        <v>7993</v>
      </c>
      <c r="I2237" s="2" t="s">
        <v>7994</v>
      </c>
      <c r="J2237" s="2" t="s">
        <v>6103</v>
      </c>
      <c r="K2237" s="2" t="s">
        <v>7696</v>
      </c>
      <c r="L2237" s="3">
        <v>160</v>
      </c>
      <c r="M2237" s="3">
        <v>168</v>
      </c>
      <c r="N2237" s="3">
        <v>339</v>
      </c>
      <c r="O2237" s="2" t="s">
        <v>97</v>
      </c>
      <c r="P2237" s="2" t="s">
        <v>182</v>
      </c>
      <c r="Q2237" s="2" t="s">
        <v>99</v>
      </c>
      <c r="R2237" s="2" t="s">
        <v>100</v>
      </c>
      <c r="S2237" s="2" t="s">
        <v>100</v>
      </c>
      <c r="T2237" s="2" t="s">
        <v>100</v>
      </c>
      <c r="U2237" s="2" t="s">
        <v>3531</v>
      </c>
      <c r="V2237" s="2" t="s">
        <v>1752</v>
      </c>
      <c r="W2237" s="2" t="s">
        <v>1288</v>
      </c>
      <c r="X2237" s="2" t="s">
        <v>104</v>
      </c>
      <c r="Y2237" s="2" t="s">
        <v>7995</v>
      </c>
      <c r="Z2237" s="4">
        <v>125</v>
      </c>
      <c r="AA2237" s="4">
        <f>=ROUNDDOWN(11.3636363636364,0)</f>
      </c>
      <c r="AB2237" s="5">
        <v>11</v>
      </c>
      <c r="AC2237" s="2" t="s">
        <v>3645</v>
      </c>
      <c r="AD2237" s="4">
        <v>150</v>
      </c>
      <c r="AE2237" s="4">
        <v>300</v>
      </c>
      <c r="AF2237" s="6">
        <v>66</v>
      </c>
      <c r="AG2237" s="6">
        <v>49</v>
      </c>
      <c r="AH2237" s="7">
        <v>1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>
        <v>0</v>
      </c>
      <c r="AP2237" s="4"/>
      <c r="AQ2237" s="8"/>
      <c r="AR2237" s="4">
        <v>1</v>
      </c>
      <c r="AS2237" s="8">
        <v>112.22</v>
      </c>
      <c r="AT2237" s="7">
        <v>-1</v>
      </c>
      <c r="AU2237" s="7">
        <v>-1</v>
      </c>
      <c r="AV2237" s="4"/>
      <c r="AW2237" s="8"/>
      <c r="AX2237" s="4">
        <v>1</v>
      </c>
      <c r="AY2237" s="8">
        <v>112.22</v>
      </c>
      <c r="AZ2237" s="7">
        <v>-1</v>
      </c>
      <c r="BA2237" s="7">
        <v>-1</v>
      </c>
      <c r="BB2237" s="7"/>
      <c r="BC2237" s="4"/>
      <c r="BD2237" s="8"/>
      <c r="BE2237" s="4">
        <v>1</v>
      </c>
      <c r="BF2237" s="8">
        <v>112.22</v>
      </c>
      <c r="BG2237" s="7">
        <v>-1</v>
      </c>
      <c r="BH2237" s="7">
        <v>-1</v>
      </c>
      <c r="BI2237" s="7"/>
      <c r="BJ2237" s="4">
        <v>240</v>
      </c>
      <c r="BK2237" s="8">
        <v>39884.04</v>
      </c>
      <c r="BL2237" s="2" t="s">
        <v>7996</v>
      </c>
      <c r="BM2237" s="7"/>
      <c r="BN2237" s="7"/>
      <c r="BO2237" s="4"/>
      <c r="BP2237" s="8"/>
      <c r="BQ2237" s="4">
        <v>1</v>
      </c>
      <c r="BR2237" s="8">
        <v>112.22</v>
      </c>
      <c r="BS2237" s="7">
        <v>-1</v>
      </c>
      <c r="BT2237" s="7">
        <v>-1</v>
      </c>
      <c r="BU2237" s="2" t="s">
        <v>109</v>
      </c>
      <c r="BV2237" s="2" t="s">
        <v>97</v>
      </c>
      <c r="BW2237" s="2" t="s">
        <v>7311</v>
      </c>
      <c r="BX2237" s="2" t="s">
        <v>5003</v>
      </c>
      <c r="BY2237" s="2" t="s">
        <v>112</v>
      </c>
      <c r="BZ2237" s="2" t="s">
        <v>100</v>
      </c>
    </row>
    <row r="2238">
      <c r="A2238" s="2" t="s">
        <v>7997</v>
      </c>
      <c r="B2238" s="2" t="s">
        <v>7252</v>
      </c>
      <c r="C2238" s="2" t="s">
        <v>88</v>
      </c>
      <c r="D2238" s="2" t="s">
        <v>7786</v>
      </c>
      <c r="E2238" s="2" t="s">
        <v>7787</v>
      </c>
      <c r="F2238" s="2" t="s">
        <v>7998</v>
      </c>
      <c r="G2238" s="2" t="s">
        <v>7999</v>
      </c>
      <c r="H2238" s="2" t="s">
        <v>8000</v>
      </c>
      <c r="I2238" s="2" t="s">
        <v>7994</v>
      </c>
      <c r="J2238" s="2" t="s">
        <v>6103</v>
      </c>
      <c r="K2238" s="2" t="s">
        <v>6167</v>
      </c>
      <c r="L2238" s="3">
        <v>99</v>
      </c>
      <c r="M2238" s="3">
        <v>103.95</v>
      </c>
      <c r="N2238" s="3">
        <v>209</v>
      </c>
      <c r="O2238" s="2" t="s">
        <v>97</v>
      </c>
      <c r="P2238" s="2" t="s">
        <v>1265</v>
      </c>
      <c r="Q2238" s="2" t="s">
        <v>99</v>
      </c>
      <c r="R2238" s="2" t="s">
        <v>100</v>
      </c>
      <c r="S2238" s="2" t="s">
        <v>100</v>
      </c>
      <c r="T2238" s="2" t="s">
        <v>100</v>
      </c>
      <c r="U2238" s="2" t="s">
        <v>3531</v>
      </c>
      <c r="V2238" s="2" t="s">
        <v>1752</v>
      </c>
      <c r="W2238" s="2" t="s">
        <v>104</v>
      </c>
      <c r="X2238" s="2" t="s">
        <v>100</v>
      </c>
      <c r="Y2238" s="2" t="s">
        <v>7729</v>
      </c>
      <c r="Z2238" s="4">
        <v>114</v>
      </c>
      <c r="AA2238" s="4">
        <f>=ROUNDDOWN(38,0)</f>
      </c>
      <c r="AB2238" s="5">
        <v>3</v>
      </c>
      <c r="AC2238" s="2" t="s">
        <v>100</v>
      </c>
      <c r="AD2238" s="4"/>
      <c r="AE2238" s="4"/>
      <c r="AF2238" s="6">
        <v>66</v>
      </c>
      <c r="AG2238" s="6">
        <v>49</v>
      </c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>
        <v>0</v>
      </c>
      <c r="AP2238" s="4"/>
      <c r="AQ2238" s="8"/>
      <c r="AR2238" s="4">
        <v>6</v>
      </c>
      <c r="AS2238" s="8">
        <v>542.84</v>
      </c>
      <c r="AT2238" s="7">
        <v>-1</v>
      </c>
      <c r="AU2238" s="7">
        <v>-1</v>
      </c>
      <c r="AV2238" s="4"/>
      <c r="AW2238" s="8"/>
      <c r="AX2238" s="4">
        <v>6</v>
      </c>
      <c r="AY2238" s="8">
        <v>542.84</v>
      </c>
      <c r="AZ2238" s="7">
        <v>-1</v>
      </c>
      <c r="BA2238" s="7">
        <v>-1</v>
      </c>
      <c r="BB2238" s="7"/>
      <c r="BC2238" s="4"/>
      <c r="BD2238" s="8"/>
      <c r="BE2238" s="4">
        <v>6</v>
      </c>
      <c r="BF2238" s="8">
        <v>542.84</v>
      </c>
      <c r="BG2238" s="7">
        <v>-1</v>
      </c>
      <c r="BH2238" s="7">
        <v>-1</v>
      </c>
      <c r="BI2238" s="7"/>
      <c r="BJ2238" s="4">
        <v>83</v>
      </c>
      <c r="BK2238" s="8">
        <v>8944.83</v>
      </c>
      <c r="BL2238" s="2" t="s">
        <v>8001</v>
      </c>
      <c r="BM2238" s="7"/>
      <c r="BN2238" s="7"/>
      <c r="BO2238" s="4"/>
      <c r="BP2238" s="8"/>
      <c r="BQ2238" s="4">
        <v>6</v>
      </c>
      <c r="BR2238" s="8">
        <v>542.84</v>
      </c>
      <c r="BS2238" s="7">
        <v>-1</v>
      </c>
      <c r="BT2238" s="7">
        <v>-1</v>
      </c>
      <c r="BU2238" s="2" t="s">
        <v>109</v>
      </c>
      <c r="BV2238" s="2" t="s">
        <v>97</v>
      </c>
      <c r="BW2238" s="2" t="s">
        <v>7382</v>
      </c>
      <c r="BX2238" s="2" t="s">
        <v>764</v>
      </c>
      <c r="BY2238" s="2" t="s">
        <v>112</v>
      </c>
      <c r="BZ2238" s="2" t="s">
        <v>100</v>
      </c>
    </row>
    <row r="2239">
      <c r="A2239" s="2" t="s">
        <v>8002</v>
      </c>
      <c r="B2239" s="2" t="s">
        <v>7252</v>
      </c>
      <c r="C2239" s="2" t="s">
        <v>88</v>
      </c>
      <c r="D2239" s="2" t="s">
        <v>7786</v>
      </c>
      <c r="E2239" s="2" t="s">
        <v>7787</v>
      </c>
      <c r="F2239" s="2" t="s">
        <v>7301</v>
      </c>
      <c r="G2239" s="2" t="s">
        <v>451</v>
      </c>
      <c r="H2239" s="2" t="s">
        <v>7302</v>
      </c>
      <c r="I2239" s="2" t="s">
        <v>8003</v>
      </c>
      <c r="J2239" s="2" t="s">
        <v>6103</v>
      </c>
      <c r="K2239" s="2" t="s">
        <v>7304</v>
      </c>
      <c r="L2239" s="3">
        <v>144</v>
      </c>
      <c r="M2239" s="3">
        <v>151.2</v>
      </c>
      <c r="N2239" s="3">
        <v>299</v>
      </c>
      <c r="O2239" s="2" t="s">
        <v>97</v>
      </c>
      <c r="P2239" s="2" t="s">
        <v>182</v>
      </c>
      <c r="Q2239" s="2" t="s">
        <v>99</v>
      </c>
      <c r="R2239" s="2" t="s">
        <v>100</v>
      </c>
      <c r="S2239" s="2" t="s">
        <v>100</v>
      </c>
      <c r="T2239" s="2" t="s">
        <v>100</v>
      </c>
      <c r="U2239" s="2" t="s">
        <v>3531</v>
      </c>
      <c r="V2239" s="2" t="s">
        <v>1752</v>
      </c>
      <c r="W2239" s="2" t="s">
        <v>104</v>
      </c>
      <c r="X2239" s="2" t="s">
        <v>602</v>
      </c>
      <c r="Y2239" s="2" t="s">
        <v>8004</v>
      </c>
      <c r="Z2239" s="4">
        <v>137</v>
      </c>
      <c r="AA2239" s="4">
        <f>=ROUNDDOWN(2.65503875968992,0)</f>
      </c>
      <c r="AB2239" s="5">
        <v>51.6</v>
      </c>
      <c r="AC2239" s="2" t="s">
        <v>7295</v>
      </c>
      <c r="AD2239" s="4">
        <v>350</v>
      </c>
      <c r="AE2239" s="4">
        <v>400</v>
      </c>
      <c r="AF2239" s="6">
        <v>66</v>
      </c>
      <c r="AG2239" s="6"/>
      <c r="AH2239" s="7">
        <v>0.2545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334</v>
      </c>
      <c r="BK2239" s="8">
        <v>54764.55</v>
      </c>
      <c r="BL2239" s="2" t="s">
        <v>8005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6185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8006</v>
      </c>
      <c r="B2240" s="2" t="s">
        <v>7252</v>
      </c>
      <c r="C2240" s="2" t="s">
        <v>88</v>
      </c>
      <c r="D2240" s="2" t="s">
        <v>7786</v>
      </c>
      <c r="E2240" s="2" t="s">
        <v>7787</v>
      </c>
      <c r="F2240" s="2" t="s">
        <v>8007</v>
      </c>
      <c r="G2240" s="2" t="s">
        <v>8008</v>
      </c>
      <c r="H2240" s="2" t="s">
        <v>8009</v>
      </c>
      <c r="I2240" s="2" t="s">
        <v>7933</v>
      </c>
      <c r="J2240" s="2" t="s">
        <v>6103</v>
      </c>
      <c r="K2240" s="2" t="s">
        <v>2367</v>
      </c>
      <c r="L2240" s="3">
        <v>190</v>
      </c>
      <c r="M2240" s="3">
        <v>199.5</v>
      </c>
      <c r="N2240" s="3">
        <v>399</v>
      </c>
      <c r="O2240" s="2" t="s">
        <v>97</v>
      </c>
      <c r="P2240" s="2" t="s">
        <v>182</v>
      </c>
      <c r="Q2240" s="2" t="s">
        <v>99</v>
      </c>
      <c r="R2240" s="2" t="s">
        <v>100</v>
      </c>
      <c r="S2240" s="2" t="s">
        <v>100</v>
      </c>
      <c r="T2240" s="2" t="s">
        <v>100</v>
      </c>
      <c r="U2240" s="2" t="s">
        <v>3531</v>
      </c>
      <c r="V2240" s="2" t="s">
        <v>601</v>
      </c>
      <c r="W2240" s="2" t="s">
        <v>602</v>
      </c>
      <c r="X2240" s="2" t="s">
        <v>104</v>
      </c>
      <c r="Y2240" s="2" t="s">
        <v>7380</v>
      </c>
      <c r="Z2240" s="4">
        <v>257</v>
      </c>
      <c r="AA2240" s="4">
        <f>=ROUNDDOWN(21.4166666666667,0)</f>
      </c>
      <c r="AB2240" s="5">
        <v>12</v>
      </c>
      <c r="AC2240" s="2" t="s">
        <v>3872</v>
      </c>
      <c r="AD2240" s="4">
        <v>130</v>
      </c>
      <c r="AE2240" s="4">
        <v>130</v>
      </c>
      <c r="AF2240" s="6">
        <v>66</v>
      </c>
      <c r="AG2240" s="6">
        <v>49</v>
      </c>
      <c r="AH2240" s="7">
        <v>1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278</v>
      </c>
      <c r="BK2240" s="8">
        <v>55856.98</v>
      </c>
      <c r="BL2240" s="2" t="s">
        <v>8010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109</v>
      </c>
      <c r="BV2240" s="2" t="s">
        <v>97</v>
      </c>
      <c r="BW2240" s="2" t="s">
        <v>7311</v>
      </c>
      <c r="BX2240" s="2" t="s">
        <v>100</v>
      </c>
      <c r="BY2240" s="2" t="s">
        <v>112</v>
      </c>
      <c r="BZ2240" s="2" t="s">
        <v>100</v>
      </c>
    </row>
    <row r="2241">
      <c r="A2241" s="2" t="s">
        <v>8011</v>
      </c>
      <c r="B2241" s="2" t="s">
        <v>7252</v>
      </c>
      <c r="C2241" s="2" t="s">
        <v>88</v>
      </c>
      <c r="D2241" s="2" t="s">
        <v>7786</v>
      </c>
      <c r="E2241" s="2" t="s">
        <v>7787</v>
      </c>
      <c r="F2241" s="2" t="s">
        <v>8007</v>
      </c>
      <c r="G2241" s="2" t="s">
        <v>8008</v>
      </c>
      <c r="H2241" s="2" t="s">
        <v>8009</v>
      </c>
      <c r="I2241" s="2" t="s">
        <v>7933</v>
      </c>
      <c r="J2241" s="2" t="s">
        <v>6103</v>
      </c>
      <c r="K2241" s="2" t="s">
        <v>333</v>
      </c>
      <c r="L2241" s="3">
        <v>190</v>
      </c>
      <c r="M2241" s="3">
        <v>199.5</v>
      </c>
      <c r="N2241" s="3">
        <v>399</v>
      </c>
      <c r="O2241" s="2" t="s">
        <v>97</v>
      </c>
      <c r="P2241" s="2" t="s">
        <v>1265</v>
      </c>
      <c r="Q2241" s="2" t="s">
        <v>99</v>
      </c>
      <c r="R2241" s="2" t="s">
        <v>100</v>
      </c>
      <c r="S2241" s="2" t="s">
        <v>100</v>
      </c>
      <c r="T2241" s="2" t="s">
        <v>100</v>
      </c>
      <c r="U2241" s="2" t="s">
        <v>3531</v>
      </c>
      <c r="V2241" s="2" t="s">
        <v>601</v>
      </c>
      <c r="W2241" s="2" t="s">
        <v>602</v>
      </c>
      <c r="X2241" s="2" t="s">
        <v>104</v>
      </c>
      <c r="Y2241" s="2" t="s">
        <v>8012</v>
      </c>
      <c r="Z2241" s="4">
        <v>94</v>
      </c>
      <c r="AA2241" s="4">
        <f>=ROUNDDOWN(31.3333333333333,0)</f>
      </c>
      <c r="AB2241" s="5">
        <v>3</v>
      </c>
      <c r="AC2241" s="2" t="s">
        <v>138</v>
      </c>
      <c r="AD2241" s="4">
        <v>100</v>
      </c>
      <c r="AE2241" s="4">
        <v>100</v>
      </c>
      <c r="AF2241" s="6">
        <v>66</v>
      </c>
      <c r="AG2241" s="6"/>
      <c r="AH2241" s="7">
        <v>0.9091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62</v>
      </c>
      <c r="BK2241" s="8">
        <v>12211.14</v>
      </c>
      <c r="BL2241" s="2" t="s">
        <v>8013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147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8014</v>
      </c>
      <c r="B2242" s="2" t="s">
        <v>7252</v>
      </c>
      <c r="C2242" s="2" t="s">
        <v>88</v>
      </c>
      <c r="D2242" s="2" t="s">
        <v>7786</v>
      </c>
      <c r="E2242" s="2" t="s">
        <v>7787</v>
      </c>
      <c r="F2242" s="2" t="s">
        <v>8015</v>
      </c>
      <c r="G2242" s="2" t="s">
        <v>1350</v>
      </c>
      <c r="H2242" s="2" t="s">
        <v>8016</v>
      </c>
      <c r="I2242" s="2" t="s">
        <v>8017</v>
      </c>
      <c r="J2242" s="2" t="s">
        <v>6103</v>
      </c>
      <c r="K2242" s="2" t="s">
        <v>3128</v>
      </c>
      <c r="L2242" s="3">
        <v>150</v>
      </c>
      <c r="M2242" s="3">
        <v>157.5</v>
      </c>
      <c r="N2242" s="3">
        <v>319</v>
      </c>
      <c r="O2242" s="2" t="s">
        <v>97</v>
      </c>
      <c r="P2242" s="2" t="s">
        <v>182</v>
      </c>
      <c r="Q2242" s="2" t="s">
        <v>99</v>
      </c>
      <c r="R2242" s="2" t="s">
        <v>100</v>
      </c>
      <c r="S2242" s="2" t="s">
        <v>100</v>
      </c>
      <c r="T2242" s="2" t="s">
        <v>100</v>
      </c>
      <c r="U2242" s="2" t="s">
        <v>3531</v>
      </c>
      <c r="V2242" s="2" t="s">
        <v>1752</v>
      </c>
      <c r="W2242" s="2" t="s">
        <v>906</v>
      </c>
      <c r="X2242" s="2" t="s">
        <v>602</v>
      </c>
      <c r="Y2242" s="2" t="s">
        <v>8018</v>
      </c>
      <c r="Z2242" s="4">
        <v>76</v>
      </c>
      <c r="AA2242" s="4">
        <f>=ROUNDDOWN(15.2,0)</f>
      </c>
      <c r="AB2242" s="5">
        <v>5</v>
      </c>
      <c r="AC2242" s="2" t="s">
        <v>7385</v>
      </c>
      <c r="AD2242" s="4">
        <v>95</v>
      </c>
      <c r="AE2242" s="4">
        <v>300</v>
      </c>
      <c r="AF2242" s="6">
        <v>66</v>
      </c>
      <c r="AG2242" s="6">
        <v>49</v>
      </c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100</v>
      </c>
      <c r="BD2242" s="8" t="s">
        <v>100</v>
      </c>
      <c r="BE2242" s="4">
        <v>39</v>
      </c>
      <c r="BF2242" s="8">
        <v>5105.05</v>
      </c>
      <c r="BG2242" s="7" t="s">
        <v>100</v>
      </c>
      <c r="BH2242" s="7" t="s">
        <v>100</v>
      </c>
      <c r="BI2242" s="7"/>
      <c r="BJ2242" s="4">
        <v>121</v>
      </c>
      <c r="BK2242" s="8">
        <v>19032.94</v>
      </c>
      <c r="BL2242" s="2" t="s">
        <v>8019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6185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8020</v>
      </c>
      <c r="B2243" s="2" t="s">
        <v>7252</v>
      </c>
      <c r="C2243" s="2" t="s">
        <v>88</v>
      </c>
      <c r="D2243" s="2" t="s">
        <v>7786</v>
      </c>
      <c r="E2243" s="2" t="s">
        <v>7787</v>
      </c>
      <c r="F2243" s="2" t="s">
        <v>8015</v>
      </c>
      <c r="G2243" s="2" t="s">
        <v>1350</v>
      </c>
      <c r="H2243" s="2" t="s">
        <v>8016</v>
      </c>
      <c r="I2243" s="2" t="s">
        <v>8017</v>
      </c>
      <c r="J2243" s="2" t="s">
        <v>6103</v>
      </c>
      <c r="K2243" s="2" t="s">
        <v>123</v>
      </c>
      <c r="L2243" s="3">
        <v>150</v>
      </c>
      <c r="M2243" s="3">
        <v>157.5</v>
      </c>
      <c r="N2243" s="3">
        <v>319</v>
      </c>
      <c r="O2243" s="2" t="s">
        <v>97</v>
      </c>
      <c r="P2243" s="2" t="s">
        <v>182</v>
      </c>
      <c r="Q2243" s="2" t="s">
        <v>99</v>
      </c>
      <c r="R2243" s="2" t="s">
        <v>100</v>
      </c>
      <c r="S2243" s="2" t="s">
        <v>100</v>
      </c>
      <c r="T2243" s="2" t="s">
        <v>100</v>
      </c>
      <c r="U2243" s="2" t="s">
        <v>100</v>
      </c>
      <c r="V2243" s="2" t="s">
        <v>1752</v>
      </c>
      <c r="W2243" s="2" t="s">
        <v>906</v>
      </c>
      <c r="X2243" s="2" t="s">
        <v>100</v>
      </c>
      <c r="Y2243" s="2" t="s">
        <v>8021</v>
      </c>
      <c r="Z2243" s="4">
        <v>303</v>
      </c>
      <c r="AA2243" s="4">
        <f>=ROUNDDOWN(17.8235294117647,0)</f>
      </c>
      <c r="AB2243" s="5">
        <v>17</v>
      </c>
      <c r="AC2243" s="2" t="s">
        <v>7385</v>
      </c>
      <c r="AD2243" s="4">
        <v>162</v>
      </c>
      <c r="AE2243" s="4">
        <v>450</v>
      </c>
      <c r="AF2243" s="6">
        <v>66</v>
      </c>
      <c r="AG2243" s="6">
        <v>49</v>
      </c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>
        <v>0</v>
      </c>
      <c r="AP2243" s="4"/>
      <c r="AQ2243" s="8"/>
      <c r="AR2243" s="4">
        <v>39</v>
      </c>
      <c r="AS2243" s="8">
        <v>5105.05</v>
      </c>
      <c r="AT2243" s="7">
        <v>-1</v>
      </c>
      <c r="AU2243" s="7">
        <v>-1</v>
      </c>
      <c r="AV2243" s="4"/>
      <c r="AW2243" s="8"/>
      <c r="AX2243" s="4">
        <v>39</v>
      </c>
      <c r="AY2243" s="8">
        <v>5105.05</v>
      </c>
      <c r="AZ2243" s="7">
        <v>-1</v>
      </c>
      <c r="BA2243" s="7">
        <v>-1</v>
      </c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348</v>
      </c>
      <c r="BK2243" s="8">
        <v>55866.48</v>
      </c>
      <c r="BL2243" s="2" t="s">
        <v>8022</v>
      </c>
      <c r="BM2243" s="7"/>
      <c r="BN2243" s="7"/>
      <c r="BO2243" s="4"/>
      <c r="BP2243" s="8"/>
      <c r="BQ2243" s="4">
        <v>39</v>
      </c>
      <c r="BR2243" s="8">
        <v>5105.05</v>
      </c>
      <c r="BS2243" s="7">
        <v>-1</v>
      </c>
      <c r="BT2243" s="7">
        <v>-1</v>
      </c>
      <c r="BU2243" s="2" t="s">
        <v>109</v>
      </c>
      <c r="BV2243" s="2" t="s">
        <v>97</v>
      </c>
      <c r="BW2243" s="2" t="s">
        <v>6015</v>
      </c>
      <c r="BX2243" s="2" t="s">
        <v>432</v>
      </c>
      <c r="BY2243" s="2" t="s">
        <v>112</v>
      </c>
      <c r="BZ2243" s="2" t="s">
        <v>100</v>
      </c>
    </row>
    <row r="2244">
      <c r="A2244" s="2" t="s">
        <v>8023</v>
      </c>
      <c r="B2244" s="2" t="s">
        <v>7252</v>
      </c>
      <c r="C2244" s="2" t="s">
        <v>88</v>
      </c>
      <c r="D2244" s="2" t="s">
        <v>7786</v>
      </c>
      <c r="E2244" s="2" t="s">
        <v>7787</v>
      </c>
      <c r="F2244" s="2" t="s">
        <v>8024</v>
      </c>
      <c r="G2244" s="2" t="s">
        <v>8025</v>
      </c>
      <c r="H2244" s="2" t="s">
        <v>8026</v>
      </c>
      <c r="I2244" s="2" t="s">
        <v>8027</v>
      </c>
      <c r="J2244" s="2" t="s">
        <v>6103</v>
      </c>
      <c r="K2244" s="2" t="s">
        <v>933</v>
      </c>
      <c r="L2244" s="3">
        <v>110</v>
      </c>
      <c r="M2244" s="3">
        <v>115.5</v>
      </c>
      <c r="N2244" s="3">
        <v>229</v>
      </c>
      <c r="O2244" s="2" t="s">
        <v>229</v>
      </c>
      <c r="P2244" s="2" t="s">
        <v>198</v>
      </c>
      <c r="Q2244" s="2" t="s">
        <v>99</v>
      </c>
      <c r="R2244" s="2" t="s">
        <v>100</v>
      </c>
      <c r="S2244" s="2" t="s">
        <v>100</v>
      </c>
      <c r="T2244" s="2" t="s">
        <v>100</v>
      </c>
      <c r="U2244" s="2" t="s">
        <v>3531</v>
      </c>
      <c r="V2244" s="2" t="s">
        <v>601</v>
      </c>
      <c r="W2244" s="2" t="s">
        <v>602</v>
      </c>
      <c r="X2244" s="2" t="s">
        <v>2195</v>
      </c>
      <c r="Y2244" s="2" t="s">
        <v>6104</v>
      </c>
      <c r="Z2244" s="4">
        <v>88</v>
      </c>
      <c r="AA2244" s="4">
        <f>=ROUNDDOWN(44,0)</f>
      </c>
      <c r="AB2244" s="5">
        <v>2</v>
      </c>
      <c r="AC2244" s="2" t="s">
        <v>100</v>
      </c>
      <c r="AD2244" s="4"/>
      <c r="AE2244" s="4"/>
      <c r="AF2244" s="6">
        <v>66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/>
      <c r="BD2244" s="8"/>
      <c r="BE2244" s="4"/>
      <c r="BF2244" s="8"/>
      <c r="BG2244" s="7"/>
      <c r="BH2244" s="7"/>
      <c r="BI2244" s="7"/>
      <c r="BJ2244" s="4">
        <v>41</v>
      </c>
      <c r="BK2244" s="8">
        <v>4571.46</v>
      </c>
      <c r="BL2244" s="2" t="s">
        <v>8028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109</v>
      </c>
      <c r="BV2244" s="2" t="s">
        <v>97</v>
      </c>
      <c r="BW2244" s="2" t="s">
        <v>7938</v>
      </c>
      <c r="BX2244" s="2" t="s">
        <v>6391</v>
      </c>
      <c r="BY2244" s="2" t="s">
        <v>112</v>
      </c>
      <c r="BZ2244" s="2" t="s">
        <v>100</v>
      </c>
    </row>
    <row r="2245">
      <c r="A2245" s="2" t="s">
        <v>8029</v>
      </c>
      <c r="B2245" s="2" t="s">
        <v>7252</v>
      </c>
      <c r="C2245" s="2" t="s">
        <v>88</v>
      </c>
      <c r="D2245" s="2" t="s">
        <v>7786</v>
      </c>
      <c r="E2245" s="2" t="s">
        <v>7787</v>
      </c>
      <c r="F2245" s="2" t="s">
        <v>8030</v>
      </c>
      <c r="G2245" s="2" t="s">
        <v>8031</v>
      </c>
      <c r="H2245" s="2" t="s">
        <v>8032</v>
      </c>
      <c r="I2245" s="2" t="s">
        <v>8033</v>
      </c>
      <c r="J2245" s="2" t="s">
        <v>6103</v>
      </c>
      <c r="K2245" s="2" t="s">
        <v>323</v>
      </c>
      <c r="L2245" s="3">
        <v>128.7</v>
      </c>
      <c r="M2245" s="3">
        <v>135.14</v>
      </c>
      <c r="N2245" s="3">
        <v>269</v>
      </c>
      <c r="O2245" s="2" t="s">
        <v>229</v>
      </c>
      <c r="P2245" s="2" t="s">
        <v>198</v>
      </c>
      <c r="Q2245" s="2" t="s">
        <v>99</v>
      </c>
      <c r="R2245" s="2" t="s">
        <v>100</v>
      </c>
      <c r="S2245" s="2" t="s">
        <v>8034</v>
      </c>
      <c r="T2245" s="2" t="s">
        <v>100</v>
      </c>
      <c r="U2245" s="2" t="s">
        <v>100</v>
      </c>
      <c r="V2245" s="2" t="s">
        <v>601</v>
      </c>
      <c r="W2245" s="2" t="s">
        <v>104</v>
      </c>
      <c r="X2245" s="2" t="s">
        <v>100</v>
      </c>
      <c r="Y2245" s="2" t="s">
        <v>106</v>
      </c>
      <c r="Z2245" s="4">
        <v>10</v>
      </c>
      <c r="AA2245" s="4">
        <f>=ROUNDDOWN(3.125,0)</f>
      </c>
      <c r="AB2245" s="5">
        <v>3.2</v>
      </c>
      <c r="AC2245" s="2" t="s">
        <v>100</v>
      </c>
      <c r="AD2245" s="4"/>
      <c r="AE2245" s="4"/>
      <c r="AF2245" s="6">
        <v>74</v>
      </c>
      <c r="AG2245" s="6">
        <v>60</v>
      </c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>
        <v>0</v>
      </c>
      <c r="AP2245" s="4"/>
      <c r="AQ2245" s="8"/>
      <c r="AR2245" s="4">
        <v>3</v>
      </c>
      <c r="AS2245" s="8">
        <v>285.27</v>
      </c>
      <c r="AT2245" s="7">
        <v>-1</v>
      </c>
      <c r="AU2245" s="7">
        <v>-1</v>
      </c>
      <c r="AV2245" s="4"/>
      <c r="AW2245" s="8"/>
      <c r="AX2245" s="4">
        <v>3</v>
      </c>
      <c r="AY2245" s="8">
        <v>285.27</v>
      </c>
      <c r="AZ2245" s="7">
        <v>-1</v>
      </c>
      <c r="BA2245" s="7">
        <v>-1</v>
      </c>
      <c r="BB2245" s="7"/>
      <c r="BC2245" s="4"/>
      <c r="BD2245" s="8"/>
      <c r="BE2245" s="4">
        <v>3</v>
      </c>
      <c r="BF2245" s="8">
        <v>285.27</v>
      </c>
      <c r="BG2245" s="7">
        <v>-1</v>
      </c>
      <c r="BH2245" s="7">
        <v>-1</v>
      </c>
      <c r="BI2245" s="7"/>
      <c r="BJ2245" s="4">
        <v>71</v>
      </c>
      <c r="BK2245" s="8">
        <v>7909.64</v>
      </c>
      <c r="BL2245" s="2" t="s">
        <v>8035</v>
      </c>
      <c r="BM2245" s="7"/>
      <c r="BN2245" s="7"/>
      <c r="BO2245" s="4"/>
      <c r="BP2245" s="8"/>
      <c r="BQ2245" s="4">
        <v>3</v>
      </c>
      <c r="BR2245" s="8">
        <v>285.27</v>
      </c>
      <c r="BS2245" s="7">
        <v>-1</v>
      </c>
      <c r="BT2245" s="7">
        <v>-1</v>
      </c>
      <c r="BU2245" s="2" t="s">
        <v>109</v>
      </c>
      <c r="BV2245" s="2" t="s">
        <v>97</v>
      </c>
      <c r="BW2245" s="2" t="s">
        <v>7307</v>
      </c>
      <c r="BX2245" s="2" t="s">
        <v>7966</v>
      </c>
      <c r="BY2245" s="2" t="s">
        <v>112</v>
      </c>
      <c r="BZ2245" s="2" t="s">
        <v>100</v>
      </c>
    </row>
    <row r="2246">
      <c r="A2246" s="2" t="s">
        <v>8036</v>
      </c>
      <c r="B2246" s="2" t="s">
        <v>7252</v>
      </c>
      <c r="C2246" s="2" t="s">
        <v>88</v>
      </c>
      <c r="D2246" s="2" t="s">
        <v>7786</v>
      </c>
      <c r="E2246" s="2" t="s">
        <v>7787</v>
      </c>
      <c r="F2246" s="2" t="s">
        <v>8037</v>
      </c>
      <c r="G2246" s="2" t="s">
        <v>8038</v>
      </c>
      <c r="H2246" s="2" t="s">
        <v>8039</v>
      </c>
      <c r="I2246" s="2" t="s">
        <v>7885</v>
      </c>
      <c r="J2246" s="2" t="s">
        <v>6103</v>
      </c>
      <c r="K2246" s="2" t="s">
        <v>158</v>
      </c>
      <c r="L2246" s="3">
        <v>171</v>
      </c>
      <c r="M2246" s="3">
        <v>179.55</v>
      </c>
      <c r="N2246" s="3">
        <v>359</v>
      </c>
      <c r="O2246" s="2" t="s">
        <v>97</v>
      </c>
      <c r="P2246" s="2" t="s">
        <v>182</v>
      </c>
      <c r="Q2246" s="2" t="s">
        <v>99</v>
      </c>
      <c r="R2246" s="2" t="s">
        <v>100</v>
      </c>
      <c r="S2246" s="2" t="s">
        <v>8040</v>
      </c>
      <c r="T2246" s="2" t="s">
        <v>100</v>
      </c>
      <c r="U2246" s="2" t="s">
        <v>3531</v>
      </c>
      <c r="V2246" s="2" t="s">
        <v>601</v>
      </c>
      <c r="W2246" s="2" t="s">
        <v>104</v>
      </c>
      <c r="X2246" s="2" t="s">
        <v>100</v>
      </c>
      <c r="Y2246" s="2" t="s">
        <v>8041</v>
      </c>
      <c r="Z2246" s="4">
        <v>246</v>
      </c>
      <c r="AA2246" s="4">
        <f>=ROUNDDOWN(82,0)</f>
      </c>
      <c r="AB2246" s="5">
        <v>3</v>
      </c>
      <c r="AC2246" s="2" t="s">
        <v>100</v>
      </c>
      <c r="AD2246" s="4"/>
      <c r="AE2246" s="4"/>
      <c r="AF2246" s="6">
        <v>69</v>
      </c>
      <c r="AG2246" s="6">
        <v>52</v>
      </c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86</v>
      </c>
      <c r="BK2246" s="8">
        <v>13734.58</v>
      </c>
      <c r="BL2246" s="2" t="s">
        <v>7644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109</v>
      </c>
      <c r="BV2246" s="2" t="s">
        <v>97</v>
      </c>
      <c r="BW2246" s="2" t="s">
        <v>7677</v>
      </c>
      <c r="BX2246" s="2" t="s">
        <v>3900</v>
      </c>
      <c r="BY2246" s="2" t="s">
        <v>112</v>
      </c>
      <c r="BZ2246" s="2" t="s">
        <v>100</v>
      </c>
    </row>
    <row r="2247">
      <c r="A2247" s="2" t="s">
        <v>8042</v>
      </c>
      <c r="B2247" s="2" t="s">
        <v>7252</v>
      </c>
      <c r="C2247" s="2" t="s">
        <v>88</v>
      </c>
      <c r="D2247" s="2" t="s">
        <v>7786</v>
      </c>
      <c r="E2247" s="2" t="s">
        <v>7787</v>
      </c>
      <c r="F2247" s="2" t="s">
        <v>8037</v>
      </c>
      <c r="G2247" s="2" t="s">
        <v>8038</v>
      </c>
      <c r="H2247" s="2" t="s">
        <v>8039</v>
      </c>
      <c r="I2247" s="2" t="s">
        <v>7885</v>
      </c>
      <c r="J2247" s="2" t="s">
        <v>6103</v>
      </c>
      <c r="K2247" s="2" t="s">
        <v>123</v>
      </c>
      <c r="L2247" s="3">
        <v>171</v>
      </c>
      <c r="M2247" s="3">
        <v>179.55</v>
      </c>
      <c r="N2247" s="3">
        <v>359</v>
      </c>
      <c r="O2247" s="2" t="s">
        <v>229</v>
      </c>
      <c r="P2247" s="2" t="s">
        <v>198</v>
      </c>
      <c r="Q2247" s="2" t="s">
        <v>99</v>
      </c>
      <c r="R2247" s="2" t="s">
        <v>100</v>
      </c>
      <c r="S2247" s="2" t="s">
        <v>100</v>
      </c>
      <c r="T2247" s="2" t="s">
        <v>100</v>
      </c>
      <c r="U2247" s="2" t="s">
        <v>3531</v>
      </c>
      <c r="V2247" s="2" t="s">
        <v>1752</v>
      </c>
      <c r="W2247" s="2" t="s">
        <v>104</v>
      </c>
      <c r="X2247" s="2" t="s">
        <v>100</v>
      </c>
      <c r="Y2247" s="2" t="s">
        <v>8043</v>
      </c>
      <c r="Z2247" s="4">
        <v>214</v>
      </c>
      <c r="AA2247" s="4">
        <f>=ROUNDDOWN(107,0)</f>
      </c>
      <c r="AB2247" s="5">
        <v>2</v>
      </c>
      <c r="AC2247" s="2" t="s">
        <v>100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40</v>
      </c>
      <c r="BK2247" s="8">
        <v>4784.62</v>
      </c>
      <c r="BL2247" s="2" t="s">
        <v>8044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147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8045</v>
      </c>
      <c r="B2248" s="2" t="s">
        <v>7252</v>
      </c>
      <c r="C2248" s="2" t="s">
        <v>88</v>
      </c>
      <c r="D2248" s="2" t="s">
        <v>7786</v>
      </c>
      <c r="E2248" s="2" t="s">
        <v>7787</v>
      </c>
      <c r="F2248" s="2" t="s">
        <v>8046</v>
      </c>
      <c r="G2248" s="2" t="s">
        <v>8047</v>
      </c>
      <c r="H2248" s="2" t="s">
        <v>8048</v>
      </c>
      <c r="I2248" s="2" t="s">
        <v>8049</v>
      </c>
      <c r="J2248" s="2" t="s">
        <v>6103</v>
      </c>
      <c r="K2248" s="2" t="s">
        <v>158</v>
      </c>
      <c r="L2248" s="3">
        <v>190</v>
      </c>
      <c r="M2248" s="3">
        <v>199.5</v>
      </c>
      <c r="N2248" s="3">
        <v>399</v>
      </c>
      <c r="O2248" s="2" t="s">
        <v>97</v>
      </c>
      <c r="P2248" s="2" t="s">
        <v>182</v>
      </c>
      <c r="Q2248" s="2" t="s">
        <v>99</v>
      </c>
      <c r="R2248" s="2" t="s">
        <v>100</v>
      </c>
      <c r="S2248" s="2" t="s">
        <v>100</v>
      </c>
      <c r="T2248" s="2" t="s">
        <v>100</v>
      </c>
      <c r="U2248" s="2" t="s">
        <v>3531</v>
      </c>
      <c r="V2248" s="2" t="s">
        <v>601</v>
      </c>
      <c r="W2248" s="2" t="s">
        <v>104</v>
      </c>
      <c r="X2248" s="2" t="s">
        <v>100</v>
      </c>
      <c r="Y2248" s="2" t="s">
        <v>6728</v>
      </c>
      <c r="Z2248" s="4">
        <v>87</v>
      </c>
      <c r="AA2248" s="4">
        <f>=ROUNDDOWN(145,0)</f>
      </c>
      <c r="AB2248" s="5">
        <v>0.6</v>
      </c>
      <c r="AC2248" s="2" t="s">
        <v>1193</v>
      </c>
      <c r="AD2248" s="4">
        <v>100</v>
      </c>
      <c r="AE2248" s="4">
        <v>100</v>
      </c>
      <c r="AF2248" s="6">
        <v>66</v>
      </c>
      <c r="AG2248" s="6"/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100</v>
      </c>
      <c r="BD2248" s="8" t="s">
        <v>100</v>
      </c>
      <c r="BE2248" s="4">
        <v>19</v>
      </c>
      <c r="BF2248" s="8">
        <v>3099.83</v>
      </c>
      <c r="BG2248" s="7" t="s">
        <v>100</v>
      </c>
      <c r="BH2248" s="7" t="s">
        <v>100</v>
      </c>
      <c r="BI2248" s="7"/>
      <c r="BJ2248" s="4">
        <v>34</v>
      </c>
      <c r="BK2248" s="8">
        <v>5052.5</v>
      </c>
      <c r="BL2248" s="2" t="s">
        <v>8050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6185</v>
      </c>
      <c r="BV2248" s="2" t="s">
        <v>97</v>
      </c>
      <c r="BW2248" s="2" t="s">
        <v>100</v>
      </c>
      <c r="BX2248" s="2" t="s">
        <v>100</v>
      </c>
      <c r="BY2248" s="2" t="s">
        <v>112</v>
      </c>
      <c r="BZ2248" s="2" t="s">
        <v>100</v>
      </c>
    </row>
    <row r="2249">
      <c r="A2249" s="2" t="s">
        <v>8051</v>
      </c>
      <c r="B2249" s="2" t="s">
        <v>7252</v>
      </c>
      <c r="C2249" s="2" t="s">
        <v>88</v>
      </c>
      <c r="D2249" s="2" t="s">
        <v>7786</v>
      </c>
      <c r="E2249" s="2" t="s">
        <v>7787</v>
      </c>
      <c r="F2249" s="2" t="s">
        <v>8046</v>
      </c>
      <c r="G2249" s="2" t="s">
        <v>8047</v>
      </c>
      <c r="H2249" s="2" t="s">
        <v>8048</v>
      </c>
      <c r="I2249" s="2" t="s">
        <v>8049</v>
      </c>
      <c r="J2249" s="2" t="s">
        <v>6103</v>
      </c>
      <c r="K2249" s="2" t="s">
        <v>2367</v>
      </c>
      <c r="L2249" s="3">
        <v>190</v>
      </c>
      <c r="M2249" s="3">
        <v>199.5</v>
      </c>
      <c r="N2249" s="3">
        <v>399</v>
      </c>
      <c r="O2249" s="2" t="s">
        <v>97</v>
      </c>
      <c r="P2249" s="2" t="s">
        <v>182</v>
      </c>
      <c r="Q2249" s="2" t="s">
        <v>99</v>
      </c>
      <c r="R2249" s="2" t="s">
        <v>100</v>
      </c>
      <c r="S2249" s="2" t="s">
        <v>100</v>
      </c>
      <c r="T2249" s="2" t="s">
        <v>100</v>
      </c>
      <c r="U2249" s="2" t="s">
        <v>3531</v>
      </c>
      <c r="V2249" s="2" t="s">
        <v>601</v>
      </c>
      <c r="W2249" s="2" t="s">
        <v>104</v>
      </c>
      <c r="X2249" s="2" t="s">
        <v>100</v>
      </c>
      <c r="Y2249" s="2" t="s">
        <v>7656</v>
      </c>
      <c r="Z2249" s="4">
        <v>283</v>
      </c>
      <c r="AA2249" s="4">
        <f>=ROUNDDOWN(47.1666666666667,0)</f>
      </c>
      <c r="AB2249" s="5">
        <v>6</v>
      </c>
      <c r="AC2249" s="2" t="s">
        <v>100</v>
      </c>
      <c r="AD2249" s="4"/>
      <c r="AE2249" s="4"/>
      <c r="AF2249" s="6">
        <v>66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>
        <v>0</v>
      </c>
      <c r="AP2249" s="4"/>
      <c r="AQ2249" s="8"/>
      <c r="AR2249" s="4">
        <v>19</v>
      </c>
      <c r="AS2249" s="8">
        <v>3099.83</v>
      </c>
      <c r="AT2249" s="7">
        <v>-1</v>
      </c>
      <c r="AU2249" s="7">
        <v>-1</v>
      </c>
      <c r="AV2249" s="4"/>
      <c r="AW2249" s="8"/>
      <c r="AX2249" s="4">
        <v>19</v>
      </c>
      <c r="AY2249" s="8">
        <v>3099.83</v>
      </c>
      <c r="AZ2249" s="7">
        <v>-1</v>
      </c>
      <c r="BA2249" s="7">
        <v>-1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125</v>
      </c>
      <c r="BK2249" s="8">
        <v>20351.55</v>
      </c>
      <c r="BL2249" s="2" t="s">
        <v>8052</v>
      </c>
      <c r="BM2249" s="7"/>
      <c r="BN2249" s="7"/>
      <c r="BO2249" s="4"/>
      <c r="BP2249" s="8"/>
      <c r="BQ2249" s="4">
        <v>19</v>
      </c>
      <c r="BR2249" s="8">
        <v>3099.83</v>
      </c>
      <c r="BS2249" s="7">
        <v>-1</v>
      </c>
      <c r="BT2249" s="7">
        <v>-1</v>
      </c>
      <c r="BU2249" s="2" t="s">
        <v>109</v>
      </c>
      <c r="BV2249" s="2" t="s">
        <v>97</v>
      </c>
      <c r="BW2249" s="2" t="s">
        <v>7382</v>
      </c>
      <c r="BX2249" s="2" t="s">
        <v>8053</v>
      </c>
      <c r="BY2249" s="2" t="s">
        <v>112</v>
      </c>
      <c r="BZ2249" s="2" t="s">
        <v>100</v>
      </c>
    </row>
    <row r="2250">
      <c r="A2250" s="2" t="s">
        <v>8054</v>
      </c>
      <c r="B2250" s="2" t="s">
        <v>7252</v>
      </c>
      <c r="C2250" s="2" t="s">
        <v>88</v>
      </c>
      <c r="D2250" s="2" t="s">
        <v>7786</v>
      </c>
      <c r="E2250" s="2" t="s">
        <v>7787</v>
      </c>
      <c r="F2250" s="2" t="s">
        <v>8046</v>
      </c>
      <c r="G2250" s="2" t="s">
        <v>8047</v>
      </c>
      <c r="H2250" s="2" t="s">
        <v>8048</v>
      </c>
      <c r="I2250" s="2" t="s">
        <v>8049</v>
      </c>
      <c r="J2250" s="2" t="s">
        <v>6103</v>
      </c>
      <c r="K2250" s="2" t="s">
        <v>333</v>
      </c>
      <c r="L2250" s="3">
        <v>190</v>
      </c>
      <c r="M2250" s="3">
        <v>199.5</v>
      </c>
      <c r="N2250" s="3">
        <v>399</v>
      </c>
      <c r="O2250" s="2" t="s">
        <v>97</v>
      </c>
      <c r="P2250" s="2" t="s">
        <v>1265</v>
      </c>
      <c r="Q2250" s="2" t="s">
        <v>99</v>
      </c>
      <c r="R2250" s="2" t="s">
        <v>100</v>
      </c>
      <c r="S2250" s="2" t="s">
        <v>100</v>
      </c>
      <c r="T2250" s="2" t="s">
        <v>100</v>
      </c>
      <c r="U2250" s="2" t="s">
        <v>3531</v>
      </c>
      <c r="V2250" s="2" t="s">
        <v>601</v>
      </c>
      <c r="W2250" s="2" t="s">
        <v>104</v>
      </c>
      <c r="X2250" s="2" t="s">
        <v>100</v>
      </c>
      <c r="Y2250" s="2" t="s">
        <v>8055</v>
      </c>
      <c r="Z2250" s="4">
        <v>118</v>
      </c>
      <c r="AA2250" s="4">
        <f>=ROUNDDOWN(23.6,0)</f>
      </c>
      <c r="AB2250" s="5">
        <v>5</v>
      </c>
      <c r="AC2250" s="2" t="s">
        <v>1193</v>
      </c>
      <c r="AD2250" s="4">
        <v>100</v>
      </c>
      <c r="AE2250" s="4">
        <v>100</v>
      </c>
      <c r="AF2250" s="6">
        <v>66</v>
      </c>
      <c r="AG2250" s="6">
        <v>49</v>
      </c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83</v>
      </c>
      <c r="BK2250" s="8">
        <v>13910.19</v>
      </c>
      <c r="BL2250" s="2" t="s">
        <v>8056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6185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8057</v>
      </c>
      <c r="B2251" s="2" t="s">
        <v>7252</v>
      </c>
      <c r="C2251" s="2" t="s">
        <v>88</v>
      </c>
      <c r="D2251" s="2" t="s">
        <v>7786</v>
      </c>
      <c r="E2251" s="2" t="s">
        <v>7787</v>
      </c>
      <c r="F2251" s="2" t="s">
        <v>8058</v>
      </c>
      <c r="G2251" s="2" t="s">
        <v>8059</v>
      </c>
      <c r="H2251" s="2" t="s">
        <v>8060</v>
      </c>
      <c r="I2251" s="2" t="s">
        <v>8061</v>
      </c>
      <c r="J2251" s="2" t="s">
        <v>6103</v>
      </c>
      <c r="K2251" s="2" t="s">
        <v>310</v>
      </c>
      <c r="L2251" s="3">
        <v>171</v>
      </c>
      <c r="M2251" s="3">
        <v>179.55</v>
      </c>
      <c r="N2251" s="3">
        <v>359</v>
      </c>
      <c r="O2251" s="2" t="s">
        <v>97</v>
      </c>
      <c r="P2251" s="2" t="s">
        <v>1265</v>
      </c>
      <c r="Q2251" s="2" t="s">
        <v>99</v>
      </c>
      <c r="R2251" s="2" t="s">
        <v>100</v>
      </c>
      <c r="S2251" s="2" t="s">
        <v>100</v>
      </c>
      <c r="T2251" s="2" t="s">
        <v>100</v>
      </c>
      <c r="U2251" s="2" t="s">
        <v>3531</v>
      </c>
      <c r="V2251" s="2" t="s">
        <v>601</v>
      </c>
      <c r="W2251" s="2" t="s">
        <v>104</v>
      </c>
      <c r="X2251" s="2" t="s">
        <v>1288</v>
      </c>
      <c r="Y2251" s="2" t="s">
        <v>128</v>
      </c>
      <c r="Z2251" s="4">
        <v>47</v>
      </c>
      <c r="AA2251" s="4">
        <f>=ROUNDDOWN(47,0)</f>
      </c>
      <c r="AB2251" s="5">
        <v>1</v>
      </c>
      <c r="AC2251" s="2" t="s">
        <v>100</v>
      </c>
      <c r="AD2251" s="4"/>
      <c r="AE2251" s="4"/>
      <c r="AF2251" s="6">
        <v>66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/>
      <c r="BD2251" s="8"/>
      <c r="BE2251" s="4"/>
      <c r="BF2251" s="8"/>
      <c r="BG2251" s="7"/>
      <c r="BH2251" s="7"/>
      <c r="BI2251" s="7"/>
      <c r="BJ2251" s="4">
        <v>24</v>
      </c>
      <c r="BK2251" s="8">
        <v>4075.43</v>
      </c>
      <c r="BL2251" s="2" t="s">
        <v>8062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6185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8063</v>
      </c>
      <c r="B2252" s="2" t="s">
        <v>7252</v>
      </c>
      <c r="C2252" s="2" t="s">
        <v>88</v>
      </c>
      <c r="D2252" s="2" t="s">
        <v>7786</v>
      </c>
      <c r="E2252" s="2" t="s">
        <v>7787</v>
      </c>
      <c r="F2252" s="2" t="s">
        <v>8064</v>
      </c>
      <c r="G2252" s="2" t="s">
        <v>8065</v>
      </c>
      <c r="H2252" s="2" t="s">
        <v>8066</v>
      </c>
      <c r="I2252" s="2" t="s">
        <v>7787</v>
      </c>
      <c r="J2252" s="2" t="s">
        <v>6103</v>
      </c>
      <c r="K2252" s="2" t="s">
        <v>123</v>
      </c>
      <c r="L2252" s="3">
        <v>220</v>
      </c>
      <c r="M2252" s="3">
        <v>231</v>
      </c>
      <c r="N2252" s="3">
        <v>459</v>
      </c>
      <c r="O2252" s="2" t="s">
        <v>97</v>
      </c>
      <c r="P2252" s="2" t="s">
        <v>182</v>
      </c>
      <c r="Q2252" s="2" t="s">
        <v>99</v>
      </c>
      <c r="R2252" s="2" t="s">
        <v>100</v>
      </c>
      <c r="S2252" s="2" t="s">
        <v>8067</v>
      </c>
      <c r="T2252" s="2" t="s">
        <v>100</v>
      </c>
      <c r="U2252" s="2" t="s">
        <v>100</v>
      </c>
      <c r="V2252" s="2" t="s">
        <v>601</v>
      </c>
      <c r="W2252" s="2" t="s">
        <v>1288</v>
      </c>
      <c r="X2252" s="2" t="s">
        <v>104</v>
      </c>
      <c r="Y2252" s="2" t="s">
        <v>7380</v>
      </c>
      <c r="Z2252" s="4">
        <v>193</v>
      </c>
      <c r="AA2252" s="4">
        <f>=ROUNDDOWN(27.5714285714286,0)</f>
      </c>
      <c r="AB2252" s="5">
        <v>7</v>
      </c>
      <c r="AC2252" s="2" t="s">
        <v>100</v>
      </c>
      <c r="AD2252" s="4"/>
      <c r="AE2252" s="4"/>
      <c r="AF2252" s="6">
        <v>66</v>
      </c>
      <c r="AG2252" s="6">
        <v>49</v>
      </c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>
        <v>0</v>
      </c>
      <c r="AP2252" s="4"/>
      <c r="AQ2252" s="8"/>
      <c r="AR2252" s="4">
        <v>13</v>
      </c>
      <c r="AS2252" s="8">
        <v>2433.41</v>
      </c>
      <c r="AT2252" s="7">
        <v>-1</v>
      </c>
      <c r="AU2252" s="7">
        <v>-1</v>
      </c>
      <c r="AV2252" s="4"/>
      <c r="AW2252" s="8"/>
      <c r="AX2252" s="4">
        <v>13</v>
      </c>
      <c r="AY2252" s="8">
        <v>2433.41</v>
      </c>
      <c r="AZ2252" s="7">
        <v>-1</v>
      </c>
      <c r="BA2252" s="7">
        <v>-1</v>
      </c>
      <c r="BB2252" s="7"/>
      <c r="BC2252" s="4"/>
      <c r="BD2252" s="8"/>
      <c r="BE2252" s="4">
        <v>13</v>
      </c>
      <c r="BF2252" s="8">
        <v>2433.41</v>
      </c>
      <c r="BG2252" s="7">
        <v>-1</v>
      </c>
      <c r="BH2252" s="7">
        <v>-1</v>
      </c>
      <c r="BI2252" s="7"/>
      <c r="BJ2252" s="4">
        <v>176</v>
      </c>
      <c r="BK2252" s="8">
        <v>38314.82</v>
      </c>
      <c r="BL2252" s="2" t="s">
        <v>8068</v>
      </c>
      <c r="BM2252" s="7"/>
      <c r="BN2252" s="7"/>
      <c r="BO2252" s="4"/>
      <c r="BP2252" s="8"/>
      <c r="BQ2252" s="4">
        <v>13</v>
      </c>
      <c r="BR2252" s="8">
        <v>2433.41</v>
      </c>
      <c r="BS2252" s="7">
        <v>-1</v>
      </c>
      <c r="BT2252" s="7">
        <v>-1</v>
      </c>
      <c r="BU2252" s="2" t="s">
        <v>109</v>
      </c>
      <c r="BV2252" s="2" t="s">
        <v>97</v>
      </c>
      <c r="BW2252" s="2" t="s">
        <v>8069</v>
      </c>
      <c r="BX2252" s="2" t="s">
        <v>962</v>
      </c>
      <c r="BY2252" s="2" t="s">
        <v>112</v>
      </c>
      <c r="BZ2252" s="2" t="s">
        <v>100</v>
      </c>
    </row>
    <row r="2253">
      <c r="A2253" s="2" t="s">
        <v>8070</v>
      </c>
      <c r="B2253" s="2" t="s">
        <v>7252</v>
      </c>
      <c r="C2253" s="2" t="s">
        <v>88</v>
      </c>
      <c r="D2253" s="2" t="s">
        <v>7786</v>
      </c>
      <c r="E2253" s="2" t="s">
        <v>8071</v>
      </c>
      <c r="F2253" s="2" t="s">
        <v>7897</v>
      </c>
      <c r="G2253" s="2" t="s">
        <v>7898</v>
      </c>
      <c r="H2253" s="2" t="s">
        <v>7899</v>
      </c>
      <c r="I2253" s="2" t="s">
        <v>8072</v>
      </c>
      <c r="J2253" s="2" t="s">
        <v>6103</v>
      </c>
      <c r="K2253" s="2" t="s">
        <v>2367</v>
      </c>
      <c r="L2253" s="3">
        <v>99.75</v>
      </c>
      <c r="M2253" s="3">
        <v>104.74</v>
      </c>
      <c r="N2253" s="3">
        <v>209</v>
      </c>
      <c r="O2253" s="2" t="s">
        <v>97</v>
      </c>
      <c r="P2253" s="2" t="s">
        <v>182</v>
      </c>
      <c r="Q2253" s="2" t="s">
        <v>99</v>
      </c>
      <c r="R2253" s="2" t="s">
        <v>100</v>
      </c>
      <c r="S2253" s="2" t="s">
        <v>8073</v>
      </c>
      <c r="T2253" s="2" t="s">
        <v>100</v>
      </c>
      <c r="U2253" s="2" t="s">
        <v>100</v>
      </c>
      <c r="V2253" s="2" t="s">
        <v>601</v>
      </c>
      <c r="W2253" s="2" t="s">
        <v>104</v>
      </c>
      <c r="X2253" s="2" t="s">
        <v>100</v>
      </c>
      <c r="Y2253" s="2" t="s">
        <v>8074</v>
      </c>
      <c r="Z2253" s="4">
        <v>189</v>
      </c>
      <c r="AA2253" s="4">
        <f>=ROUNDDOWN(47.25,0)</f>
      </c>
      <c r="AB2253" s="5">
        <v>4</v>
      </c>
      <c r="AC2253" s="2" t="s">
        <v>1221</v>
      </c>
      <c r="AD2253" s="4">
        <v>30</v>
      </c>
      <c r="AE2253" s="4">
        <v>200</v>
      </c>
      <c r="AF2253" s="6">
        <v>76</v>
      </c>
      <c r="AG2253" s="6">
        <v>67</v>
      </c>
      <c r="AH2253" s="7">
        <v>0.6909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>
        <v>0</v>
      </c>
      <c r="AP2253" s="4">
        <v>11</v>
      </c>
      <c r="AQ2253" s="8">
        <v>864.16</v>
      </c>
      <c r="AR2253" s="4">
        <v>87</v>
      </c>
      <c r="AS2253" s="8">
        <v>7690.35</v>
      </c>
      <c r="AT2253" s="7">
        <v>-0.8736</v>
      </c>
      <c r="AU2253" s="7">
        <v>-0.8876</v>
      </c>
      <c r="AV2253" s="4">
        <v>11</v>
      </c>
      <c r="AW2253" s="8">
        <v>864.16</v>
      </c>
      <c r="AX2253" s="4">
        <v>87</v>
      </c>
      <c r="AY2253" s="8">
        <v>7690.35</v>
      </c>
      <c r="AZ2253" s="7">
        <v>-0.8736</v>
      </c>
      <c r="BA2253" s="7">
        <v>-0.8876</v>
      </c>
      <c r="BB2253" s="7">
        <v>1</v>
      </c>
      <c r="BC2253" s="4">
        <v>17</v>
      </c>
      <c r="BD2253" s="8">
        <v>1324.27</v>
      </c>
      <c r="BE2253" s="4">
        <v>224</v>
      </c>
      <c r="BF2253" s="8">
        <v>19932.95</v>
      </c>
      <c r="BG2253" s="7">
        <v>-0.9241</v>
      </c>
      <c r="BH2253" s="7">
        <v>-0.9336</v>
      </c>
      <c r="BI2253" s="7">
        <v>0.6526</v>
      </c>
      <c r="BJ2253" s="4">
        <v>61</v>
      </c>
      <c r="BK2253" s="8">
        <v>6166.36</v>
      </c>
      <c r="BL2253" s="2" t="s">
        <v>8075</v>
      </c>
      <c r="BM2253" s="7">
        <v>0.1803</v>
      </c>
      <c r="BN2253" s="7">
        <v>0.1401</v>
      </c>
      <c r="BO2253" s="4">
        <v>11</v>
      </c>
      <c r="BP2253" s="8">
        <v>864.16</v>
      </c>
      <c r="BQ2253" s="4">
        <v>87</v>
      </c>
      <c r="BR2253" s="8">
        <v>7690.35</v>
      </c>
      <c r="BS2253" s="7">
        <v>-0.8736</v>
      </c>
      <c r="BT2253" s="7">
        <v>-0.8876</v>
      </c>
      <c r="BU2253" s="2" t="s">
        <v>109</v>
      </c>
      <c r="BV2253" s="2" t="s">
        <v>97</v>
      </c>
      <c r="BW2253" s="2" t="s">
        <v>7841</v>
      </c>
      <c r="BX2253" s="2" t="s">
        <v>3853</v>
      </c>
      <c r="BY2253" s="2" t="s">
        <v>112</v>
      </c>
      <c r="BZ2253" s="2" t="s">
        <v>100</v>
      </c>
    </row>
    <row r="2254">
      <c r="A2254" s="2" t="s">
        <v>8076</v>
      </c>
      <c r="B2254" s="2" t="s">
        <v>7252</v>
      </c>
      <c r="C2254" s="2" t="s">
        <v>88</v>
      </c>
      <c r="D2254" s="2" t="s">
        <v>7786</v>
      </c>
      <c r="E2254" s="2" t="s">
        <v>8071</v>
      </c>
      <c r="F2254" s="2" t="s">
        <v>7897</v>
      </c>
      <c r="G2254" s="2" t="s">
        <v>7898</v>
      </c>
      <c r="H2254" s="2" t="s">
        <v>7899</v>
      </c>
      <c r="I2254" s="2" t="s">
        <v>8072</v>
      </c>
      <c r="J2254" s="2" t="s">
        <v>6103</v>
      </c>
      <c r="K2254" s="2" t="s">
        <v>333</v>
      </c>
      <c r="L2254" s="3">
        <v>99.75</v>
      </c>
      <c r="M2254" s="3">
        <v>104.74</v>
      </c>
      <c r="N2254" s="3">
        <v>209</v>
      </c>
      <c r="O2254" s="2" t="s">
        <v>229</v>
      </c>
      <c r="P2254" s="2" t="s">
        <v>198</v>
      </c>
      <c r="Q2254" s="2" t="s">
        <v>99</v>
      </c>
      <c r="R2254" s="2" t="s">
        <v>100</v>
      </c>
      <c r="S2254" s="2" t="s">
        <v>8077</v>
      </c>
      <c r="T2254" s="2" t="s">
        <v>100</v>
      </c>
      <c r="U2254" s="2" t="s">
        <v>100</v>
      </c>
      <c r="V2254" s="2" t="s">
        <v>601</v>
      </c>
      <c r="W2254" s="2" t="s">
        <v>104</v>
      </c>
      <c r="X2254" s="2" t="s">
        <v>100</v>
      </c>
      <c r="Y2254" s="2" t="s">
        <v>106</v>
      </c>
      <c r="Z2254" s="4">
        <v>30</v>
      </c>
      <c r="AA2254" s="4">
        <f>=ROUNDDOWN(150,0)</f>
      </c>
      <c r="AB2254" s="5">
        <v>0.2</v>
      </c>
      <c r="AC2254" s="2" t="s">
        <v>100</v>
      </c>
      <c r="AD2254" s="4"/>
      <c r="AE2254" s="4"/>
      <c r="AF2254" s="6">
        <v>75</v>
      </c>
      <c r="AG2254" s="6">
        <v>66</v>
      </c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>
        <v>0</v>
      </c>
      <c r="AP2254" s="4">
        <v>3</v>
      </c>
      <c r="AQ2254" s="8">
        <v>235.68</v>
      </c>
      <c r="AR2254" s="4">
        <v>54</v>
      </c>
      <c r="AS2254" s="8">
        <v>4939.42</v>
      </c>
      <c r="AT2254" s="7">
        <v>-0.9444</v>
      </c>
      <c r="AU2254" s="7">
        <v>-0.9523</v>
      </c>
      <c r="AV2254" s="4">
        <v>3</v>
      </c>
      <c r="AW2254" s="8">
        <v>235.68</v>
      </c>
      <c r="AX2254" s="4">
        <v>54</v>
      </c>
      <c r="AY2254" s="8">
        <v>4939.42</v>
      </c>
      <c r="AZ2254" s="7">
        <v>-0.9444</v>
      </c>
      <c r="BA2254" s="7">
        <v>-0.9523</v>
      </c>
      <c r="BB2254" s="7">
        <v>1</v>
      </c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>
        <v>0.178</v>
      </c>
      <c r="BJ2254" s="4">
        <v>27</v>
      </c>
      <c r="BK2254" s="8">
        <v>1823.76</v>
      </c>
      <c r="BL2254" s="2" t="s">
        <v>8078</v>
      </c>
      <c r="BM2254" s="7">
        <v>0.1111</v>
      </c>
      <c r="BN2254" s="7">
        <v>0.1292</v>
      </c>
      <c r="BO2254" s="4">
        <v>3</v>
      </c>
      <c r="BP2254" s="8">
        <v>235.68</v>
      </c>
      <c r="BQ2254" s="4">
        <v>54</v>
      </c>
      <c r="BR2254" s="8">
        <v>4939.42</v>
      </c>
      <c r="BS2254" s="7">
        <v>-0.9444</v>
      </c>
      <c r="BT2254" s="7">
        <v>-0.9523</v>
      </c>
      <c r="BU2254" s="2" t="s">
        <v>109</v>
      </c>
      <c r="BV2254" s="2" t="s">
        <v>97</v>
      </c>
      <c r="BW2254" s="2" t="s">
        <v>7841</v>
      </c>
      <c r="BX2254" s="2" t="s">
        <v>2347</v>
      </c>
      <c r="BY2254" s="2" t="s">
        <v>112</v>
      </c>
      <c r="BZ2254" s="2" t="s">
        <v>100</v>
      </c>
    </row>
    <row r="2255">
      <c r="A2255" s="2" t="s">
        <v>8079</v>
      </c>
      <c r="B2255" s="2" t="s">
        <v>7252</v>
      </c>
      <c r="C2255" s="2" t="s">
        <v>88</v>
      </c>
      <c r="D2255" s="2" t="s">
        <v>7786</v>
      </c>
      <c r="E2255" s="2" t="s">
        <v>8071</v>
      </c>
      <c r="F2255" s="2" t="s">
        <v>7897</v>
      </c>
      <c r="G2255" s="2" t="s">
        <v>7898</v>
      </c>
      <c r="H2255" s="2" t="s">
        <v>7899</v>
      </c>
      <c r="I2255" s="2" t="s">
        <v>7787</v>
      </c>
      <c r="J2255" s="2" t="s">
        <v>6103</v>
      </c>
      <c r="K2255" s="2" t="s">
        <v>158</v>
      </c>
      <c r="L2255" s="3">
        <v>95</v>
      </c>
      <c r="M2255" s="3">
        <v>99.75</v>
      </c>
      <c r="N2255" s="3">
        <v>199</v>
      </c>
      <c r="O2255" s="2" t="s">
        <v>550</v>
      </c>
      <c r="P2255" s="2" t="s">
        <v>198</v>
      </c>
      <c r="Q2255" s="2" t="s">
        <v>99</v>
      </c>
      <c r="R2255" s="2" t="s">
        <v>100</v>
      </c>
      <c r="S2255" s="2" t="s">
        <v>8080</v>
      </c>
      <c r="T2255" s="2" t="s">
        <v>100</v>
      </c>
      <c r="U2255" s="2" t="s">
        <v>100</v>
      </c>
      <c r="V2255" s="2" t="s">
        <v>601</v>
      </c>
      <c r="W2255" s="2" t="s">
        <v>104</v>
      </c>
      <c r="X2255" s="2" t="s">
        <v>100</v>
      </c>
      <c r="Y2255" s="2" t="s">
        <v>106</v>
      </c>
      <c r="Z2255" s="4"/>
      <c r="AA2255" s="4">
        <f>=ROUNDDOWN({0},0)</f>
      </c>
      <c r="AB2255" s="5">
        <v>0.7</v>
      </c>
      <c r="AC2255" s="2" t="s">
        <v>100</v>
      </c>
      <c r="AD2255" s="4"/>
      <c r="AE2255" s="4"/>
      <c r="AF2255" s="6">
        <v>75</v>
      </c>
      <c r="AG2255" s="6"/>
      <c r="AH2255" s="7">
        <v>0.2848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>
        <v>0</v>
      </c>
      <c r="AP2255" s="4">
        <v>3</v>
      </c>
      <c r="AQ2255" s="8">
        <v>224.43</v>
      </c>
      <c r="AR2255" s="4">
        <v>42</v>
      </c>
      <c r="AS2255" s="8">
        <v>3353.35</v>
      </c>
      <c r="AT2255" s="7">
        <v>-0.9286</v>
      </c>
      <c r="AU2255" s="7">
        <v>-0.9331</v>
      </c>
      <c r="AV2255" s="4">
        <v>3</v>
      </c>
      <c r="AW2255" s="8">
        <v>224.43</v>
      </c>
      <c r="AX2255" s="4">
        <v>83</v>
      </c>
      <c r="AY2255" s="8">
        <v>7303.18</v>
      </c>
      <c r="AZ2255" s="7">
        <v>-0.9639</v>
      </c>
      <c r="BA2255" s="7">
        <v>-0.9693</v>
      </c>
      <c r="BB2255" s="7">
        <v>1</v>
      </c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>
        <v>0.1695</v>
      </c>
      <c r="BJ2255" s="4">
        <v>5</v>
      </c>
      <c r="BK2255" s="8">
        <v>448.87</v>
      </c>
      <c r="BL2255" s="2" t="s">
        <v>8081</v>
      </c>
      <c r="BM2255" s="7">
        <v>0.6</v>
      </c>
      <c r="BN2255" s="7">
        <v>0.5</v>
      </c>
      <c r="BO2255" s="4">
        <v>3</v>
      </c>
      <c r="BP2255" s="8">
        <v>224.43</v>
      </c>
      <c r="BQ2255" s="4">
        <v>42</v>
      </c>
      <c r="BR2255" s="8">
        <v>3353.35</v>
      </c>
      <c r="BS2255" s="7">
        <v>-0.9286</v>
      </c>
      <c r="BT2255" s="7">
        <v>-0.9331</v>
      </c>
      <c r="BU2255" s="2" t="s">
        <v>109</v>
      </c>
      <c r="BV2255" s="2" t="s">
        <v>552</v>
      </c>
      <c r="BW2255" s="2" t="s">
        <v>7841</v>
      </c>
      <c r="BX2255" s="2" t="s">
        <v>6424</v>
      </c>
      <c r="BY2255" s="2" t="s">
        <v>112</v>
      </c>
      <c r="BZ2255" s="2" t="s">
        <v>100</v>
      </c>
    </row>
    <row r="2256">
      <c r="A2256" s="2" t="s">
        <v>8082</v>
      </c>
      <c r="B2256" s="2" t="s">
        <v>7252</v>
      </c>
      <c r="C2256" s="2" t="s">
        <v>88</v>
      </c>
      <c r="D2256" s="2" t="s">
        <v>7786</v>
      </c>
      <c r="E2256" s="2" t="s">
        <v>8071</v>
      </c>
      <c r="F2256" s="2" t="s">
        <v>7897</v>
      </c>
      <c r="G2256" s="2" t="s">
        <v>7898</v>
      </c>
      <c r="H2256" s="2" t="s">
        <v>7899</v>
      </c>
      <c r="I2256" s="2" t="s">
        <v>8072</v>
      </c>
      <c r="J2256" s="2" t="s">
        <v>6103</v>
      </c>
      <c r="K2256" s="2" t="s">
        <v>158</v>
      </c>
      <c r="L2256" s="3">
        <v>99.75</v>
      </c>
      <c r="M2256" s="3">
        <v>104.74</v>
      </c>
      <c r="N2256" s="3">
        <v>209</v>
      </c>
      <c r="O2256" s="2" t="s">
        <v>550</v>
      </c>
      <c r="P2256" s="2" t="s">
        <v>198</v>
      </c>
      <c r="Q2256" s="2" t="s">
        <v>99</v>
      </c>
      <c r="R2256" s="2" t="s">
        <v>100</v>
      </c>
      <c r="S2256" s="2" t="s">
        <v>8083</v>
      </c>
      <c r="T2256" s="2" t="s">
        <v>100</v>
      </c>
      <c r="U2256" s="2" t="s">
        <v>100</v>
      </c>
      <c r="V2256" s="2" t="s">
        <v>601</v>
      </c>
      <c r="W2256" s="2" t="s">
        <v>104</v>
      </c>
      <c r="X2256" s="2" t="s">
        <v>100</v>
      </c>
      <c r="Y2256" s="2" t="s">
        <v>8074</v>
      </c>
      <c r="Z2256" s="4"/>
      <c r="AA2256" s="4">
        <f>=ROUNDDOWN({0},0)</f>
      </c>
      <c r="AB2256" s="5">
        <v>1.9</v>
      </c>
      <c r="AC2256" s="2" t="s">
        <v>100</v>
      </c>
      <c r="AD2256" s="4"/>
      <c r="AE2256" s="4"/>
      <c r="AF2256" s="6">
        <v>75</v>
      </c>
      <c r="AG2256" s="6">
        <v>66</v>
      </c>
      <c r="AH2256" s="7">
        <v>0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>
        <v>0</v>
      </c>
      <c r="AP2256" s="4"/>
      <c r="AQ2256" s="8"/>
      <c r="AR2256" s="4">
        <v>41</v>
      </c>
      <c r="AS2256" s="8">
        <v>3949.83</v>
      </c>
      <c r="AT2256" s="7">
        <v>-1</v>
      </c>
      <c r="AU2256" s="7">
        <v>-1</v>
      </c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 t="s">
        <v>100</v>
      </c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 t="s">
        <v>100</v>
      </c>
      <c r="BJ2256" s="4"/>
      <c r="BK2256" s="8"/>
      <c r="BL2256" s="2" t="s">
        <v>8084</v>
      </c>
      <c r="BM2256" s="7"/>
      <c r="BN2256" s="7"/>
      <c r="BO2256" s="4"/>
      <c r="BP2256" s="8"/>
      <c r="BQ2256" s="4">
        <v>41</v>
      </c>
      <c r="BR2256" s="8">
        <v>3949.83</v>
      </c>
      <c r="BS2256" s="7">
        <v>-1</v>
      </c>
      <c r="BT2256" s="7">
        <v>-1</v>
      </c>
      <c r="BU2256" s="2" t="s">
        <v>109</v>
      </c>
      <c r="BV2256" s="2" t="s">
        <v>97</v>
      </c>
      <c r="BW2256" s="2" t="s">
        <v>7841</v>
      </c>
      <c r="BX2256" s="2" t="s">
        <v>4328</v>
      </c>
      <c r="BY2256" s="2" t="s">
        <v>112</v>
      </c>
      <c r="BZ2256" s="2" t="s">
        <v>100</v>
      </c>
    </row>
    <row r="2257">
      <c r="A2257" s="2" t="s">
        <v>8085</v>
      </c>
      <c r="B2257" s="2" t="s">
        <v>7252</v>
      </c>
      <c r="C2257" s="2" t="s">
        <v>88</v>
      </c>
      <c r="D2257" s="2" t="s">
        <v>7786</v>
      </c>
      <c r="E2257" s="2" t="s">
        <v>8071</v>
      </c>
      <c r="F2257" s="2" t="s">
        <v>8086</v>
      </c>
      <c r="G2257" s="2" t="s">
        <v>8087</v>
      </c>
      <c r="H2257" s="2" t="s">
        <v>8088</v>
      </c>
      <c r="I2257" s="2" t="s">
        <v>7787</v>
      </c>
      <c r="J2257" s="2" t="s">
        <v>6103</v>
      </c>
      <c r="K2257" s="2" t="s">
        <v>6167</v>
      </c>
      <c r="L2257" s="3">
        <v>110</v>
      </c>
      <c r="M2257" s="3">
        <v>115.5</v>
      </c>
      <c r="N2257" s="3">
        <v>229</v>
      </c>
      <c r="O2257" s="2" t="s">
        <v>229</v>
      </c>
      <c r="P2257" s="2" t="s">
        <v>198</v>
      </c>
      <c r="Q2257" s="2" t="s">
        <v>99</v>
      </c>
      <c r="R2257" s="2" t="s">
        <v>100</v>
      </c>
      <c r="S2257" s="2" t="s">
        <v>8089</v>
      </c>
      <c r="T2257" s="2" t="s">
        <v>100</v>
      </c>
      <c r="U2257" s="2" t="s">
        <v>100</v>
      </c>
      <c r="V2257" s="2" t="s">
        <v>601</v>
      </c>
      <c r="W2257" s="2" t="s">
        <v>104</v>
      </c>
      <c r="X2257" s="2" t="s">
        <v>100</v>
      </c>
      <c r="Y2257" s="2" t="s">
        <v>106</v>
      </c>
      <c r="Z2257" s="4">
        <v>70</v>
      </c>
      <c r="AA2257" s="4">
        <f>=ROUNDDOWN(30.4347826086957,0)</f>
      </c>
      <c r="AB2257" s="5">
        <v>2.3</v>
      </c>
      <c r="AC2257" s="2" t="s">
        <v>100</v>
      </c>
      <c r="AD2257" s="4"/>
      <c r="AE2257" s="4"/>
      <c r="AF2257" s="6">
        <v>65</v>
      </c>
      <c r="AG2257" s="6">
        <v>48</v>
      </c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>
        <v>0</v>
      </c>
      <c r="AP2257" s="4">
        <v>13</v>
      </c>
      <c r="AQ2257" s="8">
        <v>1293.6</v>
      </c>
      <c r="AR2257" s="4">
        <v>26</v>
      </c>
      <c r="AS2257" s="8">
        <v>3003</v>
      </c>
      <c r="AT2257" s="7">
        <v>-0.5</v>
      </c>
      <c r="AU2257" s="7">
        <v>-0.5692</v>
      </c>
      <c r="AV2257" s="4">
        <v>13</v>
      </c>
      <c r="AW2257" s="8">
        <v>1293.6</v>
      </c>
      <c r="AX2257" s="4">
        <v>26</v>
      </c>
      <c r="AY2257" s="8">
        <v>3003</v>
      </c>
      <c r="AZ2257" s="7">
        <v>-0.5</v>
      </c>
      <c r="BA2257" s="7">
        <v>-0.5692</v>
      </c>
      <c r="BB2257" s="7">
        <v>1</v>
      </c>
      <c r="BC2257" s="4">
        <v>13</v>
      </c>
      <c r="BD2257" s="8">
        <v>1293.6</v>
      </c>
      <c r="BE2257" s="4">
        <v>75</v>
      </c>
      <c r="BF2257" s="8">
        <v>8662.5</v>
      </c>
      <c r="BG2257" s="7">
        <v>-0.8267</v>
      </c>
      <c r="BH2257" s="7">
        <v>-0.8507</v>
      </c>
      <c r="BI2257" s="7">
        <v>1</v>
      </c>
      <c r="BJ2257" s="4">
        <v>57</v>
      </c>
      <c r="BK2257" s="8">
        <v>4669.23</v>
      </c>
      <c r="BL2257" s="2" t="s">
        <v>8090</v>
      </c>
      <c r="BM2257" s="7">
        <v>0.2281</v>
      </c>
      <c r="BN2257" s="7">
        <v>0.277</v>
      </c>
      <c r="BO2257" s="4">
        <v>13</v>
      </c>
      <c r="BP2257" s="8">
        <v>1293.6</v>
      </c>
      <c r="BQ2257" s="4">
        <v>26</v>
      </c>
      <c r="BR2257" s="8">
        <v>3003</v>
      </c>
      <c r="BS2257" s="7">
        <v>-0.5</v>
      </c>
      <c r="BT2257" s="7">
        <v>-0.5692</v>
      </c>
      <c r="BU2257" s="2" t="s">
        <v>109</v>
      </c>
      <c r="BV2257" s="2" t="s">
        <v>97</v>
      </c>
      <c r="BW2257" s="2" t="s">
        <v>7307</v>
      </c>
      <c r="BX2257" s="2" t="s">
        <v>128</v>
      </c>
      <c r="BY2257" s="2" t="s">
        <v>112</v>
      </c>
      <c r="BZ2257" s="2" t="s">
        <v>100</v>
      </c>
    </row>
    <row r="2258">
      <c r="A2258" s="2" t="s">
        <v>8091</v>
      </c>
      <c r="B2258" s="2" t="s">
        <v>7252</v>
      </c>
      <c r="C2258" s="2" t="s">
        <v>88</v>
      </c>
      <c r="D2258" s="2" t="s">
        <v>7786</v>
      </c>
      <c r="E2258" s="2" t="s">
        <v>8071</v>
      </c>
      <c r="F2258" s="2" t="s">
        <v>8086</v>
      </c>
      <c r="G2258" s="2" t="s">
        <v>8087</v>
      </c>
      <c r="H2258" s="2" t="s">
        <v>8088</v>
      </c>
      <c r="I2258" s="2" t="s">
        <v>7787</v>
      </c>
      <c r="J2258" s="2" t="s">
        <v>6103</v>
      </c>
      <c r="K2258" s="2" t="s">
        <v>7351</v>
      </c>
      <c r="L2258" s="3">
        <v>110</v>
      </c>
      <c r="M2258" s="3">
        <v>115.5</v>
      </c>
      <c r="N2258" s="3">
        <v>229</v>
      </c>
      <c r="O2258" s="2" t="s">
        <v>550</v>
      </c>
      <c r="P2258" s="2" t="s">
        <v>198</v>
      </c>
      <c r="Q2258" s="2" t="s">
        <v>99</v>
      </c>
      <c r="R2258" s="2" t="s">
        <v>100</v>
      </c>
      <c r="S2258" s="2" t="s">
        <v>8092</v>
      </c>
      <c r="T2258" s="2" t="s">
        <v>100</v>
      </c>
      <c r="U2258" s="2" t="s">
        <v>100</v>
      </c>
      <c r="V2258" s="2" t="s">
        <v>601</v>
      </c>
      <c r="W2258" s="2" t="s">
        <v>104</v>
      </c>
      <c r="X2258" s="2" t="s">
        <v>100</v>
      </c>
      <c r="Y2258" s="2" t="s">
        <v>106</v>
      </c>
      <c r="Z2258" s="4"/>
      <c r="AA2258" s="4">
        <f>=ROUNDDOWN({0},0)</f>
      </c>
      <c r="AB2258" s="5"/>
      <c r="AC2258" s="2" t="s">
        <v>100</v>
      </c>
      <c r="AD2258" s="4"/>
      <c r="AE2258" s="4"/>
      <c r="AF2258" s="6">
        <v>74</v>
      </c>
      <c r="AG2258" s="6">
        <v>60</v>
      </c>
      <c r="AH2258" s="7">
        <v>0.6242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>
        <v>0</v>
      </c>
      <c r="AP2258" s="4"/>
      <c r="AQ2258" s="8"/>
      <c r="AR2258" s="4">
        <v>49</v>
      </c>
      <c r="AS2258" s="8">
        <v>5659.5</v>
      </c>
      <c r="AT2258" s="7">
        <v>-1</v>
      </c>
      <c r="AU2258" s="7">
        <v>-1</v>
      </c>
      <c r="AV2258" s="4"/>
      <c r="AW2258" s="8"/>
      <c r="AX2258" s="4">
        <v>49</v>
      </c>
      <c r="AY2258" s="8">
        <v>5659.5</v>
      </c>
      <c r="AZ2258" s="7">
        <v>-1</v>
      </c>
      <c r="BA2258" s="7">
        <v>-1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34</v>
      </c>
      <c r="BK2258" s="8">
        <v>2486.38</v>
      </c>
      <c r="BL2258" s="2" t="s">
        <v>8093</v>
      </c>
      <c r="BM2258" s="7"/>
      <c r="BN2258" s="7"/>
      <c r="BO2258" s="4"/>
      <c r="BP2258" s="8"/>
      <c r="BQ2258" s="4">
        <v>49</v>
      </c>
      <c r="BR2258" s="8">
        <v>5659.5</v>
      </c>
      <c r="BS2258" s="7">
        <v>-1</v>
      </c>
      <c r="BT2258" s="7">
        <v>-1</v>
      </c>
      <c r="BU2258" s="2" t="s">
        <v>109</v>
      </c>
      <c r="BV2258" s="2" t="s">
        <v>97</v>
      </c>
      <c r="BW2258" s="2" t="s">
        <v>8094</v>
      </c>
      <c r="BX2258" s="2" t="s">
        <v>8095</v>
      </c>
      <c r="BY2258" s="2" t="s">
        <v>112</v>
      </c>
      <c r="BZ2258" s="2" t="s">
        <v>100</v>
      </c>
    </row>
    <row r="2259">
      <c r="A2259" s="2" t="s">
        <v>8096</v>
      </c>
      <c r="B2259" s="2" t="s">
        <v>7252</v>
      </c>
      <c r="C2259" s="2" t="s">
        <v>88</v>
      </c>
      <c r="D2259" s="2" t="s">
        <v>7786</v>
      </c>
      <c r="E2259" s="2" t="s">
        <v>8071</v>
      </c>
      <c r="F2259" s="2" t="s">
        <v>8097</v>
      </c>
      <c r="G2259" s="2" t="s">
        <v>8098</v>
      </c>
      <c r="H2259" s="2" t="s">
        <v>8099</v>
      </c>
      <c r="I2259" s="2" t="s">
        <v>8100</v>
      </c>
      <c r="J2259" s="2" t="s">
        <v>6103</v>
      </c>
      <c r="K2259" s="2" t="s">
        <v>333</v>
      </c>
      <c r="L2259" s="3">
        <v>171.6</v>
      </c>
      <c r="M2259" s="3">
        <v>180.18</v>
      </c>
      <c r="N2259" s="3">
        <v>359</v>
      </c>
      <c r="O2259" s="2" t="s">
        <v>229</v>
      </c>
      <c r="P2259" s="2" t="s">
        <v>198</v>
      </c>
      <c r="Q2259" s="2" t="s">
        <v>99</v>
      </c>
      <c r="R2259" s="2" t="s">
        <v>100</v>
      </c>
      <c r="S2259" s="2" t="s">
        <v>8101</v>
      </c>
      <c r="T2259" s="2" t="s">
        <v>100</v>
      </c>
      <c r="U2259" s="2" t="s">
        <v>100</v>
      </c>
      <c r="V2259" s="2" t="s">
        <v>601</v>
      </c>
      <c r="W2259" s="2" t="s">
        <v>104</v>
      </c>
      <c r="X2259" s="2" t="s">
        <v>100</v>
      </c>
      <c r="Y2259" s="2" t="s">
        <v>106</v>
      </c>
      <c r="Z2259" s="4"/>
      <c r="AA2259" s="4">
        <f>=ROUNDDOWN({0},0)</f>
      </c>
      <c r="AB2259" s="5">
        <v>2.3</v>
      </c>
      <c r="AC2259" s="2" t="s">
        <v>100</v>
      </c>
      <c r="AD2259" s="4"/>
      <c r="AE2259" s="4"/>
      <c r="AF2259" s="6">
        <v>65</v>
      </c>
      <c r="AG2259" s="6"/>
      <c r="AH2259" s="7">
        <v>0.2424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>
        <v>0</v>
      </c>
      <c r="AP2259" s="4">
        <v>2</v>
      </c>
      <c r="AQ2259" s="8">
        <v>360.36</v>
      </c>
      <c r="AR2259" s="4">
        <v>4</v>
      </c>
      <c r="AS2259" s="8">
        <v>720.72</v>
      </c>
      <c r="AT2259" s="7">
        <v>-0.5</v>
      </c>
      <c r="AU2259" s="7">
        <v>-0.5</v>
      </c>
      <c r="AV2259" s="4">
        <v>2</v>
      </c>
      <c r="AW2259" s="8">
        <v>360.36</v>
      </c>
      <c r="AX2259" s="4">
        <v>4</v>
      </c>
      <c r="AY2259" s="8">
        <v>720.72</v>
      </c>
      <c r="AZ2259" s="7">
        <v>-0.5</v>
      </c>
      <c r="BA2259" s="7">
        <v>-0.5</v>
      </c>
      <c r="BB2259" s="7">
        <v>1</v>
      </c>
      <c r="BC2259" s="4">
        <v>2</v>
      </c>
      <c r="BD2259" s="8">
        <v>360.36</v>
      </c>
      <c r="BE2259" s="4">
        <v>11</v>
      </c>
      <c r="BF2259" s="8">
        <v>1981.98</v>
      </c>
      <c r="BG2259" s="7">
        <v>-0.8182</v>
      </c>
      <c r="BH2259" s="7">
        <v>-0.8182</v>
      </c>
      <c r="BI2259" s="7">
        <v>1</v>
      </c>
      <c r="BJ2259" s="4">
        <v>13</v>
      </c>
      <c r="BK2259" s="8">
        <v>2267.58</v>
      </c>
      <c r="BL2259" s="2" t="s">
        <v>8102</v>
      </c>
      <c r="BM2259" s="7">
        <v>0.1538</v>
      </c>
      <c r="BN2259" s="7">
        <v>0.1589</v>
      </c>
      <c r="BO2259" s="4">
        <v>2</v>
      </c>
      <c r="BP2259" s="8">
        <v>360.36</v>
      </c>
      <c r="BQ2259" s="4">
        <v>4</v>
      </c>
      <c r="BR2259" s="8">
        <v>720.72</v>
      </c>
      <c r="BS2259" s="7">
        <v>-0.5</v>
      </c>
      <c r="BT2259" s="7">
        <v>-0.5</v>
      </c>
      <c r="BU2259" s="2" t="s">
        <v>109</v>
      </c>
      <c r="BV2259" s="2" t="s">
        <v>552</v>
      </c>
      <c r="BW2259" s="2" t="s">
        <v>7307</v>
      </c>
      <c r="BX2259" s="2" t="s">
        <v>1594</v>
      </c>
      <c r="BY2259" s="2" t="s">
        <v>112</v>
      </c>
      <c r="BZ2259" s="2" t="s">
        <v>100</v>
      </c>
    </row>
    <row r="2260">
      <c r="A2260" s="2" t="s">
        <v>8103</v>
      </c>
      <c r="B2260" s="2" t="s">
        <v>7252</v>
      </c>
      <c r="C2260" s="2" t="s">
        <v>88</v>
      </c>
      <c r="D2260" s="2" t="s">
        <v>7786</v>
      </c>
      <c r="E2260" s="2" t="s">
        <v>8071</v>
      </c>
      <c r="F2260" s="2" t="s">
        <v>8097</v>
      </c>
      <c r="G2260" s="2" t="s">
        <v>8098</v>
      </c>
      <c r="H2260" s="2" t="s">
        <v>8099</v>
      </c>
      <c r="I2260" s="2" t="s">
        <v>8100</v>
      </c>
      <c r="J2260" s="2" t="s">
        <v>6103</v>
      </c>
      <c r="K2260" s="2" t="s">
        <v>323</v>
      </c>
      <c r="L2260" s="3">
        <v>171.6</v>
      </c>
      <c r="M2260" s="3">
        <v>180.18</v>
      </c>
      <c r="N2260" s="3">
        <v>359</v>
      </c>
      <c r="O2260" s="2" t="s">
        <v>550</v>
      </c>
      <c r="P2260" s="2" t="s">
        <v>198</v>
      </c>
      <c r="Q2260" s="2" t="s">
        <v>99</v>
      </c>
      <c r="R2260" s="2" t="s">
        <v>100</v>
      </c>
      <c r="S2260" s="2" t="s">
        <v>8104</v>
      </c>
      <c r="T2260" s="2" t="s">
        <v>100</v>
      </c>
      <c r="U2260" s="2" t="s">
        <v>100</v>
      </c>
      <c r="V2260" s="2" t="s">
        <v>601</v>
      </c>
      <c r="W2260" s="2" t="s">
        <v>104</v>
      </c>
      <c r="X2260" s="2" t="s">
        <v>100</v>
      </c>
      <c r="Y2260" s="2" t="s">
        <v>106</v>
      </c>
      <c r="Z2260" s="4"/>
      <c r="AA2260" s="4">
        <f>=ROUNDDOWN({0},0)</f>
      </c>
      <c r="AB2260" s="5">
        <v>1</v>
      </c>
      <c r="AC2260" s="2" t="s">
        <v>100</v>
      </c>
      <c r="AD2260" s="4"/>
      <c r="AE2260" s="4"/>
      <c r="AF2260" s="6">
        <v>65</v>
      </c>
      <c r="AG2260" s="6"/>
      <c r="AH2260" s="7">
        <v>0.5879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>
        <v>0</v>
      </c>
      <c r="AP2260" s="4"/>
      <c r="AQ2260" s="8"/>
      <c r="AR2260" s="4">
        <v>7</v>
      </c>
      <c r="AS2260" s="8">
        <v>1261.26</v>
      </c>
      <c r="AT2260" s="7">
        <v>-1</v>
      </c>
      <c r="AU2260" s="7">
        <v>-1</v>
      </c>
      <c r="AV2260" s="4"/>
      <c r="AW2260" s="8"/>
      <c r="AX2260" s="4">
        <v>7</v>
      </c>
      <c r="AY2260" s="8">
        <v>1261.26</v>
      </c>
      <c r="AZ2260" s="7">
        <v>-1</v>
      </c>
      <c r="BA2260" s="7">
        <v>-1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59</v>
      </c>
      <c r="BK2260" s="8">
        <v>7641.54</v>
      </c>
      <c r="BL2260" s="2" t="s">
        <v>8105</v>
      </c>
      <c r="BM2260" s="7"/>
      <c r="BN2260" s="7"/>
      <c r="BO2260" s="4"/>
      <c r="BP2260" s="8"/>
      <c r="BQ2260" s="4">
        <v>7</v>
      </c>
      <c r="BR2260" s="8">
        <v>1261.26</v>
      </c>
      <c r="BS2260" s="7">
        <v>-1</v>
      </c>
      <c r="BT2260" s="7">
        <v>-1</v>
      </c>
      <c r="BU2260" s="2" t="s">
        <v>109</v>
      </c>
      <c r="BV2260" s="2" t="s">
        <v>552</v>
      </c>
      <c r="BW2260" s="2" t="s">
        <v>7307</v>
      </c>
      <c r="BX2260" s="2" t="s">
        <v>8106</v>
      </c>
      <c r="BY2260" s="2" t="s">
        <v>112</v>
      </c>
      <c r="BZ2260" s="2" t="s">
        <v>100</v>
      </c>
    </row>
    <row r="2261">
      <c r="A2261" s="2" t="s">
        <v>8107</v>
      </c>
      <c r="B2261" s="2" t="s">
        <v>7252</v>
      </c>
      <c r="C2261" s="2" t="s">
        <v>88</v>
      </c>
      <c r="D2261" s="2" t="s">
        <v>7786</v>
      </c>
      <c r="E2261" s="2" t="s">
        <v>8071</v>
      </c>
      <c r="F2261" s="2" t="s">
        <v>7906</v>
      </c>
      <c r="G2261" s="2" t="s">
        <v>7907</v>
      </c>
      <c r="H2261" s="2" t="s">
        <v>7908</v>
      </c>
      <c r="I2261" s="2" t="s">
        <v>8108</v>
      </c>
      <c r="J2261" s="2" t="s">
        <v>6103</v>
      </c>
      <c r="K2261" s="2" t="s">
        <v>7362</v>
      </c>
      <c r="L2261" s="3">
        <v>171</v>
      </c>
      <c r="M2261" s="3">
        <v>179.55</v>
      </c>
      <c r="N2261" s="3">
        <v>369</v>
      </c>
      <c r="O2261" s="2" t="s">
        <v>97</v>
      </c>
      <c r="P2261" s="2" t="s">
        <v>182</v>
      </c>
      <c r="Q2261" s="2" t="s">
        <v>99</v>
      </c>
      <c r="R2261" s="2" t="s">
        <v>100</v>
      </c>
      <c r="S2261" s="2" t="s">
        <v>100</v>
      </c>
      <c r="T2261" s="2" t="s">
        <v>100</v>
      </c>
      <c r="U2261" s="2" t="s">
        <v>3531</v>
      </c>
      <c r="V2261" s="2" t="s">
        <v>601</v>
      </c>
      <c r="W2261" s="2" t="s">
        <v>104</v>
      </c>
      <c r="X2261" s="2" t="s">
        <v>602</v>
      </c>
      <c r="Y2261" s="2" t="s">
        <v>8109</v>
      </c>
      <c r="Z2261" s="4">
        <v>295</v>
      </c>
      <c r="AA2261" s="4">
        <f>=ROUNDDOWN(29.5,0)</f>
      </c>
      <c r="AB2261" s="5">
        <v>10</v>
      </c>
      <c r="AC2261" s="2" t="s">
        <v>936</v>
      </c>
      <c r="AD2261" s="4">
        <v>150</v>
      </c>
      <c r="AE2261" s="4">
        <v>399</v>
      </c>
      <c r="AF2261" s="6">
        <v>66</v>
      </c>
      <c r="AG2261" s="6">
        <v>49</v>
      </c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>
        <v>0</v>
      </c>
      <c r="AP2261" s="4">
        <v>2</v>
      </c>
      <c r="AQ2261" s="8">
        <v>359.1</v>
      </c>
      <c r="AR2261" s="4">
        <v>5</v>
      </c>
      <c r="AS2261" s="8">
        <v>673.3</v>
      </c>
      <c r="AT2261" s="7">
        <v>-0.6</v>
      </c>
      <c r="AU2261" s="7">
        <v>-0.4667</v>
      </c>
      <c r="AV2261" s="4">
        <v>2</v>
      </c>
      <c r="AW2261" s="8">
        <v>359.1</v>
      </c>
      <c r="AX2261" s="4">
        <v>5</v>
      </c>
      <c r="AY2261" s="8">
        <v>673.3</v>
      </c>
      <c r="AZ2261" s="7">
        <v>-0.6</v>
      </c>
      <c r="BA2261" s="7">
        <v>-0.4667</v>
      </c>
      <c r="BB2261" s="7">
        <v>1</v>
      </c>
      <c r="BC2261" s="4">
        <v>2</v>
      </c>
      <c r="BD2261" s="8">
        <v>359.1</v>
      </c>
      <c r="BE2261" s="4">
        <v>5</v>
      </c>
      <c r="BF2261" s="8">
        <v>673.3</v>
      </c>
      <c r="BG2261" s="7">
        <v>-0.6</v>
      </c>
      <c r="BH2261" s="7">
        <v>-0.4667</v>
      </c>
      <c r="BI2261" s="7">
        <v>1</v>
      </c>
      <c r="BJ2261" s="4">
        <v>238</v>
      </c>
      <c r="BK2261" s="8">
        <v>39422.99</v>
      </c>
      <c r="BL2261" s="2" t="s">
        <v>8110</v>
      </c>
      <c r="BM2261" s="7">
        <v>0.0084</v>
      </c>
      <c r="BN2261" s="7">
        <v>0.0091</v>
      </c>
      <c r="BO2261" s="4">
        <v>2</v>
      </c>
      <c r="BP2261" s="8">
        <v>359.1</v>
      </c>
      <c r="BQ2261" s="4">
        <v>5</v>
      </c>
      <c r="BR2261" s="8">
        <v>673.3</v>
      </c>
      <c r="BS2261" s="7">
        <v>-0.6</v>
      </c>
      <c r="BT2261" s="7">
        <v>-0.4667</v>
      </c>
      <c r="BU2261" s="2" t="s">
        <v>109</v>
      </c>
      <c r="BV2261" s="2" t="s">
        <v>97</v>
      </c>
      <c r="BW2261" s="2" t="s">
        <v>7676</v>
      </c>
      <c r="BX2261" s="2" t="s">
        <v>3610</v>
      </c>
      <c r="BY2261" s="2" t="s">
        <v>112</v>
      </c>
      <c r="BZ2261" s="2" t="s">
        <v>100</v>
      </c>
    </row>
    <row r="2262">
      <c r="A2262" s="2" t="s">
        <v>8111</v>
      </c>
      <c r="B2262" s="2" t="s">
        <v>7252</v>
      </c>
      <c r="C2262" s="2" t="s">
        <v>88</v>
      </c>
      <c r="D2262" s="2" t="s">
        <v>7786</v>
      </c>
      <c r="E2262" s="2" t="s">
        <v>8071</v>
      </c>
      <c r="F2262" s="2" t="s">
        <v>7906</v>
      </c>
      <c r="G2262" s="2" t="s">
        <v>7907</v>
      </c>
      <c r="H2262" s="2" t="s">
        <v>7908</v>
      </c>
      <c r="I2262" s="2" t="s">
        <v>8108</v>
      </c>
      <c r="J2262" s="2" t="s">
        <v>6103</v>
      </c>
      <c r="K2262" s="2" t="s">
        <v>158</v>
      </c>
      <c r="L2262" s="3">
        <v>171</v>
      </c>
      <c r="M2262" s="3">
        <v>179.55</v>
      </c>
      <c r="N2262" s="3">
        <v>369</v>
      </c>
      <c r="O2262" s="2" t="s">
        <v>97</v>
      </c>
      <c r="P2262" s="2" t="s">
        <v>1265</v>
      </c>
      <c r="Q2262" s="2" t="s">
        <v>99</v>
      </c>
      <c r="R2262" s="2" t="s">
        <v>100</v>
      </c>
      <c r="S2262" s="2" t="s">
        <v>100</v>
      </c>
      <c r="T2262" s="2" t="s">
        <v>100</v>
      </c>
      <c r="U2262" s="2" t="s">
        <v>3531</v>
      </c>
      <c r="V2262" s="2" t="s">
        <v>1752</v>
      </c>
      <c r="W2262" s="2" t="s">
        <v>104</v>
      </c>
      <c r="X2262" s="2" t="s">
        <v>100</v>
      </c>
      <c r="Y2262" s="2" t="s">
        <v>7459</v>
      </c>
      <c r="Z2262" s="4">
        <v>135</v>
      </c>
      <c r="AA2262" s="4">
        <f>=ROUNDDOWN(45,0)</f>
      </c>
      <c r="AB2262" s="5">
        <v>3</v>
      </c>
      <c r="AC2262" s="2" t="s">
        <v>100</v>
      </c>
      <c r="AD2262" s="4"/>
      <c r="AE2262" s="4"/>
      <c r="AF2262" s="6">
        <v>66</v>
      </c>
      <c r="AG2262" s="6"/>
      <c r="AH2262" s="7">
        <v>0.8848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68</v>
      </c>
      <c r="BK2262" s="8">
        <v>11136.04</v>
      </c>
      <c r="BL2262" s="2" t="s">
        <v>8112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147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8113</v>
      </c>
      <c r="B2263" s="2" t="s">
        <v>7252</v>
      </c>
      <c r="C2263" s="2" t="s">
        <v>88</v>
      </c>
      <c r="D2263" s="2" t="s">
        <v>7786</v>
      </c>
      <c r="E2263" s="2" t="s">
        <v>8071</v>
      </c>
      <c r="F2263" s="2" t="s">
        <v>7906</v>
      </c>
      <c r="G2263" s="2" t="s">
        <v>7907</v>
      </c>
      <c r="H2263" s="2" t="s">
        <v>7908</v>
      </c>
      <c r="I2263" s="2" t="s">
        <v>8108</v>
      </c>
      <c r="J2263" s="2" t="s">
        <v>6103</v>
      </c>
      <c r="K2263" s="2" t="s">
        <v>333</v>
      </c>
      <c r="L2263" s="3">
        <v>171</v>
      </c>
      <c r="M2263" s="3">
        <v>179.55</v>
      </c>
      <c r="N2263" s="3">
        <v>369</v>
      </c>
      <c r="O2263" s="2" t="s">
        <v>97</v>
      </c>
      <c r="P2263" s="2" t="s">
        <v>182</v>
      </c>
      <c r="Q2263" s="2" t="s">
        <v>99</v>
      </c>
      <c r="R2263" s="2" t="s">
        <v>100</v>
      </c>
      <c r="S2263" s="2" t="s">
        <v>100</v>
      </c>
      <c r="T2263" s="2" t="s">
        <v>100</v>
      </c>
      <c r="U2263" s="2" t="s">
        <v>3531</v>
      </c>
      <c r="V2263" s="2" t="s">
        <v>601</v>
      </c>
      <c r="W2263" s="2" t="s">
        <v>104</v>
      </c>
      <c r="X2263" s="2" t="s">
        <v>602</v>
      </c>
      <c r="Y2263" s="2" t="s">
        <v>8109</v>
      </c>
      <c r="Z2263" s="4">
        <v>337</v>
      </c>
      <c r="AA2263" s="4">
        <f>=ROUNDDOWN(37.4444444444444,0)</f>
      </c>
      <c r="AB2263" s="5">
        <v>9</v>
      </c>
      <c r="AC2263" s="2" t="s">
        <v>130</v>
      </c>
      <c r="AD2263" s="4">
        <v>150</v>
      </c>
      <c r="AE2263" s="4">
        <v>250</v>
      </c>
      <c r="AF2263" s="6">
        <v>66</v>
      </c>
      <c r="AG2263" s="6">
        <v>49</v>
      </c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240</v>
      </c>
      <c r="BK2263" s="8">
        <v>41052.74</v>
      </c>
      <c r="BL2263" s="2" t="s">
        <v>8114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109</v>
      </c>
      <c r="BV2263" s="2" t="s">
        <v>97</v>
      </c>
      <c r="BW2263" s="2" t="s">
        <v>7676</v>
      </c>
      <c r="BX2263" s="2" t="s">
        <v>8115</v>
      </c>
      <c r="BY2263" s="2" t="s">
        <v>112</v>
      </c>
      <c r="BZ2263" s="2" t="s">
        <v>100</v>
      </c>
    </row>
    <row r="2264">
      <c r="A2264" s="2" t="s">
        <v>8116</v>
      </c>
      <c r="B2264" s="2" t="s">
        <v>7252</v>
      </c>
      <c r="C2264" s="2" t="s">
        <v>88</v>
      </c>
      <c r="D2264" s="2" t="s">
        <v>7786</v>
      </c>
      <c r="E2264" s="2" t="s">
        <v>8071</v>
      </c>
      <c r="F2264" s="2" t="s">
        <v>7906</v>
      </c>
      <c r="G2264" s="2" t="s">
        <v>7907</v>
      </c>
      <c r="H2264" s="2" t="s">
        <v>7908</v>
      </c>
      <c r="I2264" s="2" t="s">
        <v>8108</v>
      </c>
      <c r="J2264" s="2" t="s">
        <v>6103</v>
      </c>
      <c r="K2264" s="2" t="s">
        <v>5935</v>
      </c>
      <c r="L2264" s="3">
        <v>171</v>
      </c>
      <c r="M2264" s="3">
        <v>179.55</v>
      </c>
      <c r="N2264" s="3">
        <v>369</v>
      </c>
      <c r="O2264" s="2" t="s">
        <v>229</v>
      </c>
      <c r="P2264" s="2" t="s">
        <v>198</v>
      </c>
      <c r="Q2264" s="2" t="s">
        <v>99</v>
      </c>
      <c r="R2264" s="2" t="s">
        <v>100</v>
      </c>
      <c r="S2264" s="2" t="s">
        <v>100</v>
      </c>
      <c r="T2264" s="2" t="s">
        <v>100</v>
      </c>
      <c r="U2264" s="2" t="s">
        <v>3531</v>
      </c>
      <c r="V2264" s="2" t="s">
        <v>1752</v>
      </c>
      <c r="W2264" s="2" t="s">
        <v>104</v>
      </c>
      <c r="X2264" s="2" t="s">
        <v>100</v>
      </c>
      <c r="Y2264" s="2" t="s">
        <v>7459</v>
      </c>
      <c r="Z2264" s="4">
        <v>23</v>
      </c>
      <c r="AA2264" s="4">
        <f>=ROUNDDOWN(7.66666666666667,0)</f>
      </c>
      <c r="AB2264" s="5">
        <v>3</v>
      </c>
      <c r="AC2264" s="2" t="s">
        <v>100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28</v>
      </c>
      <c r="BK2264" s="8">
        <v>5034.51</v>
      </c>
      <c r="BL2264" s="2" t="s">
        <v>8117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147</v>
      </c>
      <c r="BV2264" s="2" t="s">
        <v>97</v>
      </c>
      <c r="BW2264" s="2" t="s">
        <v>100</v>
      </c>
      <c r="BX2264" s="2" t="s">
        <v>100</v>
      </c>
      <c r="BY2264" s="2" t="s">
        <v>112</v>
      </c>
      <c r="BZ2264" s="2" t="s">
        <v>100</v>
      </c>
    </row>
    <row r="2265">
      <c r="A2265" s="2" t="s">
        <v>8118</v>
      </c>
      <c r="B2265" s="2" t="s">
        <v>7252</v>
      </c>
      <c r="C2265" s="2" t="s">
        <v>88</v>
      </c>
      <c r="D2265" s="2" t="s">
        <v>7786</v>
      </c>
      <c r="E2265" s="2" t="s">
        <v>8071</v>
      </c>
      <c r="F2265" s="2" t="s">
        <v>7623</v>
      </c>
      <c r="G2265" s="2" t="s">
        <v>4391</v>
      </c>
      <c r="H2265" s="2" t="s">
        <v>7624</v>
      </c>
      <c r="I2265" s="2" t="s">
        <v>8119</v>
      </c>
      <c r="J2265" s="2" t="s">
        <v>6103</v>
      </c>
      <c r="K2265" s="2" t="s">
        <v>7789</v>
      </c>
      <c r="L2265" s="3">
        <v>192.5</v>
      </c>
      <c r="M2265" s="3">
        <v>202.12</v>
      </c>
      <c r="N2265" s="3">
        <v>409</v>
      </c>
      <c r="O2265" s="2" t="s">
        <v>229</v>
      </c>
      <c r="P2265" s="2" t="s">
        <v>198</v>
      </c>
      <c r="Q2265" s="2" t="s">
        <v>99</v>
      </c>
      <c r="R2265" s="2" t="s">
        <v>100</v>
      </c>
      <c r="S2265" s="2" t="s">
        <v>7790</v>
      </c>
      <c r="T2265" s="2" t="s">
        <v>100</v>
      </c>
      <c r="U2265" s="2" t="s">
        <v>100</v>
      </c>
      <c r="V2265" s="2" t="s">
        <v>601</v>
      </c>
      <c r="W2265" s="2" t="s">
        <v>104</v>
      </c>
      <c r="X2265" s="2" t="s">
        <v>100</v>
      </c>
      <c r="Y2265" s="2" t="s">
        <v>1322</v>
      </c>
      <c r="Z2265" s="4">
        <v>17</v>
      </c>
      <c r="AA2265" s="4">
        <f>=ROUNDDOWN(10,0)</f>
      </c>
      <c r="AB2265" s="5">
        <v>1.7</v>
      </c>
      <c r="AC2265" s="2" t="s">
        <v>100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>
        <v>0</v>
      </c>
      <c r="AP2265" s="4">
        <v>1</v>
      </c>
      <c r="AQ2265" s="8">
        <v>202.12</v>
      </c>
      <c r="AR2265" s="4">
        <v>14</v>
      </c>
      <c r="AS2265" s="8">
        <v>2829.68</v>
      </c>
      <c r="AT2265" s="7">
        <v>-0.9286</v>
      </c>
      <c r="AU2265" s="7">
        <v>-0.9286</v>
      </c>
      <c r="AV2265" s="4">
        <v>1</v>
      </c>
      <c r="AW2265" s="8">
        <v>202.12</v>
      </c>
      <c r="AX2265" s="4">
        <v>14</v>
      </c>
      <c r="AY2265" s="8">
        <v>2829.68</v>
      </c>
      <c r="AZ2265" s="7">
        <v>-0.9286</v>
      </c>
      <c r="BA2265" s="7">
        <v>-0.9286</v>
      </c>
      <c r="BB2265" s="7">
        <v>1</v>
      </c>
      <c r="BC2265" s="4">
        <v>1</v>
      </c>
      <c r="BD2265" s="8">
        <v>202.12</v>
      </c>
      <c r="BE2265" s="4">
        <v>43</v>
      </c>
      <c r="BF2265" s="8">
        <v>8691.16</v>
      </c>
      <c r="BG2265" s="7">
        <v>-0.9767</v>
      </c>
      <c r="BH2265" s="7">
        <v>-0.9767</v>
      </c>
      <c r="BI2265" s="7">
        <v>1</v>
      </c>
      <c r="BJ2265" s="4">
        <v>34</v>
      </c>
      <c r="BK2265" s="8">
        <v>5883.58</v>
      </c>
      <c r="BL2265" s="2" t="s">
        <v>8120</v>
      </c>
      <c r="BM2265" s="7">
        <v>0.0294</v>
      </c>
      <c r="BN2265" s="7">
        <v>0.0344</v>
      </c>
      <c r="BO2265" s="4">
        <v>1</v>
      </c>
      <c r="BP2265" s="8">
        <v>202.12</v>
      </c>
      <c r="BQ2265" s="4">
        <v>14</v>
      </c>
      <c r="BR2265" s="8">
        <v>2829.68</v>
      </c>
      <c r="BS2265" s="7">
        <v>-0.9286</v>
      </c>
      <c r="BT2265" s="7">
        <v>-0.9286</v>
      </c>
      <c r="BU2265" s="2" t="s">
        <v>109</v>
      </c>
      <c r="BV2265" s="2" t="s">
        <v>97</v>
      </c>
      <c r="BW2265" s="2" t="s">
        <v>7307</v>
      </c>
      <c r="BX2265" s="2" t="s">
        <v>7133</v>
      </c>
      <c r="BY2265" s="2" t="s">
        <v>112</v>
      </c>
      <c r="BZ2265" s="2" t="s">
        <v>100</v>
      </c>
    </row>
    <row r="2266">
      <c r="A2266" s="2" t="s">
        <v>8121</v>
      </c>
      <c r="B2266" s="2" t="s">
        <v>7252</v>
      </c>
      <c r="C2266" s="2" t="s">
        <v>88</v>
      </c>
      <c r="D2266" s="2" t="s">
        <v>7786</v>
      </c>
      <c r="E2266" s="2" t="s">
        <v>8071</v>
      </c>
      <c r="F2266" s="2" t="s">
        <v>7623</v>
      </c>
      <c r="G2266" s="2" t="s">
        <v>4391</v>
      </c>
      <c r="H2266" s="2" t="s">
        <v>7624</v>
      </c>
      <c r="I2266" s="2" t="s">
        <v>8119</v>
      </c>
      <c r="J2266" s="2" t="s">
        <v>6103</v>
      </c>
      <c r="K2266" s="2" t="s">
        <v>333</v>
      </c>
      <c r="L2266" s="3">
        <v>192.5</v>
      </c>
      <c r="M2266" s="3">
        <v>202.12</v>
      </c>
      <c r="N2266" s="3">
        <v>409</v>
      </c>
      <c r="O2266" s="2" t="s">
        <v>550</v>
      </c>
      <c r="P2266" s="2" t="s">
        <v>198</v>
      </c>
      <c r="Q2266" s="2" t="s">
        <v>99</v>
      </c>
      <c r="R2266" s="2" t="s">
        <v>100</v>
      </c>
      <c r="S2266" s="2" t="s">
        <v>100</v>
      </c>
      <c r="T2266" s="2" t="s">
        <v>100</v>
      </c>
      <c r="U2266" s="2" t="s">
        <v>3531</v>
      </c>
      <c r="V2266" s="2" t="s">
        <v>601</v>
      </c>
      <c r="W2266" s="2" t="s">
        <v>104</v>
      </c>
      <c r="X2266" s="2" t="s">
        <v>100</v>
      </c>
      <c r="Y2266" s="2" t="s">
        <v>2142</v>
      </c>
      <c r="Z2266" s="4">
        <v>1</v>
      </c>
      <c r="AA2266" s="4">
        <f>=ROUNDDOWN({0},0)</f>
      </c>
      <c r="AB2266" s="5"/>
      <c r="AC2266" s="2" t="s">
        <v>100</v>
      </c>
      <c r="AD2266" s="4"/>
      <c r="AE2266" s="4"/>
      <c r="AF2266" s="6">
        <v>65</v>
      </c>
      <c r="AG2266" s="6">
        <v>48</v>
      </c>
      <c r="AH2266" s="7">
        <v>0.9818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>
        <v>0</v>
      </c>
      <c r="AP2266" s="4"/>
      <c r="AQ2266" s="8"/>
      <c r="AR2266" s="4">
        <v>29</v>
      </c>
      <c r="AS2266" s="8">
        <v>5861.48</v>
      </c>
      <c r="AT2266" s="7">
        <v>-1</v>
      </c>
      <c r="AU2266" s="7">
        <v>-1</v>
      </c>
      <c r="AV2266" s="4"/>
      <c r="AW2266" s="8"/>
      <c r="AX2266" s="4">
        <v>29</v>
      </c>
      <c r="AY2266" s="8">
        <v>5861.48</v>
      </c>
      <c r="AZ2266" s="7">
        <v>-1</v>
      </c>
      <c r="BA2266" s="7">
        <v>-1</v>
      </c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/>
      <c r="BK2266" s="8"/>
      <c r="BL2266" s="2" t="s">
        <v>8122</v>
      </c>
      <c r="BM2266" s="7"/>
      <c r="BN2266" s="7"/>
      <c r="BO2266" s="4"/>
      <c r="BP2266" s="8"/>
      <c r="BQ2266" s="4">
        <v>29</v>
      </c>
      <c r="BR2266" s="8">
        <v>5861.48</v>
      </c>
      <c r="BS2266" s="7">
        <v>-1</v>
      </c>
      <c r="BT2266" s="7">
        <v>-1</v>
      </c>
      <c r="BU2266" s="2" t="s">
        <v>109</v>
      </c>
      <c r="BV2266" s="2" t="s">
        <v>552</v>
      </c>
      <c r="BW2266" s="2" t="s">
        <v>7307</v>
      </c>
      <c r="BX2266" s="2" t="s">
        <v>4328</v>
      </c>
      <c r="BY2266" s="2" t="s">
        <v>112</v>
      </c>
      <c r="BZ2266" s="2" t="s">
        <v>100</v>
      </c>
    </row>
    <row r="2267">
      <c r="A2267" s="2" t="s">
        <v>8123</v>
      </c>
      <c r="B2267" s="2" t="s">
        <v>7252</v>
      </c>
      <c r="C2267" s="2" t="s">
        <v>88</v>
      </c>
      <c r="D2267" s="2" t="s">
        <v>7786</v>
      </c>
      <c r="E2267" s="2" t="s">
        <v>8071</v>
      </c>
      <c r="F2267" s="2" t="s">
        <v>7865</v>
      </c>
      <c r="G2267" s="2" t="s">
        <v>7866</v>
      </c>
      <c r="H2267" s="2" t="s">
        <v>7867</v>
      </c>
      <c r="I2267" s="2" t="s">
        <v>7868</v>
      </c>
      <c r="J2267" s="2" t="s">
        <v>6103</v>
      </c>
      <c r="K2267" s="2" t="s">
        <v>8124</v>
      </c>
      <c r="L2267" s="3">
        <v>71.43</v>
      </c>
      <c r="M2267" s="3">
        <v>75</v>
      </c>
      <c r="N2267" s="3">
        <v>149</v>
      </c>
      <c r="O2267" s="2" t="s">
        <v>229</v>
      </c>
      <c r="P2267" s="2" t="s">
        <v>198</v>
      </c>
      <c r="Q2267" s="2" t="s">
        <v>99</v>
      </c>
      <c r="R2267" s="2" t="s">
        <v>100</v>
      </c>
      <c r="S2267" s="2" t="s">
        <v>8125</v>
      </c>
      <c r="T2267" s="2" t="s">
        <v>100</v>
      </c>
      <c r="U2267" s="2" t="s">
        <v>100</v>
      </c>
      <c r="V2267" s="2" t="s">
        <v>601</v>
      </c>
      <c r="W2267" s="2" t="s">
        <v>602</v>
      </c>
      <c r="X2267" s="2" t="s">
        <v>100</v>
      </c>
      <c r="Y2267" s="2" t="s">
        <v>106</v>
      </c>
      <c r="Z2267" s="4"/>
      <c r="AA2267" s="4">
        <f>=ROUNDDOWN({0},0)</f>
      </c>
      <c r="AB2267" s="5"/>
      <c r="AC2267" s="2" t="s">
        <v>100</v>
      </c>
      <c r="AD2267" s="4"/>
      <c r="AE2267" s="4"/>
      <c r="AF2267" s="6">
        <v>75</v>
      </c>
      <c r="AG2267" s="6"/>
      <c r="AH2267" s="7">
        <v>0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>
        <v>0</v>
      </c>
      <c r="AP2267" s="4"/>
      <c r="AQ2267" s="8"/>
      <c r="AR2267" s="4">
        <v>15</v>
      </c>
      <c r="AS2267" s="8">
        <v>1125</v>
      </c>
      <c r="AT2267" s="7">
        <v>-1</v>
      </c>
      <c r="AU2267" s="7">
        <v>-1</v>
      </c>
      <c r="AV2267" s="4"/>
      <c r="AW2267" s="8"/>
      <c r="AX2267" s="4">
        <v>15</v>
      </c>
      <c r="AY2267" s="8">
        <v>1125</v>
      </c>
      <c r="AZ2267" s="7">
        <v>-1</v>
      </c>
      <c r="BA2267" s="7">
        <v>-1</v>
      </c>
      <c r="BB2267" s="7"/>
      <c r="BC2267" s="4"/>
      <c r="BD2267" s="8"/>
      <c r="BE2267" s="4">
        <v>15</v>
      </c>
      <c r="BF2267" s="8">
        <v>1125</v>
      </c>
      <c r="BG2267" s="7">
        <v>-1</v>
      </c>
      <c r="BH2267" s="7">
        <v>-1</v>
      </c>
      <c r="BI2267" s="7"/>
      <c r="BJ2267" s="4"/>
      <c r="BK2267" s="8"/>
      <c r="BL2267" s="2" t="s">
        <v>8126</v>
      </c>
      <c r="BM2267" s="7"/>
      <c r="BN2267" s="7"/>
      <c r="BO2267" s="4"/>
      <c r="BP2267" s="8"/>
      <c r="BQ2267" s="4">
        <v>15</v>
      </c>
      <c r="BR2267" s="8">
        <v>1125</v>
      </c>
      <c r="BS2267" s="7">
        <v>-1</v>
      </c>
      <c r="BT2267" s="7">
        <v>-1</v>
      </c>
      <c r="BU2267" s="2" t="s">
        <v>109</v>
      </c>
      <c r="BV2267" s="2" t="s">
        <v>552</v>
      </c>
      <c r="BW2267" s="2" t="s">
        <v>7311</v>
      </c>
      <c r="BX2267" s="2" t="s">
        <v>504</v>
      </c>
      <c r="BY2267" s="2" t="s">
        <v>112</v>
      </c>
      <c r="BZ2267" s="2" t="s">
        <v>100</v>
      </c>
    </row>
    <row r="2268">
      <c r="A2268" s="2" t="s">
        <v>8127</v>
      </c>
      <c r="B2268" s="2" t="s">
        <v>7252</v>
      </c>
      <c r="C2268" s="2" t="s">
        <v>88</v>
      </c>
      <c r="D2268" s="2" t="s">
        <v>7786</v>
      </c>
      <c r="E2268" s="2" t="s">
        <v>8071</v>
      </c>
      <c r="F2268" s="2" t="s">
        <v>8128</v>
      </c>
      <c r="G2268" s="2" t="s">
        <v>8129</v>
      </c>
      <c r="H2268" s="2" t="s">
        <v>8130</v>
      </c>
      <c r="I2268" s="2" t="s">
        <v>8131</v>
      </c>
      <c r="J2268" s="2" t="s">
        <v>6103</v>
      </c>
      <c r="K2268" s="2" t="s">
        <v>323</v>
      </c>
      <c r="L2268" s="3">
        <v>135</v>
      </c>
      <c r="M2268" s="3">
        <v>141.75</v>
      </c>
      <c r="N2268" s="3">
        <v>289</v>
      </c>
      <c r="O2268" s="2" t="s">
        <v>229</v>
      </c>
      <c r="P2268" s="2" t="s">
        <v>198</v>
      </c>
      <c r="Q2268" s="2" t="s">
        <v>99</v>
      </c>
      <c r="R2268" s="2" t="s">
        <v>100</v>
      </c>
      <c r="S2268" s="2" t="s">
        <v>100</v>
      </c>
      <c r="T2268" s="2" t="s">
        <v>100</v>
      </c>
      <c r="U2268" s="2" t="s">
        <v>100</v>
      </c>
      <c r="V2268" s="2" t="s">
        <v>1752</v>
      </c>
      <c r="W2268" s="2" t="s">
        <v>6998</v>
      </c>
      <c r="X2268" s="2" t="s">
        <v>100</v>
      </c>
      <c r="Y2268" s="2" t="s">
        <v>8132</v>
      </c>
      <c r="Z2268" s="4">
        <v>52</v>
      </c>
      <c r="AA2268" s="4">
        <f>=ROUNDDOWN(74.2857142857143,0)</f>
      </c>
      <c r="AB2268" s="5">
        <v>0.7</v>
      </c>
      <c r="AC2268" s="2" t="s">
        <v>100</v>
      </c>
      <c r="AD2268" s="4"/>
      <c r="AE2268" s="4"/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>
        <v>11</v>
      </c>
      <c r="BK2268" s="8">
        <v>1314.4</v>
      </c>
      <c r="BL2268" s="2" t="s">
        <v>7682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147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8133</v>
      </c>
      <c r="B2269" s="2" t="s">
        <v>7252</v>
      </c>
      <c r="C2269" s="2" t="s">
        <v>88</v>
      </c>
      <c r="D2269" s="2" t="s">
        <v>7786</v>
      </c>
      <c r="E2269" s="2" t="s">
        <v>8071</v>
      </c>
      <c r="F2269" s="2" t="s">
        <v>7972</v>
      </c>
      <c r="G2269" s="2" t="s">
        <v>3134</v>
      </c>
      <c r="H2269" s="2" t="s">
        <v>7973</v>
      </c>
      <c r="I2269" s="2" t="s">
        <v>7787</v>
      </c>
      <c r="J2269" s="2" t="s">
        <v>6103</v>
      </c>
      <c r="K2269" s="2" t="s">
        <v>333</v>
      </c>
      <c r="L2269" s="3">
        <v>85</v>
      </c>
      <c r="M2269" s="3">
        <v>89.25</v>
      </c>
      <c r="N2269" s="3">
        <v>179</v>
      </c>
      <c r="O2269" s="2" t="s">
        <v>229</v>
      </c>
      <c r="P2269" s="2" t="s">
        <v>198</v>
      </c>
      <c r="Q2269" s="2" t="s">
        <v>99</v>
      </c>
      <c r="R2269" s="2" t="s">
        <v>100</v>
      </c>
      <c r="S2269" s="2" t="s">
        <v>8134</v>
      </c>
      <c r="T2269" s="2" t="s">
        <v>100</v>
      </c>
      <c r="U2269" s="2" t="s">
        <v>100</v>
      </c>
      <c r="V2269" s="2" t="s">
        <v>3244</v>
      </c>
      <c r="W2269" s="2" t="s">
        <v>602</v>
      </c>
      <c r="X2269" s="2" t="s">
        <v>100</v>
      </c>
      <c r="Y2269" s="2" t="s">
        <v>106</v>
      </c>
      <c r="Z2269" s="4"/>
      <c r="AA2269" s="4">
        <f>=ROUNDDOWN({0},0)</f>
      </c>
      <c r="AB2269" s="5"/>
      <c r="AC2269" s="2" t="s">
        <v>100</v>
      </c>
      <c r="AD2269" s="4"/>
      <c r="AE2269" s="4"/>
      <c r="AF2269" s="6">
        <v>66</v>
      </c>
      <c r="AG2269" s="6"/>
      <c r="AH2269" s="7">
        <v>0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>
        <v>0</v>
      </c>
      <c r="AP2269" s="4"/>
      <c r="AQ2269" s="8"/>
      <c r="AR2269" s="4">
        <v>16</v>
      </c>
      <c r="AS2269" s="8">
        <v>1428</v>
      </c>
      <c r="AT2269" s="7">
        <v>-1</v>
      </c>
      <c r="AU2269" s="7">
        <v>-1</v>
      </c>
      <c r="AV2269" s="4"/>
      <c r="AW2269" s="8"/>
      <c r="AX2269" s="4">
        <v>16</v>
      </c>
      <c r="AY2269" s="8">
        <v>1428</v>
      </c>
      <c r="AZ2269" s="7">
        <v>-1</v>
      </c>
      <c r="BA2269" s="7">
        <v>-1</v>
      </c>
      <c r="BB2269" s="7"/>
      <c r="BC2269" s="4"/>
      <c r="BD2269" s="8"/>
      <c r="BE2269" s="4">
        <v>16</v>
      </c>
      <c r="BF2269" s="8">
        <v>1428</v>
      </c>
      <c r="BG2269" s="7">
        <v>-1</v>
      </c>
      <c r="BH2269" s="7">
        <v>-1</v>
      </c>
      <c r="BI2269" s="7"/>
      <c r="BJ2269" s="4"/>
      <c r="BK2269" s="8"/>
      <c r="BL2269" s="2" t="s">
        <v>8135</v>
      </c>
      <c r="BM2269" s="7"/>
      <c r="BN2269" s="7"/>
      <c r="BO2269" s="4"/>
      <c r="BP2269" s="8"/>
      <c r="BQ2269" s="4">
        <v>16</v>
      </c>
      <c r="BR2269" s="8">
        <v>1428</v>
      </c>
      <c r="BS2269" s="7">
        <v>-1</v>
      </c>
      <c r="BT2269" s="7">
        <v>-1</v>
      </c>
      <c r="BU2269" s="2" t="s">
        <v>109</v>
      </c>
      <c r="BV2269" s="2" t="s">
        <v>552</v>
      </c>
      <c r="BW2269" s="2" t="s">
        <v>7307</v>
      </c>
      <c r="BX2269" s="2" t="s">
        <v>6384</v>
      </c>
      <c r="BY2269" s="2" t="s">
        <v>112</v>
      </c>
      <c r="BZ2269" s="2" t="s">
        <v>100</v>
      </c>
    </row>
    <row r="2270">
      <c r="A2270" s="2" t="s">
        <v>8136</v>
      </c>
      <c r="B2270" s="2" t="s">
        <v>7252</v>
      </c>
      <c r="C2270" s="2" t="s">
        <v>88</v>
      </c>
      <c r="D2270" s="2" t="s">
        <v>7786</v>
      </c>
      <c r="E2270" s="2" t="s">
        <v>8071</v>
      </c>
      <c r="F2270" s="2" t="s">
        <v>7816</v>
      </c>
      <c r="G2270" s="2" t="s">
        <v>7817</v>
      </c>
      <c r="H2270" s="2" t="s">
        <v>7818</v>
      </c>
      <c r="I2270" s="2" t="s">
        <v>8137</v>
      </c>
      <c r="J2270" s="2" t="s">
        <v>6103</v>
      </c>
      <c r="K2270" s="2" t="s">
        <v>1204</v>
      </c>
      <c r="L2270" s="3">
        <v>152</v>
      </c>
      <c r="M2270" s="3">
        <v>159.6</v>
      </c>
      <c r="N2270" s="3">
        <v>319</v>
      </c>
      <c r="O2270" s="2" t="s">
        <v>229</v>
      </c>
      <c r="P2270" s="2" t="s">
        <v>198</v>
      </c>
      <c r="Q2270" s="2" t="s">
        <v>99</v>
      </c>
      <c r="R2270" s="2" t="s">
        <v>100</v>
      </c>
      <c r="S2270" s="2" t="s">
        <v>100</v>
      </c>
      <c r="T2270" s="2" t="s">
        <v>100</v>
      </c>
      <c r="U2270" s="2" t="s">
        <v>2104</v>
      </c>
      <c r="V2270" s="2" t="s">
        <v>601</v>
      </c>
      <c r="W2270" s="2" t="s">
        <v>6998</v>
      </c>
      <c r="X2270" s="2" t="s">
        <v>602</v>
      </c>
      <c r="Y2270" s="2" t="s">
        <v>8138</v>
      </c>
      <c r="Z2270" s="4"/>
      <c r="AA2270" s="4">
        <f>=ROUNDDOWN({0},0)</f>
      </c>
      <c r="AB2270" s="5">
        <v>2.5</v>
      </c>
      <c r="AC2270" s="2" t="s">
        <v>100</v>
      </c>
      <c r="AD2270" s="4"/>
      <c r="AE2270" s="4"/>
      <c r="AF2270" s="6">
        <v>75</v>
      </c>
      <c r="AG2270" s="6"/>
      <c r="AH2270" s="7">
        <v>0.8424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>
        <v>0</v>
      </c>
      <c r="AP2270" s="4"/>
      <c r="AQ2270" s="8"/>
      <c r="AR2270" s="4">
        <v>12</v>
      </c>
      <c r="AS2270" s="8">
        <v>1915.2</v>
      </c>
      <c r="AT2270" s="7">
        <v>-1</v>
      </c>
      <c r="AU2270" s="7">
        <v>-1</v>
      </c>
      <c r="AV2270" s="4"/>
      <c r="AW2270" s="8"/>
      <c r="AX2270" s="4">
        <v>12</v>
      </c>
      <c r="AY2270" s="8">
        <v>1915.2</v>
      </c>
      <c r="AZ2270" s="7">
        <v>-1</v>
      </c>
      <c r="BA2270" s="7">
        <v>-1</v>
      </c>
      <c r="BB2270" s="7"/>
      <c r="BC2270" s="4"/>
      <c r="BD2270" s="8"/>
      <c r="BE2270" s="4">
        <v>12</v>
      </c>
      <c r="BF2270" s="8">
        <v>1915.2</v>
      </c>
      <c r="BG2270" s="7">
        <v>-1</v>
      </c>
      <c r="BH2270" s="7">
        <v>-1</v>
      </c>
      <c r="BI2270" s="7"/>
      <c r="BJ2270" s="4">
        <v>49</v>
      </c>
      <c r="BK2270" s="8">
        <v>4412.47</v>
      </c>
      <c r="BL2270" s="2" t="s">
        <v>8139</v>
      </c>
      <c r="BM2270" s="7"/>
      <c r="BN2270" s="7"/>
      <c r="BO2270" s="4"/>
      <c r="BP2270" s="8"/>
      <c r="BQ2270" s="4">
        <v>12</v>
      </c>
      <c r="BR2270" s="8">
        <v>1915.2</v>
      </c>
      <c r="BS2270" s="7">
        <v>-1</v>
      </c>
      <c r="BT2270" s="7">
        <v>-1</v>
      </c>
      <c r="BU2270" s="2" t="s">
        <v>109</v>
      </c>
      <c r="BV2270" s="2" t="s">
        <v>552</v>
      </c>
      <c r="BW2270" s="2" t="s">
        <v>573</v>
      </c>
      <c r="BX2270" s="2" t="s">
        <v>8140</v>
      </c>
      <c r="BY2270" s="2" t="s">
        <v>112</v>
      </c>
      <c r="BZ2270" s="2" t="s">
        <v>100</v>
      </c>
    </row>
    <row r="2271">
      <c r="A2271" s="2" t="s">
        <v>8141</v>
      </c>
      <c r="B2271" s="2" t="s">
        <v>7252</v>
      </c>
      <c r="C2271" s="2" t="s">
        <v>88</v>
      </c>
      <c r="D2271" s="2" t="s">
        <v>7786</v>
      </c>
      <c r="E2271" s="2" t="s">
        <v>8071</v>
      </c>
      <c r="F2271" s="2" t="s">
        <v>8142</v>
      </c>
      <c r="G2271" s="2" t="s">
        <v>8143</v>
      </c>
      <c r="H2271" s="2" t="s">
        <v>8144</v>
      </c>
      <c r="I2271" s="2" t="s">
        <v>7787</v>
      </c>
      <c r="J2271" s="2" t="s">
        <v>6103</v>
      </c>
      <c r="K2271" s="2" t="s">
        <v>158</v>
      </c>
      <c r="L2271" s="3">
        <v>138</v>
      </c>
      <c r="M2271" s="3">
        <v>144.9</v>
      </c>
      <c r="N2271" s="3">
        <v>289</v>
      </c>
      <c r="O2271" s="2" t="s">
        <v>550</v>
      </c>
      <c r="P2271" s="2" t="s">
        <v>198</v>
      </c>
      <c r="Q2271" s="2" t="s">
        <v>99</v>
      </c>
      <c r="R2271" s="2" t="s">
        <v>100</v>
      </c>
      <c r="S2271" s="2" t="s">
        <v>8145</v>
      </c>
      <c r="T2271" s="2" t="s">
        <v>100</v>
      </c>
      <c r="U2271" s="2" t="s">
        <v>100</v>
      </c>
      <c r="V2271" s="2" t="s">
        <v>601</v>
      </c>
      <c r="W2271" s="2" t="s">
        <v>602</v>
      </c>
      <c r="X2271" s="2" t="s">
        <v>100</v>
      </c>
      <c r="Y2271" s="2" t="s">
        <v>106</v>
      </c>
      <c r="Z2271" s="4"/>
      <c r="AA2271" s="4">
        <f>=ROUNDDOWN({0},0)</f>
      </c>
      <c r="AB2271" s="5"/>
      <c r="AC2271" s="2" t="s">
        <v>100</v>
      </c>
      <c r="AD2271" s="4"/>
      <c r="AE2271" s="4"/>
      <c r="AF2271" s="6">
        <v>65</v>
      </c>
      <c r="AG2271" s="6"/>
      <c r="AH2271" s="7">
        <v>0.4909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/>
      <c r="AQ2271" s="8"/>
      <c r="AR2271" s="4">
        <v>2</v>
      </c>
      <c r="AS2271" s="8">
        <v>289.8</v>
      </c>
      <c r="AT2271" s="7">
        <v>-1</v>
      </c>
      <c r="AU2271" s="7">
        <v>-1</v>
      </c>
      <c r="AV2271" s="4"/>
      <c r="AW2271" s="8"/>
      <c r="AX2271" s="4">
        <v>2</v>
      </c>
      <c r="AY2271" s="8">
        <v>289.8</v>
      </c>
      <c r="AZ2271" s="7">
        <v>-1</v>
      </c>
      <c r="BA2271" s="7">
        <v>-1</v>
      </c>
      <c r="BB2271" s="7"/>
      <c r="BC2271" s="4"/>
      <c r="BD2271" s="8"/>
      <c r="BE2271" s="4">
        <v>2</v>
      </c>
      <c r="BF2271" s="8">
        <v>289.8</v>
      </c>
      <c r="BG2271" s="7">
        <v>-1</v>
      </c>
      <c r="BH2271" s="7">
        <v>-1</v>
      </c>
      <c r="BI2271" s="7"/>
      <c r="BJ2271" s="4">
        <v>1</v>
      </c>
      <c r="BK2271" s="8">
        <v>34.11</v>
      </c>
      <c r="BL2271" s="2" t="s">
        <v>8146</v>
      </c>
      <c r="BM2271" s="7"/>
      <c r="BN2271" s="7"/>
      <c r="BO2271" s="4"/>
      <c r="BP2271" s="8"/>
      <c r="BQ2271" s="4">
        <v>2</v>
      </c>
      <c r="BR2271" s="8">
        <v>289.8</v>
      </c>
      <c r="BS2271" s="7">
        <v>-1</v>
      </c>
      <c r="BT2271" s="7">
        <v>-1</v>
      </c>
      <c r="BU2271" s="2" t="s">
        <v>109</v>
      </c>
      <c r="BV2271" s="2" t="s">
        <v>97</v>
      </c>
      <c r="BW2271" s="2" t="s">
        <v>7307</v>
      </c>
      <c r="BX2271" s="2" t="s">
        <v>4328</v>
      </c>
      <c r="BY2271" s="2" t="s">
        <v>112</v>
      </c>
      <c r="BZ2271" s="2" t="s">
        <v>100</v>
      </c>
    </row>
    <row r="2272">
      <c r="A2272" s="2" t="s">
        <v>8147</v>
      </c>
      <c r="B2272" s="2" t="s">
        <v>7252</v>
      </c>
      <c r="C2272" s="2" t="s">
        <v>88</v>
      </c>
      <c r="D2272" s="2" t="s">
        <v>7786</v>
      </c>
      <c r="E2272" s="2" t="s">
        <v>8071</v>
      </c>
      <c r="F2272" s="2" t="s">
        <v>8148</v>
      </c>
      <c r="G2272" s="2" t="s">
        <v>8149</v>
      </c>
      <c r="H2272" s="2" t="s">
        <v>8150</v>
      </c>
      <c r="I2272" s="2" t="s">
        <v>8027</v>
      </c>
      <c r="J2272" s="2" t="s">
        <v>6103</v>
      </c>
      <c r="K2272" s="2" t="s">
        <v>8151</v>
      </c>
      <c r="L2272" s="3">
        <v>130</v>
      </c>
      <c r="M2272" s="3">
        <v>136.5</v>
      </c>
      <c r="N2272" s="3">
        <v>279</v>
      </c>
      <c r="O2272" s="2" t="s">
        <v>229</v>
      </c>
      <c r="P2272" s="2" t="s">
        <v>198</v>
      </c>
      <c r="Q2272" s="2" t="s">
        <v>99</v>
      </c>
      <c r="R2272" s="2" t="s">
        <v>100</v>
      </c>
      <c r="S2272" s="2" t="s">
        <v>100</v>
      </c>
      <c r="T2272" s="2" t="s">
        <v>100</v>
      </c>
      <c r="U2272" s="2" t="s">
        <v>3531</v>
      </c>
      <c r="V2272" s="2" t="s">
        <v>601</v>
      </c>
      <c r="W2272" s="2" t="s">
        <v>100</v>
      </c>
      <c r="X2272" s="2" t="s">
        <v>100</v>
      </c>
      <c r="Y2272" s="2" t="s">
        <v>6104</v>
      </c>
      <c r="Z2272" s="4">
        <v>3</v>
      </c>
      <c r="AA2272" s="4">
        <f>=ROUNDDOWN(0.588235294117647,0)</f>
      </c>
      <c r="AB2272" s="5">
        <v>5.1</v>
      </c>
      <c r="AC2272" s="2" t="s">
        <v>100</v>
      </c>
      <c r="AD2272" s="4"/>
      <c r="AE2272" s="4"/>
      <c r="AF2272" s="6">
        <v>66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>
        <v>58</v>
      </c>
      <c r="BK2272" s="8">
        <v>6859.84</v>
      </c>
      <c r="BL2272" s="2" t="s">
        <v>8152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109</v>
      </c>
      <c r="BV2272" s="2" t="s">
        <v>97</v>
      </c>
      <c r="BW2272" s="2" t="s">
        <v>8153</v>
      </c>
      <c r="BX2272" s="2" t="s">
        <v>100</v>
      </c>
      <c r="BY2272" s="2" t="s">
        <v>112</v>
      </c>
      <c r="BZ2272" s="2" t="s">
        <v>100</v>
      </c>
    </row>
    <row r="2273">
      <c r="A2273" s="2" t="s">
        <v>8154</v>
      </c>
      <c r="B2273" s="2" t="s">
        <v>7252</v>
      </c>
      <c r="C2273" s="2" t="s">
        <v>88</v>
      </c>
      <c r="D2273" s="2" t="s">
        <v>7786</v>
      </c>
      <c r="E2273" s="2" t="s">
        <v>8155</v>
      </c>
      <c r="F2273" s="2" t="s">
        <v>8086</v>
      </c>
      <c r="G2273" s="2" t="s">
        <v>8087</v>
      </c>
      <c r="H2273" s="2" t="s">
        <v>8088</v>
      </c>
      <c r="I2273" s="2" t="s">
        <v>8072</v>
      </c>
      <c r="J2273" s="2" t="s">
        <v>6103</v>
      </c>
      <c r="K2273" s="2" t="s">
        <v>6167</v>
      </c>
      <c r="L2273" s="3">
        <v>100</v>
      </c>
      <c r="M2273" s="3">
        <v>105</v>
      </c>
      <c r="N2273" s="3">
        <v>209</v>
      </c>
      <c r="O2273" s="2" t="s">
        <v>1148</v>
      </c>
      <c r="P2273" s="2" t="s">
        <v>198</v>
      </c>
      <c r="Q2273" s="2" t="s">
        <v>99</v>
      </c>
      <c r="R2273" s="2" t="s">
        <v>100</v>
      </c>
      <c r="S2273" s="2" t="s">
        <v>8156</v>
      </c>
      <c r="T2273" s="2" t="s">
        <v>100</v>
      </c>
      <c r="U2273" s="2" t="s">
        <v>100</v>
      </c>
      <c r="V2273" s="2" t="s">
        <v>601</v>
      </c>
      <c r="W2273" s="2" t="s">
        <v>104</v>
      </c>
      <c r="X2273" s="2" t="s">
        <v>100</v>
      </c>
      <c r="Y2273" s="2" t="s">
        <v>106</v>
      </c>
      <c r="Z2273" s="4"/>
      <c r="AA2273" s="4">
        <f>=ROUNDDOWN({0},0)</f>
      </c>
      <c r="AB2273" s="5"/>
      <c r="AC2273" s="2" t="s">
        <v>100</v>
      </c>
      <c r="AD2273" s="4"/>
      <c r="AE2273" s="4"/>
      <c r="AF2273" s="6"/>
      <c r="AG2273" s="6"/>
      <c r="AH2273" s="7">
        <v>0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/>
      <c r="BD2273" s="8"/>
      <c r="BE2273" s="4"/>
      <c r="BF2273" s="8"/>
      <c r="BG2273" s="7"/>
      <c r="BH2273" s="7"/>
      <c r="BI2273" s="7"/>
      <c r="BJ2273" s="4"/>
      <c r="BK2273" s="8"/>
      <c r="BL2273" s="2" t="s">
        <v>100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147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8157</v>
      </c>
      <c r="B2274" s="2" t="s">
        <v>7252</v>
      </c>
      <c r="C2274" s="2" t="s">
        <v>88</v>
      </c>
      <c r="D2274" s="2" t="s">
        <v>8158</v>
      </c>
      <c r="E2274" s="2" t="s">
        <v>8159</v>
      </c>
      <c r="F2274" s="2" t="s">
        <v>8160</v>
      </c>
      <c r="G2274" s="2" t="s">
        <v>8161</v>
      </c>
      <c r="H2274" s="2" t="s">
        <v>7528</v>
      </c>
      <c r="I2274" s="2" t="s">
        <v>8162</v>
      </c>
      <c r="J2274" s="2" t="s">
        <v>6103</v>
      </c>
      <c r="K2274" s="2" t="s">
        <v>8163</v>
      </c>
      <c r="L2274" s="3">
        <v>207</v>
      </c>
      <c r="M2274" s="3">
        <v>217.35</v>
      </c>
      <c r="N2274" s="3">
        <v>439</v>
      </c>
      <c r="O2274" s="2" t="s">
        <v>97</v>
      </c>
      <c r="P2274" s="2" t="s">
        <v>143</v>
      </c>
      <c r="Q2274" s="2" t="s">
        <v>99</v>
      </c>
      <c r="R2274" s="2" t="s">
        <v>100</v>
      </c>
      <c r="S2274" s="2" t="s">
        <v>100</v>
      </c>
      <c r="T2274" s="2" t="s">
        <v>100</v>
      </c>
      <c r="U2274" s="2" t="s">
        <v>3531</v>
      </c>
      <c r="V2274" s="2" t="s">
        <v>601</v>
      </c>
      <c r="W2274" s="2" t="s">
        <v>104</v>
      </c>
      <c r="X2274" s="2" t="s">
        <v>100</v>
      </c>
      <c r="Y2274" s="2" t="s">
        <v>1035</v>
      </c>
      <c r="Z2274" s="4">
        <v>226</v>
      </c>
      <c r="AA2274" s="4">
        <f>=ROUNDDOWN(46.1224489795918,0)</f>
      </c>
      <c r="AB2274" s="5">
        <v>4.9</v>
      </c>
      <c r="AC2274" s="2" t="s">
        <v>2670</v>
      </c>
      <c r="AD2274" s="4">
        <v>19</v>
      </c>
      <c r="AE2274" s="4">
        <v>19</v>
      </c>
      <c r="AF2274" s="6">
        <v>74</v>
      </c>
      <c r="AG2274" s="6">
        <v>60</v>
      </c>
      <c r="AH2274" s="7">
        <v>0.9212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>
        <v>0</v>
      </c>
      <c r="AP2274" s="4">
        <v>22</v>
      </c>
      <c r="AQ2274" s="8">
        <v>4389</v>
      </c>
      <c r="AR2274" s="4">
        <v>23</v>
      </c>
      <c r="AS2274" s="8">
        <v>5260.51</v>
      </c>
      <c r="AT2274" s="7">
        <v>-0.0435</v>
      </c>
      <c r="AU2274" s="7">
        <v>-0.1657</v>
      </c>
      <c r="AV2274" s="4">
        <v>22</v>
      </c>
      <c r="AW2274" s="8">
        <v>4389</v>
      </c>
      <c r="AX2274" s="4">
        <v>23</v>
      </c>
      <c r="AY2274" s="8">
        <v>5260.51</v>
      </c>
      <c r="AZ2274" s="7">
        <v>-0.0435</v>
      </c>
      <c r="BA2274" s="7">
        <v>-0.1657</v>
      </c>
      <c r="BB2274" s="7">
        <v>1</v>
      </c>
      <c r="BC2274" s="4">
        <v>43</v>
      </c>
      <c r="BD2274" s="8">
        <v>8578.5</v>
      </c>
      <c r="BE2274" s="4">
        <v>78</v>
      </c>
      <c r="BF2274" s="8">
        <v>16435.24</v>
      </c>
      <c r="BG2274" s="7">
        <v>-0.4487</v>
      </c>
      <c r="BH2274" s="7">
        <v>-0.478</v>
      </c>
      <c r="BI2274" s="7">
        <v>0.5116</v>
      </c>
      <c r="BJ2274" s="4">
        <v>337</v>
      </c>
      <c r="BK2274" s="8">
        <v>65152.69</v>
      </c>
      <c r="BL2274" s="2" t="s">
        <v>8164</v>
      </c>
      <c r="BM2274" s="7">
        <v>0.0653</v>
      </c>
      <c r="BN2274" s="7">
        <v>0.0674</v>
      </c>
      <c r="BO2274" s="4">
        <v>22</v>
      </c>
      <c r="BP2274" s="8">
        <v>4389</v>
      </c>
      <c r="BQ2274" s="4">
        <v>23</v>
      </c>
      <c r="BR2274" s="8">
        <v>5260.51</v>
      </c>
      <c r="BS2274" s="7">
        <v>-0.0435</v>
      </c>
      <c r="BT2274" s="7">
        <v>-0.1657</v>
      </c>
      <c r="BU2274" s="2" t="s">
        <v>109</v>
      </c>
      <c r="BV2274" s="2" t="s">
        <v>97</v>
      </c>
      <c r="BW2274" s="2" t="s">
        <v>8165</v>
      </c>
      <c r="BX2274" s="2" t="s">
        <v>8166</v>
      </c>
      <c r="BY2274" s="2" t="s">
        <v>112</v>
      </c>
      <c r="BZ2274" s="2" t="s">
        <v>100</v>
      </c>
    </row>
    <row r="2275">
      <c r="A2275" s="2" t="s">
        <v>8167</v>
      </c>
      <c r="B2275" s="2" t="s">
        <v>7252</v>
      </c>
      <c r="C2275" s="2" t="s">
        <v>88</v>
      </c>
      <c r="D2275" s="2" t="s">
        <v>8158</v>
      </c>
      <c r="E2275" s="2" t="s">
        <v>8159</v>
      </c>
      <c r="F2275" s="2" t="s">
        <v>8160</v>
      </c>
      <c r="G2275" s="2" t="s">
        <v>8161</v>
      </c>
      <c r="H2275" s="2" t="s">
        <v>7528</v>
      </c>
      <c r="I2275" s="2" t="s">
        <v>8162</v>
      </c>
      <c r="J2275" s="2" t="s">
        <v>6103</v>
      </c>
      <c r="K2275" s="2" t="s">
        <v>8168</v>
      </c>
      <c r="L2275" s="3">
        <v>207</v>
      </c>
      <c r="M2275" s="3">
        <v>217.35</v>
      </c>
      <c r="N2275" s="3">
        <v>439</v>
      </c>
      <c r="O2275" s="2" t="s">
        <v>97</v>
      </c>
      <c r="P2275" s="2" t="s">
        <v>124</v>
      </c>
      <c r="Q2275" s="2" t="s">
        <v>99</v>
      </c>
      <c r="R2275" s="2" t="s">
        <v>100</v>
      </c>
      <c r="S2275" s="2" t="s">
        <v>8169</v>
      </c>
      <c r="T2275" s="2" t="s">
        <v>100</v>
      </c>
      <c r="U2275" s="2" t="s">
        <v>100</v>
      </c>
      <c r="V2275" s="2" t="s">
        <v>601</v>
      </c>
      <c r="W2275" s="2" t="s">
        <v>104</v>
      </c>
      <c r="X2275" s="2" t="s">
        <v>100</v>
      </c>
      <c r="Y2275" s="2" t="s">
        <v>473</v>
      </c>
      <c r="Z2275" s="4">
        <v>683</v>
      </c>
      <c r="AA2275" s="4">
        <f>=ROUNDDOWN(111.967213114754,0)</f>
      </c>
      <c r="AB2275" s="5">
        <v>6.1</v>
      </c>
      <c r="AC2275" s="2" t="s">
        <v>100</v>
      </c>
      <c r="AD2275" s="4"/>
      <c r="AE2275" s="4"/>
      <c r="AF2275" s="6">
        <v>74</v>
      </c>
      <c r="AG2275" s="6">
        <v>60</v>
      </c>
      <c r="AH2275" s="7">
        <v>1</v>
      </c>
      <c r="AI2275" s="4"/>
      <c r="AJ2275" s="4">
        <f>=ROUNDDOWN({0},0)</f>
      </c>
      <c r="AK2275" s="5"/>
      <c r="AL2275" s="2" t="s">
        <v>8170</v>
      </c>
      <c r="AM2275" s="4">
        <v>144</v>
      </c>
      <c r="AN2275" s="4">
        <v>144</v>
      </c>
      <c r="AO2275" s="7">
        <v>0</v>
      </c>
      <c r="AP2275" s="4">
        <v>17</v>
      </c>
      <c r="AQ2275" s="8">
        <v>3391.5</v>
      </c>
      <c r="AR2275" s="4">
        <v>49</v>
      </c>
      <c r="AS2275" s="8">
        <v>10103.71</v>
      </c>
      <c r="AT2275" s="7">
        <v>-0.6531</v>
      </c>
      <c r="AU2275" s="7">
        <v>-0.6643</v>
      </c>
      <c r="AV2275" s="4">
        <v>17</v>
      </c>
      <c r="AW2275" s="8">
        <v>3391.5</v>
      </c>
      <c r="AX2275" s="4">
        <v>49</v>
      </c>
      <c r="AY2275" s="8">
        <v>10103.71</v>
      </c>
      <c r="AZ2275" s="7">
        <v>-0.6531</v>
      </c>
      <c r="BA2275" s="7">
        <v>-0.6643</v>
      </c>
      <c r="BB2275" s="7">
        <v>1</v>
      </c>
      <c r="BC2275" s="4" t="s">
        <v>100</v>
      </c>
      <c r="BD2275" s="8" t="s">
        <v>100</v>
      </c>
      <c r="BE2275" s="4" t="s">
        <v>100</v>
      </c>
      <c r="BF2275" s="8" t="s">
        <v>100</v>
      </c>
      <c r="BG2275" s="7" t="s">
        <v>100</v>
      </c>
      <c r="BH2275" s="7" t="s">
        <v>100</v>
      </c>
      <c r="BI2275" s="7">
        <v>0.3953</v>
      </c>
      <c r="BJ2275" s="4">
        <v>822</v>
      </c>
      <c r="BK2275" s="8">
        <v>158204.48</v>
      </c>
      <c r="BL2275" s="2" t="s">
        <v>8171</v>
      </c>
      <c r="BM2275" s="7">
        <v>0.0207</v>
      </c>
      <c r="BN2275" s="7">
        <v>0.0214</v>
      </c>
      <c r="BO2275" s="4">
        <v>17</v>
      </c>
      <c r="BP2275" s="8">
        <v>3391.5</v>
      </c>
      <c r="BQ2275" s="4">
        <v>49</v>
      </c>
      <c r="BR2275" s="8">
        <v>10103.71</v>
      </c>
      <c r="BS2275" s="7">
        <v>-0.6531</v>
      </c>
      <c r="BT2275" s="7">
        <v>-0.6643</v>
      </c>
      <c r="BU2275" s="2" t="s">
        <v>109</v>
      </c>
      <c r="BV2275" s="2" t="s">
        <v>97</v>
      </c>
      <c r="BW2275" s="2" t="s">
        <v>8172</v>
      </c>
      <c r="BX2275" s="2" t="s">
        <v>908</v>
      </c>
      <c r="BY2275" s="2" t="s">
        <v>112</v>
      </c>
      <c r="BZ2275" s="2" t="s">
        <v>100</v>
      </c>
    </row>
    <row r="2276">
      <c r="A2276" s="2" t="s">
        <v>8173</v>
      </c>
      <c r="B2276" s="2" t="s">
        <v>7252</v>
      </c>
      <c r="C2276" s="2" t="s">
        <v>88</v>
      </c>
      <c r="D2276" s="2" t="s">
        <v>8158</v>
      </c>
      <c r="E2276" s="2" t="s">
        <v>8159</v>
      </c>
      <c r="F2276" s="2" t="s">
        <v>8160</v>
      </c>
      <c r="G2276" s="2" t="s">
        <v>8161</v>
      </c>
      <c r="H2276" s="2" t="s">
        <v>7528</v>
      </c>
      <c r="I2276" s="2" t="s">
        <v>8162</v>
      </c>
      <c r="J2276" s="2" t="s">
        <v>6103</v>
      </c>
      <c r="K2276" s="2" t="s">
        <v>8174</v>
      </c>
      <c r="L2276" s="3">
        <v>207</v>
      </c>
      <c r="M2276" s="3">
        <v>217.35</v>
      </c>
      <c r="N2276" s="3">
        <v>439</v>
      </c>
      <c r="O2276" s="2" t="s">
        <v>97</v>
      </c>
      <c r="P2276" s="2" t="s">
        <v>182</v>
      </c>
      <c r="Q2276" s="2" t="s">
        <v>99</v>
      </c>
      <c r="R2276" s="2" t="s">
        <v>100</v>
      </c>
      <c r="S2276" s="2" t="s">
        <v>100</v>
      </c>
      <c r="T2276" s="2" t="s">
        <v>100</v>
      </c>
      <c r="U2276" s="2" t="s">
        <v>100</v>
      </c>
      <c r="V2276" s="2" t="s">
        <v>601</v>
      </c>
      <c r="W2276" s="2" t="s">
        <v>104</v>
      </c>
      <c r="X2276" s="2" t="s">
        <v>100</v>
      </c>
      <c r="Y2276" s="2" t="s">
        <v>1322</v>
      </c>
      <c r="Z2276" s="4">
        <v>252</v>
      </c>
      <c r="AA2276" s="4">
        <f>=ROUNDDOWN(36,0)</f>
      </c>
      <c r="AB2276" s="5">
        <v>7</v>
      </c>
      <c r="AC2276" s="2" t="s">
        <v>107</v>
      </c>
      <c r="AD2276" s="4">
        <v>144</v>
      </c>
      <c r="AE2276" s="4">
        <v>144</v>
      </c>
      <c r="AF2276" s="6">
        <v>74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>
        <v>0</v>
      </c>
      <c r="AP2276" s="4">
        <v>4</v>
      </c>
      <c r="AQ2276" s="8">
        <v>798</v>
      </c>
      <c r="AR2276" s="4">
        <v>6</v>
      </c>
      <c r="AS2276" s="8">
        <v>1071.02</v>
      </c>
      <c r="AT2276" s="7">
        <v>-0.3333</v>
      </c>
      <c r="AU2276" s="7">
        <v>-0.2549</v>
      </c>
      <c r="AV2276" s="4">
        <v>4</v>
      </c>
      <c r="AW2276" s="8">
        <v>798</v>
      </c>
      <c r="AX2276" s="4">
        <v>6</v>
      </c>
      <c r="AY2276" s="8">
        <v>1071.02</v>
      </c>
      <c r="AZ2276" s="7">
        <v>-0.3333</v>
      </c>
      <c r="BA2276" s="7">
        <v>-0.2549</v>
      </c>
      <c r="BB2276" s="7">
        <v>1</v>
      </c>
      <c r="BC2276" s="4" t="s">
        <v>100</v>
      </c>
      <c r="BD2276" s="8" t="s">
        <v>100</v>
      </c>
      <c r="BE2276" s="4" t="s">
        <v>100</v>
      </c>
      <c r="BF2276" s="8" t="s">
        <v>100</v>
      </c>
      <c r="BG2276" s="7" t="s">
        <v>100</v>
      </c>
      <c r="BH2276" s="7" t="s">
        <v>100</v>
      </c>
      <c r="BI2276" s="7">
        <v>0.093</v>
      </c>
      <c r="BJ2276" s="4">
        <v>206</v>
      </c>
      <c r="BK2276" s="8">
        <v>38023.98</v>
      </c>
      <c r="BL2276" s="2" t="s">
        <v>7472</v>
      </c>
      <c r="BM2276" s="7">
        <v>0.0194</v>
      </c>
      <c r="BN2276" s="7">
        <v>0.021</v>
      </c>
      <c r="BO2276" s="4">
        <v>4</v>
      </c>
      <c r="BP2276" s="8">
        <v>798</v>
      </c>
      <c r="BQ2276" s="4">
        <v>6</v>
      </c>
      <c r="BR2276" s="8">
        <v>1071.02</v>
      </c>
      <c r="BS2276" s="7">
        <v>-0.3333</v>
      </c>
      <c r="BT2276" s="7">
        <v>-0.2549</v>
      </c>
      <c r="BU2276" s="2" t="s">
        <v>109</v>
      </c>
      <c r="BV2276" s="2" t="s">
        <v>97</v>
      </c>
      <c r="BW2276" s="2" t="s">
        <v>8172</v>
      </c>
      <c r="BX2276" s="2" t="s">
        <v>4685</v>
      </c>
      <c r="BY2276" s="2" t="s">
        <v>112</v>
      </c>
      <c r="BZ2276" s="2" t="s">
        <v>100</v>
      </c>
    </row>
    <row r="2277">
      <c r="A2277" s="2" t="s">
        <v>8175</v>
      </c>
      <c r="B2277" s="2" t="s">
        <v>7252</v>
      </c>
      <c r="C2277" s="2" t="s">
        <v>88</v>
      </c>
      <c r="D2277" s="2" t="s">
        <v>8158</v>
      </c>
      <c r="E2277" s="2" t="s">
        <v>8159</v>
      </c>
      <c r="F2277" s="2" t="s">
        <v>8160</v>
      </c>
      <c r="G2277" s="2" t="s">
        <v>8161</v>
      </c>
      <c r="H2277" s="2" t="s">
        <v>7528</v>
      </c>
      <c r="I2277" s="2" t="s">
        <v>8162</v>
      </c>
      <c r="J2277" s="2" t="s">
        <v>6103</v>
      </c>
      <c r="K2277" s="2" t="s">
        <v>158</v>
      </c>
      <c r="L2277" s="3">
        <v>207</v>
      </c>
      <c r="M2277" s="3">
        <v>217.35</v>
      </c>
      <c r="N2277" s="3">
        <v>439</v>
      </c>
      <c r="O2277" s="2" t="s">
        <v>97</v>
      </c>
      <c r="P2277" s="2" t="s">
        <v>182</v>
      </c>
      <c r="Q2277" s="2" t="s">
        <v>99</v>
      </c>
      <c r="R2277" s="2" t="s">
        <v>100</v>
      </c>
      <c r="S2277" s="2" t="s">
        <v>100</v>
      </c>
      <c r="T2277" s="2" t="s">
        <v>100</v>
      </c>
      <c r="U2277" s="2" t="s">
        <v>3531</v>
      </c>
      <c r="V2277" s="2" t="s">
        <v>601</v>
      </c>
      <c r="W2277" s="2" t="s">
        <v>104</v>
      </c>
      <c r="X2277" s="2" t="s">
        <v>602</v>
      </c>
      <c r="Y2277" s="2" t="s">
        <v>3721</v>
      </c>
      <c r="Z2277" s="4">
        <v>215</v>
      </c>
      <c r="AA2277" s="4">
        <f>=ROUNDDOWN(21.5,0)</f>
      </c>
      <c r="AB2277" s="5">
        <v>10</v>
      </c>
      <c r="AC2277" s="2" t="s">
        <v>2670</v>
      </c>
      <c r="AD2277" s="4">
        <v>81</v>
      </c>
      <c r="AE2277" s="4">
        <v>225</v>
      </c>
      <c r="AF2277" s="6">
        <v>74</v>
      </c>
      <c r="AG2277" s="6">
        <v>60</v>
      </c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234</v>
      </c>
      <c r="BK2277" s="8">
        <v>48347.56</v>
      </c>
      <c r="BL2277" s="2" t="s">
        <v>8176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6185</v>
      </c>
      <c r="BV2277" s="2" t="s">
        <v>97</v>
      </c>
      <c r="BW2277" s="2" t="s">
        <v>100</v>
      </c>
      <c r="BX2277" s="2" t="s">
        <v>100</v>
      </c>
      <c r="BY2277" s="2" t="s">
        <v>112</v>
      </c>
      <c r="BZ2277" s="2" t="s">
        <v>100</v>
      </c>
    </row>
    <row r="2278">
      <c r="A2278" s="2" t="s">
        <v>8177</v>
      </c>
      <c r="B2278" s="2" t="s">
        <v>7252</v>
      </c>
      <c r="C2278" s="2" t="s">
        <v>88</v>
      </c>
      <c r="D2278" s="2" t="s">
        <v>8158</v>
      </c>
      <c r="E2278" s="2" t="s">
        <v>8159</v>
      </c>
      <c r="F2278" s="2" t="s">
        <v>8160</v>
      </c>
      <c r="G2278" s="2" t="s">
        <v>8161</v>
      </c>
      <c r="H2278" s="2" t="s">
        <v>7528</v>
      </c>
      <c r="I2278" s="2" t="s">
        <v>8159</v>
      </c>
      <c r="J2278" s="2" t="s">
        <v>6103</v>
      </c>
      <c r="K2278" s="2" t="s">
        <v>333</v>
      </c>
      <c r="L2278" s="3">
        <v>207</v>
      </c>
      <c r="M2278" s="3">
        <v>217.35</v>
      </c>
      <c r="N2278" s="3">
        <v>439</v>
      </c>
      <c r="O2278" s="2" t="s">
        <v>97</v>
      </c>
      <c r="P2278" s="2" t="s">
        <v>182</v>
      </c>
      <c r="Q2278" s="2" t="s">
        <v>99</v>
      </c>
      <c r="R2278" s="2" t="s">
        <v>100</v>
      </c>
      <c r="S2278" s="2" t="s">
        <v>100</v>
      </c>
      <c r="T2278" s="2" t="s">
        <v>100</v>
      </c>
      <c r="U2278" s="2" t="s">
        <v>3531</v>
      </c>
      <c r="V2278" s="2" t="s">
        <v>601</v>
      </c>
      <c r="W2278" s="2" t="s">
        <v>104</v>
      </c>
      <c r="X2278" s="2" t="s">
        <v>405</v>
      </c>
      <c r="Y2278" s="2" t="s">
        <v>3595</v>
      </c>
      <c r="Z2278" s="4">
        <v>400</v>
      </c>
      <c r="AA2278" s="4">
        <f>=ROUNDDOWN(74.0740740740741,0)</f>
      </c>
      <c r="AB2278" s="5">
        <v>5.4</v>
      </c>
      <c r="AC2278" s="2" t="s">
        <v>100</v>
      </c>
      <c r="AD2278" s="4"/>
      <c r="AE2278" s="4"/>
      <c r="AF2278" s="6">
        <v>74</v>
      </c>
      <c r="AG2278" s="6">
        <v>60</v>
      </c>
      <c r="AH2278" s="7">
        <v>0.9636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208</v>
      </c>
      <c r="BK2278" s="8">
        <v>44061.47</v>
      </c>
      <c r="BL2278" s="2" t="s">
        <v>8178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6185</v>
      </c>
      <c r="BV2278" s="2" t="s">
        <v>97</v>
      </c>
      <c r="BW2278" s="2" t="s">
        <v>100</v>
      </c>
      <c r="BX2278" s="2" t="s">
        <v>100</v>
      </c>
      <c r="BY2278" s="2" t="s">
        <v>112</v>
      </c>
      <c r="BZ2278" s="2" t="s">
        <v>100</v>
      </c>
    </row>
    <row r="2279">
      <c r="A2279" s="2" t="s">
        <v>8179</v>
      </c>
      <c r="B2279" s="2" t="s">
        <v>7252</v>
      </c>
      <c r="C2279" s="2" t="s">
        <v>88</v>
      </c>
      <c r="D2279" s="2" t="s">
        <v>8158</v>
      </c>
      <c r="E2279" s="2" t="s">
        <v>8159</v>
      </c>
      <c r="F2279" s="2" t="s">
        <v>8180</v>
      </c>
      <c r="G2279" s="2" t="s">
        <v>8181</v>
      </c>
      <c r="H2279" s="2" t="s">
        <v>8182</v>
      </c>
      <c r="I2279" s="2" t="s">
        <v>8183</v>
      </c>
      <c r="J2279" s="2" t="s">
        <v>6103</v>
      </c>
      <c r="K2279" s="2" t="s">
        <v>7298</v>
      </c>
      <c r="L2279" s="3">
        <v>202.3</v>
      </c>
      <c r="M2279" s="3">
        <v>212.42</v>
      </c>
      <c r="N2279" s="3">
        <v>429</v>
      </c>
      <c r="O2279" s="2" t="s">
        <v>97</v>
      </c>
      <c r="P2279" s="2" t="s">
        <v>143</v>
      </c>
      <c r="Q2279" s="2" t="s">
        <v>99</v>
      </c>
      <c r="R2279" s="2" t="s">
        <v>100</v>
      </c>
      <c r="S2279" s="2" t="s">
        <v>100</v>
      </c>
      <c r="T2279" s="2" t="s">
        <v>100</v>
      </c>
      <c r="U2279" s="2" t="s">
        <v>100</v>
      </c>
      <c r="V2279" s="2" t="s">
        <v>601</v>
      </c>
      <c r="W2279" s="2" t="s">
        <v>104</v>
      </c>
      <c r="X2279" s="2" t="s">
        <v>100</v>
      </c>
      <c r="Y2279" s="2" t="s">
        <v>1322</v>
      </c>
      <c r="Z2279" s="4">
        <v>285</v>
      </c>
      <c r="AA2279" s="4">
        <f>=ROUNDDOWN(71.25,0)</f>
      </c>
      <c r="AB2279" s="5">
        <v>4</v>
      </c>
      <c r="AC2279" s="2" t="s">
        <v>130</v>
      </c>
      <c r="AD2279" s="4">
        <v>100</v>
      </c>
      <c r="AE2279" s="4">
        <v>170</v>
      </c>
      <c r="AF2279" s="6">
        <v>74</v>
      </c>
      <c r="AG2279" s="6">
        <v>60</v>
      </c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>
        <v>0</v>
      </c>
      <c r="AP2279" s="4">
        <v>12</v>
      </c>
      <c r="AQ2279" s="8">
        <v>2447.52</v>
      </c>
      <c r="AR2279" s="4">
        <v>5</v>
      </c>
      <c r="AS2279" s="8">
        <v>1249.5</v>
      </c>
      <c r="AT2279" s="7">
        <v>1.4</v>
      </c>
      <c r="AU2279" s="7">
        <v>0.9588</v>
      </c>
      <c r="AV2279" s="4">
        <v>12</v>
      </c>
      <c r="AW2279" s="8">
        <v>2447.52</v>
      </c>
      <c r="AX2279" s="4">
        <v>5</v>
      </c>
      <c r="AY2279" s="8">
        <v>1249.5</v>
      </c>
      <c r="AZ2279" s="7">
        <v>1.4</v>
      </c>
      <c r="BA2279" s="7">
        <v>0.9588</v>
      </c>
      <c r="BB2279" s="7">
        <v>1</v>
      </c>
      <c r="BC2279" s="4">
        <v>15</v>
      </c>
      <c r="BD2279" s="8">
        <v>3059.4</v>
      </c>
      <c r="BE2279" s="4">
        <v>12</v>
      </c>
      <c r="BF2279" s="8">
        <v>2611.08</v>
      </c>
      <c r="BG2279" s="7">
        <v>0.25</v>
      </c>
      <c r="BH2279" s="7">
        <v>0.1717</v>
      </c>
      <c r="BI2279" s="7">
        <v>0.8</v>
      </c>
      <c r="BJ2279" s="4">
        <v>535</v>
      </c>
      <c r="BK2279" s="8">
        <v>92927.59</v>
      </c>
      <c r="BL2279" s="2" t="s">
        <v>8184</v>
      </c>
      <c r="BM2279" s="7">
        <v>0.0224</v>
      </c>
      <c r="BN2279" s="7">
        <v>0.0263</v>
      </c>
      <c r="BO2279" s="4">
        <v>12</v>
      </c>
      <c r="BP2279" s="8">
        <v>2447.52</v>
      </c>
      <c r="BQ2279" s="4">
        <v>5</v>
      </c>
      <c r="BR2279" s="8">
        <v>1249.5</v>
      </c>
      <c r="BS2279" s="7">
        <v>1.4</v>
      </c>
      <c r="BT2279" s="7">
        <v>0.9588</v>
      </c>
      <c r="BU2279" s="2" t="s">
        <v>109</v>
      </c>
      <c r="BV2279" s="2" t="s">
        <v>97</v>
      </c>
      <c r="BW2279" s="2" t="s">
        <v>8172</v>
      </c>
      <c r="BX2279" s="2" t="s">
        <v>6141</v>
      </c>
      <c r="BY2279" s="2" t="s">
        <v>112</v>
      </c>
      <c r="BZ2279" s="2" t="s">
        <v>100</v>
      </c>
    </row>
    <row r="2280">
      <c r="A2280" s="2" t="s">
        <v>8185</v>
      </c>
      <c r="B2280" s="2" t="s">
        <v>7252</v>
      </c>
      <c r="C2280" s="2" t="s">
        <v>88</v>
      </c>
      <c r="D2280" s="2" t="s">
        <v>8158</v>
      </c>
      <c r="E2280" s="2" t="s">
        <v>8159</v>
      </c>
      <c r="F2280" s="2" t="s">
        <v>8180</v>
      </c>
      <c r="G2280" s="2" t="s">
        <v>8181</v>
      </c>
      <c r="H2280" s="2" t="s">
        <v>8182</v>
      </c>
      <c r="I2280" s="2" t="s">
        <v>8183</v>
      </c>
      <c r="J2280" s="2" t="s">
        <v>6103</v>
      </c>
      <c r="K2280" s="2" t="s">
        <v>8186</v>
      </c>
      <c r="L2280" s="3">
        <v>202.3</v>
      </c>
      <c r="M2280" s="3">
        <v>212.42</v>
      </c>
      <c r="N2280" s="3">
        <v>429</v>
      </c>
      <c r="O2280" s="2" t="s">
        <v>97</v>
      </c>
      <c r="P2280" s="2" t="s">
        <v>182</v>
      </c>
      <c r="Q2280" s="2" t="s">
        <v>99</v>
      </c>
      <c r="R2280" s="2" t="s">
        <v>100</v>
      </c>
      <c r="S2280" s="2" t="s">
        <v>8187</v>
      </c>
      <c r="T2280" s="2" t="s">
        <v>100</v>
      </c>
      <c r="U2280" s="2" t="s">
        <v>100</v>
      </c>
      <c r="V2280" s="2" t="s">
        <v>601</v>
      </c>
      <c r="W2280" s="2" t="s">
        <v>104</v>
      </c>
      <c r="X2280" s="2" t="s">
        <v>100</v>
      </c>
      <c r="Y2280" s="2" t="s">
        <v>8188</v>
      </c>
      <c r="Z2280" s="4">
        <v>126</v>
      </c>
      <c r="AA2280" s="4">
        <f>=ROUNDDOWN(57.2727272727273,0)</f>
      </c>
      <c r="AB2280" s="5">
        <v>2.2</v>
      </c>
      <c r="AC2280" s="2" t="s">
        <v>100</v>
      </c>
      <c r="AD2280" s="4"/>
      <c r="AE2280" s="4"/>
      <c r="AF2280" s="6">
        <v>74</v>
      </c>
      <c r="AG2280" s="6">
        <v>60</v>
      </c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>
        <v>0</v>
      </c>
      <c r="AP2280" s="4">
        <v>3</v>
      </c>
      <c r="AQ2280" s="8">
        <v>611.88</v>
      </c>
      <c r="AR2280" s="4">
        <v>7</v>
      </c>
      <c r="AS2280" s="8">
        <v>1361.58</v>
      </c>
      <c r="AT2280" s="7">
        <v>-0.5714</v>
      </c>
      <c r="AU2280" s="7">
        <v>-0.5506</v>
      </c>
      <c r="AV2280" s="4">
        <v>3</v>
      </c>
      <c r="AW2280" s="8">
        <v>611.88</v>
      </c>
      <c r="AX2280" s="4">
        <v>7</v>
      </c>
      <c r="AY2280" s="8">
        <v>1361.58</v>
      </c>
      <c r="AZ2280" s="7">
        <v>-0.5714</v>
      </c>
      <c r="BA2280" s="7">
        <v>-0.5506</v>
      </c>
      <c r="BB2280" s="7">
        <v>1</v>
      </c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>
        <v>0.2</v>
      </c>
      <c r="BJ2280" s="4">
        <v>153</v>
      </c>
      <c r="BK2280" s="8">
        <v>26074.17</v>
      </c>
      <c r="BL2280" s="2" t="s">
        <v>8189</v>
      </c>
      <c r="BM2280" s="7">
        <v>0.0196</v>
      </c>
      <c r="BN2280" s="7">
        <v>0.0235</v>
      </c>
      <c r="BO2280" s="4">
        <v>3</v>
      </c>
      <c r="BP2280" s="8">
        <v>611.88</v>
      </c>
      <c r="BQ2280" s="4">
        <v>7</v>
      </c>
      <c r="BR2280" s="8">
        <v>1361.58</v>
      </c>
      <c r="BS2280" s="7">
        <v>-0.5714</v>
      </c>
      <c r="BT2280" s="7">
        <v>-0.5506</v>
      </c>
      <c r="BU2280" s="2" t="s">
        <v>109</v>
      </c>
      <c r="BV2280" s="2" t="s">
        <v>97</v>
      </c>
      <c r="BW2280" s="2" t="s">
        <v>8172</v>
      </c>
      <c r="BX2280" s="2" t="s">
        <v>908</v>
      </c>
      <c r="BY2280" s="2" t="s">
        <v>112</v>
      </c>
      <c r="BZ2280" s="2" t="s">
        <v>100</v>
      </c>
    </row>
    <row r="2281">
      <c r="A2281" s="2" t="s">
        <v>8190</v>
      </c>
      <c r="B2281" s="2" t="s">
        <v>7252</v>
      </c>
      <c r="C2281" s="2" t="s">
        <v>88</v>
      </c>
      <c r="D2281" s="2" t="s">
        <v>8158</v>
      </c>
      <c r="E2281" s="2" t="s">
        <v>8159</v>
      </c>
      <c r="F2281" s="2" t="s">
        <v>8180</v>
      </c>
      <c r="G2281" s="2" t="s">
        <v>8181</v>
      </c>
      <c r="H2281" s="2" t="s">
        <v>8182</v>
      </c>
      <c r="I2281" s="2" t="s">
        <v>8183</v>
      </c>
      <c r="J2281" s="2" t="s">
        <v>6103</v>
      </c>
      <c r="K2281" s="2" t="s">
        <v>323</v>
      </c>
      <c r="L2281" s="3">
        <v>202.3</v>
      </c>
      <c r="M2281" s="3">
        <v>212.42</v>
      </c>
      <c r="N2281" s="3">
        <v>429</v>
      </c>
      <c r="O2281" s="2" t="s">
        <v>97</v>
      </c>
      <c r="P2281" s="2" t="s">
        <v>182</v>
      </c>
      <c r="Q2281" s="2" t="s">
        <v>99</v>
      </c>
      <c r="R2281" s="2" t="s">
        <v>100</v>
      </c>
      <c r="S2281" s="2" t="s">
        <v>100</v>
      </c>
      <c r="T2281" s="2" t="s">
        <v>100</v>
      </c>
      <c r="U2281" s="2" t="s">
        <v>100</v>
      </c>
      <c r="V2281" s="2" t="s">
        <v>601</v>
      </c>
      <c r="W2281" s="2" t="s">
        <v>104</v>
      </c>
      <c r="X2281" s="2" t="s">
        <v>405</v>
      </c>
      <c r="Y2281" s="2" t="s">
        <v>8191</v>
      </c>
      <c r="Z2281" s="4">
        <v>132</v>
      </c>
      <c r="AA2281" s="4">
        <f>=ROUNDDOWN(8.25,0)</f>
      </c>
      <c r="AB2281" s="5">
        <v>16</v>
      </c>
      <c r="AC2281" s="2" t="s">
        <v>130</v>
      </c>
      <c r="AD2281" s="4">
        <v>135</v>
      </c>
      <c r="AE2281" s="4">
        <v>405</v>
      </c>
      <c r="AF2281" s="6">
        <v>74</v>
      </c>
      <c r="AG2281" s="6"/>
      <c r="AH2281" s="7">
        <v>0.4182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154</v>
      </c>
      <c r="BK2281" s="8">
        <v>29941.73</v>
      </c>
      <c r="BL2281" s="2" t="s">
        <v>8192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6185</v>
      </c>
      <c r="BV2281" s="2" t="s">
        <v>97</v>
      </c>
      <c r="BW2281" s="2" t="s">
        <v>100</v>
      </c>
      <c r="BX2281" s="2" t="s">
        <v>100</v>
      </c>
      <c r="BY2281" s="2" t="s">
        <v>112</v>
      </c>
      <c r="BZ2281" s="2" t="s">
        <v>100</v>
      </c>
    </row>
    <row r="2282">
      <c r="A2282" s="2" t="s">
        <v>8193</v>
      </c>
      <c r="B2282" s="2" t="s">
        <v>7252</v>
      </c>
      <c r="C2282" s="2" t="s">
        <v>88</v>
      </c>
      <c r="D2282" s="2" t="s">
        <v>8158</v>
      </c>
      <c r="E2282" s="2" t="s">
        <v>8159</v>
      </c>
      <c r="F2282" s="2" t="s">
        <v>8180</v>
      </c>
      <c r="G2282" s="2" t="s">
        <v>8181</v>
      </c>
      <c r="H2282" s="2" t="s">
        <v>8182</v>
      </c>
      <c r="I2282" s="2" t="s">
        <v>8183</v>
      </c>
      <c r="J2282" s="2" t="s">
        <v>6103</v>
      </c>
      <c r="K2282" s="2" t="s">
        <v>333</v>
      </c>
      <c r="L2282" s="3">
        <v>202.3</v>
      </c>
      <c r="M2282" s="3">
        <v>212.42</v>
      </c>
      <c r="N2282" s="3">
        <v>429</v>
      </c>
      <c r="O2282" s="2" t="s">
        <v>97</v>
      </c>
      <c r="P2282" s="2" t="s">
        <v>182</v>
      </c>
      <c r="Q2282" s="2" t="s">
        <v>99</v>
      </c>
      <c r="R2282" s="2" t="s">
        <v>100</v>
      </c>
      <c r="S2282" s="2" t="s">
        <v>100</v>
      </c>
      <c r="T2282" s="2" t="s">
        <v>100</v>
      </c>
      <c r="U2282" s="2" t="s">
        <v>3531</v>
      </c>
      <c r="V2282" s="2" t="s">
        <v>601</v>
      </c>
      <c r="W2282" s="2" t="s">
        <v>104</v>
      </c>
      <c r="X2282" s="2" t="s">
        <v>405</v>
      </c>
      <c r="Y2282" s="2" t="s">
        <v>2689</v>
      </c>
      <c r="Z2282" s="4">
        <v>157</v>
      </c>
      <c r="AA2282" s="4">
        <f>=ROUNDDOWN(39.25,0)</f>
      </c>
      <c r="AB2282" s="5">
        <v>4</v>
      </c>
      <c r="AC2282" s="2" t="s">
        <v>100</v>
      </c>
      <c r="AD2282" s="4"/>
      <c r="AE2282" s="4"/>
      <c r="AF2282" s="6">
        <v>74</v>
      </c>
      <c r="AG2282" s="6">
        <v>60</v>
      </c>
      <c r="AH2282" s="7">
        <v>0.6788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49</v>
      </c>
      <c r="BK2282" s="8">
        <v>8707.13</v>
      </c>
      <c r="BL2282" s="2" t="s">
        <v>8194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6185</v>
      </c>
      <c r="BV2282" s="2" t="s">
        <v>97</v>
      </c>
      <c r="BW2282" s="2" t="s">
        <v>100</v>
      </c>
      <c r="BX2282" s="2" t="s">
        <v>100</v>
      </c>
      <c r="BY2282" s="2" t="s">
        <v>112</v>
      </c>
      <c r="BZ2282" s="2" t="s">
        <v>100</v>
      </c>
    </row>
    <row r="2283">
      <c r="A2283" s="2" t="s">
        <v>8195</v>
      </c>
      <c r="B2283" s="2" t="s">
        <v>7252</v>
      </c>
      <c r="C2283" s="2" t="s">
        <v>88</v>
      </c>
      <c r="D2283" s="2" t="s">
        <v>8158</v>
      </c>
      <c r="E2283" s="2" t="s">
        <v>8159</v>
      </c>
      <c r="F2283" s="2" t="s">
        <v>8196</v>
      </c>
      <c r="G2283" s="2" t="s">
        <v>8197</v>
      </c>
      <c r="H2283" s="2" t="s">
        <v>2365</v>
      </c>
      <c r="I2283" s="2" t="s">
        <v>8198</v>
      </c>
      <c r="J2283" s="2" t="s">
        <v>6103</v>
      </c>
      <c r="K2283" s="2" t="s">
        <v>7351</v>
      </c>
      <c r="L2283" s="3">
        <v>237.5</v>
      </c>
      <c r="M2283" s="3">
        <v>249.38</v>
      </c>
      <c r="N2283" s="3">
        <v>499</v>
      </c>
      <c r="O2283" s="2" t="s">
        <v>97</v>
      </c>
      <c r="P2283" s="2" t="s">
        <v>143</v>
      </c>
      <c r="Q2283" s="2" t="s">
        <v>99</v>
      </c>
      <c r="R2283" s="2" t="s">
        <v>100</v>
      </c>
      <c r="S2283" s="2" t="s">
        <v>100</v>
      </c>
      <c r="T2283" s="2" t="s">
        <v>100</v>
      </c>
      <c r="U2283" s="2" t="s">
        <v>3531</v>
      </c>
      <c r="V2283" s="2" t="s">
        <v>601</v>
      </c>
      <c r="W2283" s="2" t="s">
        <v>104</v>
      </c>
      <c r="X2283" s="2" t="s">
        <v>100</v>
      </c>
      <c r="Y2283" s="2" t="s">
        <v>2302</v>
      </c>
      <c r="Z2283" s="4">
        <v>699</v>
      </c>
      <c r="AA2283" s="4">
        <f>=ROUNDDOWN(30.3913043478261,0)</f>
      </c>
      <c r="AB2283" s="5">
        <v>23</v>
      </c>
      <c r="AC2283" s="2" t="s">
        <v>100</v>
      </c>
      <c r="AD2283" s="4"/>
      <c r="AE2283" s="4"/>
      <c r="AF2283" s="6">
        <v>66</v>
      </c>
      <c r="AG2283" s="6">
        <v>49</v>
      </c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>
        <v>0</v>
      </c>
      <c r="AP2283" s="4">
        <v>5</v>
      </c>
      <c r="AQ2283" s="8">
        <v>1019.8</v>
      </c>
      <c r="AR2283" s="4">
        <v>5</v>
      </c>
      <c r="AS2283" s="8">
        <v>983.91</v>
      </c>
      <c r="AT2283" s="7"/>
      <c r="AU2283" s="7">
        <v>0.0365</v>
      </c>
      <c r="AV2283" s="4">
        <v>5</v>
      </c>
      <c r="AW2283" s="8">
        <v>1019.8</v>
      </c>
      <c r="AX2283" s="4">
        <v>5</v>
      </c>
      <c r="AY2283" s="8">
        <v>983.91</v>
      </c>
      <c r="AZ2283" s="7"/>
      <c r="BA2283" s="7">
        <v>0.0365</v>
      </c>
      <c r="BB2283" s="7">
        <v>1</v>
      </c>
      <c r="BC2283" s="4">
        <v>5</v>
      </c>
      <c r="BD2283" s="8">
        <v>1019.8</v>
      </c>
      <c r="BE2283" s="4">
        <v>5</v>
      </c>
      <c r="BF2283" s="8">
        <v>983.91</v>
      </c>
      <c r="BG2283" s="7" t="s">
        <v>100</v>
      </c>
      <c r="BH2283" s="7">
        <v>0.0365</v>
      </c>
      <c r="BI2283" s="7">
        <v>1</v>
      </c>
      <c r="BJ2283" s="4">
        <v>492</v>
      </c>
      <c r="BK2283" s="8">
        <v>109358.41</v>
      </c>
      <c r="BL2283" s="2" t="s">
        <v>8199</v>
      </c>
      <c r="BM2283" s="7">
        <v>0.0102</v>
      </c>
      <c r="BN2283" s="7">
        <v>0.0093</v>
      </c>
      <c r="BO2283" s="4">
        <v>5</v>
      </c>
      <c r="BP2283" s="8">
        <v>1019.8</v>
      </c>
      <c r="BQ2283" s="4">
        <v>5</v>
      </c>
      <c r="BR2283" s="8">
        <v>983.91</v>
      </c>
      <c r="BS2283" s="7"/>
      <c r="BT2283" s="7">
        <v>0.0365</v>
      </c>
      <c r="BU2283" s="2" t="s">
        <v>109</v>
      </c>
      <c r="BV2283" s="2" t="s">
        <v>97</v>
      </c>
      <c r="BW2283" s="2" t="s">
        <v>7382</v>
      </c>
      <c r="BX2283" s="2" t="s">
        <v>2331</v>
      </c>
      <c r="BY2283" s="2" t="s">
        <v>112</v>
      </c>
      <c r="BZ2283" s="2" t="s">
        <v>100</v>
      </c>
    </row>
    <row r="2284">
      <c r="A2284" s="2" t="s">
        <v>8200</v>
      </c>
      <c r="B2284" s="2" t="s">
        <v>7252</v>
      </c>
      <c r="C2284" s="2" t="s">
        <v>88</v>
      </c>
      <c r="D2284" s="2" t="s">
        <v>8158</v>
      </c>
      <c r="E2284" s="2" t="s">
        <v>8159</v>
      </c>
      <c r="F2284" s="2" t="s">
        <v>8196</v>
      </c>
      <c r="G2284" s="2" t="s">
        <v>8197</v>
      </c>
      <c r="H2284" s="2" t="s">
        <v>2365</v>
      </c>
      <c r="I2284" s="2" t="s">
        <v>8198</v>
      </c>
      <c r="J2284" s="2" t="s">
        <v>6103</v>
      </c>
      <c r="K2284" s="2" t="s">
        <v>1767</v>
      </c>
      <c r="L2284" s="3">
        <v>237.5</v>
      </c>
      <c r="M2284" s="3">
        <v>249.38</v>
      </c>
      <c r="N2284" s="3">
        <v>499</v>
      </c>
      <c r="O2284" s="2" t="s">
        <v>97</v>
      </c>
      <c r="P2284" s="2" t="s">
        <v>182</v>
      </c>
      <c r="Q2284" s="2" t="s">
        <v>99</v>
      </c>
      <c r="R2284" s="2" t="s">
        <v>100</v>
      </c>
      <c r="S2284" s="2" t="s">
        <v>8201</v>
      </c>
      <c r="T2284" s="2" t="s">
        <v>100</v>
      </c>
      <c r="U2284" s="2" t="s">
        <v>3531</v>
      </c>
      <c r="V2284" s="2" t="s">
        <v>3244</v>
      </c>
      <c r="W2284" s="2" t="s">
        <v>104</v>
      </c>
      <c r="X2284" s="2" t="s">
        <v>100</v>
      </c>
      <c r="Y2284" s="2" t="s">
        <v>8202</v>
      </c>
      <c r="Z2284" s="4">
        <v>84</v>
      </c>
      <c r="AA2284" s="4">
        <f>=ROUNDDOWN(7.63636363636364,0)</f>
      </c>
      <c r="AB2284" s="5">
        <v>11</v>
      </c>
      <c r="AC2284" s="2" t="s">
        <v>430</v>
      </c>
      <c r="AD2284" s="4">
        <v>100</v>
      </c>
      <c r="AE2284" s="4">
        <v>234</v>
      </c>
      <c r="AF2284" s="6">
        <v>66</v>
      </c>
      <c r="AG2284" s="6">
        <v>49</v>
      </c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250</v>
      </c>
      <c r="BK2284" s="8">
        <v>57379.8</v>
      </c>
      <c r="BL2284" s="2" t="s">
        <v>8203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6185</v>
      </c>
      <c r="BV2284" s="2" t="s">
        <v>97</v>
      </c>
      <c r="BW2284" s="2" t="s">
        <v>100</v>
      </c>
      <c r="BX2284" s="2" t="s">
        <v>100</v>
      </c>
      <c r="BY2284" s="2" t="s">
        <v>112</v>
      </c>
      <c r="BZ2284" s="2" t="s">
        <v>100</v>
      </c>
    </row>
    <row r="2285">
      <c r="A2285" s="2" t="s">
        <v>8204</v>
      </c>
      <c r="B2285" s="2" t="s">
        <v>7252</v>
      </c>
      <c r="C2285" s="2" t="s">
        <v>88</v>
      </c>
      <c r="D2285" s="2" t="s">
        <v>8158</v>
      </c>
      <c r="E2285" s="2" t="s">
        <v>8159</v>
      </c>
      <c r="F2285" s="2" t="s">
        <v>8196</v>
      </c>
      <c r="G2285" s="2" t="s">
        <v>8197</v>
      </c>
      <c r="H2285" s="2" t="s">
        <v>2365</v>
      </c>
      <c r="I2285" s="2" t="s">
        <v>8198</v>
      </c>
      <c r="J2285" s="2" t="s">
        <v>6103</v>
      </c>
      <c r="K2285" s="2" t="s">
        <v>197</v>
      </c>
      <c r="L2285" s="3">
        <v>237.5</v>
      </c>
      <c r="M2285" s="3">
        <v>249.38</v>
      </c>
      <c r="N2285" s="3">
        <v>499</v>
      </c>
      <c r="O2285" s="2" t="s">
        <v>97</v>
      </c>
      <c r="P2285" s="2" t="s">
        <v>124</v>
      </c>
      <c r="Q2285" s="2" t="s">
        <v>99</v>
      </c>
      <c r="R2285" s="2" t="s">
        <v>100</v>
      </c>
      <c r="S2285" s="2" t="s">
        <v>100</v>
      </c>
      <c r="T2285" s="2" t="s">
        <v>100</v>
      </c>
      <c r="U2285" s="2" t="s">
        <v>3531</v>
      </c>
      <c r="V2285" s="2" t="s">
        <v>601</v>
      </c>
      <c r="W2285" s="2" t="s">
        <v>104</v>
      </c>
      <c r="X2285" s="2" t="s">
        <v>100</v>
      </c>
      <c r="Y2285" s="2" t="s">
        <v>1035</v>
      </c>
      <c r="Z2285" s="4">
        <v>253</v>
      </c>
      <c r="AA2285" s="4">
        <f>=ROUNDDOWN(11,0)</f>
      </c>
      <c r="AB2285" s="5">
        <v>23</v>
      </c>
      <c r="AC2285" s="2" t="s">
        <v>430</v>
      </c>
      <c r="AD2285" s="4">
        <v>65</v>
      </c>
      <c r="AE2285" s="4">
        <v>200</v>
      </c>
      <c r="AF2285" s="6">
        <v>66</v>
      </c>
      <c r="AG2285" s="6">
        <v>49</v>
      </c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546</v>
      </c>
      <c r="BK2285" s="8">
        <v>123031.76</v>
      </c>
      <c r="BL2285" s="2" t="s">
        <v>8205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6185</v>
      </c>
      <c r="BV2285" s="2" t="s">
        <v>97</v>
      </c>
      <c r="BW2285" s="2" t="s">
        <v>100</v>
      </c>
      <c r="BX2285" s="2" t="s">
        <v>100</v>
      </c>
      <c r="BY2285" s="2" t="s">
        <v>112</v>
      </c>
      <c r="BZ2285" s="2" t="s">
        <v>100</v>
      </c>
    </row>
    <row r="2286">
      <c r="A2286" s="2" t="s">
        <v>8206</v>
      </c>
      <c r="B2286" s="2" t="s">
        <v>7252</v>
      </c>
      <c r="C2286" s="2" t="s">
        <v>88</v>
      </c>
      <c r="D2286" s="2" t="s">
        <v>8158</v>
      </c>
      <c r="E2286" s="2" t="s">
        <v>8159</v>
      </c>
      <c r="F2286" s="2" t="s">
        <v>8196</v>
      </c>
      <c r="G2286" s="2" t="s">
        <v>8197</v>
      </c>
      <c r="H2286" s="2" t="s">
        <v>2365</v>
      </c>
      <c r="I2286" s="2" t="s">
        <v>8198</v>
      </c>
      <c r="J2286" s="2" t="s">
        <v>6103</v>
      </c>
      <c r="K2286" s="2" t="s">
        <v>1828</v>
      </c>
      <c r="L2286" s="3">
        <v>237.5</v>
      </c>
      <c r="M2286" s="3">
        <v>249.38</v>
      </c>
      <c r="N2286" s="3">
        <v>499</v>
      </c>
      <c r="O2286" s="2" t="s">
        <v>97</v>
      </c>
      <c r="P2286" s="2" t="s">
        <v>1265</v>
      </c>
      <c r="Q2286" s="2" t="s">
        <v>99</v>
      </c>
      <c r="R2286" s="2" t="s">
        <v>100</v>
      </c>
      <c r="S2286" s="2" t="s">
        <v>100</v>
      </c>
      <c r="T2286" s="2" t="s">
        <v>100</v>
      </c>
      <c r="U2286" s="2" t="s">
        <v>3531</v>
      </c>
      <c r="V2286" s="2" t="s">
        <v>1752</v>
      </c>
      <c r="W2286" s="2" t="s">
        <v>104</v>
      </c>
      <c r="X2286" s="2" t="s">
        <v>100</v>
      </c>
      <c r="Y2286" s="2" t="s">
        <v>8207</v>
      </c>
      <c r="Z2286" s="4">
        <v>104</v>
      </c>
      <c r="AA2286" s="4">
        <f>=ROUNDDOWN(52,0)</f>
      </c>
      <c r="AB2286" s="5">
        <v>2</v>
      </c>
      <c r="AC2286" s="2" t="s">
        <v>100</v>
      </c>
      <c r="AD2286" s="4"/>
      <c r="AE2286" s="4"/>
      <c r="AF2286" s="6">
        <v>66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/>
      <c r="AW2286" s="8"/>
      <c r="AX2286" s="4"/>
      <c r="AY2286" s="8"/>
      <c r="AZ2286" s="7"/>
      <c r="BA2286" s="7"/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56</v>
      </c>
      <c r="BK2286" s="8">
        <v>12457.71</v>
      </c>
      <c r="BL2286" s="2" t="s">
        <v>8208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6185</v>
      </c>
      <c r="BV2286" s="2" t="s">
        <v>97</v>
      </c>
      <c r="BW2286" s="2" t="s">
        <v>100</v>
      </c>
      <c r="BX2286" s="2" t="s">
        <v>100</v>
      </c>
      <c r="BY2286" s="2" t="s">
        <v>112</v>
      </c>
      <c r="BZ2286" s="2" t="s">
        <v>100</v>
      </c>
    </row>
    <row r="2287">
      <c r="A2287" s="2" t="s">
        <v>8209</v>
      </c>
      <c r="B2287" s="2" t="s">
        <v>7252</v>
      </c>
      <c r="C2287" s="2" t="s">
        <v>88</v>
      </c>
      <c r="D2287" s="2" t="s">
        <v>8158</v>
      </c>
      <c r="E2287" s="2" t="s">
        <v>8159</v>
      </c>
      <c r="F2287" s="2" t="s">
        <v>8210</v>
      </c>
      <c r="G2287" s="2" t="s">
        <v>8211</v>
      </c>
      <c r="H2287" s="2" t="s">
        <v>8212</v>
      </c>
      <c r="I2287" s="2" t="s">
        <v>8162</v>
      </c>
      <c r="J2287" s="2" t="s">
        <v>6103</v>
      </c>
      <c r="K2287" s="2" t="s">
        <v>158</v>
      </c>
      <c r="L2287" s="3">
        <v>238.5</v>
      </c>
      <c r="M2287" s="3">
        <v>250.42</v>
      </c>
      <c r="N2287" s="3">
        <v>499</v>
      </c>
      <c r="O2287" s="2" t="s">
        <v>97</v>
      </c>
      <c r="P2287" s="2" t="s">
        <v>1265</v>
      </c>
      <c r="Q2287" s="2" t="s">
        <v>99</v>
      </c>
      <c r="R2287" s="2" t="s">
        <v>100</v>
      </c>
      <c r="S2287" s="2" t="s">
        <v>100</v>
      </c>
      <c r="T2287" s="2" t="s">
        <v>100</v>
      </c>
      <c r="U2287" s="2" t="s">
        <v>3531</v>
      </c>
      <c r="V2287" s="2" t="s">
        <v>601</v>
      </c>
      <c r="W2287" s="2" t="s">
        <v>104</v>
      </c>
      <c r="X2287" s="2" t="s">
        <v>100</v>
      </c>
      <c r="Y2287" s="2" t="s">
        <v>7516</v>
      </c>
      <c r="Z2287" s="4">
        <v>104</v>
      </c>
      <c r="AA2287" s="4">
        <f>=ROUNDDOWN(20.8,0)</f>
      </c>
      <c r="AB2287" s="5">
        <v>5</v>
      </c>
      <c r="AC2287" s="2" t="s">
        <v>2403</v>
      </c>
      <c r="AD2287" s="4">
        <v>70</v>
      </c>
      <c r="AE2287" s="4">
        <v>70</v>
      </c>
      <c r="AF2287" s="6">
        <v>66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/>
      <c r="AW2287" s="8"/>
      <c r="AX2287" s="4"/>
      <c r="AY2287" s="8"/>
      <c r="AZ2287" s="7"/>
      <c r="BA2287" s="7"/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77</v>
      </c>
      <c r="BK2287" s="8">
        <v>16772.86</v>
      </c>
      <c r="BL2287" s="2" t="s">
        <v>8213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147</v>
      </c>
      <c r="BV2287" s="2" t="s">
        <v>97</v>
      </c>
      <c r="BW2287" s="2" t="s">
        <v>100</v>
      </c>
      <c r="BX2287" s="2" t="s">
        <v>100</v>
      </c>
      <c r="BY2287" s="2" t="s">
        <v>112</v>
      </c>
      <c r="BZ2287" s="2" t="s">
        <v>100</v>
      </c>
    </row>
    <row r="2288">
      <c r="A2288" s="2" t="s">
        <v>8214</v>
      </c>
      <c r="B2288" s="2" t="s">
        <v>7252</v>
      </c>
      <c r="C2288" s="2" t="s">
        <v>88</v>
      </c>
      <c r="D2288" s="2" t="s">
        <v>8158</v>
      </c>
      <c r="E2288" s="2" t="s">
        <v>8159</v>
      </c>
      <c r="F2288" s="2" t="s">
        <v>8210</v>
      </c>
      <c r="G2288" s="2" t="s">
        <v>8211</v>
      </c>
      <c r="H2288" s="2" t="s">
        <v>8212</v>
      </c>
      <c r="I2288" s="2" t="s">
        <v>8162</v>
      </c>
      <c r="J2288" s="2" t="s">
        <v>6103</v>
      </c>
      <c r="K2288" s="2" t="s">
        <v>1581</v>
      </c>
      <c r="L2288" s="3">
        <v>238.5</v>
      </c>
      <c r="M2288" s="3">
        <v>250.42</v>
      </c>
      <c r="N2288" s="3">
        <v>499</v>
      </c>
      <c r="O2288" s="2" t="s">
        <v>97</v>
      </c>
      <c r="P2288" s="2" t="s">
        <v>1265</v>
      </c>
      <c r="Q2288" s="2" t="s">
        <v>99</v>
      </c>
      <c r="R2288" s="2" t="s">
        <v>100</v>
      </c>
      <c r="S2288" s="2" t="s">
        <v>8215</v>
      </c>
      <c r="T2288" s="2" t="s">
        <v>100</v>
      </c>
      <c r="U2288" s="2" t="s">
        <v>100</v>
      </c>
      <c r="V2288" s="2" t="s">
        <v>601</v>
      </c>
      <c r="W2288" s="2" t="s">
        <v>104</v>
      </c>
      <c r="X2288" s="2" t="s">
        <v>100</v>
      </c>
      <c r="Y2288" s="2" t="s">
        <v>8202</v>
      </c>
      <c r="Z2288" s="4">
        <v>204</v>
      </c>
      <c r="AA2288" s="4">
        <f>=ROUNDDOWN(68,0)</f>
      </c>
      <c r="AB2288" s="5">
        <v>3</v>
      </c>
      <c r="AC2288" s="2" t="s">
        <v>100</v>
      </c>
      <c r="AD2288" s="4"/>
      <c r="AE2288" s="4"/>
      <c r="AF2288" s="6">
        <v>66</v>
      </c>
      <c r="AG2288" s="6">
        <v>49</v>
      </c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/>
      <c r="AW2288" s="8"/>
      <c r="AX2288" s="4"/>
      <c r="AY2288" s="8"/>
      <c r="AZ2288" s="7"/>
      <c r="BA2288" s="7"/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>
        <v>79</v>
      </c>
      <c r="BK2288" s="8">
        <v>17022.46</v>
      </c>
      <c r="BL2288" s="2" t="s">
        <v>8216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6185</v>
      </c>
      <c r="BV2288" s="2" t="s">
        <v>97</v>
      </c>
      <c r="BW2288" s="2" t="s">
        <v>100</v>
      </c>
      <c r="BX2288" s="2" t="s">
        <v>100</v>
      </c>
      <c r="BY2288" s="2" t="s">
        <v>112</v>
      </c>
      <c r="BZ2288" s="2" t="s">
        <v>100</v>
      </c>
    </row>
    <row r="2289">
      <c r="A2289" s="2" t="s">
        <v>8217</v>
      </c>
      <c r="B2289" s="2" t="s">
        <v>7252</v>
      </c>
      <c r="C2289" s="2" t="s">
        <v>88</v>
      </c>
      <c r="D2289" s="2" t="s">
        <v>8158</v>
      </c>
      <c r="E2289" s="2" t="s">
        <v>8159</v>
      </c>
      <c r="F2289" s="2" t="s">
        <v>8218</v>
      </c>
      <c r="G2289" s="2" t="s">
        <v>8219</v>
      </c>
      <c r="H2289" s="2" t="s">
        <v>8220</v>
      </c>
      <c r="I2289" s="2" t="s">
        <v>8221</v>
      </c>
      <c r="J2289" s="2" t="s">
        <v>6103</v>
      </c>
      <c r="K2289" s="2" t="s">
        <v>323</v>
      </c>
      <c r="L2289" s="3">
        <v>234</v>
      </c>
      <c r="M2289" s="3">
        <v>245.7</v>
      </c>
      <c r="N2289" s="3">
        <v>499</v>
      </c>
      <c r="O2289" s="2" t="s">
        <v>97</v>
      </c>
      <c r="P2289" s="2" t="s">
        <v>198</v>
      </c>
      <c r="Q2289" s="2" t="s">
        <v>99</v>
      </c>
      <c r="R2289" s="2" t="s">
        <v>100</v>
      </c>
      <c r="S2289" s="2" t="s">
        <v>100</v>
      </c>
      <c r="T2289" s="2" t="s">
        <v>100</v>
      </c>
      <c r="U2289" s="2" t="s">
        <v>3531</v>
      </c>
      <c r="V2289" s="2" t="s">
        <v>1752</v>
      </c>
      <c r="W2289" s="2" t="s">
        <v>405</v>
      </c>
      <c r="X2289" s="2" t="s">
        <v>104</v>
      </c>
      <c r="Y2289" s="2" t="s">
        <v>6424</v>
      </c>
      <c r="Z2289" s="4">
        <v>87</v>
      </c>
      <c r="AA2289" s="4">
        <f>=ROUNDDOWN(21.75,0)</f>
      </c>
      <c r="AB2289" s="5">
        <v>4</v>
      </c>
      <c r="AC2289" s="2" t="s">
        <v>100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/>
      <c r="AW2289" s="8"/>
      <c r="AX2289" s="4"/>
      <c r="AY2289" s="8"/>
      <c r="AZ2289" s="7"/>
      <c r="BA2289" s="7"/>
      <c r="BB2289" s="7"/>
      <c r="BC2289" s="4"/>
      <c r="BD2289" s="8"/>
      <c r="BE2289" s="4"/>
      <c r="BF2289" s="8"/>
      <c r="BG2289" s="7"/>
      <c r="BH2289" s="7"/>
      <c r="BI2289" s="7"/>
      <c r="BJ2289" s="4">
        <v>43</v>
      </c>
      <c r="BK2289" s="8">
        <v>11090.14</v>
      </c>
      <c r="BL2289" s="2" t="s">
        <v>8222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6185</v>
      </c>
      <c r="BV2289" s="2" t="s">
        <v>97</v>
      </c>
      <c r="BW2289" s="2" t="s">
        <v>100</v>
      </c>
      <c r="BX2289" s="2" t="s">
        <v>100</v>
      </c>
      <c r="BY2289" s="2" t="s">
        <v>112</v>
      </c>
      <c r="BZ2289" s="2" t="s">
        <v>100</v>
      </c>
    </row>
    <row r="2290">
      <c r="A2290" s="2" t="s">
        <v>8223</v>
      </c>
      <c r="B2290" s="2" t="s">
        <v>7252</v>
      </c>
      <c r="C2290" s="2" t="s">
        <v>88</v>
      </c>
      <c r="D2290" s="2" t="s">
        <v>8158</v>
      </c>
      <c r="E2290" s="2" t="s">
        <v>8159</v>
      </c>
      <c r="F2290" s="2" t="s">
        <v>2551</v>
      </c>
      <c r="G2290" s="2" t="s">
        <v>2551</v>
      </c>
      <c r="H2290" s="2" t="s">
        <v>2551</v>
      </c>
      <c r="I2290" s="2" t="s">
        <v>8224</v>
      </c>
      <c r="J2290" s="2" t="s">
        <v>6103</v>
      </c>
      <c r="K2290" s="2" t="s">
        <v>2367</v>
      </c>
      <c r="L2290" s="3">
        <v>210</v>
      </c>
      <c r="M2290" s="3">
        <v>220.5</v>
      </c>
      <c r="N2290" s="3">
        <v>449</v>
      </c>
      <c r="O2290" s="2" t="s">
        <v>97</v>
      </c>
      <c r="P2290" s="2" t="s">
        <v>1166</v>
      </c>
      <c r="Q2290" s="2" t="s">
        <v>99</v>
      </c>
      <c r="R2290" s="2" t="s">
        <v>100</v>
      </c>
      <c r="S2290" s="2" t="s">
        <v>100</v>
      </c>
      <c r="T2290" s="2" t="s">
        <v>100</v>
      </c>
      <c r="U2290" s="2" t="s">
        <v>3531</v>
      </c>
      <c r="V2290" s="2" t="s">
        <v>1752</v>
      </c>
      <c r="W2290" s="2" t="s">
        <v>104</v>
      </c>
      <c r="X2290" s="2" t="s">
        <v>759</v>
      </c>
      <c r="Y2290" s="2" t="s">
        <v>4814</v>
      </c>
      <c r="Z2290" s="4">
        <v>111</v>
      </c>
      <c r="AA2290" s="4">
        <f>=ROUNDDOWN(555,0)</f>
      </c>
      <c r="AB2290" s="5">
        <v>0.2</v>
      </c>
      <c r="AC2290" s="2" t="s">
        <v>100</v>
      </c>
      <c r="AD2290" s="4"/>
      <c r="AE2290" s="4"/>
      <c r="AF2290" s="6">
        <v>74</v>
      </c>
      <c r="AG2290" s="6"/>
      <c r="AH2290" s="7">
        <v>0.6667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/>
      <c r="AW2290" s="8"/>
      <c r="AX2290" s="4"/>
      <c r="AY2290" s="8"/>
      <c r="AZ2290" s="7"/>
      <c r="BA2290" s="7"/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9</v>
      </c>
      <c r="BK2290" s="8">
        <v>1994.42</v>
      </c>
      <c r="BL2290" s="2" t="s">
        <v>1609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147</v>
      </c>
      <c r="BV2290" s="2" t="s">
        <v>97</v>
      </c>
      <c r="BW2290" s="2" t="s">
        <v>100</v>
      </c>
      <c r="BX2290" s="2" t="s">
        <v>100</v>
      </c>
      <c r="BY2290" s="2" t="s">
        <v>112</v>
      </c>
      <c r="BZ2290" s="2" t="s">
        <v>100</v>
      </c>
    </row>
    <row r="2291">
      <c r="A2291" s="2" t="s">
        <v>8225</v>
      </c>
      <c r="B2291" s="2" t="s">
        <v>7252</v>
      </c>
      <c r="C2291" s="2" t="s">
        <v>88</v>
      </c>
      <c r="D2291" s="2" t="s">
        <v>8158</v>
      </c>
      <c r="E2291" s="2" t="s">
        <v>8159</v>
      </c>
      <c r="F2291" s="2" t="s">
        <v>2551</v>
      </c>
      <c r="G2291" s="2" t="s">
        <v>2551</v>
      </c>
      <c r="H2291" s="2" t="s">
        <v>2551</v>
      </c>
      <c r="I2291" s="2" t="s">
        <v>8224</v>
      </c>
      <c r="J2291" s="2" t="s">
        <v>6103</v>
      </c>
      <c r="K2291" s="2" t="s">
        <v>123</v>
      </c>
      <c r="L2291" s="3">
        <v>210</v>
      </c>
      <c r="M2291" s="3">
        <v>220.5</v>
      </c>
      <c r="N2291" s="3">
        <v>449</v>
      </c>
      <c r="O2291" s="2" t="s">
        <v>97</v>
      </c>
      <c r="P2291" s="2" t="s">
        <v>1166</v>
      </c>
      <c r="Q2291" s="2" t="s">
        <v>99</v>
      </c>
      <c r="R2291" s="2" t="s">
        <v>100</v>
      </c>
      <c r="S2291" s="2" t="s">
        <v>100</v>
      </c>
      <c r="T2291" s="2" t="s">
        <v>100</v>
      </c>
      <c r="U2291" s="2" t="s">
        <v>3531</v>
      </c>
      <c r="V2291" s="2" t="s">
        <v>1752</v>
      </c>
      <c r="W2291" s="2" t="s">
        <v>104</v>
      </c>
      <c r="X2291" s="2" t="s">
        <v>759</v>
      </c>
      <c r="Y2291" s="2" t="s">
        <v>4814</v>
      </c>
      <c r="Z2291" s="4">
        <v>70</v>
      </c>
      <c r="AA2291" s="4">
        <f>=ROUNDDOWN(70,0)</f>
      </c>
      <c r="AB2291" s="5">
        <v>1</v>
      </c>
      <c r="AC2291" s="2" t="s">
        <v>100</v>
      </c>
      <c r="AD2291" s="4"/>
      <c r="AE2291" s="4"/>
      <c r="AF2291" s="6">
        <v>74</v>
      </c>
      <c r="AG2291" s="6"/>
      <c r="AH2291" s="7">
        <v>0.6667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/>
      <c r="AW2291" s="8"/>
      <c r="AX2291" s="4"/>
      <c r="AY2291" s="8"/>
      <c r="AZ2291" s="7"/>
      <c r="BA2291" s="7"/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4</v>
      </c>
      <c r="BK2291" s="8">
        <v>882</v>
      </c>
      <c r="BL2291" s="2" t="s">
        <v>1609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147</v>
      </c>
      <c r="BV2291" s="2" t="s">
        <v>97</v>
      </c>
      <c r="BW2291" s="2" t="s">
        <v>100</v>
      </c>
      <c r="BX2291" s="2" t="s">
        <v>100</v>
      </c>
      <c r="BY2291" s="2" t="s">
        <v>112</v>
      </c>
      <c r="BZ2291" s="2" t="s">
        <v>100</v>
      </c>
    </row>
    <row r="2292">
      <c r="A2292" s="2" t="s">
        <v>8226</v>
      </c>
      <c r="B2292" s="2" t="s">
        <v>7252</v>
      </c>
      <c r="C2292" s="2" t="s">
        <v>88</v>
      </c>
      <c r="D2292" s="2" t="s">
        <v>8158</v>
      </c>
      <c r="E2292" s="2" t="s">
        <v>8159</v>
      </c>
      <c r="F2292" s="2" t="s">
        <v>8227</v>
      </c>
      <c r="G2292" s="2" t="s">
        <v>8228</v>
      </c>
      <c r="H2292" s="2" t="s">
        <v>8229</v>
      </c>
      <c r="I2292" s="2" t="s">
        <v>8162</v>
      </c>
      <c r="J2292" s="2" t="s">
        <v>6103</v>
      </c>
      <c r="K2292" s="2" t="s">
        <v>8230</v>
      </c>
      <c r="L2292" s="3">
        <v>237.5</v>
      </c>
      <c r="M2292" s="3">
        <v>249.38</v>
      </c>
      <c r="N2292" s="3">
        <v>499</v>
      </c>
      <c r="O2292" s="2" t="s">
        <v>97</v>
      </c>
      <c r="P2292" s="2" t="s">
        <v>182</v>
      </c>
      <c r="Q2292" s="2" t="s">
        <v>99</v>
      </c>
      <c r="R2292" s="2" t="s">
        <v>100</v>
      </c>
      <c r="S2292" s="2" t="s">
        <v>8231</v>
      </c>
      <c r="T2292" s="2" t="s">
        <v>100</v>
      </c>
      <c r="U2292" s="2" t="s">
        <v>100</v>
      </c>
      <c r="V2292" s="2" t="s">
        <v>601</v>
      </c>
      <c r="W2292" s="2" t="s">
        <v>104</v>
      </c>
      <c r="X2292" s="2" t="s">
        <v>100</v>
      </c>
      <c r="Y2292" s="2" t="s">
        <v>8202</v>
      </c>
      <c r="Z2292" s="4">
        <v>139</v>
      </c>
      <c r="AA2292" s="4">
        <f>=ROUNDDOWN(34.75,0)</f>
      </c>
      <c r="AB2292" s="5">
        <v>4</v>
      </c>
      <c r="AC2292" s="2" t="s">
        <v>100</v>
      </c>
      <c r="AD2292" s="4"/>
      <c r="AE2292" s="4"/>
      <c r="AF2292" s="6">
        <v>66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/>
      <c r="AW2292" s="8"/>
      <c r="AX2292" s="4"/>
      <c r="AY2292" s="8"/>
      <c r="AZ2292" s="7"/>
      <c r="BA2292" s="7"/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121</v>
      </c>
      <c r="BK2292" s="8">
        <v>27639.96</v>
      </c>
      <c r="BL2292" s="2" t="s">
        <v>8232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6185</v>
      </c>
      <c r="BV2292" s="2" t="s">
        <v>97</v>
      </c>
      <c r="BW2292" s="2" t="s">
        <v>100</v>
      </c>
      <c r="BX2292" s="2" t="s">
        <v>100</v>
      </c>
      <c r="BY2292" s="2" t="s">
        <v>112</v>
      </c>
      <c r="BZ2292" s="2" t="s">
        <v>100</v>
      </c>
    </row>
    <row r="2293">
      <c r="A2293" s="2" t="s">
        <v>8233</v>
      </c>
      <c r="B2293" s="2" t="s">
        <v>7252</v>
      </c>
      <c r="C2293" s="2" t="s">
        <v>88</v>
      </c>
      <c r="D2293" s="2" t="s">
        <v>8158</v>
      </c>
      <c r="E2293" s="2" t="s">
        <v>8159</v>
      </c>
      <c r="F2293" s="2" t="s">
        <v>8227</v>
      </c>
      <c r="G2293" s="2" t="s">
        <v>8228</v>
      </c>
      <c r="H2293" s="2" t="s">
        <v>8229</v>
      </c>
      <c r="I2293" s="2" t="s">
        <v>8159</v>
      </c>
      <c r="J2293" s="2" t="s">
        <v>6103</v>
      </c>
      <c r="K2293" s="2" t="s">
        <v>123</v>
      </c>
      <c r="L2293" s="3">
        <v>237.5</v>
      </c>
      <c r="M2293" s="3">
        <v>249.38</v>
      </c>
      <c r="N2293" s="3">
        <v>499</v>
      </c>
      <c r="O2293" s="2" t="s">
        <v>97</v>
      </c>
      <c r="P2293" s="2" t="s">
        <v>182</v>
      </c>
      <c r="Q2293" s="2" t="s">
        <v>99</v>
      </c>
      <c r="R2293" s="2" t="s">
        <v>100</v>
      </c>
      <c r="S2293" s="2" t="s">
        <v>100</v>
      </c>
      <c r="T2293" s="2" t="s">
        <v>100</v>
      </c>
      <c r="U2293" s="2" t="s">
        <v>3531</v>
      </c>
      <c r="V2293" s="2" t="s">
        <v>601</v>
      </c>
      <c r="W2293" s="2" t="s">
        <v>104</v>
      </c>
      <c r="X2293" s="2" t="s">
        <v>405</v>
      </c>
      <c r="Y2293" s="2" t="s">
        <v>3595</v>
      </c>
      <c r="Z2293" s="4">
        <v>166</v>
      </c>
      <c r="AA2293" s="4">
        <f>=ROUNDDOWN(23.7142857142857,0)</f>
      </c>
      <c r="AB2293" s="5">
        <v>7</v>
      </c>
      <c r="AC2293" s="2" t="s">
        <v>382</v>
      </c>
      <c r="AD2293" s="4">
        <v>102</v>
      </c>
      <c r="AE2293" s="4">
        <v>102</v>
      </c>
      <c r="AF2293" s="6">
        <v>66</v>
      </c>
      <c r="AG2293" s="6">
        <v>49</v>
      </c>
      <c r="AH2293" s="7">
        <v>0.9515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/>
      <c r="AW2293" s="8"/>
      <c r="AX2293" s="4"/>
      <c r="AY2293" s="8"/>
      <c r="AZ2293" s="7"/>
      <c r="BA2293" s="7"/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164</v>
      </c>
      <c r="BK2293" s="8">
        <v>38838.84</v>
      </c>
      <c r="BL2293" s="2" t="s">
        <v>8234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6185</v>
      </c>
      <c r="BV2293" s="2" t="s">
        <v>97</v>
      </c>
      <c r="BW2293" s="2" t="s">
        <v>100</v>
      </c>
      <c r="BX2293" s="2" t="s">
        <v>100</v>
      </c>
      <c r="BY2293" s="2" t="s">
        <v>112</v>
      </c>
      <c r="BZ2293" s="2" t="s">
        <v>100</v>
      </c>
    </row>
    <row r="2294">
      <c r="A2294" s="2" t="s">
        <v>8235</v>
      </c>
      <c r="B2294" s="2" t="s">
        <v>7252</v>
      </c>
      <c r="C2294" s="2" t="s">
        <v>88</v>
      </c>
      <c r="D2294" s="2" t="s">
        <v>8158</v>
      </c>
      <c r="E2294" s="2" t="s">
        <v>8159</v>
      </c>
      <c r="F2294" s="2" t="s">
        <v>8236</v>
      </c>
      <c r="G2294" s="2" t="s">
        <v>3650</v>
      </c>
      <c r="H2294" s="2" t="s">
        <v>1477</v>
      </c>
      <c r="I2294" s="2" t="s">
        <v>8237</v>
      </c>
      <c r="J2294" s="2" t="s">
        <v>6103</v>
      </c>
      <c r="K2294" s="2" t="s">
        <v>333</v>
      </c>
      <c r="L2294" s="3">
        <v>262.5</v>
      </c>
      <c r="M2294" s="3">
        <v>275.63</v>
      </c>
      <c r="N2294" s="3">
        <v>549</v>
      </c>
      <c r="O2294" s="2" t="s">
        <v>229</v>
      </c>
      <c r="P2294" s="2" t="s">
        <v>198</v>
      </c>
      <c r="Q2294" s="2" t="s">
        <v>99</v>
      </c>
      <c r="R2294" s="2" t="s">
        <v>100</v>
      </c>
      <c r="S2294" s="2" t="s">
        <v>100</v>
      </c>
      <c r="T2294" s="2" t="s">
        <v>100</v>
      </c>
      <c r="U2294" s="2" t="s">
        <v>100</v>
      </c>
      <c r="V2294" s="2" t="s">
        <v>1752</v>
      </c>
      <c r="W2294" s="2" t="s">
        <v>104</v>
      </c>
      <c r="X2294" s="2" t="s">
        <v>602</v>
      </c>
      <c r="Y2294" s="2" t="s">
        <v>7274</v>
      </c>
      <c r="Z2294" s="4">
        <v>48</v>
      </c>
      <c r="AA2294" s="4">
        <f>=ROUNDDOWN(48,0)</f>
      </c>
      <c r="AB2294" s="5">
        <v>1</v>
      </c>
      <c r="AC2294" s="2" t="s">
        <v>100</v>
      </c>
      <c r="AD2294" s="4"/>
      <c r="AE2294" s="4"/>
      <c r="AF2294" s="6">
        <v>74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/>
      <c r="AW2294" s="8"/>
      <c r="AX2294" s="4"/>
      <c r="AY2294" s="8"/>
      <c r="AZ2294" s="7"/>
      <c r="BA2294" s="7"/>
      <c r="BB2294" s="7"/>
      <c r="BC2294" s="4"/>
      <c r="BD2294" s="8"/>
      <c r="BE2294" s="4"/>
      <c r="BF2294" s="8"/>
      <c r="BG2294" s="7"/>
      <c r="BH2294" s="7"/>
      <c r="BI2294" s="7"/>
      <c r="BJ2294" s="4">
        <v>8</v>
      </c>
      <c r="BK2294" s="8">
        <v>1577.98</v>
      </c>
      <c r="BL2294" s="2" t="s">
        <v>8238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147</v>
      </c>
      <c r="BV2294" s="2" t="s">
        <v>97</v>
      </c>
      <c r="BW2294" s="2" t="s">
        <v>100</v>
      </c>
      <c r="BX2294" s="2" t="s">
        <v>100</v>
      </c>
      <c r="BY2294" s="2" t="s">
        <v>112</v>
      </c>
      <c r="BZ2294" s="2" t="s">
        <v>100</v>
      </c>
    </row>
    <row r="2295">
      <c r="A2295" s="2" t="s">
        <v>8239</v>
      </c>
      <c r="B2295" s="2" t="s">
        <v>7252</v>
      </c>
      <c r="C2295" s="2" t="s">
        <v>88</v>
      </c>
      <c r="D2295" s="2" t="s">
        <v>8158</v>
      </c>
      <c r="E2295" s="2" t="s">
        <v>8159</v>
      </c>
      <c r="F2295" s="2" t="s">
        <v>8240</v>
      </c>
      <c r="G2295" s="2" t="s">
        <v>8241</v>
      </c>
      <c r="H2295" s="2" t="s">
        <v>8242</v>
      </c>
      <c r="I2295" s="2" t="s">
        <v>8243</v>
      </c>
      <c r="J2295" s="2" t="s">
        <v>6103</v>
      </c>
      <c r="K2295" s="2" t="s">
        <v>158</v>
      </c>
      <c r="L2295" s="3">
        <v>190.4</v>
      </c>
      <c r="M2295" s="3">
        <v>199.92</v>
      </c>
      <c r="N2295" s="3">
        <v>399</v>
      </c>
      <c r="O2295" s="2" t="s">
        <v>97</v>
      </c>
      <c r="P2295" s="2" t="s">
        <v>182</v>
      </c>
      <c r="Q2295" s="2" t="s">
        <v>99</v>
      </c>
      <c r="R2295" s="2" t="s">
        <v>100</v>
      </c>
      <c r="S2295" s="2" t="s">
        <v>8244</v>
      </c>
      <c r="T2295" s="2" t="s">
        <v>100</v>
      </c>
      <c r="U2295" s="2" t="s">
        <v>100</v>
      </c>
      <c r="V2295" s="2" t="s">
        <v>601</v>
      </c>
      <c r="W2295" s="2" t="s">
        <v>104</v>
      </c>
      <c r="X2295" s="2" t="s">
        <v>100</v>
      </c>
      <c r="Y2295" s="2" t="s">
        <v>8188</v>
      </c>
      <c r="Z2295" s="4">
        <v>306</v>
      </c>
      <c r="AA2295" s="4">
        <f>=ROUNDDOWN(40.2631578947368,0)</f>
      </c>
      <c r="AB2295" s="5">
        <v>7.6</v>
      </c>
      <c r="AC2295" s="2" t="s">
        <v>100</v>
      </c>
      <c r="AD2295" s="4"/>
      <c r="AE2295" s="4"/>
      <c r="AF2295" s="6">
        <v>74</v>
      </c>
      <c r="AG2295" s="6">
        <v>60</v>
      </c>
      <c r="AH2295" s="7">
        <v>0.9333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/>
      <c r="AW2295" s="8"/>
      <c r="AX2295" s="4"/>
      <c r="AY2295" s="8"/>
      <c r="AZ2295" s="7"/>
      <c r="BA2295" s="7"/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243</v>
      </c>
      <c r="BK2295" s="8">
        <v>42770</v>
      </c>
      <c r="BL2295" s="2" t="s">
        <v>8245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6185</v>
      </c>
      <c r="BV2295" s="2" t="s">
        <v>97</v>
      </c>
      <c r="BW2295" s="2" t="s">
        <v>100</v>
      </c>
      <c r="BX2295" s="2" t="s">
        <v>100</v>
      </c>
      <c r="BY2295" s="2" t="s">
        <v>112</v>
      </c>
      <c r="BZ2295" s="2" t="s">
        <v>100</v>
      </c>
    </row>
    <row r="2296">
      <c r="A2296" s="2" t="s">
        <v>8246</v>
      </c>
      <c r="B2296" s="2" t="s">
        <v>7252</v>
      </c>
      <c r="C2296" s="2" t="s">
        <v>88</v>
      </c>
      <c r="D2296" s="2" t="s">
        <v>8158</v>
      </c>
      <c r="E2296" s="2" t="s">
        <v>8159</v>
      </c>
      <c r="F2296" s="2" t="s">
        <v>8240</v>
      </c>
      <c r="G2296" s="2" t="s">
        <v>8241</v>
      </c>
      <c r="H2296" s="2" t="s">
        <v>8242</v>
      </c>
      <c r="I2296" s="2" t="s">
        <v>8243</v>
      </c>
      <c r="J2296" s="2" t="s">
        <v>6103</v>
      </c>
      <c r="K2296" s="2" t="s">
        <v>333</v>
      </c>
      <c r="L2296" s="3">
        <v>190.4</v>
      </c>
      <c r="M2296" s="3">
        <v>199.92</v>
      </c>
      <c r="N2296" s="3">
        <v>399</v>
      </c>
      <c r="O2296" s="2" t="s">
        <v>229</v>
      </c>
      <c r="P2296" s="2" t="s">
        <v>198</v>
      </c>
      <c r="Q2296" s="2" t="s">
        <v>99</v>
      </c>
      <c r="R2296" s="2" t="s">
        <v>100</v>
      </c>
      <c r="S2296" s="2" t="s">
        <v>100</v>
      </c>
      <c r="T2296" s="2" t="s">
        <v>100</v>
      </c>
      <c r="U2296" s="2" t="s">
        <v>100</v>
      </c>
      <c r="V2296" s="2" t="s">
        <v>601</v>
      </c>
      <c r="W2296" s="2" t="s">
        <v>104</v>
      </c>
      <c r="X2296" s="2" t="s">
        <v>100</v>
      </c>
      <c r="Y2296" s="2" t="s">
        <v>1322</v>
      </c>
      <c r="Z2296" s="4">
        <v>93</v>
      </c>
      <c r="AA2296" s="4">
        <f>=ROUNDDOWN(37.2,0)</f>
      </c>
      <c r="AB2296" s="5">
        <v>2.5</v>
      </c>
      <c r="AC2296" s="2" t="s">
        <v>100</v>
      </c>
      <c r="AD2296" s="4"/>
      <c r="AE2296" s="4"/>
      <c r="AF2296" s="6">
        <v>74</v>
      </c>
      <c r="AG2296" s="6">
        <v>60</v>
      </c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75</v>
      </c>
      <c r="BK2296" s="8">
        <v>11844.13</v>
      </c>
      <c r="BL2296" s="2" t="s">
        <v>8247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147</v>
      </c>
      <c r="BV2296" s="2" t="s">
        <v>97</v>
      </c>
      <c r="BW2296" s="2" t="s">
        <v>100</v>
      </c>
      <c r="BX2296" s="2" t="s">
        <v>100</v>
      </c>
      <c r="BY2296" s="2" t="s">
        <v>112</v>
      </c>
      <c r="BZ2296" s="2" t="s">
        <v>100</v>
      </c>
    </row>
    <row r="2297">
      <c r="A2297" s="2" t="s">
        <v>8248</v>
      </c>
      <c r="B2297" s="2" t="s">
        <v>7252</v>
      </c>
      <c r="C2297" s="2" t="s">
        <v>88</v>
      </c>
      <c r="D2297" s="2" t="s">
        <v>8158</v>
      </c>
      <c r="E2297" s="2" t="s">
        <v>8159</v>
      </c>
      <c r="F2297" s="2" t="s">
        <v>8249</v>
      </c>
      <c r="G2297" s="2" t="s">
        <v>8250</v>
      </c>
      <c r="H2297" s="2" t="s">
        <v>8251</v>
      </c>
      <c r="I2297" s="2" t="s">
        <v>8162</v>
      </c>
      <c r="J2297" s="2" t="s">
        <v>6103</v>
      </c>
      <c r="K2297" s="2" t="s">
        <v>2367</v>
      </c>
      <c r="L2297" s="3">
        <v>226.1</v>
      </c>
      <c r="M2297" s="3">
        <v>237.4</v>
      </c>
      <c r="N2297" s="3">
        <v>479</v>
      </c>
      <c r="O2297" s="2" t="s">
        <v>97</v>
      </c>
      <c r="P2297" s="2" t="s">
        <v>182</v>
      </c>
      <c r="Q2297" s="2" t="s">
        <v>99</v>
      </c>
      <c r="R2297" s="2" t="s">
        <v>100</v>
      </c>
      <c r="S2297" s="2" t="s">
        <v>8252</v>
      </c>
      <c r="T2297" s="2" t="s">
        <v>100</v>
      </c>
      <c r="U2297" s="2" t="s">
        <v>100</v>
      </c>
      <c r="V2297" s="2" t="s">
        <v>601</v>
      </c>
      <c r="W2297" s="2" t="s">
        <v>104</v>
      </c>
      <c r="X2297" s="2" t="s">
        <v>100</v>
      </c>
      <c r="Y2297" s="2" t="s">
        <v>8188</v>
      </c>
      <c r="Z2297" s="4">
        <v>115</v>
      </c>
      <c r="AA2297" s="4">
        <f>=ROUNDDOWN(71.875,0)</f>
      </c>
      <c r="AB2297" s="5">
        <v>1.6</v>
      </c>
      <c r="AC2297" s="2" t="s">
        <v>100</v>
      </c>
      <c r="AD2297" s="4"/>
      <c r="AE2297" s="4"/>
      <c r="AF2297" s="6">
        <v>66</v>
      </c>
      <c r="AG2297" s="6">
        <v>49</v>
      </c>
      <c r="AH2297" s="7">
        <v>0.897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209</v>
      </c>
      <c r="BK2297" s="8">
        <v>44145.56</v>
      </c>
      <c r="BL2297" s="2" t="s">
        <v>8253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6185</v>
      </c>
      <c r="BV2297" s="2" t="s">
        <v>97</v>
      </c>
      <c r="BW2297" s="2" t="s">
        <v>100</v>
      </c>
      <c r="BX2297" s="2" t="s">
        <v>100</v>
      </c>
      <c r="BY2297" s="2" t="s">
        <v>112</v>
      </c>
      <c r="BZ2297" s="2" t="s">
        <v>100</v>
      </c>
    </row>
    <row r="2298">
      <c r="A2298" s="2" t="s">
        <v>8254</v>
      </c>
      <c r="B2298" s="2" t="s">
        <v>7252</v>
      </c>
      <c r="C2298" s="2" t="s">
        <v>88</v>
      </c>
      <c r="D2298" s="2" t="s">
        <v>8158</v>
      </c>
      <c r="E2298" s="2" t="s">
        <v>8159</v>
      </c>
      <c r="F2298" s="2" t="s">
        <v>8249</v>
      </c>
      <c r="G2298" s="2" t="s">
        <v>8250</v>
      </c>
      <c r="H2298" s="2" t="s">
        <v>8251</v>
      </c>
      <c r="I2298" s="2" t="s">
        <v>8255</v>
      </c>
      <c r="J2298" s="2" t="s">
        <v>6103</v>
      </c>
      <c r="K2298" s="2" t="s">
        <v>8256</v>
      </c>
      <c r="L2298" s="3">
        <v>226.1</v>
      </c>
      <c r="M2298" s="3">
        <v>237.4</v>
      </c>
      <c r="N2298" s="3">
        <v>479</v>
      </c>
      <c r="O2298" s="2" t="s">
        <v>97</v>
      </c>
      <c r="P2298" s="2" t="s">
        <v>182</v>
      </c>
      <c r="Q2298" s="2" t="s">
        <v>99</v>
      </c>
      <c r="R2298" s="2" t="s">
        <v>100</v>
      </c>
      <c r="S2298" s="2" t="s">
        <v>100</v>
      </c>
      <c r="T2298" s="2" t="s">
        <v>100</v>
      </c>
      <c r="U2298" s="2" t="s">
        <v>3531</v>
      </c>
      <c r="V2298" s="2" t="s">
        <v>601</v>
      </c>
      <c r="W2298" s="2" t="s">
        <v>104</v>
      </c>
      <c r="X2298" s="2" t="s">
        <v>759</v>
      </c>
      <c r="Y2298" s="2" t="s">
        <v>1035</v>
      </c>
      <c r="Z2298" s="4">
        <v>355</v>
      </c>
      <c r="AA2298" s="4">
        <f>=ROUNDDOWN(44.375,0)</f>
      </c>
      <c r="AB2298" s="5">
        <v>8</v>
      </c>
      <c r="AC2298" s="2" t="s">
        <v>100</v>
      </c>
      <c r="AD2298" s="4"/>
      <c r="AE2298" s="4"/>
      <c r="AF2298" s="6">
        <v>66</v>
      </c>
      <c r="AG2298" s="6">
        <v>49</v>
      </c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210</v>
      </c>
      <c r="BK2298" s="8">
        <v>44187.13</v>
      </c>
      <c r="BL2298" s="2" t="s">
        <v>8257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6185</v>
      </c>
      <c r="BV2298" s="2" t="s">
        <v>97</v>
      </c>
      <c r="BW2298" s="2" t="s">
        <v>100</v>
      </c>
      <c r="BX2298" s="2" t="s">
        <v>100</v>
      </c>
      <c r="BY2298" s="2" t="s">
        <v>112</v>
      </c>
      <c r="BZ2298" s="2" t="s">
        <v>100</v>
      </c>
    </row>
    <row r="2299">
      <c r="A2299" s="2" t="s">
        <v>8258</v>
      </c>
      <c r="B2299" s="2" t="s">
        <v>7252</v>
      </c>
      <c r="C2299" s="2" t="s">
        <v>88</v>
      </c>
      <c r="D2299" s="2" t="s">
        <v>8158</v>
      </c>
      <c r="E2299" s="2" t="s">
        <v>8159</v>
      </c>
      <c r="F2299" s="2" t="s">
        <v>8249</v>
      </c>
      <c r="G2299" s="2" t="s">
        <v>8250</v>
      </c>
      <c r="H2299" s="2" t="s">
        <v>8251</v>
      </c>
      <c r="I2299" s="2" t="s">
        <v>8255</v>
      </c>
      <c r="J2299" s="2" t="s">
        <v>6103</v>
      </c>
      <c r="K2299" s="2" t="s">
        <v>333</v>
      </c>
      <c r="L2299" s="3">
        <v>226.1</v>
      </c>
      <c r="M2299" s="3">
        <v>237.4</v>
      </c>
      <c r="N2299" s="3">
        <v>479</v>
      </c>
      <c r="O2299" s="2" t="s">
        <v>97</v>
      </c>
      <c r="P2299" s="2" t="s">
        <v>182</v>
      </c>
      <c r="Q2299" s="2" t="s">
        <v>99</v>
      </c>
      <c r="R2299" s="2" t="s">
        <v>100</v>
      </c>
      <c r="S2299" s="2" t="s">
        <v>8259</v>
      </c>
      <c r="T2299" s="2" t="s">
        <v>100</v>
      </c>
      <c r="U2299" s="2" t="s">
        <v>100</v>
      </c>
      <c r="V2299" s="2" t="s">
        <v>601</v>
      </c>
      <c r="W2299" s="2" t="s">
        <v>104</v>
      </c>
      <c r="X2299" s="2" t="s">
        <v>100</v>
      </c>
      <c r="Y2299" s="2" t="s">
        <v>473</v>
      </c>
      <c r="Z2299" s="4">
        <v>251</v>
      </c>
      <c r="AA2299" s="4">
        <f>=ROUNDDOWN(50.2,0)</f>
      </c>
      <c r="AB2299" s="5">
        <v>5</v>
      </c>
      <c r="AC2299" s="2" t="s">
        <v>100</v>
      </c>
      <c r="AD2299" s="4"/>
      <c r="AE2299" s="4"/>
      <c r="AF2299" s="6">
        <v>66</v>
      </c>
      <c r="AG2299" s="6">
        <v>49</v>
      </c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113</v>
      </c>
      <c r="BK2299" s="8">
        <v>21460.89</v>
      </c>
      <c r="BL2299" s="2" t="s">
        <v>8260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6185</v>
      </c>
      <c r="BV2299" s="2" t="s">
        <v>97</v>
      </c>
      <c r="BW2299" s="2" t="s">
        <v>100</v>
      </c>
      <c r="BX2299" s="2" t="s">
        <v>100</v>
      </c>
      <c r="BY2299" s="2" t="s">
        <v>112</v>
      </c>
      <c r="BZ2299" s="2" t="s">
        <v>100</v>
      </c>
    </row>
    <row r="2300">
      <c r="A2300" s="2" t="s">
        <v>8261</v>
      </c>
      <c r="B2300" s="2" t="s">
        <v>7252</v>
      </c>
      <c r="C2300" s="2" t="s">
        <v>88</v>
      </c>
      <c r="D2300" s="2" t="s">
        <v>8158</v>
      </c>
      <c r="E2300" s="2" t="s">
        <v>8159</v>
      </c>
      <c r="F2300" s="2" t="s">
        <v>8262</v>
      </c>
      <c r="G2300" s="2" t="s">
        <v>8263</v>
      </c>
      <c r="H2300" s="2" t="s">
        <v>8264</v>
      </c>
      <c r="I2300" s="2" t="s">
        <v>8265</v>
      </c>
      <c r="J2300" s="2" t="s">
        <v>6103</v>
      </c>
      <c r="K2300" s="2" t="s">
        <v>181</v>
      </c>
      <c r="L2300" s="3">
        <v>216.6</v>
      </c>
      <c r="M2300" s="3">
        <v>227.43</v>
      </c>
      <c r="N2300" s="3">
        <v>449</v>
      </c>
      <c r="O2300" s="2" t="s">
        <v>97</v>
      </c>
      <c r="P2300" s="2" t="s">
        <v>1265</v>
      </c>
      <c r="Q2300" s="2" t="s">
        <v>99</v>
      </c>
      <c r="R2300" s="2" t="s">
        <v>100</v>
      </c>
      <c r="S2300" s="2" t="s">
        <v>100</v>
      </c>
      <c r="T2300" s="2" t="s">
        <v>100</v>
      </c>
      <c r="U2300" s="2" t="s">
        <v>100</v>
      </c>
      <c r="V2300" s="2" t="s">
        <v>601</v>
      </c>
      <c r="W2300" s="2" t="s">
        <v>602</v>
      </c>
      <c r="X2300" s="2" t="s">
        <v>1190</v>
      </c>
      <c r="Y2300" s="2" t="s">
        <v>2064</v>
      </c>
      <c r="Z2300" s="4">
        <v>102</v>
      </c>
      <c r="AA2300" s="4">
        <f>=ROUNDDOWN(51,0)</f>
      </c>
      <c r="AB2300" s="5">
        <v>2</v>
      </c>
      <c r="AC2300" s="2" t="s">
        <v>100</v>
      </c>
      <c r="AD2300" s="4"/>
      <c r="AE2300" s="4"/>
      <c r="AF2300" s="6">
        <v>66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/>
      <c r="BD2300" s="8"/>
      <c r="BE2300" s="4"/>
      <c r="BF2300" s="8"/>
      <c r="BG2300" s="7"/>
      <c r="BH2300" s="7"/>
      <c r="BI2300" s="7"/>
      <c r="BJ2300" s="4">
        <v>53</v>
      </c>
      <c r="BK2300" s="8">
        <v>12088.29</v>
      </c>
      <c r="BL2300" s="2" t="s">
        <v>8266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147</v>
      </c>
      <c r="BV2300" s="2" t="s">
        <v>97</v>
      </c>
      <c r="BW2300" s="2" t="s">
        <v>100</v>
      </c>
      <c r="BX2300" s="2" t="s">
        <v>100</v>
      </c>
      <c r="BY2300" s="2" t="s">
        <v>112</v>
      </c>
      <c r="BZ2300" s="2" t="s">
        <v>100</v>
      </c>
    </row>
    <row r="2301">
      <c r="A2301" s="2" t="s">
        <v>8267</v>
      </c>
      <c r="B2301" s="2" t="s">
        <v>7252</v>
      </c>
      <c r="C2301" s="2" t="s">
        <v>88</v>
      </c>
      <c r="D2301" s="2" t="s">
        <v>8158</v>
      </c>
      <c r="E2301" s="2" t="s">
        <v>8159</v>
      </c>
      <c r="F2301" s="2" t="s">
        <v>8268</v>
      </c>
      <c r="G2301" s="2" t="s">
        <v>8269</v>
      </c>
      <c r="H2301" s="2" t="s">
        <v>8270</v>
      </c>
      <c r="I2301" s="2" t="s">
        <v>8162</v>
      </c>
      <c r="J2301" s="2" t="s">
        <v>6103</v>
      </c>
      <c r="K2301" s="2" t="s">
        <v>635</v>
      </c>
      <c r="L2301" s="3">
        <v>222.3</v>
      </c>
      <c r="M2301" s="3">
        <v>233.42</v>
      </c>
      <c r="N2301" s="3">
        <v>469</v>
      </c>
      <c r="O2301" s="2" t="s">
        <v>97</v>
      </c>
      <c r="P2301" s="2" t="s">
        <v>1265</v>
      </c>
      <c r="Q2301" s="2" t="s">
        <v>99</v>
      </c>
      <c r="R2301" s="2" t="s">
        <v>100</v>
      </c>
      <c r="S2301" s="2" t="s">
        <v>100</v>
      </c>
      <c r="T2301" s="2" t="s">
        <v>100</v>
      </c>
      <c r="U2301" s="2" t="s">
        <v>3531</v>
      </c>
      <c r="V2301" s="2" t="s">
        <v>601</v>
      </c>
      <c r="W2301" s="2" t="s">
        <v>104</v>
      </c>
      <c r="X2301" s="2" t="s">
        <v>759</v>
      </c>
      <c r="Y2301" s="2" t="s">
        <v>1967</v>
      </c>
      <c r="Z2301" s="4">
        <v>108</v>
      </c>
      <c r="AA2301" s="4">
        <f>=ROUNDDOWN(54,0)</f>
      </c>
      <c r="AB2301" s="5">
        <v>2</v>
      </c>
      <c r="AC2301" s="2" t="s">
        <v>100</v>
      </c>
      <c r="AD2301" s="4"/>
      <c r="AE2301" s="4"/>
      <c r="AF2301" s="6">
        <v>66</v>
      </c>
      <c r="AG2301" s="6"/>
      <c r="AH2301" s="7">
        <v>0.6545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/>
      <c r="BD2301" s="8"/>
      <c r="BE2301" s="4"/>
      <c r="BF2301" s="8"/>
      <c r="BG2301" s="7"/>
      <c r="BH2301" s="7"/>
      <c r="BI2301" s="7"/>
      <c r="BJ2301" s="4">
        <v>21</v>
      </c>
      <c r="BK2301" s="8">
        <v>5430.3</v>
      </c>
      <c r="BL2301" s="2" t="s">
        <v>8271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6185</v>
      </c>
      <c r="BV2301" s="2" t="s">
        <v>97</v>
      </c>
      <c r="BW2301" s="2" t="s">
        <v>100</v>
      </c>
      <c r="BX2301" s="2" t="s">
        <v>100</v>
      </c>
      <c r="BY2301" s="2" t="s">
        <v>112</v>
      </c>
      <c r="BZ2301" s="2" t="s">
        <v>100</v>
      </c>
    </row>
    <row r="2302">
      <c r="A2302" s="2" t="s">
        <v>8272</v>
      </c>
      <c r="B2302" s="2" t="s">
        <v>7252</v>
      </c>
      <c r="C2302" s="2" t="s">
        <v>88</v>
      </c>
      <c r="D2302" s="2" t="s">
        <v>8158</v>
      </c>
      <c r="E2302" s="2" t="s">
        <v>8159</v>
      </c>
      <c r="F2302" s="2" t="s">
        <v>8273</v>
      </c>
      <c r="G2302" s="2" t="s">
        <v>8274</v>
      </c>
      <c r="H2302" s="2" t="s">
        <v>8275</v>
      </c>
      <c r="I2302" s="2" t="s">
        <v>8276</v>
      </c>
      <c r="J2302" s="2" t="s">
        <v>6103</v>
      </c>
      <c r="K2302" s="2" t="s">
        <v>635</v>
      </c>
      <c r="L2302" s="3">
        <v>162.45</v>
      </c>
      <c r="M2302" s="3">
        <v>170.57</v>
      </c>
      <c r="N2302" s="3">
        <v>339</v>
      </c>
      <c r="O2302" s="2" t="s">
        <v>97</v>
      </c>
      <c r="P2302" s="2" t="s">
        <v>198</v>
      </c>
      <c r="Q2302" s="2" t="s">
        <v>99</v>
      </c>
      <c r="R2302" s="2" t="s">
        <v>100</v>
      </c>
      <c r="S2302" s="2" t="s">
        <v>100</v>
      </c>
      <c r="T2302" s="2" t="s">
        <v>100</v>
      </c>
      <c r="U2302" s="2" t="s">
        <v>100</v>
      </c>
      <c r="V2302" s="2" t="s">
        <v>601</v>
      </c>
      <c r="W2302" s="2" t="s">
        <v>602</v>
      </c>
      <c r="X2302" s="2" t="s">
        <v>104</v>
      </c>
      <c r="Y2302" s="2" t="s">
        <v>1552</v>
      </c>
      <c r="Z2302" s="4">
        <v>93</v>
      </c>
      <c r="AA2302" s="4">
        <f>=ROUNDDOWN(310,0)</f>
      </c>
      <c r="AB2302" s="5">
        <v>0.3</v>
      </c>
      <c r="AC2302" s="2" t="s">
        <v>100</v>
      </c>
      <c r="AD2302" s="4"/>
      <c r="AE2302" s="4"/>
      <c r="AF2302" s="6">
        <v>66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>
        <v>17</v>
      </c>
      <c r="BK2302" s="8">
        <v>2976.27</v>
      </c>
      <c r="BL2302" s="2" t="s">
        <v>8277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6185</v>
      </c>
      <c r="BV2302" s="2" t="s">
        <v>97</v>
      </c>
      <c r="BW2302" s="2" t="s">
        <v>100</v>
      </c>
      <c r="BX2302" s="2" t="s">
        <v>100</v>
      </c>
      <c r="BY2302" s="2" t="s">
        <v>112</v>
      </c>
      <c r="BZ2302" s="2" t="s">
        <v>100</v>
      </c>
    </row>
    <row r="2303">
      <c r="A2303" s="2" t="s">
        <v>8278</v>
      </c>
      <c r="B2303" s="2" t="s">
        <v>7252</v>
      </c>
      <c r="C2303" s="2" t="s">
        <v>88</v>
      </c>
      <c r="D2303" s="2" t="s">
        <v>8158</v>
      </c>
      <c r="E2303" s="2" t="s">
        <v>8159</v>
      </c>
      <c r="F2303" s="2" t="s">
        <v>8279</v>
      </c>
      <c r="G2303" s="2" t="s">
        <v>8280</v>
      </c>
      <c r="H2303" s="2" t="s">
        <v>8281</v>
      </c>
      <c r="I2303" s="2" t="s">
        <v>8162</v>
      </c>
      <c r="J2303" s="2" t="s">
        <v>6103</v>
      </c>
      <c r="K2303" s="2" t="s">
        <v>1412</v>
      </c>
      <c r="L2303" s="3">
        <v>265</v>
      </c>
      <c r="M2303" s="3">
        <v>278.25</v>
      </c>
      <c r="N2303" s="3">
        <v>559</v>
      </c>
      <c r="O2303" s="2" t="s">
        <v>229</v>
      </c>
      <c r="P2303" s="2" t="s">
        <v>198</v>
      </c>
      <c r="Q2303" s="2" t="s">
        <v>99</v>
      </c>
      <c r="R2303" s="2" t="s">
        <v>100</v>
      </c>
      <c r="S2303" s="2" t="s">
        <v>100</v>
      </c>
      <c r="T2303" s="2" t="s">
        <v>100</v>
      </c>
      <c r="U2303" s="2" t="s">
        <v>3531</v>
      </c>
      <c r="V2303" s="2" t="s">
        <v>601</v>
      </c>
      <c r="W2303" s="2" t="s">
        <v>104</v>
      </c>
      <c r="X2303" s="2" t="s">
        <v>100</v>
      </c>
      <c r="Y2303" s="2" t="s">
        <v>8282</v>
      </c>
      <c r="Z2303" s="4">
        <v>129</v>
      </c>
      <c r="AA2303" s="4">
        <f>=ROUNDDOWN(107.5,0)</f>
      </c>
      <c r="AB2303" s="5">
        <v>1.2</v>
      </c>
      <c r="AC2303" s="2" t="s">
        <v>100</v>
      </c>
      <c r="AD2303" s="4"/>
      <c r="AE2303" s="4"/>
      <c r="AF2303" s="6">
        <v>66</v>
      </c>
      <c r="AG2303" s="6">
        <v>49</v>
      </c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/>
      <c r="BD2303" s="8"/>
      <c r="BE2303" s="4"/>
      <c r="BF2303" s="8"/>
      <c r="BG2303" s="7"/>
      <c r="BH2303" s="7"/>
      <c r="BI2303" s="7"/>
      <c r="BJ2303" s="4">
        <v>23</v>
      </c>
      <c r="BK2303" s="8">
        <v>4337.13</v>
      </c>
      <c r="BL2303" s="2" t="s">
        <v>8283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147</v>
      </c>
      <c r="BV2303" s="2" t="s">
        <v>97</v>
      </c>
      <c r="BW2303" s="2" t="s">
        <v>100</v>
      </c>
      <c r="BX2303" s="2" t="s">
        <v>100</v>
      </c>
      <c r="BY2303" s="2" t="s">
        <v>112</v>
      </c>
      <c r="BZ2303" s="2" t="s">
        <v>100</v>
      </c>
    </row>
    <row r="2304">
      <c r="A2304" s="2" t="s">
        <v>8284</v>
      </c>
      <c r="B2304" s="2" t="s">
        <v>7252</v>
      </c>
      <c r="C2304" s="2" t="s">
        <v>88</v>
      </c>
      <c r="D2304" s="2" t="s">
        <v>8158</v>
      </c>
      <c r="E2304" s="2" t="s">
        <v>8159</v>
      </c>
      <c r="F2304" s="2" t="s">
        <v>8285</v>
      </c>
      <c r="G2304" s="2" t="s">
        <v>8286</v>
      </c>
      <c r="H2304" s="2" t="s">
        <v>8287</v>
      </c>
      <c r="I2304" s="2" t="s">
        <v>8288</v>
      </c>
      <c r="J2304" s="2" t="s">
        <v>6103</v>
      </c>
      <c r="K2304" s="2" t="s">
        <v>1204</v>
      </c>
      <c r="L2304" s="3">
        <v>250</v>
      </c>
      <c r="M2304" s="3">
        <v>262.5</v>
      </c>
      <c r="N2304" s="3">
        <v>529</v>
      </c>
      <c r="O2304" s="2" t="s">
        <v>229</v>
      </c>
      <c r="P2304" s="2" t="s">
        <v>198</v>
      </c>
      <c r="Q2304" s="2" t="s">
        <v>99</v>
      </c>
      <c r="R2304" s="2" t="s">
        <v>100</v>
      </c>
      <c r="S2304" s="2" t="s">
        <v>100</v>
      </c>
      <c r="T2304" s="2" t="s">
        <v>100</v>
      </c>
      <c r="U2304" s="2" t="s">
        <v>3531</v>
      </c>
      <c r="V2304" s="2" t="s">
        <v>1752</v>
      </c>
      <c r="W2304" s="2" t="s">
        <v>104</v>
      </c>
      <c r="X2304" s="2" t="s">
        <v>100</v>
      </c>
      <c r="Y2304" s="2" t="s">
        <v>7761</v>
      </c>
      <c r="Z2304" s="4">
        <v>64</v>
      </c>
      <c r="AA2304" s="4">
        <f>=ROUNDDOWN({0},0)</f>
      </c>
      <c r="AB2304" s="5"/>
      <c r="AC2304" s="2" t="s">
        <v>100</v>
      </c>
      <c r="AD2304" s="4"/>
      <c r="AE2304" s="4"/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/>
      <c r="AW2304" s="8"/>
      <c r="AX2304" s="4"/>
      <c r="AY2304" s="8"/>
      <c r="AZ2304" s="7"/>
      <c r="BA2304" s="7"/>
      <c r="BB2304" s="7"/>
      <c r="BC2304" s="4"/>
      <c r="BD2304" s="8"/>
      <c r="BE2304" s="4"/>
      <c r="BF2304" s="8"/>
      <c r="BG2304" s="7"/>
      <c r="BH2304" s="7"/>
      <c r="BI2304" s="7"/>
      <c r="BJ2304" s="4">
        <v>4</v>
      </c>
      <c r="BK2304" s="8">
        <v>581.91</v>
      </c>
      <c r="BL2304" s="2" t="s">
        <v>8289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147</v>
      </c>
      <c r="BV2304" s="2" t="s">
        <v>97</v>
      </c>
      <c r="BW2304" s="2" t="s">
        <v>100</v>
      </c>
      <c r="BX2304" s="2" t="s">
        <v>100</v>
      </c>
      <c r="BY2304" s="2" t="s">
        <v>112</v>
      </c>
      <c r="BZ2304" s="2" t="s">
        <v>100</v>
      </c>
    </row>
    <row r="2305">
      <c r="A2305" s="2" t="s">
        <v>8290</v>
      </c>
      <c r="B2305" s="2" t="s">
        <v>7252</v>
      </c>
      <c r="C2305" s="2" t="s">
        <v>88</v>
      </c>
      <c r="D2305" s="2" t="s">
        <v>8158</v>
      </c>
      <c r="E2305" s="2" t="s">
        <v>8159</v>
      </c>
      <c r="F2305" s="2" t="s">
        <v>8291</v>
      </c>
      <c r="G2305" s="2" t="s">
        <v>8292</v>
      </c>
      <c r="H2305" s="2" t="s">
        <v>8293</v>
      </c>
      <c r="I2305" s="2" t="s">
        <v>8294</v>
      </c>
      <c r="J2305" s="2" t="s">
        <v>6103</v>
      </c>
      <c r="K2305" s="2" t="s">
        <v>1204</v>
      </c>
      <c r="L2305" s="3">
        <v>247.5</v>
      </c>
      <c r="M2305" s="3">
        <v>259.88</v>
      </c>
      <c r="N2305" s="3">
        <v>519</v>
      </c>
      <c r="O2305" s="2" t="s">
        <v>97</v>
      </c>
      <c r="P2305" s="2" t="s">
        <v>198</v>
      </c>
      <c r="Q2305" s="2" t="s">
        <v>99</v>
      </c>
      <c r="R2305" s="2" t="s">
        <v>100</v>
      </c>
      <c r="S2305" s="2" t="s">
        <v>100</v>
      </c>
      <c r="T2305" s="2" t="s">
        <v>100</v>
      </c>
      <c r="U2305" s="2" t="s">
        <v>3531</v>
      </c>
      <c r="V2305" s="2" t="s">
        <v>1752</v>
      </c>
      <c r="W2305" s="2" t="s">
        <v>602</v>
      </c>
      <c r="X2305" s="2" t="s">
        <v>1190</v>
      </c>
      <c r="Y2305" s="2" t="s">
        <v>6440</v>
      </c>
      <c r="Z2305" s="4">
        <v>41</v>
      </c>
      <c r="AA2305" s="4">
        <f>=ROUNDDOWN(102.5,0)</f>
      </c>
      <c r="AB2305" s="5">
        <v>0.4</v>
      </c>
      <c r="AC2305" s="2" t="s">
        <v>100</v>
      </c>
      <c r="AD2305" s="4"/>
      <c r="AE2305" s="4"/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/>
      <c r="AW2305" s="8"/>
      <c r="AX2305" s="4"/>
      <c r="AY2305" s="8"/>
      <c r="AZ2305" s="7"/>
      <c r="BA2305" s="7"/>
      <c r="BB2305" s="7"/>
      <c r="BC2305" s="4"/>
      <c r="BD2305" s="8"/>
      <c r="BE2305" s="4"/>
      <c r="BF2305" s="8"/>
      <c r="BG2305" s="7"/>
      <c r="BH2305" s="7"/>
      <c r="BI2305" s="7"/>
      <c r="BJ2305" s="4">
        <v>16</v>
      </c>
      <c r="BK2305" s="8">
        <v>3729.02</v>
      </c>
      <c r="BL2305" s="2" t="s">
        <v>8295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147</v>
      </c>
      <c r="BV2305" s="2" t="s">
        <v>97</v>
      </c>
      <c r="BW2305" s="2" t="s">
        <v>100</v>
      </c>
      <c r="BX2305" s="2" t="s">
        <v>100</v>
      </c>
      <c r="BY2305" s="2" t="s">
        <v>112</v>
      </c>
      <c r="BZ2305" s="2" t="s">
        <v>100</v>
      </c>
    </row>
    <row r="2306">
      <c r="A2306" s="2" t="s">
        <v>8296</v>
      </c>
      <c r="B2306" s="2" t="s">
        <v>7252</v>
      </c>
      <c r="C2306" s="2" t="s">
        <v>88</v>
      </c>
      <c r="D2306" s="2" t="s">
        <v>8158</v>
      </c>
      <c r="E2306" s="2" t="s">
        <v>8297</v>
      </c>
      <c r="F2306" s="2" t="s">
        <v>8298</v>
      </c>
      <c r="G2306" s="2" t="s">
        <v>8299</v>
      </c>
      <c r="H2306" s="2" t="s">
        <v>8300</v>
      </c>
      <c r="I2306" s="2" t="s">
        <v>8301</v>
      </c>
      <c r="J2306" s="2" t="s">
        <v>6103</v>
      </c>
      <c r="K2306" s="2" t="s">
        <v>2367</v>
      </c>
      <c r="L2306" s="3">
        <v>282.15</v>
      </c>
      <c r="M2306" s="3">
        <v>296.26</v>
      </c>
      <c r="N2306" s="3">
        <v>599</v>
      </c>
      <c r="O2306" s="2" t="s">
        <v>97</v>
      </c>
      <c r="P2306" s="2" t="s">
        <v>143</v>
      </c>
      <c r="Q2306" s="2" t="s">
        <v>99</v>
      </c>
      <c r="R2306" s="2" t="s">
        <v>100</v>
      </c>
      <c r="S2306" s="2" t="s">
        <v>8302</v>
      </c>
      <c r="T2306" s="2" t="s">
        <v>100</v>
      </c>
      <c r="U2306" s="2" t="s">
        <v>100</v>
      </c>
      <c r="V2306" s="2" t="s">
        <v>601</v>
      </c>
      <c r="W2306" s="2" t="s">
        <v>104</v>
      </c>
      <c r="X2306" s="2" t="s">
        <v>100</v>
      </c>
      <c r="Y2306" s="2" t="s">
        <v>8303</v>
      </c>
      <c r="Z2306" s="4">
        <v>256</v>
      </c>
      <c r="AA2306" s="4">
        <f>=ROUNDDOWN(18.2857142857143,0)</f>
      </c>
      <c r="AB2306" s="5">
        <v>14</v>
      </c>
      <c r="AC2306" s="2" t="s">
        <v>430</v>
      </c>
      <c r="AD2306" s="4">
        <v>270</v>
      </c>
      <c r="AE2306" s="4">
        <v>270</v>
      </c>
      <c r="AF2306" s="6">
        <v>66</v>
      </c>
      <c r="AG2306" s="6">
        <v>49</v>
      </c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>
        <v>0</v>
      </c>
      <c r="AP2306" s="4">
        <v>14</v>
      </c>
      <c r="AQ2306" s="8">
        <v>3498.6</v>
      </c>
      <c r="AR2306" s="4">
        <v>44</v>
      </c>
      <c r="AS2306" s="8">
        <v>12575.47</v>
      </c>
      <c r="AT2306" s="7">
        <v>-0.6818</v>
      </c>
      <c r="AU2306" s="7">
        <v>-0.7218</v>
      </c>
      <c r="AV2306" s="4">
        <v>14</v>
      </c>
      <c r="AW2306" s="8">
        <v>3498.6</v>
      </c>
      <c r="AX2306" s="4">
        <v>44</v>
      </c>
      <c r="AY2306" s="8">
        <v>12575.47</v>
      </c>
      <c r="AZ2306" s="7">
        <v>-0.6818</v>
      </c>
      <c r="BA2306" s="7">
        <v>-0.7218</v>
      </c>
      <c r="BB2306" s="7">
        <v>1</v>
      </c>
      <c r="BC2306" s="4">
        <v>14</v>
      </c>
      <c r="BD2306" s="8">
        <v>3498.6</v>
      </c>
      <c r="BE2306" s="4">
        <v>44</v>
      </c>
      <c r="BF2306" s="8">
        <v>12575.47</v>
      </c>
      <c r="BG2306" s="7">
        <v>-0.6818</v>
      </c>
      <c r="BH2306" s="7">
        <v>-0.7218</v>
      </c>
      <c r="BI2306" s="7">
        <v>1</v>
      </c>
      <c r="BJ2306" s="4">
        <v>345</v>
      </c>
      <c r="BK2306" s="8">
        <v>94284.84</v>
      </c>
      <c r="BL2306" s="2" t="s">
        <v>8304</v>
      </c>
      <c r="BM2306" s="7">
        <v>0.0406</v>
      </c>
      <c r="BN2306" s="7">
        <v>0.0371</v>
      </c>
      <c r="BO2306" s="4">
        <v>14</v>
      </c>
      <c r="BP2306" s="8">
        <v>3498.6</v>
      </c>
      <c r="BQ2306" s="4">
        <v>44</v>
      </c>
      <c r="BR2306" s="8">
        <v>12575.47</v>
      </c>
      <c r="BS2306" s="7">
        <v>-0.6818</v>
      </c>
      <c r="BT2306" s="7">
        <v>-0.7218</v>
      </c>
      <c r="BU2306" s="2" t="s">
        <v>109</v>
      </c>
      <c r="BV2306" s="2" t="s">
        <v>97</v>
      </c>
      <c r="BW2306" s="2" t="s">
        <v>8305</v>
      </c>
      <c r="BX2306" s="2" t="s">
        <v>8306</v>
      </c>
      <c r="BY2306" s="2" t="s">
        <v>112</v>
      </c>
      <c r="BZ2306" s="2" t="s">
        <v>100</v>
      </c>
    </row>
    <row r="2307">
      <c r="A2307" s="2" t="s">
        <v>8307</v>
      </c>
      <c r="B2307" s="2" t="s">
        <v>7252</v>
      </c>
      <c r="C2307" s="2" t="s">
        <v>88</v>
      </c>
      <c r="D2307" s="2" t="s">
        <v>8158</v>
      </c>
      <c r="E2307" s="2" t="s">
        <v>8297</v>
      </c>
      <c r="F2307" s="2" t="s">
        <v>8298</v>
      </c>
      <c r="G2307" s="2" t="s">
        <v>8299</v>
      </c>
      <c r="H2307" s="2" t="s">
        <v>8300</v>
      </c>
      <c r="I2307" s="2" t="s">
        <v>8297</v>
      </c>
      <c r="J2307" s="2" t="s">
        <v>6103</v>
      </c>
      <c r="K2307" s="2" t="s">
        <v>158</v>
      </c>
      <c r="L2307" s="3">
        <v>282.15</v>
      </c>
      <c r="M2307" s="3">
        <v>296.26</v>
      </c>
      <c r="N2307" s="3">
        <v>599</v>
      </c>
      <c r="O2307" s="2" t="s">
        <v>97</v>
      </c>
      <c r="P2307" s="2" t="s">
        <v>182</v>
      </c>
      <c r="Q2307" s="2" t="s">
        <v>99</v>
      </c>
      <c r="R2307" s="2" t="s">
        <v>100</v>
      </c>
      <c r="S2307" s="2" t="s">
        <v>100</v>
      </c>
      <c r="T2307" s="2" t="s">
        <v>100</v>
      </c>
      <c r="U2307" s="2" t="s">
        <v>3531</v>
      </c>
      <c r="V2307" s="2" t="s">
        <v>601</v>
      </c>
      <c r="W2307" s="2" t="s">
        <v>104</v>
      </c>
      <c r="X2307" s="2" t="s">
        <v>405</v>
      </c>
      <c r="Y2307" s="2" t="s">
        <v>8308</v>
      </c>
      <c r="Z2307" s="4">
        <v>83</v>
      </c>
      <c r="AA2307" s="4">
        <f>=ROUNDDOWN(13.8333333333333,0)</f>
      </c>
      <c r="AB2307" s="5">
        <v>6</v>
      </c>
      <c r="AC2307" s="2" t="s">
        <v>936</v>
      </c>
      <c r="AD2307" s="4">
        <v>114</v>
      </c>
      <c r="AE2307" s="4">
        <v>114</v>
      </c>
      <c r="AF2307" s="6">
        <v>66</v>
      </c>
      <c r="AG2307" s="6">
        <v>49</v>
      </c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146</v>
      </c>
      <c r="BK2307" s="8">
        <v>38084.11</v>
      </c>
      <c r="BL2307" s="2" t="s">
        <v>8309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6185</v>
      </c>
      <c r="BV2307" s="2" t="s">
        <v>97</v>
      </c>
      <c r="BW2307" s="2" t="s">
        <v>100</v>
      </c>
      <c r="BX2307" s="2" t="s">
        <v>100</v>
      </c>
      <c r="BY2307" s="2" t="s">
        <v>112</v>
      </c>
      <c r="BZ2307" s="2" t="s">
        <v>100</v>
      </c>
    </row>
    <row r="2308">
      <c r="A2308" s="2" t="s">
        <v>8310</v>
      </c>
      <c r="B2308" s="2" t="s">
        <v>7252</v>
      </c>
      <c r="C2308" s="2" t="s">
        <v>88</v>
      </c>
      <c r="D2308" s="2" t="s">
        <v>8158</v>
      </c>
      <c r="E2308" s="2" t="s">
        <v>8297</v>
      </c>
      <c r="F2308" s="2" t="s">
        <v>8298</v>
      </c>
      <c r="G2308" s="2" t="s">
        <v>8299</v>
      </c>
      <c r="H2308" s="2" t="s">
        <v>8300</v>
      </c>
      <c r="I2308" s="2" t="s">
        <v>8301</v>
      </c>
      <c r="J2308" s="2" t="s">
        <v>6103</v>
      </c>
      <c r="K2308" s="2" t="s">
        <v>333</v>
      </c>
      <c r="L2308" s="3">
        <v>282.15</v>
      </c>
      <c r="M2308" s="3">
        <v>296.26</v>
      </c>
      <c r="N2308" s="3">
        <v>599</v>
      </c>
      <c r="O2308" s="2" t="s">
        <v>97</v>
      </c>
      <c r="P2308" s="2" t="s">
        <v>182</v>
      </c>
      <c r="Q2308" s="2" t="s">
        <v>99</v>
      </c>
      <c r="R2308" s="2" t="s">
        <v>100</v>
      </c>
      <c r="S2308" s="2" t="s">
        <v>100</v>
      </c>
      <c r="T2308" s="2" t="s">
        <v>100</v>
      </c>
      <c r="U2308" s="2" t="s">
        <v>3531</v>
      </c>
      <c r="V2308" s="2" t="s">
        <v>601</v>
      </c>
      <c r="W2308" s="2" t="s">
        <v>104</v>
      </c>
      <c r="X2308" s="2" t="s">
        <v>100</v>
      </c>
      <c r="Y2308" s="2" t="s">
        <v>8311</v>
      </c>
      <c r="Z2308" s="4">
        <v>231</v>
      </c>
      <c r="AA2308" s="4">
        <f>=ROUNDDOWN(38.5,0)</f>
      </c>
      <c r="AB2308" s="5">
        <v>6</v>
      </c>
      <c r="AC2308" s="2" t="s">
        <v>100</v>
      </c>
      <c r="AD2308" s="4"/>
      <c r="AE2308" s="4"/>
      <c r="AF2308" s="6">
        <v>66</v>
      </c>
      <c r="AG2308" s="6">
        <v>49</v>
      </c>
      <c r="AH2308" s="7">
        <v>0.9515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132</v>
      </c>
      <c r="BK2308" s="8">
        <v>33485.18</v>
      </c>
      <c r="BL2308" s="2" t="s">
        <v>8312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6185</v>
      </c>
      <c r="BV2308" s="2" t="s">
        <v>97</v>
      </c>
      <c r="BW2308" s="2" t="s">
        <v>100</v>
      </c>
      <c r="BX2308" s="2" t="s">
        <v>100</v>
      </c>
      <c r="BY2308" s="2" t="s">
        <v>112</v>
      </c>
      <c r="BZ2308" s="2" t="s">
        <v>100</v>
      </c>
    </row>
    <row r="2309">
      <c r="A2309" s="2" t="s">
        <v>8313</v>
      </c>
      <c r="B2309" s="2" t="s">
        <v>7252</v>
      </c>
      <c r="C2309" s="2" t="s">
        <v>88</v>
      </c>
      <c r="D2309" s="2" t="s">
        <v>8158</v>
      </c>
      <c r="E2309" s="2" t="s">
        <v>8297</v>
      </c>
      <c r="F2309" s="2" t="s">
        <v>8314</v>
      </c>
      <c r="G2309" s="2" t="s">
        <v>8315</v>
      </c>
      <c r="H2309" s="2" t="s">
        <v>8316</v>
      </c>
      <c r="I2309" s="2" t="s">
        <v>8301</v>
      </c>
      <c r="J2309" s="2" t="s">
        <v>6103</v>
      </c>
      <c r="K2309" s="2" t="s">
        <v>7611</v>
      </c>
      <c r="L2309" s="3">
        <v>270.75</v>
      </c>
      <c r="M2309" s="3">
        <v>284.29</v>
      </c>
      <c r="N2309" s="3">
        <v>569</v>
      </c>
      <c r="O2309" s="2" t="s">
        <v>97</v>
      </c>
      <c r="P2309" s="2" t="s">
        <v>182</v>
      </c>
      <c r="Q2309" s="2" t="s">
        <v>99</v>
      </c>
      <c r="R2309" s="2" t="s">
        <v>100</v>
      </c>
      <c r="S2309" s="2" t="s">
        <v>8317</v>
      </c>
      <c r="T2309" s="2" t="s">
        <v>100</v>
      </c>
      <c r="U2309" s="2" t="s">
        <v>100</v>
      </c>
      <c r="V2309" s="2" t="s">
        <v>601</v>
      </c>
      <c r="W2309" s="2" t="s">
        <v>104</v>
      </c>
      <c r="X2309" s="2" t="s">
        <v>100</v>
      </c>
      <c r="Y2309" s="2" t="s">
        <v>3105</v>
      </c>
      <c r="Z2309" s="4">
        <v>64</v>
      </c>
      <c r="AA2309" s="4">
        <f>=ROUNDDOWN(9.14285714285714,0)</f>
      </c>
      <c r="AB2309" s="5">
        <v>7</v>
      </c>
      <c r="AC2309" s="2" t="s">
        <v>430</v>
      </c>
      <c r="AD2309" s="4">
        <v>100</v>
      </c>
      <c r="AE2309" s="4">
        <v>183</v>
      </c>
      <c r="AF2309" s="6">
        <v>66</v>
      </c>
      <c r="AG2309" s="6">
        <v>49</v>
      </c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>
        <v>0</v>
      </c>
      <c r="AP2309" s="4">
        <v>12</v>
      </c>
      <c r="AQ2309" s="8">
        <v>3000</v>
      </c>
      <c r="AR2309" s="4">
        <v>25</v>
      </c>
      <c r="AS2309" s="8">
        <v>6699</v>
      </c>
      <c r="AT2309" s="7">
        <v>-0.52</v>
      </c>
      <c r="AU2309" s="7">
        <v>-0.5522</v>
      </c>
      <c r="AV2309" s="4">
        <v>12</v>
      </c>
      <c r="AW2309" s="8">
        <v>3000</v>
      </c>
      <c r="AX2309" s="4">
        <v>25</v>
      </c>
      <c r="AY2309" s="8">
        <v>6699</v>
      </c>
      <c r="AZ2309" s="7">
        <v>-0.52</v>
      </c>
      <c r="BA2309" s="7">
        <v>-0.5522</v>
      </c>
      <c r="BB2309" s="7">
        <v>1</v>
      </c>
      <c r="BC2309" s="4">
        <v>12</v>
      </c>
      <c r="BD2309" s="8">
        <v>3000</v>
      </c>
      <c r="BE2309" s="4">
        <v>25</v>
      </c>
      <c r="BF2309" s="8">
        <v>6699</v>
      </c>
      <c r="BG2309" s="7">
        <v>-0.52</v>
      </c>
      <c r="BH2309" s="7">
        <v>-0.5522</v>
      </c>
      <c r="BI2309" s="7">
        <v>1</v>
      </c>
      <c r="BJ2309" s="4">
        <v>165</v>
      </c>
      <c r="BK2309" s="8">
        <v>42926.41</v>
      </c>
      <c r="BL2309" s="2" t="s">
        <v>8318</v>
      </c>
      <c r="BM2309" s="7">
        <v>0.0727</v>
      </c>
      <c r="BN2309" s="7">
        <v>0.0699</v>
      </c>
      <c r="BO2309" s="4">
        <v>12</v>
      </c>
      <c r="BP2309" s="8">
        <v>3000</v>
      </c>
      <c r="BQ2309" s="4">
        <v>25</v>
      </c>
      <c r="BR2309" s="8">
        <v>6699</v>
      </c>
      <c r="BS2309" s="7">
        <v>-0.52</v>
      </c>
      <c r="BT2309" s="7">
        <v>-0.5522</v>
      </c>
      <c r="BU2309" s="2" t="s">
        <v>109</v>
      </c>
      <c r="BV2309" s="2" t="s">
        <v>97</v>
      </c>
      <c r="BW2309" s="2" t="s">
        <v>8319</v>
      </c>
      <c r="BX2309" s="2" t="s">
        <v>8172</v>
      </c>
      <c r="BY2309" s="2" t="s">
        <v>112</v>
      </c>
      <c r="BZ2309" s="2" t="s">
        <v>100</v>
      </c>
    </row>
    <row r="2310">
      <c r="A2310" s="2" t="s">
        <v>8320</v>
      </c>
      <c r="B2310" s="2" t="s">
        <v>7252</v>
      </c>
      <c r="C2310" s="2" t="s">
        <v>88</v>
      </c>
      <c r="D2310" s="2" t="s">
        <v>8158</v>
      </c>
      <c r="E2310" s="2" t="s">
        <v>8297</v>
      </c>
      <c r="F2310" s="2" t="s">
        <v>8321</v>
      </c>
      <c r="G2310" s="2" t="s">
        <v>8322</v>
      </c>
      <c r="H2310" s="2" t="s">
        <v>8323</v>
      </c>
      <c r="I2310" s="2" t="s">
        <v>8301</v>
      </c>
      <c r="J2310" s="2" t="s">
        <v>6103</v>
      </c>
      <c r="K2310" s="2" t="s">
        <v>8324</v>
      </c>
      <c r="L2310" s="3">
        <v>270.75</v>
      </c>
      <c r="M2310" s="3">
        <v>284.29</v>
      </c>
      <c r="N2310" s="3">
        <v>569</v>
      </c>
      <c r="O2310" s="2" t="s">
        <v>97</v>
      </c>
      <c r="P2310" s="2" t="s">
        <v>182</v>
      </c>
      <c r="Q2310" s="2" t="s">
        <v>99</v>
      </c>
      <c r="R2310" s="2" t="s">
        <v>100</v>
      </c>
      <c r="S2310" s="2" t="s">
        <v>100</v>
      </c>
      <c r="T2310" s="2" t="s">
        <v>100</v>
      </c>
      <c r="U2310" s="2" t="s">
        <v>3531</v>
      </c>
      <c r="V2310" s="2" t="s">
        <v>991</v>
      </c>
      <c r="W2310" s="2" t="s">
        <v>104</v>
      </c>
      <c r="X2310" s="2" t="s">
        <v>405</v>
      </c>
      <c r="Y2310" s="2" t="s">
        <v>8325</v>
      </c>
      <c r="Z2310" s="4">
        <v>162</v>
      </c>
      <c r="AA2310" s="4">
        <f>=ROUNDDOWN(16.2,0)</f>
      </c>
      <c r="AB2310" s="5">
        <v>10</v>
      </c>
      <c r="AC2310" s="2" t="s">
        <v>382</v>
      </c>
      <c r="AD2310" s="4">
        <v>150</v>
      </c>
      <c r="AE2310" s="4">
        <v>150</v>
      </c>
      <c r="AF2310" s="6">
        <v>66</v>
      </c>
      <c r="AG2310" s="6">
        <v>49</v>
      </c>
      <c r="AH2310" s="7">
        <v>0.4242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>
        <v>0</v>
      </c>
      <c r="AP2310" s="4">
        <v>4</v>
      </c>
      <c r="AQ2310" s="8">
        <v>960</v>
      </c>
      <c r="AR2310" s="4">
        <v>33</v>
      </c>
      <c r="AS2310" s="8">
        <v>9140.4</v>
      </c>
      <c r="AT2310" s="7">
        <v>-0.8788</v>
      </c>
      <c r="AU2310" s="7">
        <v>-0.895</v>
      </c>
      <c r="AV2310" s="4">
        <v>4</v>
      </c>
      <c r="AW2310" s="8">
        <v>960</v>
      </c>
      <c r="AX2310" s="4">
        <v>33</v>
      </c>
      <c r="AY2310" s="8">
        <v>9140.4</v>
      </c>
      <c r="AZ2310" s="7">
        <v>-0.8788</v>
      </c>
      <c r="BA2310" s="7">
        <v>-0.895</v>
      </c>
      <c r="BB2310" s="7">
        <v>1</v>
      </c>
      <c r="BC2310" s="4">
        <v>4</v>
      </c>
      <c r="BD2310" s="8">
        <v>960</v>
      </c>
      <c r="BE2310" s="4">
        <v>33</v>
      </c>
      <c r="BF2310" s="8">
        <v>9140.4</v>
      </c>
      <c r="BG2310" s="7">
        <v>-0.8788</v>
      </c>
      <c r="BH2310" s="7">
        <v>-0.895</v>
      </c>
      <c r="BI2310" s="7">
        <v>1</v>
      </c>
      <c r="BJ2310" s="4">
        <v>101</v>
      </c>
      <c r="BK2310" s="8">
        <v>21731.98</v>
      </c>
      <c r="BL2310" s="2" t="s">
        <v>8326</v>
      </c>
      <c r="BM2310" s="7">
        <v>0.0396</v>
      </c>
      <c r="BN2310" s="7">
        <v>0.0442</v>
      </c>
      <c r="BO2310" s="4">
        <v>4</v>
      </c>
      <c r="BP2310" s="8">
        <v>960</v>
      </c>
      <c r="BQ2310" s="4">
        <v>33</v>
      </c>
      <c r="BR2310" s="8">
        <v>9140.4</v>
      </c>
      <c r="BS2310" s="7">
        <v>-0.8788</v>
      </c>
      <c r="BT2310" s="7">
        <v>-0.895</v>
      </c>
      <c r="BU2310" s="2" t="s">
        <v>109</v>
      </c>
      <c r="BV2310" s="2" t="s">
        <v>97</v>
      </c>
      <c r="BW2310" s="2" t="s">
        <v>573</v>
      </c>
      <c r="BX2310" s="2" t="s">
        <v>5487</v>
      </c>
      <c r="BY2310" s="2" t="s">
        <v>112</v>
      </c>
      <c r="BZ2310" s="2" t="s">
        <v>100</v>
      </c>
    </row>
    <row r="2311">
      <c r="A2311" s="2" t="s">
        <v>8327</v>
      </c>
      <c r="B2311" s="2" t="s">
        <v>7252</v>
      </c>
      <c r="C2311" s="2" t="s">
        <v>88</v>
      </c>
      <c r="D2311" s="2" t="s">
        <v>8158</v>
      </c>
      <c r="E2311" s="2" t="s">
        <v>8297</v>
      </c>
      <c r="F2311" s="2" t="s">
        <v>8321</v>
      </c>
      <c r="G2311" s="2" t="s">
        <v>8322</v>
      </c>
      <c r="H2311" s="2" t="s">
        <v>8323</v>
      </c>
      <c r="I2311" s="2" t="s">
        <v>8301</v>
      </c>
      <c r="J2311" s="2" t="s">
        <v>6103</v>
      </c>
      <c r="K2311" s="2" t="s">
        <v>333</v>
      </c>
      <c r="L2311" s="3">
        <v>270.75</v>
      </c>
      <c r="M2311" s="3">
        <v>284.29</v>
      </c>
      <c r="N2311" s="3">
        <v>569</v>
      </c>
      <c r="O2311" s="2" t="s">
        <v>97</v>
      </c>
      <c r="P2311" s="2" t="s">
        <v>182</v>
      </c>
      <c r="Q2311" s="2" t="s">
        <v>99</v>
      </c>
      <c r="R2311" s="2" t="s">
        <v>100</v>
      </c>
      <c r="S2311" s="2" t="s">
        <v>8328</v>
      </c>
      <c r="T2311" s="2" t="s">
        <v>100</v>
      </c>
      <c r="U2311" s="2" t="s">
        <v>100</v>
      </c>
      <c r="V2311" s="2" t="s">
        <v>3244</v>
      </c>
      <c r="W2311" s="2" t="s">
        <v>104</v>
      </c>
      <c r="X2311" s="2" t="s">
        <v>100</v>
      </c>
      <c r="Y2311" s="2" t="s">
        <v>8303</v>
      </c>
      <c r="Z2311" s="4">
        <v>100</v>
      </c>
      <c r="AA2311" s="4">
        <f>=ROUNDDOWN(16.6666666666667,0)</f>
      </c>
      <c r="AB2311" s="5">
        <v>6</v>
      </c>
      <c r="AC2311" s="2" t="s">
        <v>382</v>
      </c>
      <c r="AD2311" s="4">
        <v>98</v>
      </c>
      <c r="AE2311" s="4">
        <v>150</v>
      </c>
      <c r="AF2311" s="6">
        <v>66</v>
      </c>
      <c r="AG2311" s="6">
        <v>49</v>
      </c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/>
      <c r="AW2311" s="8"/>
      <c r="AX2311" s="4"/>
      <c r="AY2311" s="8"/>
      <c r="AZ2311" s="7"/>
      <c r="BA2311" s="7"/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205</v>
      </c>
      <c r="BK2311" s="8">
        <v>52006.42</v>
      </c>
      <c r="BL2311" s="2" t="s">
        <v>8329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6185</v>
      </c>
      <c r="BV2311" s="2" t="s">
        <v>97</v>
      </c>
      <c r="BW2311" s="2" t="s">
        <v>100</v>
      </c>
      <c r="BX2311" s="2" t="s">
        <v>100</v>
      </c>
      <c r="BY2311" s="2" t="s">
        <v>112</v>
      </c>
      <c r="BZ2311" s="2" t="s">
        <v>100</v>
      </c>
    </row>
    <row r="2312">
      <c r="A2312" s="2" t="s">
        <v>8330</v>
      </c>
      <c r="B2312" s="2" t="s">
        <v>7252</v>
      </c>
      <c r="C2312" s="2" t="s">
        <v>88</v>
      </c>
      <c r="D2312" s="2" t="s">
        <v>8158</v>
      </c>
      <c r="E2312" s="2" t="s">
        <v>8297</v>
      </c>
      <c r="F2312" s="2" t="s">
        <v>8331</v>
      </c>
      <c r="G2312" s="2" t="s">
        <v>8332</v>
      </c>
      <c r="H2312" s="2" t="s">
        <v>8333</v>
      </c>
      <c r="I2312" s="2" t="s">
        <v>8301</v>
      </c>
      <c r="J2312" s="2" t="s">
        <v>6103</v>
      </c>
      <c r="K2312" s="2" t="s">
        <v>7362</v>
      </c>
      <c r="L2312" s="3">
        <v>261.25</v>
      </c>
      <c r="M2312" s="3">
        <v>274.31</v>
      </c>
      <c r="N2312" s="3">
        <v>549</v>
      </c>
      <c r="O2312" s="2" t="s">
        <v>97</v>
      </c>
      <c r="P2312" s="2" t="s">
        <v>182</v>
      </c>
      <c r="Q2312" s="2" t="s">
        <v>99</v>
      </c>
      <c r="R2312" s="2" t="s">
        <v>100</v>
      </c>
      <c r="S2312" s="2" t="s">
        <v>8334</v>
      </c>
      <c r="T2312" s="2" t="s">
        <v>100</v>
      </c>
      <c r="U2312" s="2" t="s">
        <v>100</v>
      </c>
      <c r="V2312" s="2" t="s">
        <v>601</v>
      </c>
      <c r="W2312" s="2" t="s">
        <v>104</v>
      </c>
      <c r="X2312" s="2" t="s">
        <v>100</v>
      </c>
      <c r="Y2312" s="2" t="s">
        <v>8335</v>
      </c>
      <c r="Z2312" s="4">
        <v>30</v>
      </c>
      <c r="AA2312" s="4">
        <f>=ROUNDDOWN(10,0)</f>
      </c>
      <c r="AB2312" s="5">
        <v>3</v>
      </c>
      <c r="AC2312" s="2" t="s">
        <v>107</v>
      </c>
      <c r="AD2312" s="4">
        <v>81</v>
      </c>
      <c r="AE2312" s="4">
        <v>213</v>
      </c>
      <c r="AF2312" s="6">
        <v>66</v>
      </c>
      <c r="AG2312" s="6">
        <v>49</v>
      </c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>
        <v>0</v>
      </c>
      <c r="AP2312" s="4">
        <v>5</v>
      </c>
      <c r="AQ2312" s="8">
        <v>937.5</v>
      </c>
      <c r="AR2312" s="4">
        <v>21</v>
      </c>
      <c r="AS2312" s="8">
        <v>4545</v>
      </c>
      <c r="AT2312" s="7">
        <v>-0.7619</v>
      </c>
      <c r="AU2312" s="7">
        <v>-0.7937</v>
      </c>
      <c r="AV2312" s="4">
        <v>5</v>
      </c>
      <c r="AW2312" s="8">
        <v>937.5</v>
      </c>
      <c r="AX2312" s="4">
        <v>21</v>
      </c>
      <c r="AY2312" s="8">
        <v>4545</v>
      </c>
      <c r="AZ2312" s="7">
        <v>-0.7619</v>
      </c>
      <c r="BA2312" s="7">
        <v>-0.7937</v>
      </c>
      <c r="BB2312" s="7">
        <v>1</v>
      </c>
      <c r="BC2312" s="4">
        <v>5</v>
      </c>
      <c r="BD2312" s="8">
        <v>937.5</v>
      </c>
      <c r="BE2312" s="4">
        <v>21</v>
      </c>
      <c r="BF2312" s="8">
        <v>4545</v>
      </c>
      <c r="BG2312" s="7">
        <v>-0.7619</v>
      </c>
      <c r="BH2312" s="7">
        <v>-0.7937</v>
      </c>
      <c r="BI2312" s="7">
        <v>1</v>
      </c>
      <c r="BJ2312" s="4">
        <v>148</v>
      </c>
      <c r="BK2312" s="8">
        <v>35967</v>
      </c>
      <c r="BL2312" s="2" t="s">
        <v>8336</v>
      </c>
      <c r="BM2312" s="7">
        <v>0.0338</v>
      </c>
      <c r="BN2312" s="7">
        <v>0.0261</v>
      </c>
      <c r="BO2312" s="4">
        <v>5</v>
      </c>
      <c r="BP2312" s="8">
        <v>937.5</v>
      </c>
      <c r="BQ2312" s="4">
        <v>21</v>
      </c>
      <c r="BR2312" s="8">
        <v>4545</v>
      </c>
      <c r="BS2312" s="7">
        <v>-0.7619</v>
      </c>
      <c r="BT2312" s="7">
        <v>-0.7937</v>
      </c>
      <c r="BU2312" s="2" t="s">
        <v>109</v>
      </c>
      <c r="BV2312" s="2" t="s">
        <v>97</v>
      </c>
      <c r="BW2312" s="2" t="s">
        <v>8172</v>
      </c>
      <c r="BX2312" s="2" t="s">
        <v>391</v>
      </c>
      <c r="BY2312" s="2" t="s">
        <v>112</v>
      </c>
      <c r="BZ2312" s="2" t="s">
        <v>100</v>
      </c>
    </row>
    <row r="2313">
      <c r="A2313" s="2" t="s">
        <v>8337</v>
      </c>
      <c r="B2313" s="2" t="s">
        <v>7252</v>
      </c>
      <c r="C2313" s="2" t="s">
        <v>88</v>
      </c>
      <c r="D2313" s="2" t="s">
        <v>8158</v>
      </c>
      <c r="E2313" s="2" t="s">
        <v>8297</v>
      </c>
      <c r="F2313" s="2" t="s">
        <v>8338</v>
      </c>
      <c r="G2313" s="2" t="s">
        <v>8339</v>
      </c>
      <c r="H2313" s="2" t="s">
        <v>8340</v>
      </c>
      <c r="I2313" s="2" t="s">
        <v>8301</v>
      </c>
      <c r="J2313" s="2" t="s">
        <v>6103</v>
      </c>
      <c r="K2313" s="2" t="s">
        <v>333</v>
      </c>
      <c r="L2313" s="3">
        <v>217.8</v>
      </c>
      <c r="M2313" s="3">
        <v>228.69</v>
      </c>
      <c r="N2313" s="3">
        <v>459</v>
      </c>
      <c r="O2313" s="2" t="s">
        <v>97</v>
      </c>
      <c r="P2313" s="2" t="s">
        <v>1265</v>
      </c>
      <c r="Q2313" s="2" t="s">
        <v>99</v>
      </c>
      <c r="R2313" s="2" t="s">
        <v>100</v>
      </c>
      <c r="S2313" s="2" t="s">
        <v>100</v>
      </c>
      <c r="T2313" s="2" t="s">
        <v>100</v>
      </c>
      <c r="U2313" s="2" t="s">
        <v>3531</v>
      </c>
      <c r="V2313" s="2" t="s">
        <v>1752</v>
      </c>
      <c r="W2313" s="2" t="s">
        <v>104</v>
      </c>
      <c r="X2313" s="2" t="s">
        <v>759</v>
      </c>
      <c r="Y2313" s="2" t="s">
        <v>8341</v>
      </c>
      <c r="Z2313" s="4">
        <v>106</v>
      </c>
      <c r="AA2313" s="4">
        <f>=ROUNDDOWN(35.3333333333333,0)</f>
      </c>
      <c r="AB2313" s="5">
        <v>3</v>
      </c>
      <c r="AC2313" s="2" t="s">
        <v>100</v>
      </c>
      <c r="AD2313" s="4"/>
      <c r="AE2313" s="4"/>
      <c r="AF2313" s="6">
        <v>66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>
        <v>0</v>
      </c>
      <c r="AP2313" s="4">
        <v>4</v>
      </c>
      <c r="AQ2313" s="8">
        <v>837.92</v>
      </c>
      <c r="AR2313" s="4">
        <v>11</v>
      </c>
      <c r="AS2313" s="8">
        <v>2407.14</v>
      </c>
      <c r="AT2313" s="7">
        <v>-0.6364</v>
      </c>
      <c r="AU2313" s="7">
        <v>-0.6519</v>
      </c>
      <c r="AV2313" s="4">
        <v>4</v>
      </c>
      <c r="AW2313" s="8">
        <v>837.92</v>
      </c>
      <c r="AX2313" s="4">
        <v>11</v>
      </c>
      <c r="AY2313" s="8">
        <v>2407.14</v>
      </c>
      <c r="AZ2313" s="7">
        <v>-0.6364</v>
      </c>
      <c r="BA2313" s="7">
        <v>-0.6519</v>
      </c>
      <c r="BB2313" s="7">
        <v>1</v>
      </c>
      <c r="BC2313" s="4">
        <v>4</v>
      </c>
      <c r="BD2313" s="8">
        <v>837.92</v>
      </c>
      <c r="BE2313" s="4">
        <v>11</v>
      </c>
      <c r="BF2313" s="8">
        <v>2407.14</v>
      </c>
      <c r="BG2313" s="7">
        <v>-0.6364</v>
      </c>
      <c r="BH2313" s="7">
        <v>-0.6519</v>
      </c>
      <c r="BI2313" s="7">
        <v>1</v>
      </c>
      <c r="BJ2313" s="4">
        <v>92</v>
      </c>
      <c r="BK2313" s="8">
        <v>20500.38</v>
      </c>
      <c r="BL2313" s="2" t="s">
        <v>8342</v>
      </c>
      <c r="BM2313" s="7">
        <v>0.0435</v>
      </c>
      <c r="BN2313" s="7">
        <v>0.0409</v>
      </c>
      <c r="BO2313" s="4">
        <v>4</v>
      </c>
      <c r="BP2313" s="8">
        <v>837.92</v>
      </c>
      <c r="BQ2313" s="4">
        <v>11</v>
      </c>
      <c r="BR2313" s="8">
        <v>2407.14</v>
      </c>
      <c r="BS2313" s="7">
        <v>-0.6364</v>
      </c>
      <c r="BT2313" s="7">
        <v>-0.6519</v>
      </c>
      <c r="BU2313" s="2" t="s">
        <v>109</v>
      </c>
      <c r="BV2313" s="2" t="s">
        <v>97</v>
      </c>
      <c r="BW2313" s="2" t="s">
        <v>7676</v>
      </c>
      <c r="BX2313" s="2" t="s">
        <v>8343</v>
      </c>
      <c r="BY2313" s="2" t="s">
        <v>112</v>
      </c>
      <c r="BZ2313" s="2" t="s">
        <v>100</v>
      </c>
    </row>
    <row r="2314">
      <c r="A2314" s="2" t="s">
        <v>8344</v>
      </c>
      <c r="B2314" s="2" t="s">
        <v>7252</v>
      </c>
      <c r="C2314" s="2" t="s">
        <v>88</v>
      </c>
      <c r="D2314" s="2" t="s">
        <v>8158</v>
      </c>
      <c r="E2314" s="2" t="s">
        <v>8297</v>
      </c>
      <c r="F2314" s="2" t="s">
        <v>8345</v>
      </c>
      <c r="G2314" s="2" t="s">
        <v>8346</v>
      </c>
      <c r="H2314" s="2" t="s">
        <v>8347</v>
      </c>
      <c r="I2314" s="2" t="s">
        <v>8301</v>
      </c>
      <c r="J2314" s="2" t="s">
        <v>6103</v>
      </c>
      <c r="K2314" s="2" t="s">
        <v>635</v>
      </c>
      <c r="L2314" s="3">
        <v>270.75</v>
      </c>
      <c r="M2314" s="3">
        <v>284.29</v>
      </c>
      <c r="N2314" s="3">
        <v>569</v>
      </c>
      <c r="O2314" s="2" t="s">
        <v>97</v>
      </c>
      <c r="P2314" s="2" t="s">
        <v>1265</v>
      </c>
      <c r="Q2314" s="2" t="s">
        <v>99</v>
      </c>
      <c r="R2314" s="2" t="s">
        <v>100</v>
      </c>
      <c r="S2314" s="2" t="s">
        <v>100</v>
      </c>
      <c r="T2314" s="2" t="s">
        <v>100</v>
      </c>
      <c r="U2314" s="2" t="s">
        <v>3531</v>
      </c>
      <c r="V2314" s="2" t="s">
        <v>601</v>
      </c>
      <c r="W2314" s="2" t="s">
        <v>104</v>
      </c>
      <c r="X2314" s="2" t="s">
        <v>100</v>
      </c>
      <c r="Y2314" s="2" t="s">
        <v>2841</v>
      </c>
      <c r="Z2314" s="4">
        <v>26</v>
      </c>
      <c r="AA2314" s="4">
        <f>=ROUNDDOWN(8.66666666666667,0)</f>
      </c>
      <c r="AB2314" s="5">
        <v>3</v>
      </c>
      <c r="AC2314" s="2" t="s">
        <v>107</v>
      </c>
      <c r="AD2314" s="4">
        <v>81</v>
      </c>
      <c r="AE2314" s="4">
        <v>81</v>
      </c>
      <c r="AF2314" s="6">
        <v>66</v>
      </c>
      <c r="AG2314" s="6">
        <v>49</v>
      </c>
      <c r="AH2314" s="7">
        <v>0.9758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>
        <v>0</v>
      </c>
      <c r="AP2314" s="4">
        <v>2</v>
      </c>
      <c r="AQ2314" s="8">
        <v>540.22</v>
      </c>
      <c r="AR2314" s="4">
        <v>14</v>
      </c>
      <c r="AS2314" s="8">
        <v>3512.81</v>
      </c>
      <c r="AT2314" s="7">
        <v>-0.8571</v>
      </c>
      <c r="AU2314" s="7">
        <v>-0.8462</v>
      </c>
      <c r="AV2314" s="4">
        <v>2</v>
      </c>
      <c r="AW2314" s="8">
        <v>540.22</v>
      </c>
      <c r="AX2314" s="4">
        <v>14</v>
      </c>
      <c r="AY2314" s="8">
        <v>3512.81</v>
      </c>
      <c r="AZ2314" s="7">
        <v>-0.8571</v>
      </c>
      <c r="BA2314" s="7">
        <v>-0.8462</v>
      </c>
      <c r="BB2314" s="7">
        <v>1</v>
      </c>
      <c r="BC2314" s="4">
        <v>2</v>
      </c>
      <c r="BD2314" s="8">
        <v>540.22</v>
      </c>
      <c r="BE2314" s="4">
        <v>14</v>
      </c>
      <c r="BF2314" s="8">
        <v>3512.81</v>
      </c>
      <c r="BG2314" s="7">
        <v>-0.8571</v>
      </c>
      <c r="BH2314" s="7">
        <v>-0.8462</v>
      </c>
      <c r="BI2314" s="7">
        <v>1</v>
      </c>
      <c r="BJ2314" s="4">
        <v>74</v>
      </c>
      <c r="BK2314" s="8">
        <v>19121.25</v>
      </c>
      <c r="BL2314" s="2" t="s">
        <v>8348</v>
      </c>
      <c r="BM2314" s="7">
        <v>0.027</v>
      </c>
      <c r="BN2314" s="7">
        <v>0.0283</v>
      </c>
      <c r="BO2314" s="4">
        <v>2</v>
      </c>
      <c r="BP2314" s="8">
        <v>540.22</v>
      </c>
      <c r="BQ2314" s="4">
        <v>14</v>
      </c>
      <c r="BR2314" s="8">
        <v>3512.81</v>
      </c>
      <c r="BS2314" s="7">
        <v>-0.8571</v>
      </c>
      <c r="BT2314" s="7">
        <v>-0.8462</v>
      </c>
      <c r="BU2314" s="2" t="s">
        <v>109</v>
      </c>
      <c r="BV2314" s="2" t="s">
        <v>97</v>
      </c>
      <c r="BW2314" s="2" t="s">
        <v>2841</v>
      </c>
      <c r="BX2314" s="2" t="s">
        <v>3110</v>
      </c>
      <c r="BY2314" s="2" t="s">
        <v>112</v>
      </c>
      <c r="BZ2314" s="2" t="s">
        <v>100</v>
      </c>
    </row>
    <row r="2315">
      <c r="A2315" s="2" t="s">
        <v>8349</v>
      </c>
      <c r="B2315" s="2" t="s">
        <v>7252</v>
      </c>
      <c r="C2315" s="2" t="s">
        <v>88</v>
      </c>
      <c r="D2315" s="2" t="s">
        <v>8158</v>
      </c>
      <c r="E2315" s="2" t="s">
        <v>8297</v>
      </c>
      <c r="F2315" s="2" t="s">
        <v>8350</v>
      </c>
      <c r="G2315" s="2" t="s">
        <v>8351</v>
      </c>
      <c r="H2315" s="2" t="s">
        <v>91</v>
      </c>
      <c r="I2315" s="2" t="s">
        <v>8352</v>
      </c>
      <c r="J2315" s="2" t="s">
        <v>6103</v>
      </c>
      <c r="K2315" s="2" t="s">
        <v>2367</v>
      </c>
      <c r="L2315" s="3">
        <v>220</v>
      </c>
      <c r="M2315" s="3">
        <v>231</v>
      </c>
      <c r="N2315" s="3">
        <v>459.99</v>
      </c>
      <c r="O2315" s="2" t="s">
        <v>550</v>
      </c>
      <c r="P2315" s="2" t="s">
        <v>198</v>
      </c>
      <c r="Q2315" s="2" t="s">
        <v>99</v>
      </c>
      <c r="R2315" s="2" t="s">
        <v>100</v>
      </c>
      <c r="S2315" s="2" t="s">
        <v>8353</v>
      </c>
      <c r="T2315" s="2" t="s">
        <v>100</v>
      </c>
      <c r="U2315" s="2" t="s">
        <v>100</v>
      </c>
      <c r="V2315" s="2" t="s">
        <v>3244</v>
      </c>
      <c r="W2315" s="2" t="s">
        <v>405</v>
      </c>
      <c r="X2315" s="2" t="s">
        <v>100</v>
      </c>
      <c r="Y2315" s="2" t="s">
        <v>106</v>
      </c>
      <c r="Z2315" s="4"/>
      <c r="AA2315" s="4">
        <f>=ROUNDDOWN({0},0)</f>
      </c>
      <c r="AB2315" s="5"/>
      <c r="AC2315" s="2" t="s">
        <v>100</v>
      </c>
      <c r="AD2315" s="4"/>
      <c r="AE2315" s="4"/>
      <c r="AF2315" s="6"/>
      <c r="AG2315" s="6"/>
      <c r="AH2315" s="7">
        <v>0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/>
      <c r="AW2315" s="8"/>
      <c r="AX2315" s="4"/>
      <c r="AY2315" s="8"/>
      <c r="AZ2315" s="7"/>
      <c r="BA2315" s="7"/>
      <c r="BB2315" s="7"/>
      <c r="BC2315" s="4"/>
      <c r="BD2315" s="8"/>
      <c r="BE2315" s="4"/>
      <c r="BF2315" s="8"/>
      <c r="BG2315" s="7"/>
      <c r="BH2315" s="7"/>
      <c r="BI2315" s="7"/>
      <c r="BJ2315" s="4"/>
      <c r="BK2315" s="8"/>
      <c r="BL2315" s="2" t="s">
        <v>100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147</v>
      </c>
      <c r="BV2315" s="2" t="s">
        <v>97</v>
      </c>
      <c r="BW2315" s="2" t="s">
        <v>100</v>
      </c>
      <c r="BX2315" s="2" t="s">
        <v>100</v>
      </c>
      <c r="BY2315" s="2" t="s">
        <v>112</v>
      </c>
      <c r="BZ2315" s="2" t="s">
        <v>100</v>
      </c>
    </row>
    <row r="2316">
      <c r="A2316" s="2" t="s">
        <v>8354</v>
      </c>
      <c r="B2316" s="2" t="s">
        <v>7252</v>
      </c>
      <c r="C2316" s="2" t="s">
        <v>88</v>
      </c>
      <c r="D2316" s="2" t="s">
        <v>8158</v>
      </c>
      <c r="E2316" s="2" t="s">
        <v>8297</v>
      </c>
      <c r="F2316" s="2" t="s">
        <v>8355</v>
      </c>
      <c r="G2316" s="2" t="s">
        <v>8356</v>
      </c>
      <c r="H2316" s="2" t="s">
        <v>8357</v>
      </c>
      <c r="I2316" s="2" t="s">
        <v>8358</v>
      </c>
      <c r="J2316" s="2" t="s">
        <v>6103</v>
      </c>
      <c r="K2316" s="2" t="s">
        <v>635</v>
      </c>
      <c r="L2316" s="3">
        <v>243.68</v>
      </c>
      <c r="M2316" s="3">
        <v>255.86</v>
      </c>
      <c r="N2316" s="3">
        <v>509</v>
      </c>
      <c r="O2316" s="2" t="s">
        <v>97</v>
      </c>
      <c r="P2316" s="2" t="s">
        <v>1265</v>
      </c>
      <c r="Q2316" s="2" t="s">
        <v>99</v>
      </c>
      <c r="R2316" s="2" t="s">
        <v>100</v>
      </c>
      <c r="S2316" s="2" t="s">
        <v>100</v>
      </c>
      <c r="T2316" s="2" t="s">
        <v>100</v>
      </c>
      <c r="U2316" s="2" t="s">
        <v>3531</v>
      </c>
      <c r="V2316" s="2" t="s">
        <v>1752</v>
      </c>
      <c r="W2316" s="2" t="s">
        <v>602</v>
      </c>
      <c r="X2316" s="2" t="s">
        <v>759</v>
      </c>
      <c r="Y2316" s="2" t="s">
        <v>361</v>
      </c>
      <c r="Z2316" s="4">
        <v>89</v>
      </c>
      <c r="AA2316" s="4">
        <f>=ROUNDDOWN(29.6666666666667,0)</f>
      </c>
      <c r="AB2316" s="5">
        <v>3</v>
      </c>
      <c r="AC2316" s="2" t="s">
        <v>100</v>
      </c>
      <c r="AD2316" s="4"/>
      <c r="AE2316" s="4"/>
      <c r="AF2316" s="6">
        <v>66</v>
      </c>
      <c r="AG2316" s="6"/>
      <c r="AH2316" s="7">
        <v>0.5576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/>
      <c r="BD2316" s="8"/>
      <c r="BE2316" s="4"/>
      <c r="BF2316" s="8"/>
      <c r="BG2316" s="7"/>
      <c r="BH2316" s="7"/>
      <c r="BI2316" s="7"/>
      <c r="BJ2316" s="4">
        <v>33</v>
      </c>
      <c r="BK2316" s="8">
        <v>8583.43</v>
      </c>
      <c r="BL2316" s="2" t="s">
        <v>8359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6185</v>
      </c>
      <c r="BV2316" s="2" t="s">
        <v>97</v>
      </c>
      <c r="BW2316" s="2" t="s">
        <v>100</v>
      </c>
      <c r="BX2316" s="2" t="s">
        <v>100</v>
      </c>
      <c r="BY2316" s="2" t="s">
        <v>112</v>
      </c>
      <c r="BZ2316" s="2" t="s">
        <v>100</v>
      </c>
    </row>
    <row r="2317">
      <c r="A2317" s="2" t="s">
        <v>8360</v>
      </c>
      <c r="B2317" s="2" t="s">
        <v>7252</v>
      </c>
      <c r="C2317" s="2" t="s">
        <v>88</v>
      </c>
      <c r="D2317" s="2" t="s">
        <v>8158</v>
      </c>
      <c r="E2317" s="2" t="s">
        <v>8297</v>
      </c>
      <c r="F2317" s="2" t="s">
        <v>8361</v>
      </c>
      <c r="G2317" s="2" t="s">
        <v>8362</v>
      </c>
      <c r="H2317" s="2" t="s">
        <v>8363</v>
      </c>
      <c r="I2317" s="2" t="s">
        <v>8301</v>
      </c>
      <c r="J2317" s="2" t="s">
        <v>6103</v>
      </c>
      <c r="K2317" s="2" t="s">
        <v>158</v>
      </c>
      <c r="L2317" s="3">
        <v>307.8</v>
      </c>
      <c r="M2317" s="3">
        <v>323.19</v>
      </c>
      <c r="N2317" s="3">
        <v>649</v>
      </c>
      <c r="O2317" s="2" t="s">
        <v>550</v>
      </c>
      <c r="P2317" s="2" t="s">
        <v>198</v>
      </c>
      <c r="Q2317" s="2" t="s">
        <v>99</v>
      </c>
      <c r="R2317" s="2" t="s">
        <v>100</v>
      </c>
      <c r="S2317" s="2" t="s">
        <v>8364</v>
      </c>
      <c r="T2317" s="2" t="s">
        <v>100</v>
      </c>
      <c r="U2317" s="2" t="s">
        <v>100</v>
      </c>
      <c r="V2317" s="2" t="s">
        <v>601</v>
      </c>
      <c r="W2317" s="2" t="s">
        <v>104</v>
      </c>
      <c r="X2317" s="2" t="s">
        <v>100</v>
      </c>
      <c r="Y2317" s="2" t="s">
        <v>473</v>
      </c>
      <c r="Z2317" s="4"/>
      <c r="AA2317" s="4">
        <f>=ROUNDDOWN({0},0)</f>
      </c>
      <c r="AB2317" s="5">
        <v>0.2</v>
      </c>
      <c r="AC2317" s="2" t="s">
        <v>100</v>
      </c>
      <c r="AD2317" s="4"/>
      <c r="AE2317" s="4"/>
      <c r="AF2317" s="6">
        <v>66</v>
      </c>
      <c r="AG2317" s="6">
        <v>49</v>
      </c>
      <c r="AH2317" s="7">
        <v>0.5212</v>
      </c>
      <c r="AI2317" s="4"/>
      <c r="AJ2317" s="4">
        <f>=ROUNDDOWN({0},0)</f>
      </c>
      <c r="AK2317" s="5"/>
      <c r="AL2317" s="2" t="s">
        <v>100</v>
      </c>
      <c r="AM2317" s="4"/>
      <c r="AN2317" s="4"/>
      <c r="AO2317" s="7">
        <v>0</v>
      </c>
      <c r="AP2317" s="4"/>
      <c r="AQ2317" s="8"/>
      <c r="AR2317" s="4">
        <v>1</v>
      </c>
      <c r="AS2317" s="8">
        <v>323.19</v>
      </c>
      <c r="AT2317" s="7">
        <v>-1</v>
      </c>
      <c r="AU2317" s="7">
        <v>-1</v>
      </c>
      <c r="AV2317" s="4"/>
      <c r="AW2317" s="8"/>
      <c r="AX2317" s="4">
        <v>1</v>
      </c>
      <c r="AY2317" s="8">
        <v>323.19</v>
      </c>
      <c r="AZ2317" s="7">
        <v>-1</v>
      </c>
      <c r="BA2317" s="7">
        <v>-1</v>
      </c>
      <c r="BB2317" s="7"/>
      <c r="BC2317" s="4"/>
      <c r="BD2317" s="8"/>
      <c r="BE2317" s="4">
        <v>1</v>
      </c>
      <c r="BF2317" s="8">
        <v>323.19</v>
      </c>
      <c r="BG2317" s="7">
        <v>-1</v>
      </c>
      <c r="BH2317" s="7">
        <v>-1</v>
      </c>
      <c r="BI2317" s="7"/>
      <c r="BJ2317" s="4"/>
      <c r="BK2317" s="8"/>
      <c r="BL2317" s="2" t="s">
        <v>8365</v>
      </c>
      <c r="BM2317" s="7"/>
      <c r="BN2317" s="7"/>
      <c r="BO2317" s="4"/>
      <c r="BP2317" s="8"/>
      <c r="BQ2317" s="4">
        <v>1</v>
      </c>
      <c r="BR2317" s="8">
        <v>323.19</v>
      </c>
      <c r="BS2317" s="7">
        <v>-1</v>
      </c>
      <c r="BT2317" s="7">
        <v>-1</v>
      </c>
      <c r="BU2317" s="2" t="s">
        <v>109</v>
      </c>
      <c r="BV2317" s="2" t="s">
        <v>552</v>
      </c>
      <c r="BW2317" s="2" t="s">
        <v>8172</v>
      </c>
      <c r="BX2317" s="2" t="s">
        <v>8306</v>
      </c>
      <c r="BY2317" s="2" t="s">
        <v>112</v>
      </c>
      <c r="BZ2317" s="2" t="s">
        <v>100</v>
      </c>
    </row>
    <row r="2318">
      <c r="A2318" s="2" t="s">
        <v>8366</v>
      </c>
      <c r="B2318" s="2" t="s">
        <v>7252</v>
      </c>
      <c r="C2318" s="2" t="s">
        <v>88</v>
      </c>
      <c r="D2318" s="2" t="s">
        <v>8158</v>
      </c>
      <c r="E2318" s="2" t="s">
        <v>8297</v>
      </c>
      <c r="F2318" s="2" t="s">
        <v>8367</v>
      </c>
      <c r="G2318" s="2" t="s">
        <v>8368</v>
      </c>
      <c r="H2318" s="2" t="s">
        <v>8369</v>
      </c>
      <c r="I2318" s="2" t="s">
        <v>8301</v>
      </c>
      <c r="J2318" s="2" t="s">
        <v>6103</v>
      </c>
      <c r="K2318" s="2" t="s">
        <v>96</v>
      </c>
      <c r="L2318" s="3">
        <v>238</v>
      </c>
      <c r="M2318" s="3">
        <v>249.9</v>
      </c>
      <c r="N2318" s="3">
        <v>499</v>
      </c>
      <c r="O2318" s="2" t="s">
        <v>550</v>
      </c>
      <c r="P2318" s="2" t="s">
        <v>198</v>
      </c>
      <c r="Q2318" s="2" t="s">
        <v>99</v>
      </c>
      <c r="R2318" s="2" t="s">
        <v>100</v>
      </c>
      <c r="S2318" s="2" t="s">
        <v>8370</v>
      </c>
      <c r="T2318" s="2" t="s">
        <v>100</v>
      </c>
      <c r="U2318" s="2" t="s">
        <v>100</v>
      </c>
      <c r="V2318" s="2" t="s">
        <v>601</v>
      </c>
      <c r="W2318" s="2" t="s">
        <v>104</v>
      </c>
      <c r="X2318" s="2" t="s">
        <v>100</v>
      </c>
      <c r="Y2318" s="2" t="s">
        <v>3330</v>
      </c>
      <c r="Z2318" s="4"/>
      <c r="AA2318" s="4">
        <f>=ROUNDDOWN({0},0)</f>
      </c>
      <c r="AB2318" s="5"/>
      <c r="AC2318" s="2" t="s">
        <v>100</v>
      </c>
      <c r="AD2318" s="4"/>
      <c r="AE2318" s="4"/>
      <c r="AF2318" s="6">
        <v>65</v>
      </c>
      <c r="AG2318" s="6">
        <v>48</v>
      </c>
      <c r="AH2318" s="7">
        <v>0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>
        <v>0</v>
      </c>
      <c r="AP2318" s="4"/>
      <c r="AQ2318" s="8"/>
      <c r="AR2318" s="4">
        <v>1</v>
      </c>
      <c r="AS2318" s="8">
        <v>249.9</v>
      </c>
      <c r="AT2318" s="7">
        <v>-1</v>
      </c>
      <c r="AU2318" s="7">
        <v>-1</v>
      </c>
      <c r="AV2318" s="4"/>
      <c r="AW2318" s="8"/>
      <c r="AX2318" s="4">
        <v>1</v>
      </c>
      <c r="AY2318" s="8">
        <v>249.9</v>
      </c>
      <c r="AZ2318" s="7">
        <v>-1</v>
      </c>
      <c r="BA2318" s="7">
        <v>-1</v>
      </c>
      <c r="BB2318" s="7"/>
      <c r="BC2318" s="4"/>
      <c r="BD2318" s="8"/>
      <c r="BE2318" s="4">
        <v>1</v>
      </c>
      <c r="BF2318" s="8">
        <v>249.9</v>
      </c>
      <c r="BG2318" s="7">
        <v>-1</v>
      </c>
      <c r="BH2318" s="7">
        <v>-1</v>
      </c>
      <c r="BI2318" s="7"/>
      <c r="BJ2318" s="4"/>
      <c r="BK2318" s="8"/>
      <c r="BL2318" s="2" t="s">
        <v>8371</v>
      </c>
      <c r="BM2318" s="7"/>
      <c r="BN2318" s="7"/>
      <c r="BO2318" s="4"/>
      <c r="BP2318" s="8"/>
      <c r="BQ2318" s="4">
        <v>1</v>
      </c>
      <c r="BR2318" s="8">
        <v>249.9</v>
      </c>
      <c r="BS2318" s="7">
        <v>-1</v>
      </c>
      <c r="BT2318" s="7">
        <v>-1</v>
      </c>
      <c r="BU2318" s="2" t="s">
        <v>109</v>
      </c>
      <c r="BV2318" s="2" t="s">
        <v>552</v>
      </c>
      <c r="BW2318" s="2" t="s">
        <v>3848</v>
      </c>
      <c r="BX2318" s="2" t="s">
        <v>8372</v>
      </c>
      <c r="BY2318" s="2" t="s">
        <v>112</v>
      </c>
      <c r="BZ2318" s="2" t="s">
        <v>100</v>
      </c>
    </row>
    <row r="2319">
      <c r="A2319" s="2" t="s">
        <v>8373</v>
      </c>
      <c r="B2319" s="2" t="s">
        <v>7252</v>
      </c>
      <c r="C2319" s="2" t="s">
        <v>88</v>
      </c>
      <c r="D2319" s="2" t="s">
        <v>8158</v>
      </c>
      <c r="E2319" s="2" t="s">
        <v>8374</v>
      </c>
      <c r="F2319" s="2" t="s">
        <v>8375</v>
      </c>
      <c r="G2319" s="2" t="s">
        <v>8376</v>
      </c>
      <c r="H2319" s="2" t="s">
        <v>8377</v>
      </c>
      <c r="I2319" s="2" t="s">
        <v>8378</v>
      </c>
      <c r="J2319" s="2" t="s">
        <v>6103</v>
      </c>
      <c r="K2319" s="2" t="s">
        <v>6167</v>
      </c>
      <c r="L2319" s="3">
        <v>262.35</v>
      </c>
      <c r="M2319" s="3">
        <v>275.47</v>
      </c>
      <c r="N2319" s="3">
        <v>549</v>
      </c>
      <c r="O2319" s="2" t="s">
        <v>97</v>
      </c>
      <c r="P2319" s="2" t="s">
        <v>182</v>
      </c>
      <c r="Q2319" s="2" t="s">
        <v>99</v>
      </c>
      <c r="R2319" s="2" t="s">
        <v>100</v>
      </c>
      <c r="S2319" s="2" t="s">
        <v>100</v>
      </c>
      <c r="T2319" s="2" t="s">
        <v>100</v>
      </c>
      <c r="U2319" s="2" t="s">
        <v>100</v>
      </c>
      <c r="V2319" s="2" t="s">
        <v>3244</v>
      </c>
      <c r="W2319" s="2" t="s">
        <v>104</v>
      </c>
      <c r="X2319" s="2" t="s">
        <v>100</v>
      </c>
      <c r="Y2319" s="2" t="s">
        <v>8379</v>
      </c>
      <c r="Z2319" s="4">
        <v>152</v>
      </c>
      <c r="AA2319" s="4">
        <f>=ROUNDDOWN(19,0)</f>
      </c>
      <c r="AB2319" s="5">
        <v>8</v>
      </c>
      <c r="AC2319" s="2" t="s">
        <v>382</v>
      </c>
      <c r="AD2319" s="4">
        <v>104</v>
      </c>
      <c r="AE2319" s="4">
        <v>104</v>
      </c>
      <c r="AF2319" s="6">
        <v>66</v>
      </c>
      <c r="AG2319" s="6">
        <v>49</v>
      </c>
      <c r="AH2319" s="7">
        <v>1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/>
      <c r="BD2319" s="8"/>
      <c r="BE2319" s="4"/>
      <c r="BF2319" s="8"/>
      <c r="BG2319" s="7"/>
      <c r="BH2319" s="7"/>
      <c r="BI2319" s="7"/>
      <c r="BJ2319" s="4">
        <v>196</v>
      </c>
      <c r="BK2319" s="8">
        <v>48500.76</v>
      </c>
      <c r="BL2319" s="2" t="s">
        <v>8380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6185</v>
      </c>
      <c r="BV2319" s="2" t="s">
        <v>97</v>
      </c>
      <c r="BW2319" s="2" t="s">
        <v>100</v>
      </c>
      <c r="BX2319" s="2" t="s">
        <v>100</v>
      </c>
      <c r="BY2319" s="2" t="s">
        <v>112</v>
      </c>
      <c r="BZ2319" s="2" t="s">
        <v>100</v>
      </c>
    </row>
    <row r="2320">
      <c r="A2320" s="2" t="s">
        <v>8381</v>
      </c>
      <c r="B2320" s="2" t="s">
        <v>7252</v>
      </c>
      <c r="C2320" s="2" t="s">
        <v>88</v>
      </c>
      <c r="D2320" s="2" t="s">
        <v>8158</v>
      </c>
      <c r="E2320" s="2" t="s">
        <v>8374</v>
      </c>
      <c r="F2320" s="2" t="s">
        <v>7280</v>
      </c>
      <c r="G2320" s="2" t="s">
        <v>7281</v>
      </c>
      <c r="H2320" s="2" t="s">
        <v>7282</v>
      </c>
      <c r="I2320" s="2" t="s">
        <v>8382</v>
      </c>
      <c r="J2320" s="2" t="s">
        <v>6103</v>
      </c>
      <c r="K2320" s="2" t="s">
        <v>7943</v>
      </c>
      <c r="L2320" s="3">
        <v>252.45</v>
      </c>
      <c r="M2320" s="3">
        <v>265.07</v>
      </c>
      <c r="N2320" s="3">
        <v>529</v>
      </c>
      <c r="O2320" s="2" t="s">
        <v>97</v>
      </c>
      <c r="P2320" s="2" t="s">
        <v>198</v>
      </c>
      <c r="Q2320" s="2" t="s">
        <v>99</v>
      </c>
      <c r="R2320" s="2" t="s">
        <v>100</v>
      </c>
      <c r="S2320" s="2" t="s">
        <v>8383</v>
      </c>
      <c r="T2320" s="2" t="s">
        <v>100</v>
      </c>
      <c r="U2320" s="2" t="s">
        <v>3531</v>
      </c>
      <c r="V2320" s="2" t="s">
        <v>601</v>
      </c>
      <c r="W2320" s="2" t="s">
        <v>104</v>
      </c>
      <c r="X2320" s="2" t="s">
        <v>100</v>
      </c>
      <c r="Y2320" s="2" t="s">
        <v>8384</v>
      </c>
      <c r="Z2320" s="4">
        <v>57</v>
      </c>
      <c r="AA2320" s="4">
        <f>=ROUNDDOWN(19,0)</f>
      </c>
      <c r="AB2320" s="5">
        <v>3</v>
      </c>
      <c r="AC2320" s="2" t="s">
        <v>100</v>
      </c>
      <c r="AD2320" s="4"/>
      <c r="AE2320" s="4"/>
      <c r="AF2320" s="6">
        <v>66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/>
      <c r="BD2320" s="8"/>
      <c r="BE2320" s="4"/>
      <c r="BF2320" s="8"/>
      <c r="BG2320" s="7"/>
      <c r="BH2320" s="7"/>
      <c r="BI2320" s="7"/>
      <c r="BJ2320" s="4">
        <v>57</v>
      </c>
      <c r="BK2320" s="8">
        <v>13987.29</v>
      </c>
      <c r="BL2320" s="2" t="s">
        <v>8385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147</v>
      </c>
      <c r="BV2320" s="2" t="s">
        <v>97</v>
      </c>
      <c r="BW2320" s="2" t="s">
        <v>100</v>
      </c>
      <c r="BX2320" s="2" t="s">
        <v>100</v>
      </c>
      <c r="BY2320" s="2" t="s">
        <v>112</v>
      </c>
      <c r="BZ2320" s="2" t="s">
        <v>100</v>
      </c>
    </row>
    <row r="2321">
      <c r="A2321" s="2" t="s">
        <v>8386</v>
      </c>
      <c r="B2321" s="2" t="s">
        <v>7252</v>
      </c>
      <c r="C2321" s="2" t="s">
        <v>88</v>
      </c>
      <c r="D2321" s="2" t="s">
        <v>8158</v>
      </c>
      <c r="E2321" s="2" t="s">
        <v>8374</v>
      </c>
      <c r="F2321" s="2" t="s">
        <v>8387</v>
      </c>
      <c r="G2321" s="2" t="s">
        <v>8388</v>
      </c>
      <c r="H2321" s="2" t="s">
        <v>8389</v>
      </c>
      <c r="I2321" s="2" t="s">
        <v>8382</v>
      </c>
      <c r="J2321" s="2" t="s">
        <v>6103</v>
      </c>
      <c r="K2321" s="2" t="s">
        <v>2367</v>
      </c>
      <c r="L2321" s="3">
        <v>237.5</v>
      </c>
      <c r="M2321" s="3">
        <v>249.38</v>
      </c>
      <c r="N2321" s="3">
        <v>499</v>
      </c>
      <c r="O2321" s="2" t="s">
        <v>97</v>
      </c>
      <c r="P2321" s="2" t="s">
        <v>182</v>
      </c>
      <c r="Q2321" s="2" t="s">
        <v>99</v>
      </c>
      <c r="R2321" s="2" t="s">
        <v>100</v>
      </c>
      <c r="S2321" s="2" t="s">
        <v>8390</v>
      </c>
      <c r="T2321" s="2" t="s">
        <v>100</v>
      </c>
      <c r="U2321" s="2" t="s">
        <v>3531</v>
      </c>
      <c r="V2321" s="2" t="s">
        <v>601</v>
      </c>
      <c r="W2321" s="2" t="s">
        <v>104</v>
      </c>
      <c r="X2321" s="2" t="s">
        <v>100</v>
      </c>
      <c r="Y2321" s="2" t="s">
        <v>8303</v>
      </c>
      <c r="Z2321" s="4">
        <v>241</v>
      </c>
      <c r="AA2321" s="4">
        <f>=ROUNDDOWN(40.1666666666667,0)</f>
      </c>
      <c r="AB2321" s="5">
        <v>6</v>
      </c>
      <c r="AC2321" s="2" t="s">
        <v>130</v>
      </c>
      <c r="AD2321" s="4">
        <v>135</v>
      </c>
      <c r="AE2321" s="4">
        <v>270</v>
      </c>
      <c r="AF2321" s="6">
        <v>66</v>
      </c>
      <c r="AG2321" s="6">
        <v>49</v>
      </c>
      <c r="AH2321" s="7">
        <v>0.9576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/>
      <c r="AW2321" s="8"/>
      <c r="AX2321" s="4"/>
      <c r="AY2321" s="8"/>
      <c r="AZ2321" s="7"/>
      <c r="BA2321" s="7"/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189</v>
      </c>
      <c r="BK2321" s="8">
        <v>37491.67</v>
      </c>
      <c r="BL2321" s="2" t="s">
        <v>8391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6185</v>
      </c>
      <c r="BV2321" s="2" t="s">
        <v>97</v>
      </c>
      <c r="BW2321" s="2" t="s">
        <v>100</v>
      </c>
      <c r="BX2321" s="2" t="s">
        <v>100</v>
      </c>
      <c r="BY2321" s="2" t="s">
        <v>112</v>
      </c>
      <c r="BZ2321" s="2" t="s">
        <v>100</v>
      </c>
    </row>
    <row r="2322">
      <c r="A2322" s="2" t="s">
        <v>8392</v>
      </c>
      <c r="B2322" s="2" t="s">
        <v>7252</v>
      </c>
      <c r="C2322" s="2" t="s">
        <v>88</v>
      </c>
      <c r="D2322" s="2" t="s">
        <v>8158</v>
      </c>
      <c r="E2322" s="2" t="s">
        <v>8374</v>
      </c>
      <c r="F2322" s="2" t="s">
        <v>8387</v>
      </c>
      <c r="G2322" s="2" t="s">
        <v>8388</v>
      </c>
      <c r="H2322" s="2" t="s">
        <v>8389</v>
      </c>
      <c r="I2322" s="2" t="s">
        <v>8382</v>
      </c>
      <c r="J2322" s="2" t="s">
        <v>6103</v>
      </c>
      <c r="K2322" s="2" t="s">
        <v>559</v>
      </c>
      <c r="L2322" s="3">
        <v>237.5</v>
      </c>
      <c r="M2322" s="3">
        <v>249.38</v>
      </c>
      <c r="N2322" s="3">
        <v>499</v>
      </c>
      <c r="O2322" s="2" t="s">
        <v>97</v>
      </c>
      <c r="P2322" s="2" t="s">
        <v>182</v>
      </c>
      <c r="Q2322" s="2" t="s">
        <v>99</v>
      </c>
      <c r="R2322" s="2" t="s">
        <v>100</v>
      </c>
      <c r="S2322" s="2" t="s">
        <v>100</v>
      </c>
      <c r="T2322" s="2" t="s">
        <v>100</v>
      </c>
      <c r="U2322" s="2" t="s">
        <v>3531</v>
      </c>
      <c r="V2322" s="2" t="s">
        <v>601</v>
      </c>
      <c r="W2322" s="2" t="s">
        <v>104</v>
      </c>
      <c r="X2322" s="2" t="s">
        <v>100</v>
      </c>
      <c r="Y2322" s="2" t="s">
        <v>8393</v>
      </c>
      <c r="Z2322" s="4">
        <v>123</v>
      </c>
      <c r="AA2322" s="4">
        <f>=ROUNDDOWN(30.75,0)</f>
      </c>
      <c r="AB2322" s="5">
        <v>4</v>
      </c>
      <c r="AC2322" s="2" t="s">
        <v>430</v>
      </c>
      <c r="AD2322" s="4">
        <v>130</v>
      </c>
      <c r="AE2322" s="4">
        <v>130</v>
      </c>
      <c r="AF2322" s="6">
        <v>66</v>
      </c>
      <c r="AG2322" s="6"/>
      <c r="AH2322" s="7">
        <v>0.7394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/>
      <c r="AW2322" s="8"/>
      <c r="AX2322" s="4"/>
      <c r="AY2322" s="8"/>
      <c r="AZ2322" s="7"/>
      <c r="BA2322" s="7"/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87</v>
      </c>
      <c r="BK2322" s="8">
        <v>17050.72</v>
      </c>
      <c r="BL2322" s="2" t="s">
        <v>8394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147</v>
      </c>
      <c r="BV2322" s="2" t="s">
        <v>97</v>
      </c>
      <c r="BW2322" s="2" t="s">
        <v>100</v>
      </c>
      <c r="BX2322" s="2" t="s">
        <v>100</v>
      </c>
      <c r="BY2322" s="2" t="s">
        <v>112</v>
      </c>
      <c r="BZ2322" s="2" t="s">
        <v>100</v>
      </c>
    </row>
    <row r="2323">
      <c r="A2323" s="2" t="s">
        <v>8395</v>
      </c>
      <c r="B2323" s="2" t="s">
        <v>7252</v>
      </c>
      <c r="C2323" s="2" t="s">
        <v>88</v>
      </c>
      <c r="D2323" s="2" t="s">
        <v>8158</v>
      </c>
      <c r="E2323" s="2" t="s">
        <v>8374</v>
      </c>
      <c r="F2323" s="2" t="s">
        <v>8387</v>
      </c>
      <c r="G2323" s="2" t="s">
        <v>8388</v>
      </c>
      <c r="H2323" s="2" t="s">
        <v>8389</v>
      </c>
      <c r="I2323" s="2" t="s">
        <v>8382</v>
      </c>
      <c r="J2323" s="2" t="s">
        <v>6103</v>
      </c>
      <c r="K2323" s="2" t="s">
        <v>8396</v>
      </c>
      <c r="L2323" s="3">
        <v>237.5</v>
      </c>
      <c r="M2323" s="3">
        <v>249.38</v>
      </c>
      <c r="N2323" s="3">
        <v>499</v>
      </c>
      <c r="O2323" s="2" t="s">
        <v>97</v>
      </c>
      <c r="P2323" s="2" t="s">
        <v>198</v>
      </c>
      <c r="Q2323" s="2" t="s">
        <v>99</v>
      </c>
      <c r="R2323" s="2" t="s">
        <v>100</v>
      </c>
      <c r="S2323" s="2" t="s">
        <v>100</v>
      </c>
      <c r="T2323" s="2" t="s">
        <v>100</v>
      </c>
      <c r="U2323" s="2" t="s">
        <v>3531</v>
      </c>
      <c r="V2323" s="2" t="s">
        <v>601</v>
      </c>
      <c r="W2323" s="2" t="s">
        <v>104</v>
      </c>
      <c r="X2323" s="2" t="s">
        <v>100</v>
      </c>
      <c r="Y2323" s="2" t="s">
        <v>7314</v>
      </c>
      <c r="Z2323" s="4">
        <v>25</v>
      </c>
      <c r="AA2323" s="4">
        <f>=ROUNDDOWN(25,0)</f>
      </c>
      <c r="AB2323" s="5">
        <v>1</v>
      </c>
      <c r="AC2323" s="2" t="s">
        <v>100</v>
      </c>
      <c r="AD2323" s="4"/>
      <c r="AE2323" s="4"/>
      <c r="AF2323" s="6">
        <v>65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/>
      <c r="AW2323" s="8"/>
      <c r="AX2323" s="4"/>
      <c r="AY2323" s="8"/>
      <c r="AZ2323" s="7"/>
      <c r="BA2323" s="7"/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28</v>
      </c>
      <c r="BK2323" s="8">
        <v>5872.72</v>
      </c>
      <c r="BL2323" s="2" t="s">
        <v>8397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147</v>
      </c>
      <c r="BV2323" s="2" t="s">
        <v>97</v>
      </c>
      <c r="BW2323" s="2" t="s">
        <v>100</v>
      </c>
      <c r="BX2323" s="2" t="s">
        <v>100</v>
      </c>
      <c r="BY2323" s="2" t="s">
        <v>112</v>
      </c>
      <c r="BZ2323" s="2" t="s">
        <v>100</v>
      </c>
    </row>
    <row r="2324">
      <c r="A2324" s="2" t="s">
        <v>8398</v>
      </c>
      <c r="B2324" s="2" t="s">
        <v>7252</v>
      </c>
      <c r="C2324" s="2" t="s">
        <v>88</v>
      </c>
      <c r="D2324" s="2" t="s">
        <v>8158</v>
      </c>
      <c r="E2324" s="2" t="s">
        <v>8374</v>
      </c>
      <c r="F2324" s="2" t="s">
        <v>6579</v>
      </c>
      <c r="G2324" s="2" t="s">
        <v>8399</v>
      </c>
      <c r="H2324" s="2" t="s">
        <v>8400</v>
      </c>
      <c r="I2324" s="2" t="s">
        <v>8382</v>
      </c>
      <c r="J2324" s="2" t="s">
        <v>6103</v>
      </c>
      <c r="K2324" s="2" t="s">
        <v>2367</v>
      </c>
      <c r="L2324" s="3">
        <v>292.05</v>
      </c>
      <c r="M2324" s="3">
        <v>306.65</v>
      </c>
      <c r="N2324" s="3">
        <v>609</v>
      </c>
      <c r="O2324" s="2" t="s">
        <v>97</v>
      </c>
      <c r="P2324" s="2" t="s">
        <v>1265</v>
      </c>
      <c r="Q2324" s="2" t="s">
        <v>99</v>
      </c>
      <c r="R2324" s="2" t="s">
        <v>100</v>
      </c>
      <c r="S2324" s="2" t="s">
        <v>100</v>
      </c>
      <c r="T2324" s="2" t="s">
        <v>100</v>
      </c>
      <c r="U2324" s="2" t="s">
        <v>100</v>
      </c>
      <c r="V2324" s="2" t="s">
        <v>601</v>
      </c>
      <c r="W2324" s="2" t="s">
        <v>104</v>
      </c>
      <c r="X2324" s="2" t="s">
        <v>100</v>
      </c>
      <c r="Y2324" s="2" t="s">
        <v>8401</v>
      </c>
      <c r="Z2324" s="4">
        <v>97</v>
      </c>
      <c r="AA2324" s="4">
        <f>=ROUNDDOWN(32.3333333333333,0)</f>
      </c>
      <c r="AB2324" s="5">
        <v>3</v>
      </c>
      <c r="AC2324" s="2" t="s">
        <v>100</v>
      </c>
      <c r="AD2324" s="4"/>
      <c r="AE2324" s="4"/>
      <c r="AF2324" s="6">
        <v>66</v>
      </c>
      <c r="AG2324" s="6">
        <v>49</v>
      </c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/>
      <c r="AW2324" s="8"/>
      <c r="AX2324" s="4"/>
      <c r="AY2324" s="8"/>
      <c r="AZ2324" s="7"/>
      <c r="BA2324" s="7"/>
      <c r="BB2324" s="7"/>
      <c r="BC2324" s="4"/>
      <c r="BD2324" s="8"/>
      <c r="BE2324" s="4"/>
      <c r="BF2324" s="8"/>
      <c r="BG2324" s="7"/>
      <c r="BH2324" s="7"/>
      <c r="BI2324" s="7"/>
      <c r="BJ2324" s="4">
        <v>57</v>
      </c>
      <c r="BK2324" s="8">
        <v>16335.51</v>
      </c>
      <c r="BL2324" s="2" t="s">
        <v>8402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6185</v>
      </c>
      <c r="BV2324" s="2" t="s">
        <v>97</v>
      </c>
      <c r="BW2324" s="2" t="s">
        <v>100</v>
      </c>
      <c r="BX2324" s="2" t="s">
        <v>100</v>
      </c>
      <c r="BY2324" s="2" t="s">
        <v>112</v>
      </c>
      <c r="BZ2324" s="2" t="s">
        <v>100</v>
      </c>
    </row>
    <row r="2325">
      <c r="A2325" s="2" t="s">
        <v>8403</v>
      </c>
      <c r="B2325" s="2" t="s">
        <v>7252</v>
      </c>
      <c r="C2325" s="2" t="s">
        <v>88</v>
      </c>
      <c r="D2325" s="2" t="s">
        <v>8158</v>
      </c>
      <c r="E2325" s="2" t="s">
        <v>8374</v>
      </c>
      <c r="F2325" s="2" t="s">
        <v>8404</v>
      </c>
      <c r="G2325" s="2" t="s">
        <v>8405</v>
      </c>
      <c r="H2325" s="2" t="s">
        <v>8406</v>
      </c>
      <c r="I2325" s="2" t="s">
        <v>8382</v>
      </c>
      <c r="J2325" s="2" t="s">
        <v>6103</v>
      </c>
      <c r="K2325" s="2" t="s">
        <v>310</v>
      </c>
      <c r="L2325" s="3">
        <v>270.75</v>
      </c>
      <c r="M2325" s="3">
        <v>284.29</v>
      </c>
      <c r="N2325" s="3">
        <v>569</v>
      </c>
      <c r="O2325" s="2" t="s">
        <v>97</v>
      </c>
      <c r="P2325" s="2" t="s">
        <v>182</v>
      </c>
      <c r="Q2325" s="2" t="s">
        <v>99</v>
      </c>
      <c r="R2325" s="2" t="s">
        <v>100</v>
      </c>
      <c r="S2325" s="2" t="s">
        <v>100</v>
      </c>
      <c r="T2325" s="2" t="s">
        <v>100</v>
      </c>
      <c r="U2325" s="2" t="s">
        <v>3531</v>
      </c>
      <c r="V2325" s="2" t="s">
        <v>601</v>
      </c>
      <c r="W2325" s="2" t="s">
        <v>104</v>
      </c>
      <c r="X2325" s="2" t="s">
        <v>100</v>
      </c>
      <c r="Y2325" s="2" t="s">
        <v>8407</v>
      </c>
      <c r="Z2325" s="4">
        <v>188</v>
      </c>
      <c r="AA2325" s="4">
        <f>=ROUNDDOWN(31.3333333333333,0)</f>
      </c>
      <c r="AB2325" s="5">
        <v>6</v>
      </c>
      <c r="AC2325" s="2" t="s">
        <v>100</v>
      </c>
      <c r="AD2325" s="4"/>
      <c r="AE2325" s="4"/>
      <c r="AF2325" s="6">
        <v>66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/>
      <c r="AW2325" s="8"/>
      <c r="AX2325" s="4"/>
      <c r="AY2325" s="8"/>
      <c r="AZ2325" s="7"/>
      <c r="BA2325" s="7"/>
      <c r="BB2325" s="7"/>
      <c r="BC2325" s="4"/>
      <c r="BD2325" s="8"/>
      <c r="BE2325" s="4"/>
      <c r="BF2325" s="8"/>
      <c r="BG2325" s="7"/>
      <c r="BH2325" s="7"/>
      <c r="BI2325" s="7"/>
      <c r="BJ2325" s="4">
        <v>126</v>
      </c>
      <c r="BK2325" s="8">
        <v>36567.42</v>
      </c>
      <c r="BL2325" s="2" t="s">
        <v>8408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6185</v>
      </c>
      <c r="BV2325" s="2" t="s">
        <v>97</v>
      </c>
      <c r="BW2325" s="2" t="s">
        <v>100</v>
      </c>
      <c r="BX2325" s="2" t="s">
        <v>100</v>
      </c>
      <c r="BY2325" s="2" t="s">
        <v>112</v>
      </c>
      <c r="BZ2325" s="2" t="s">
        <v>100</v>
      </c>
    </row>
    <row r="2326">
      <c r="A2326" s="2" t="s">
        <v>8409</v>
      </c>
      <c r="B2326" s="2" t="s">
        <v>7252</v>
      </c>
      <c r="C2326" s="2" t="s">
        <v>88</v>
      </c>
      <c r="D2326" s="2" t="s">
        <v>8158</v>
      </c>
      <c r="E2326" s="2" t="s">
        <v>8374</v>
      </c>
      <c r="F2326" s="2" t="s">
        <v>8410</v>
      </c>
      <c r="G2326" s="2" t="s">
        <v>8411</v>
      </c>
      <c r="H2326" s="2" t="s">
        <v>8412</v>
      </c>
      <c r="I2326" s="2" t="s">
        <v>8382</v>
      </c>
      <c r="J2326" s="2" t="s">
        <v>6103</v>
      </c>
      <c r="K2326" s="2" t="s">
        <v>158</v>
      </c>
      <c r="L2326" s="3">
        <v>270.75</v>
      </c>
      <c r="M2326" s="3">
        <v>284.29</v>
      </c>
      <c r="N2326" s="3">
        <v>569</v>
      </c>
      <c r="O2326" s="2" t="s">
        <v>97</v>
      </c>
      <c r="P2326" s="2" t="s">
        <v>1265</v>
      </c>
      <c r="Q2326" s="2" t="s">
        <v>99</v>
      </c>
      <c r="R2326" s="2" t="s">
        <v>100</v>
      </c>
      <c r="S2326" s="2" t="s">
        <v>100</v>
      </c>
      <c r="T2326" s="2" t="s">
        <v>100</v>
      </c>
      <c r="U2326" s="2" t="s">
        <v>3531</v>
      </c>
      <c r="V2326" s="2" t="s">
        <v>601</v>
      </c>
      <c r="W2326" s="2" t="s">
        <v>405</v>
      </c>
      <c r="X2326" s="2" t="s">
        <v>100</v>
      </c>
      <c r="Y2326" s="2" t="s">
        <v>7562</v>
      </c>
      <c r="Z2326" s="4">
        <v>93</v>
      </c>
      <c r="AA2326" s="4">
        <f>=ROUNDDOWN(31,0)</f>
      </c>
      <c r="AB2326" s="5">
        <v>3</v>
      </c>
      <c r="AC2326" s="2" t="s">
        <v>100</v>
      </c>
      <c r="AD2326" s="4"/>
      <c r="AE2326" s="4"/>
      <c r="AF2326" s="6">
        <v>66</v>
      </c>
      <c r="AG2326" s="6">
        <v>49</v>
      </c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/>
      <c r="AW2326" s="8"/>
      <c r="AX2326" s="4"/>
      <c r="AY2326" s="8"/>
      <c r="AZ2326" s="7"/>
      <c r="BA2326" s="7"/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64</v>
      </c>
      <c r="BK2326" s="8">
        <v>16900.47</v>
      </c>
      <c r="BL2326" s="2" t="s">
        <v>8413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7683</v>
      </c>
      <c r="BV2326" s="2" t="s">
        <v>97</v>
      </c>
      <c r="BW2326" s="2" t="s">
        <v>100</v>
      </c>
      <c r="BX2326" s="2" t="s">
        <v>100</v>
      </c>
      <c r="BY2326" s="2" t="s">
        <v>112</v>
      </c>
      <c r="BZ2326" s="2" t="s">
        <v>100</v>
      </c>
    </row>
    <row r="2327">
      <c r="A2327" s="2" t="s">
        <v>8414</v>
      </c>
      <c r="B2327" s="2" t="s">
        <v>7252</v>
      </c>
      <c r="C2327" s="2" t="s">
        <v>88</v>
      </c>
      <c r="D2327" s="2" t="s">
        <v>8158</v>
      </c>
      <c r="E2327" s="2" t="s">
        <v>8374</v>
      </c>
      <c r="F2327" s="2" t="s">
        <v>8410</v>
      </c>
      <c r="G2327" s="2" t="s">
        <v>8411</v>
      </c>
      <c r="H2327" s="2" t="s">
        <v>8412</v>
      </c>
      <c r="I2327" s="2" t="s">
        <v>8382</v>
      </c>
      <c r="J2327" s="2" t="s">
        <v>6103</v>
      </c>
      <c r="K2327" s="2" t="s">
        <v>1204</v>
      </c>
      <c r="L2327" s="3">
        <v>270.75</v>
      </c>
      <c r="M2327" s="3">
        <v>284.29</v>
      </c>
      <c r="N2327" s="3">
        <v>569</v>
      </c>
      <c r="O2327" s="2" t="s">
        <v>97</v>
      </c>
      <c r="P2327" s="2" t="s">
        <v>1265</v>
      </c>
      <c r="Q2327" s="2" t="s">
        <v>99</v>
      </c>
      <c r="R2327" s="2" t="s">
        <v>100</v>
      </c>
      <c r="S2327" s="2" t="s">
        <v>100</v>
      </c>
      <c r="T2327" s="2" t="s">
        <v>100</v>
      </c>
      <c r="U2327" s="2" t="s">
        <v>3531</v>
      </c>
      <c r="V2327" s="2" t="s">
        <v>601</v>
      </c>
      <c r="W2327" s="2" t="s">
        <v>405</v>
      </c>
      <c r="X2327" s="2" t="s">
        <v>100</v>
      </c>
      <c r="Y2327" s="2" t="s">
        <v>959</v>
      </c>
      <c r="Z2327" s="4">
        <v>86</v>
      </c>
      <c r="AA2327" s="4">
        <f>=ROUNDDOWN(107.5,0)</f>
      </c>
      <c r="AB2327" s="5">
        <v>0.8</v>
      </c>
      <c r="AC2327" s="2" t="s">
        <v>100</v>
      </c>
      <c r="AD2327" s="4"/>
      <c r="AE2327" s="4"/>
      <c r="AF2327" s="6">
        <v>66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/>
      <c r="AW2327" s="8"/>
      <c r="AX2327" s="4"/>
      <c r="AY2327" s="8"/>
      <c r="AZ2327" s="7"/>
      <c r="BA2327" s="7"/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55</v>
      </c>
      <c r="BK2327" s="8">
        <v>12489.53</v>
      </c>
      <c r="BL2327" s="2" t="s">
        <v>8397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147</v>
      </c>
      <c r="BV2327" s="2" t="s">
        <v>97</v>
      </c>
      <c r="BW2327" s="2" t="s">
        <v>100</v>
      </c>
      <c r="BX2327" s="2" t="s">
        <v>100</v>
      </c>
      <c r="BY2327" s="2" t="s">
        <v>112</v>
      </c>
      <c r="BZ2327" s="2" t="s">
        <v>100</v>
      </c>
    </row>
    <row r="2328">
      <c r="A2328" s="2" t="s">
        <v>8415</v>
      </c>
      <c r="B2328" s="2" t="s">
        <v>7252</v>
      </c>
      <c r="C2328" s="2" t="s">
        <v>88</v>
      </c>
      <c r="D2328" s="2" t="s">
        <v>8158</v>
      </c>
      <c r="E2328" s="2" t="s">
        <v>8374</v>
      </c>
      <c r="F2328" s="2" t="s">
        <v>8410</v>
      </c>
      <c r="G2328" s="2" t="s">
        <v>8411</v>
      </c>
      <c r="H2328" s="2" t="s">
        <v>8412</v>
      </c>
      <c r="I2328" s="2" t="s">
        <v>8382</v>
      </c>
      <c r="J2328" s="2" t="s">
        <v>6103</v>
      </c>
      <c r="K2328" s="2" t="s">
        <v>123</v>
      </c>
      <c r="L2328" s="3">
        <v>270.75</v>
      </c>
      <c r="M2328" s="3">
        <v>284.29</v>
      </c>
      <c r="N2328" s="3">
        <v>569</v>
      </c>
      <c r="O2328" s="2" t="s">
        <v>97</v>
      </c>
      <c r="P2328" s="2" t="s">
        <v>182</v>
      </c>
      <c r="Q2328" s="2" t="s">
        <v>99</v>
      </c>
      <c r="R2328" s="2" t="s">
        <v>100</v>
      </c>
      <c r="S2328" s="2" t="s">
        <v>100</v>
      </c>
      <c r="T2328" s="2" t="s">
        <v>100</v>
      </c>
      <c r="U2328" s="2" t="s">
        <v>3531</v>
      </c>
      <c r="V2328" s="2" t="s">
        <v>601</v>
      </c>
      <c r="W2328" s="2" t="s">
        <v>405</v>
      </c>
      <c r="X2328" s="2" t="s">
        <v>100</v>
      </c>
      <c r="Y2328" s="2" t="s">
        <v>959</v>
      </c>
      <c r="Z2328" s="4">
        <v>119</v>
      </c>
      <c r="AA2328" s="4">
        <f>=ROUNDDOWN(39.6666666666667,0)</f>
      </c>
      <c r="AB2328" s="5">
        <v>3</v>
      </c>
      <c r="AC2328" s="2" t="s">
        <v>100</v>
      </c>
      <c r="AD2328" s="4"/>
      <c r="AE2328" s="4"/>
      <c r="AF2328" s="6">
        <v>66</v>
      </c>
      <c r="AG2328" s="6"/>
      <c r="AH2328" s="7">
        <v>0.8242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/>
      <c r="AW2328" s="8"/>
      <c r="AX2328" s="4"/>
      <c r="AY2328" s="8"/>
      <c r="AZ2328" s="7"/>
      <c r="BA2328" s="7"/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80</v>
      </c>
      <c r="BK2328" s="8">
        <v>20450.05</v>
      </c>
      <c r="BL2328" s="2" t="s">
        <v>8416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6185</v>
      </c>
      <c r="BV2328" s="2" t="s">
        <v>97</v>
      </c>
      <c r="BW2328" s="2" t="s">
        <v>100</v>
      </c>
      <c r="BX2328" s="2" t="s">
        <v>100</v>
      </c>
      <c r="BY2328" s="2" t="s">
        <v>112</v>
      </c>
      <c r="BZ2328" s="2" t="s">
        <v>100</v>
      </c>
    </row>
    <row r="2329">
      <c r="A2329" s="2" t="s">
        <v>8417</v>
      </c>
      <c r="B2329" s="2" t="s">
        <v>7252</v>
      </c>
      <c r="C2329" s="2" t="s">
        <v>88</v>
      </c>
      <c r="D2329" s="2" t="s">
        <v>8158</v>
      </c>
      <c r="E2329" s="2" t="s">
        <v>8374</v>
      </c>
      <c r="F2329" s="2" t="s">
        <v>8418</v>
      </c>
      <c r="G2329" s="2" t="s">
        <v>8419</v>
      </c>
      <c r="H2329" s="2" t="s">
        <v>8420</v>
      </c>
      <c r="I2329" s="2" t="s">
        <v>8382</v>
      </c>
      <c r="J2329" s="2" t="s">
        <v>6103</v>
      </c>
      <c r="K2329" s="2" t="s">
        <v>1452</v>
      </c>
      <c r="L2329" s="3">
        <v>261.25</v>
      </c>
      <c r="M2329" s="3">
        <v>274.31</v>
      </c>
      <c r="N2329" s="3">
        <v>549</v>
      </c>
      <c r="O2329" s="2" t="s">
        <v>97</v>
      </c>
      <c r="P2329" s="2" t="s">
        <v>182</v>
      </c>
      <c r="Q2329" s="2" t="s">
        <v>99</v>
      </c>
      <c r="R2329" s="2" t="s">
        <v>100</v>
      </c>
      <c r="S2329" s="2" t="s">
        <v>8421</v>
      </c>
      <c r="T2329" s="2" t="s">
        <v>100</v>
      </c>
      <c r="U2329" s="2" t="s">
        <v>100</v>
      </c>
      <c r="V2329" s="2" t="s">
        <v>1752</v>
      </c>
      <c r="W2329" s="2" t="s">
        <v>1288</v>
      </c>
      <c r="X2329" s="2" t="s">
        <v>104</v>
      </c>
      <c r="Y2329" s="2" t="s">
        <v>2292</v>
      </c>
      <c r="Z2329" s="4">
        <v>79</v>
      </c>
      <c r="AA2329" s="4">
        <f>=ROUNDDOWN(26.3333333333333,0)</f>
      </c>
      <c r="AB2329" s="5">
        <v>3</v>
      </c>
      <c r="AC2329" s="2" t="s">
        <v>100</v>
      </c>
      <c r="AD2329" s="4"/>
      <c r="AE2329" s="4"/>
      <c r="AF2329" s="6">
        <v>66</v>
      </c>
      <c r="AG2329" s="6">
        <v>49</v>
      </c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/>
      <c r="AW2329" s="8"/>
      <c r="AX2329" s="4"/>
      <c r="AY2329" s="8"/>
      <c r="AZ2329" s="7"/>
      <c r="BA2329" s="7"/>
      <c r="BB2329" s="7"/>
      <c r="BC2329" s="4"/>
      <c r="BD2329" s="8"/>
      <c r="BE2329" s="4"/>
      <c r="BF2329" s="8"/>
      <c r="BG2329" s="7"/>
      <c r="BH2329" s="7"/>
      <c r="BI2329" s="7"/>
      <c r="BJ2329" s="4">
        <v>76</v>
      </c>
      <c r="BK2329" s="8">
        <v>22104.41</v>
      </c>
      <c r="BL2329" s="2" t="s">
        <v>8422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6185</v>
      </c>
      <c r="BV2329" s="2" t="s">
        <v>97</v>
      </c>
      <c r="BW2329" s="2" t="s">
        <v>100</v>
      </c>
      <c r="BX2329" s="2" t="s">
        <v>100</v>
      </c>
      <c r="BY2329" s="2" t="s">
        <v>112</v>
      </c>
      <c r="BZ2329" s="2" t="s">
        <v>100</v>
      </c>
    </row>
    <row r="2330">
      <c r="A2330" s="2" t="s">
        <v>8423</v>
      </c>
      <c r="B2330" s="2" t="s">
        <v>7252</v>
      </c>
      <c r="C2330" s="2" t="s">
        <v>88</v>
      </c>
      <c r="D2330" s="2" t="s">
        <v>8424</v>
      </c>
      <c r="E2330" s="2" t="s">
        <v>8425</v>
      </c>
      <c r="F2330" s="2" t="s">
        <v>8426</v>
      </c>
      <c r="G2330" s="2" t="s">
        <v>8427</v>
      </c>
      <c r="H2330" s="2" t="s">
        <v>8428</v>
      </c>
      <c r="I2330" s="2" t="s">
        <v>8429</v>
      </c>
      <c r="J2330" s="2" t="s">
        <v>6103</v>
      </c>
      <c r="K2330" s="2" t="s">
        <v>158</v>
      </c>
      <c r="L2330" s="3">
        <v>114</v>
      </c>
      <c r="M2330" s="3">
        <v>119.7</v>
      </c>
      <c r="N2330" s="3">
        <v>239</v>
      </c>
      <c r="O2330" s="2" t="s">
        <v>97</v>
      </c>
      <c r="P2330" s="2" t="s">
        <v>182</v>
      </c>
      <c r="Q2330" s="2" t="s">
        <v>99</v>
      </c>
      <c r="R2330" s="2" t="s">
        <v>100</v>
      </c>
      <c r="S2330" s="2" t="s">
        <v>100</v>
      </c>
      <c r="T2330" s="2" t="s">
        <v>100</v>
      </c>
      <c r="U2330" s="2" t="s">
        <v>3531</v>
      </c>
      <c r="V2330" s="2" t="s">
        <v>601</v>
      </c>
      <c r="W2330" s="2" t="s">
        <v>104</v>
      </c>
      <c r="X2330" s="2" t="s">
        <v>405</v>
      </c>
      <c r="Y2330" s="2" t="s">
        <v>7406</v>
      </c>
      <c r="Z2330" s="4">
        <v>76</v>
      </c>
      <c r="AA2330" s="4">
        <f>=ROUNDDOWN(6.90909090909091,0)</f>
      </c>
      <c r="AB2330" s="5">
        <v>11</v>
      </c>
      <c r="AC2330" s="2" t="s">
        <v>3872</v>
      </c>
      <c r="AD2330" s="4">
        <v>100</v>
      </c>
      <c r="AE2330" s="4">
        <v>219</v>
      </c>
      <c r="AF2330" s="6">
        <v>74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>
        <v>0</v>
      </c>
      <c r="AP2330" s="4">
        <v>22</v>
      </c>
      <c r="AQ2330" s="8">
        <v>2425.5</v>
      </c>
      <c r="AR2330" s="4">
        <v>19</v>
      </c>
      <c r="AS2330" s="8">
        <v>1878.21</v>
      </c>
      <c r="AT2330" s="7">
        <v>0.1579</v>
      </c>
      <c r="AU2330" s="7">
        <v>0.2914</v>
      </c>
      <c r="AV2330" s="4">
        <v>22</v>
      </c>
      <c r="AW2330" s="8">
        <v>2425.5</v>
      </c>
      <c r="AX2330" s="4">
        <v>19</v>
      </c>
      <c r="AY2330" s="8">
        <v>1878.21</v>
      </c>
      <c r="AZ2330" s="7">
        <v>0.1579</v>
      </c>
      <c r="BA2330" s="7">
        <v>0.2914</v>
      </c>
      <c r="BB2330" s="7">
        <v>1</v>
      </c>
      <c r="BC2330" s="4">
        <v>56</v>
      </c>
      <c r="BD2330" s="8">
        <v>6008.64</v>
      </c>
      <c r="BE2330" s="4">
        <v>177</v>
      </c>
      <c r="BF2330" s="8">
        <v>17435.52</v>
      </c>
      <c r="BG2330" s="7">
        <v>-0.6836</v>
      </c>
      <c r="BH2330" s="7">
        <v>-0.6554</v>
      </c>
      <c r="BI2330" s="7">
        <v>0.4037</v>
      </c>
      <c r="BJ2330" s="4">
        <v>199</v>
      </c>
      <c r="BK2330" s="8">
        <v>23752.82</v>
      </c>
      <c r="BL2330" s="2" t="s">
        <v>8430</v>
      </c>
      <c r="BM2330" s="7">
        <v>0.1106</v>
      </c>
      <c r="BN2330" s="7">
        <v>0.1021</v>
      </c>
      <c r="BO2330" s="4">
        <v>22</v>
      </c>
      <c r="BP2330" s="8">
        <v>2425.5</v>
      </c>
      <c r="BQ2330" s="4">
        <v>19</v>
      </c>
      <c r="BR2330" s="8">
        <v>1878.21</v>
      </c>
      <c r="BS2330" s="7">
        <v>0.1579</v>
      </c>
      <c r="BT2330" s="7">
        <v>0.2914</v>
      </c>
      <c r="BU2330" s="2" t="s">
        <v>109</v>
      </c>
      <c r="BV2330" s="2" t="s">
        <v>97</v>
      </c>
      <c r="BW2330" s="2" t="s">
        <v>7307</v>
      </c>
      <c r="BX2330" s="2" t="s">
        <v>4459</v>
      </c>
      <c r="BY2330" s="2" t="s">
        <v>112</v>
      </c>
      <c r="BZ2330" s="2" t="s">
        <v>100</v>
      </c>
    </row>
    <row r="2331">
      <c r="A2331" s="2" t="s">
        <v>8431</v>
      </c>
      <c r="B2331" s="2" t="s">
        <v>7252</v>
      </c>
      <c r="C2331" s="2" t="s">
        <v>88</v>
      </c>
      <c r="D2331" s="2" t="s">
        <v>8424</v>
      </c>
      <c r="E2331" s="2" t="s">
        <v>8425</v>
      </c>
      <c r="F2331" s="2" t="s">
        <v>8426</v>
      </c>
      <c r="G2331" s="2" t="s">
        <v>8427</v>
      </c>
      <c r="H2331" s="2" t="s">
        <v>8428</v>
      </c>
      <c r="I2331" s="2" t="s">
        <v>8429</v>
      </c>
      <c r="J2331" s="2" t="s">
        <v>6103</v>
      </c>
      <c r="K2331" s="2" t="s">
        <v>333</v>
      </c>
      <c r="L2331" s="3">
        <v>114</v>
      </c>
      <c r="M2331" s="3">
        <v>119.7</v>
      </c>
      <c r="N2331" s="3">
        <v>239</v>
      </c>
      <c r="O2331" s="2" t="s">
        <v>97</v>
      </c>
      <c r="P2331" s="2" t="s">
        <v>143</v>
      </c>
      <c r="Q2331" s="2" t="s">
        <v>99</v>
      </c>
      <c r="R2331" s="2" t="s">
        <v>100</v>
      </c>
      <c r="S2331" s="2" t="s">
        <v>8432</v>
      </c>
      <c r="T2331" s="2" t="s">
        <v>100</v>
      </c>
      <c r="U2331" s="2" t="s">
        <v>100</v>
      </c>
      <c r="V2331" s="2" t="s">
        <v>601</v>
      </c>
      <c r="W2331" s="2" t="s">
        <v>104</v>
      </c>
      <c r="X2331" s="2" t="s">
        <v>100</v>
      </c>
      <c r="Y2331" s="2" t="s">
        <v>1322</v>
      </c>
      <c r="Z2331" s="4">
        <v>756</v>
      </c>
      <c r="AA2331" s="4">
        <f>=ROUNDDOWN(34.2081447963801,0)</f>
      </c>
      <c r="AB2331" s="5">
        <v>22.1</v>
      </c>
      <c r="AC2331" s="2" t="s">
        <v>3872</v>
      </c>
      <c r="AD2331" s="4">
        <v>135</v>
      </c>
      <c r="AE2331" s="4">
        <v>471</v>
      </c>
      <c r="AF2331" s="6">
        <v>74</v>
      </c>
      <c r="AG2331" s="6">
        <v>60</v>
      </c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>
        <v>0</v>
      </c>
      <c r="AP2331" s="4">
        <v>14</v>
      </c>
      <c r="AQ2331" s="8">
        <v>1543.5</v>
      </c>
      <c r="AR2331" s="4">
        <v>31</v>
      </c>
      <c r="AS2331" s="8">
        <v>3252.41</v>
      </c>
      <c r="AT2331" s="7">
        <v>-0.5484</v>
      </c>
      <c r="AU2331" s="7">
        <v>-0.5254</v>
      </c>
      <c r="AV2331" s="4">
        <v>14</v>
      </c>
      <c r="AW2331" s="8">
        <v>1543.5</v>
      </c>
      <c r="AX2331" s="4">
        <v>31</v>
      </c>
      <c r="AY2331" s="8">
        <v>3252.41</v>
      </c>
      <c r="AZ2331" s="7">
        <v>-0.5484</v>
      </c>
      <c r="BA2331" s="7">
        <v>-0.5254</v>
      </c>
      <c r="BB2331" s="7">
        <v>1</v>
      </c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>
        <v>0.2569</v>
      </c>
      <c r="BJ2331" s="4">
        <v>757</v>
      </c>
      <c r="BK2331" s="8">
        <v>94402.55</v>
      </c>
      <c r="BL2331" s="2" t="s">
        <v>8433</v>
      </c>
      <c r="BM2331" s="7">
        <v>0.0185</v>
      </c>
      <c r="BN2331" s="7">
        <v>0.0164</v>
      </c>
      <c r="BO2331" s="4">
        <v>14</v>
      </c>
      <c r="BP2331" s="8">
        <v>1543.5</v>
      </c>
      <c r="BQ2331" s="4">
        <v>31</v>
      </c>
      <c r="BR2331" s="8">
        <v>3252.41</v>
      </c>
      <c r="BS2331" s="7">
        <v>-0.5484</v>
      </c>
      <c r="BT2331" s="7">
        <v>-0.5254</v>
      </c>
      <c r="BU2331" s="2" t="s">
        <v>109</v>
      </c>
      <c r="BV2331" s="2" t="s">
        <v>97</v>
      </c>
      <c r="BW2331" s="2" t="s">
        <v>4804</v>
      </c>
      <c r="BX2331" s="2" t="s">
        <v>8434</v>
      </c>
      <c r="BY2331" s="2" t="s">
        <v>112</v>
      </c>
      <c r="BZ2331" s="2" t="s">
        <v>100</v>
      </c>
    </row>
    <row r="2332">
      <c r="A2332" s="2" t="s">
        <v>8435</v>
      </c>
      <c r="B2332" s="2" t="s">
        <v>7252</v>
      </c>
      <c r="C2332" s="2" t="s">
        <v>88</v>
      </c>
      <c r="D2332" s="2" t="s">
        <v>8424</v>
      </c>
      <c r="E2332" s="2" t="s">
        <v>8425</v>
      </c>
      <c r="F2332" s="2" t="s">
        <v>8426</v>
      </c>
      <c r="G2332" s="2" t="s">
        <v>8427</v>
      </c>
      <c r="H2332" s="2" t="s">
        <v>8428</v>
      </c>
      <c r="I2332" s="2" t="s">
        <v>8429</v>
      </c>
      <c r="J2332" s="2" t="s">
        <v>6103</v>
      </c>
      <c r="K2332" s="2" t="s">
        <v>7501</v>
      </c>
      <c r="L2332" s="3">
        <v>114</v>
      </c>
      <c r="M2332" s="3">
        <v>119.7</v>
      </c>
      <c r="N2332" s="3">
        <v>239</v>
      </c>
      <c r="O2332" s="2" t="s">
        <v>97</v>
      </c>
      <c r="P2332" s="2" t="s">
        <v>143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3531</v>
      </c>
      <c r="V2332" s="2" t="s">
        <v>601</v>
      </c>
      <c r="W2332" s="2" t="s">
        <v>104</v>
      </c>
      <c r="X2332" s="2" t="s">
        <v>100</v>
      </c>
      <c r="Y2332" s="2" t="s">
        <v>8311</v>
      </c>
      <c r="Z2332" s="4">
        <v>730</v>
      </c>
      <c r="AA2332" s="4">
        <f>=ROUNDDOWN(52.1428571428571,0)</f>
      </c>
      <c r="AB2332" s="5">
        <v>14</v>
      </c>
      <c r="AC2332" s="2" t="s">
        <v>3872</v>
      </c>
      <c r="AD2332" s="4">
        <v>39</v>
      </c>
      <c r="AE2332" s="4">
        <v>39</v>
      </c>
      <c r="AF2332" s="6">
        <v>74</v>
      </c>
      <c r="AG2332" s="6">
        <v>60</v>
      </c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>
        <v>0</v>
      </c>
      <c r="AP2332" s="4">
        <v>9</v>
      </c>
      <c r="AQ2332" s="8">
        <v>992.25</v>
      </c>
      <c r="AR2332" s="4">
        <v>11</v>
      </c>
      <c r="AS2332" s="8">
        <v>1240.32</v>
      </c>
      <c r="AT2332" s="7">
        <v>-0.1818</v>
      </c>
      <c r="AU2332" s="7">
        <v>-0.2</v>
      </c>
      <c r="AV2332" s="4">
        <v>9</v>
      </c>
      <c r="AW2332" s="8">
        <v>992.25</v>
      </c>
      <c r="AX2332" s="4">
        <v>11</v>
      </c>
      <c r="AY2332" s="8">
        <v>1240.32</v>
      </c>
      <c r="AZ2332" s="7">
        <v>-0.1818</v>
      </c>
      <c r="BA2332" s="7">
        <v>-0.2</v>
      </c>
      <c r="BB2332" s="7">
        <v>1</v>
      </c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>
        <v>0.1651</v>
      </c>
      <c r="BJ2332" s="4">
        <v>586</v>
      </c>
      <c r="BK2332" s="8">
        <v>76921.84</v>
      </c>
      <c r="BL2332" s="2" t="s">
        <v>8436</v>
      </c>
      <c r="BM2332" s="7">
        <v>0.0154</v>
      </c>
      <c r="BN2332" s="7">
        <v>0.0129</v>
      </c>
      <c r="BO2332" s="4">
        <v>9</v>
      </c>
      <c r="BP2332" s="8">
        <v>992.25</v>
      </c>
      <c r="BQ2332" s="4">
        <v>11</v>
      </c>
      <c r="BR2332" s="8">
        <v>1240.32</v>
      </c>
      <c r="BS2332" s="7">
        <v>-0.1818</v>
      </c>
      <c r="BT2332" s="7">
        <v>-0.2</v>
      </c>
      <c r="BU2332" s="2" t="s">
        <v>109</v>
      </c>
      <c r="BV2332" s="2" t="s">
        <v>97</v>
      </c>
      <c r="BW2332" s="2" t="s">
        <v>8437</v>
      </c>
      <c r="BX2332" s="2" t="s">
        <v>8437</v>
      </c>
      <c r="BY2332" s="2" t="s">
        <v>112</v>
      </c>
      <c r="BZ2332" s="2" t="s">
        <v>100</v>
      </c>
    </row>
    <row r="2333">
      <c r="A2333" s="2" t="s">
        <v>8438</v>
      </c>
      <c r="B2333" s="2" t="s">
        <v>7252</v>
      </c>
      <c r="C2333" s="2" t="s">
        <v>88</v>
      </c>
      <c r="D2333" s="2" t="s">
        <v>8424</v>
      </c>
      <c r="E2333" s="2" t="s">
        <v>8425</v>
      </c>
      <c r="F2333" s="2" t="s">
        <v>8426</v>
      </c>
      <c r="G2333" s="2" t="s">
        <v>8427</v>
      </c>
      <c r="H2333" s="2" t="s">
        <v>8428</v>
      </c>
      <c r="I2333" s="2" t="s">
        <v>8429</v>
      </c>
      <c r="J2333" s="2" t="s">
        <v>6103</v>
      </c>
      <c r="K2333" s="2" t="s">
        <v>7298</v>
      </c>
      <c r="L2333" s="3">
        <v>114</v>
      </c>
      <c r="M2333" s="3">
        <v>119.7</v>
      </c>
      <c r="N2333" s="3">
        <v>239</v>
      </c>
      <c r="O2333" s="2" t="s">
        <v>97</v>
      </c>
      <c r="P2333" s="2" t="s">
        <v>182</v>
      </c>
      <c r="Q2333" s="2" t="s">
        <v>99</v>
      </c>
      <c r="R2333" s="2" t="s">
        <v>100</v>
      </c>
      <c r="S2333" s="2" t="s">
        <v>100</v>
      </c>
      <c r="T2333" s="2" t="s">
        <v>100</v>
      </c>
      <c r="U2333" s="2" t="s">
        <v>3531</v>
      </c>
      <c r="V2333" s="2" t="s">
        <v>991</v>
      </c>
      <c r="W2333" s="2" t="s">
        <v>104</v>
      </c>
      <c r="X2333" s="2" t="s">
        <v>100</v>
      </c>
      <c r="Y2333" s="2" t="s">
        <v>7443</v>
      </c>
      <c r="Z2333" s="4">
        <v>83</v>
      </c>
      <c r="AA2333" s="4">
        <f>=ROUNDDOWN(5.1875,0)</f>
      </c>
      <c r="AB2333" s="5">
        <v>16</v>
      </c>
      <c r="AC2333" s="2" t="s">
        <v>3872</v>
      </c>
      <c r="AD2333" s="4">
        <v>120</v>
      </c>
      <c r="AE2333" s="4">
        <v>357</v>
      </c>
      <c r="AF2333" s="6">
        <v>74</v>
      </c>
      <c r="AG2333" s="6">
        <v>60</v>
      </c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>
        <v>0</v>
      </c>
      <c r="AP2333" s="4">
        <v>5</v>
      </c>
      <c r="AQ2333" s="8">
        <v>551.25</v>
      </c>
      <c r="AR2333" s="4">
        <v>31</v>
      </c>
      <c r="AS2333" s="8">
        <v>3429.59</v>
      </c>
      <c r="AT2333" s="7">
        <v>-0.8387</v>
      </c>
      <c r="AU2333" s="7">
        <v>-0.8393</v>
      </c>
      <c r="AV2333" s="4">
        <v>5</v>
      </c>
      <c r="AW2333" s="8">
        <v>551.25</v>
      </c>
      <c r="AX2333" s="4">
        <v>31</v>
      </c>
      <c r="AY2333" s="8">
        <v>3429.59</v>
      </c>
      <c r="AZ2333" s="7">
        <v>-0.8387</v>
      </c>
      <c r="BA2333" s="7">
        <v>-0.8393</v>
      </c>
      <c r="BB2333" s="7">
        <v>1</v>
      </c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>
        <v>0.0917</v>
      </c>
      <c r="BJ2333" s="4">
        <v>331</v>
      </c>
      <c r="BK2333" s="8">
        <v>40606.41</v>
      </c>
      <c r="BL2333" s="2" t="s">
        <v>8439</v>
      </c>
      <c r="BM2333" s="7">
        <v>0.0151</v>
      </c>
      <c r="BN2333" s="7">
        <v>0.0136</v>
      </c>
      <c r="BO2333" s="4">
        <v>5</v>
      </c>
      <c r="BP2333" s="8">
        <v>551.25</v>
      </c>
      <c r="BQ2333" s="4">
        <v>31</v>
      </c>
      <c r="BR2333" s="8">
        <v>3429.59</v>
      </c>
      <c r="BS2333" s="7">
        <v>-0.8387</v>
      </c>
      <c r="BT2333" s="7">
        <v>-0.8393</v>
      </c>
      <c r="BU2333" s="2" t="s">
        <v>109</v>
      </c>
      <c r="BV2333" s="2" t="s">
        <v>97</v>
      </c>
      <c r="BW2333" s="2" t="s">
        <v>7382</v>
      </c>
      <c r="BX2333" s="2" t="s">
        <v>8440</v>
      </c>
      <c r="BY2333" s="2" t="s">
        <v>112</v>
      </c>
      <c r="BZ2333" s="2" t="s">
        <v>100</v>
      </c>
    </row>
    <row r="2334">
      <c r="A2334" s="2" t="s">
        <v>8441</v>
      </c>
      <c r="B2334" s="2" t="s">
        <v>7252</v>
      </c>
      <c r="C2334" s="2" t="s">
        <v>88</v>
      </c>
      <c r="D2334" s="2" t="s">
        <v>8424</v>
      </c>
      <c r="E2334" s="2" t="s">
        <v>8425</v>
      </c>
      <c r="F2334" s="2" t="s">
        <v>8426</v>
      </c>
      <c r="G2334" s="2" t="s">
        <v>8427</v>
      </c>
      <c r="H2334" s="2" t="s">
        <v>8428</v>
      </c>
      <c r="I2334" s="2" t="s">
        <v>8429</v>
      </c>
      <c r="J2334" s="2" t="s">
        <v>6103</v>
      </c>
      <c r="K2334" s="2" t="s">
        <v>310</v>
      </c>
      <c r="L2334" s="3">
        <v>114</v>
      </c>
      <c r="M2334" s="3">
        <v>119.7</v>
      </c>
      <c r="N2334" s="3">
        <v>239</v>
      </c>
      <c r="O2334" s="2" t="s">
        <v>97</v>
      </c>
      <c r="P2334" s="2" t="s">
        <v>143</v>
      </c>
      <c r="Q2334" s="2" t="s">
        <v>99</v>
      </c>
      <c r="R2334" s="2" t="s">
        <v>100</v>
      </c>
      <c r="S2334" s="2" t="s">
        <v>8442</v>
      </c>
      <c r="T2334" s="2" t="s">
        <v>100</v>
      </c>
      <c r="U2334" s="2" t="s">
        <v>100</v>
      </c>
      <c r="V2334" s="2" t="s">
        <v>601</v>
      </c>
      <c r="W2334" s="2" t="s">
        <v>104</v>
      </c>
      <c r="X2334" s="2" t="s">
        <v>100</v>
      </c>
      <c r="Y2334" s="2" t="s">
        <v>8443</v>
      </c>
      <c r="Z2334" s="4">
        <v>955</v>
      </c>
      <c r="AA2334" s="4">
        <f>=ROUNDDOWN(164.655172413793,0)</f>
      </c>
      <c r="AB2334" s="5">
        <v>5.8</v>
      </c>
      <c r="AC2334" s="2" t="s">
        <v>4396</v>
      </c>
      <c r="AD2334" s="4">
        <v>259</v>
      </c>
      <c r="AE2334" s="4">
        <v>259</v>
      </c>
      <c r="AF2334" s="6">
        <v>74</v>
      </c>
      <c r="AG2334" s="6">
        <v>60</v>
      </c>
      <c r="AH2334" s="7">
        <v>0.8788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>
        <v>0</v>
      </c>
      <c r="AP2334" s="4">
        <v>6</v>
      </c>
      <c r="AQ2334" s="8">
        <v>496.14</v>
      </c>
      <c r="AR2334" s="4">
        <v>85</v>
      </c>
      <c r="AS2334" s="8">
        <v>7634.99</v>
      </c>
      <c r="AT2334" s="7">
        <v>-0.9294</v>
      </c>
      <c r="AU2334" s="7">
        <v>-0.935</v>
      </c>
      <c r="AV2334" s="4">
        <v>6</v>
      </c>
      <c r="AW2334" s="8">
        <v>496.14</v>
      </c>
      <c r="AX2334" s="4">
        <v>85</v>
      </c>
      <c r="AY2334" s="8">
        <v>7634.99</v>
      </c>
      <c r="AZ2334" s="7">
        <v>-0.9294</v>
      </c>
      <c r="BA2334" s="7">
        <v>-0.935</v>
      </c>
      <c r="BB2334" s="7">
        <v>1</v>
      </c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>
        <v>0.0826</v>
      </c>
      <c r="BJ2334" s="4">
        <v>512</v>
      </c>
      <c r="BK2334" s="8">
        <v>64027.83</v>
      </c>
      <c r="BL2334" s="2" t="s">
        <v>8444</v>
      </c>
      <c r="BM2334" s="7">
        <v>0.0117</v>
      </c>
      <c r="BN2334" s="7">
        <v>0.0077</v>
      </c>
      <c r="BO2334" s="4">
        <v>6</v>
      </c>
      <c r="BP2334" s="8">
        <v>496.14</v>
      </c>
      <c r="BQ2334" s="4">
        <v>85</v>
      </c>
      <c r="BR2334" s="8">
        <v>7634.99</v>
      </c>
      <c r="BS2334" s="7">
        <v>-0.9294</v>
      </c>
      <c r="BT2334" s="7">
        <v>-0.935</v>
      </c>
      <c r="BU2334" s="2" t="s">
        <v>109</v>
      </c>
      <c r="BV2334" s="2" t="s">
        <v>97</v>
      </c>
      <c r="BW2334" s="2" t="s">
        <v>7307</v>
      </c>
      <c r="BX2334" s="2" t="s">
        <v>3853</v>
      </c>
      <c r="BY2334" s="2" t="s">
        <v>112</v>
      </c>
      <c r="BZ2334" s="2" t="s">
        <v>100</v>
      </c>
    </row>
    <row r="2335">
      <c r="A2335" s="2" t="s">
        <v>8445</v>
      </c>
      <c r="B2335" s="2" t="s">
        <v>7252</v>
      </c>
      <c r="C2335" s="2" t="s">
        <v>88</v>
      </c>
      <c r="D2335" s="2" t="s">
        <v>8424</v>
      </c>
      <c r="E2335" s="2" t="s">
        <v>8425</v>
      </c>
      <c r="F2335" s="2" t="s">
        <v>8426</v>
      </c>
      <c r="G2335" s="2" t="s">
        <v>8427</v>
      </c>
      <c r="H2335" s="2" t="s">
        <v>8428</v>
      </c>
      <c r="I2335" s="2" t="s">
        <v>8429</v>
      </c>
      <c r="J2335" s="2" t="s">
        <v>6103</v>
      </c>
      <c r="K2335" s="2" t="s">
        <v>181</v>
      </c>
      <c r="L2335" s="3">
        <v>114</v>
      </c>
      <c r="M2335" s="3">
        <v>119.7</v>
      </c>
      <c r="N2335" s="3">
        <v>239</v>
      </c>
      <c r="O2335" s="2" t="s">
        <v>97</v>
      </c>
      <c r="P2335" s="2" t="s">
        <v>8446</v>
      </c>
      <c r="Q2335" s="2" t="s">
        <v>99</v>
      </c>
      <c r="R2335" s="2" t="s">
        <v>100</v>
      </c>
      <c r="S2335" s="2" t="s">
        <v>8442</v>
      </c>
      <c r="T2335" s="2" t="s">
        <v>100</v>
      </c>
      <c r="U2335" s="2" t="s">
        <v>100</v>
      </c>
      <c r="V2335" s="2" t="s">
        <v>601</v>
      </c>
      <c r="W2335" s="2" t="s">
        <v>104</v>
      </c>
      <c r="X2335" s="2" t="s">
        <v>100</v>
      </c>
      <c r="Y2335" s="2" t="s">
        <v>100</v>
      </c>
      <c r="Z2335" s="4"/>
      <c r="AA2335" s="4">
        <f>=ROUNDDOWN({0},0)</f>
      </c>
      <c r="AB2335" s="5"/>
      <c r="AC2335" s="2" t="s">
        <v>8447</v>
      </c>
      <c r="AD2335" s="4">
        <v>100</v>
      </c>
      <c r="AE2335" s="4">
        <v>100</v>
      </c>
      <c r="AF2335" s="6">
        <v>74</v>
      </c>
      <c r="AG2335" s="6"/>
      <c r="AH2335" s="7">
        <v>0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/>
      <c r="BK2335" s="8"/>
      <c r="BL2335" s="2" t="s">
        <v>100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147</v>
      </c>
      <c r="BV2335" s="2" t="s">
        <v>97</v>
      </c>
      <c r="BW2335" s="2" t="s">
        <v>100</v>
      </c>
      <c r="BX2335" s="2" t="s">
        <v>100</v>
      </c>
      <c r="BY2335" s="2" t="s">
        <v>112</v>
      </c>
      <c r="BZ2335" s="2" t="s">
        <v>100</v>
      </c>
    </row>
    <row r="2336">
      <c r="A2336" s="2" t="s">
        <v>8448</v>
      </c>
      <c r="B2336" s="2" t="s">
        <v>7252</v>
      </c>
      <c r="C2336" s="2" t="s">
        <v>88</v>
      </c>
      <c r="D2336" s="2" t="s">
        <v>8424</v>
      </c>
      <c r="E2336" s="2" t="s">
        <v>8425</v>
      </c>
      <c r="F2336" s="2" t="s">
        <v>8449</v>
      </c>
      <c r="G2336" s="2" t="s">
        <v>4065</v>
      </c>
      <c r="H2336" s="2" t="s">
        <v>8450</v>
      </c>
      <c r="I2336" s="2" t="s">
        <v>8451</v>
      </c>
      <c r="J2336" s="2" t="s">
        <v>6103</v>
      </c>
      <c r="K2336" s="2" t="s">
        <v>123</v>
      </c>
      <c r="L2336" s="3">
        <v>135.85</v>
      </c>
      <c r="M2336" s="3">
        <v>142.64</v>
      </c>
      <c r="N2336" s="3">
        <v>289</v>
      </c>
      <c r="O2336" s="2" t="s">
        <v>97</v>
      </c>
      <c r="P2336" s="2" t="s">
        <v>143</v>
      </c>
      <c r="Q2336" s="2" t="s">
        <v>99</v>
      </c>
      <c r="R2336" s="2" t="s">
        <v>100</v>
      </c>
      <c r="S2336" s="2" t="s">
        <v>100</v>
      </c>
      <c r="T2336" s="2" t="s">
        <v>100</v>
      </c>
      <c r="U2336" s="2" t="s">
        <v>3531</v>
      </c>
      <c r="V2336" s="2" t="s">
        <v>601</v>
      </c>
      <c r="W2336" s="2" t="s">
        <v>104</v>
      </c>
      <c r="X2336" s="2" t="s">
        <v>100</v>
      </c>
      <c r="Y2336" s="2" t="s">
        <v>7516</v>
      </c>
      <c r="Z2336" s="4">
        <v>265</v>
      </c>
      <c r="AA2336" s="4">
        <f>=ROUNDDOWN(20.3846153846154,0)</f>
      </c>
      <c r="AB2336" s="5">
        <v>13</v>
      </c>
      <c r="AC2336" s="2" t="s">
        <v>356</v>
      </c>
      <c r="AD2336" s="4">
        <v>238</v>
      </c>
      <c r="AE2336" s="4">
        <v>238</v>
      </c>
      <c r="AF2336" s="6">
        <v>66</v>
      </c>
      <c r="AG2336" s="6"/>
      <c r="AH2336" s="7">
        <v>0.9273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>
        <v>0</v>
      </c>
      <c r="AP2336" s="4">
        <v>17</v>
      </c>
      <c r="AQ2336" s="8">
        <v>2040</v>
      </c>
      <c r="AR2336" s="4">
        <v>24</v>
      </c>
      <c r="AS2336" s="8">
        <v>2911.8</v>
      </c>
      <c r="AT2336" s="7">
        <v>-0.2917</v>
      </c>
      <c r="AU2336" s="7">
        <v>-0.2994</v>
      </c>
      <c r="AV2336" s="4">
        <v>17</v>
      </c>
      <c r="AW2336" s="8">
        <v>2040</v>
      </c>
      <c r="AX2336" s="4">
        <v>24</v>
      </c>
      <c r="AY2336" s="8">
        <v>2911.8</v>
      </c>
      <c r="AZ2336" s="7">
        <v>-0.2917</v>
      </c>
      <c r="BA2336" s="7">
        <v>-0.2994</v>
      </c>
      <c r="BB2336" s="7">
        <v>1</v>
      </c>
      <c r="BC2336" s="4">
        <v>22</v>
      </c>
      <c r="BD2336" s="8">
        <v>2640</v>
      </c>
      <c r="BE2336" s="4">
        <v>30</v>
      </c>
      <c r="BF2336" s="8">
        <v>3812.7</v>
      </c>
      <c r="BG2336" s="7">
        <v>-0.2667</v>
      </c>
      <c r="BH2336" s="7">
        <v>-0.3076</v>
      </c>
      <c r="BI2336" s="7">
        <v>0.7727</v>
      </c>
      <c r="BJ2336" s="4">
        <v>351</v>
      </c>
      <c r="BK2336" s="8">
        <v>47089.19</v>
      </c>
      <c r="BL2336" s="2" t="s">
        <v>8452</v>
      </c>
      <c r="BM2336" s="7">
        <v>0.0484</v>
      </c>
      <c r="BN2336" s="7">
        <v>0.0433</v>
      </c>
      <c r="BO2336" s="4">
        <v>17</v>
      </c>
      <c r="BP2336" s="8">
        <v>2040</v>
      </c>
      <c r="BQ2336" s="4">
        <v>24</v>
      </c>
      <c r="BR2336" s="8">
        <v>2911.8</v>
      </c>
      <c r="BS2336" s="7">
        <v>-0.2917</v>
      </c>
      <c r="BT2336" s="7">
        <v>-0.2994</v>
      </c>
      <c r="BU2336" s="2" t="s">
        <v>109</v>
      </c>
      <c r="BV2336" s="2" t="s">
        <v>97</v>
      </c>
      <c r="BW2336" s="2" t="s">
        <v>768</v>
      </c>
      <c r="BX2336" s="2" t="s">
        <v>8453</v>
      </c>
      <c r="BY2336" s="2" t="s">
        <v>112</v>
      </c>
      <c r="BZ2336" s="2" t="s">
        <v>100</v>
      </c>
    </row>
    <row r="2337">
      <c r="A2337" s="2" t="s">
        <v>8454</v>
      </c>
      <c r="B2337" s="2" t="s">
        <v>7252</v>
      </c>
      <c r="C2337" s="2" t="s">
        <v>88</v>
      </c>
      <c r="D2337" s="2" t="s">
        <v>8424</v>
      </c>
      <c r="E2337" s="2" t="s">
        <v>8425</v>
      </c>
      <c r="F2337" s="2" t="s">
        <v>8449</v>
      </c>
      <c r="G2337" s="2" t="s">
        <v>4065</v>
      </c>
      <c r="H2337" s="2" t="s">
        <v>8450</v>
      </c>
      <c r="I2337" s="2" t="s">
        <v>8451</v>
      </c>
      <c r="J2337" s="2" t="s">
        <v>6103</v>
      </c>
      <c r="K2337" s="2" t="s">
        <v>7351</v>
      </c>
      <c r="L2337" s="3">
        <v>135.85</v>
      </c>
      <c r="M2337" s="3">
        <v>142.64</v>
      </c>
      <c r="N2337" s="3">
        <v>289</v>
      </c>
      <c r="O2337" s="2" t="s">
        <v>97</v>
      </c>
      <c r="P2337" s="2" t="s">
        <v>182</v>
      </c>
      <c r="Q2337" s="2" t="s">
        <v>99</v>
      </c>
      <c r="R2337" s="2" t="s">
        <v>100</v>
      </c>
      <c r="S2337" s="2" t="s">
        <v>8455</v>
      </c>
      <c r="T2337" s="2" t="s">
        <v>100</v>
      </c>
      <c r="U2337" s="2" t="s">
        <v>100</v>
      </c>
      <c r="V2337" s="2" t="s">
        <v>601</v>
      </c>
      <c r="W2337" s="2" t="s">
        <v>405</v>
      </c>
      <c r="X2337" s="2" t="s">
        <v>100</v>
      </c>
      <c r="Y2337" s="2" t="s">
        <v>106</v>
      </c>
      <c r="Z2337" s="4">
        <v>118</v>
      </c>
      <c r="AA2337" s="4">
        <f>=ROUNDDOWN(16.8571428571429,0)</f>
      </c>
      <c r="AB2337" s="5">
        <v>7</v>
      </c>
      <c r="AC2337" s="2" t="s">
        <v>659</v>
      </c>
      <c r="AD2337" s="4">
        <v>144</v>
      </c>
      <c r="AE2337" s="4">
        <v>144</v>
      </c>
      <c r="AF2337" s="6">
        <v>66</v>
      </c>
      <c r="AG2337" s="6"/>
      <c r="AH2337" s="7">
        <v>0.8727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>
        <v>0</v>
      </c>
      <c r="AP2337" s="4">
        <v>5</v>
      </c>
      <c r="AQ2337" s="8">
        <v>600</v>
      </c>
      <c r="AR2337" s="4">
        <v>6</v>
      </c>
      <c r="AS2337" s="8">
        <v>900.9</v>
      </c>
      <c r="AT2337" s="7">
        <v>-0.1667</v>
      </c>
      <c r="AU2337" s="7">
        <v>-0.334</v>
      </c>
      <c r="AV2337" s="4">
        <v>5</v>
      </c>
      <c r="AW2337" s="8">
        <v>600</v>
      </c>
      <c r="AX2337" s="4">
        <v>6</v>
      </c>
      <c r="AY2337" s="8">
        <v>900.9</v>
      </c>
      <c r="AZ2337" s="7">
        <v>-0.1667</v>
      </c>
      <c r="BA2337" s="7">
        <v>-0.334</v>
      </c>
      <c r="BB2337" s="7">
        <v>1</v>
      </c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>
        <v>0.2273</v>
      </c>
      <c r="BJ2337" s="4">
        <v>197</v>
      </c>
      <c r="BK2337" s="8">
        <v>26162.49</v>
      </c>
      <c r="BL2337" s="2" t="s">
        <v>8456</v>
      </c>
      <c r="BM2337" s="7">
        <v>0.0254</v>
      </c>
      <c r="BN2337" s="7">
        <v>0.0229</v>
      </c>
      <c r="BO2337" s="4">
        <v>5</v>
      </c>
      <c r="BP2337" s="8">
        <v>600</v>
      </c>
      <c r="BQ2337" s="4">
        <v>6</v>
      </c>
      <c r="BR2337" s="8">
        <v>900.9</v>
      </c>
      <c r="BS2337" s="7">
        <v>-0.1667</v>
      </c>
      <c r="BT2337" s="7">
        <v>-0.334</v>
      </c>
      <c r="BU2337" s="2" t="s">
        <v>109</v>
      </c>
      <c r="BV2337" s="2" t="s">
        <v>97</v>
      </c>
      <c r="BW2337" s="2" t="s">
        <v>7307</v>
      </c>
      <c r="BX2337" s="2" t="s">
        <v>5003</v>
      </c>
      <c r="BY2337" s="2" t="s">
        <v>112</v>
      </c>
      <c r="BZ2337" s="2" t="s">
        <v>100</v>
      </c>
    </row>
    <row r="2338">
      <c r="A2338" s="2" t="s">
        <v>8457</v>
      </c>
      <c r="B2338" s="2" t="s">
        <v>7252</v>
      </c>
      <c r="C2338" s="2" t="s">
        <v>88</v>
      </c>
      <c r="D2338" s="2" t="s">
        <v>8424</v>
      </c>
      <c r="E2338" s="2" t="s">
        <v>8425</v>
      </c>
      <c r="F2338" s="2" t="s">
        <v>8458</v>
      </c>
      <c r="G2338" s="2" t="s">
        <v>4195</v>
      </c>
      <c r="H2338" s="2" t="s">
        <v>8459</v>
      </c>
      <c r="I2338" s="2" t="s">
        <v>8460</v>
      </c>
      <c r="J2338" s="2" t="s">
        <v>6103</v>
      </c>
      <c r="K2338" s="2" t="s">
        <v>333</v>
      </c>
      <c r="L2338" s="3">
        <v>114</v>
      </c>
      <c r="M2338" s="3">
        <v>119.7</v>
      </c>
      <c r="N2338" s="3">
        <v>239</v>
      </c>
      <c r="O2338" s="2" t="s">
        <v>97</v>
      </c>
      <c r="P2338" s="2" t="s">
        <v>143</v>
      </c>
      <c r="Q2338" s="2" t="s">
        <v>99</v>
      </c>
      <c r="R2338" s="2" t="s">
        <v>100</v>
      </c>
      <c r="S2338" s="2" t="s">
        <v>8461</v>
      </c>
      <c r="T2338" s="2" t="s">
        <v>100</v>
      </c>
      <c r="U2338" s="2" t="s">
        <v>100</v>
      </c>
      <c r="V2338" s="2" t="s">
        <v>601</v>
      </c>
      <c r="W2338" s="2" t="s">
        <v>602</v>
      </c>
      <c r="X2338" s="2" t="s">
        <v>100</v>
      </c>
      <c r="Y2338" s="2" t="s">
        <v>106</v>
      </c>
      <c r="Z2338" s="4">
        <v>396</v>
      </c>
      <c r="AA2338" s="4">
        <f>=ROUNDDOWN(26.4,0)</f>
      </c>
      <c r="AB2338" s="5">
        <v>15</v>
      </c>
      <c r="AC2338" s="2" t="s">
        <v>1221</v>
      </c>
      <c r="AD2338" s="4">
        <v>216</v>
      </c>
      <c r="AE2338" s="4">
        <v>216</v>
      </c>
      <c r="AF2338" s="6">
        <v>76</v>
      </c>
      <c r="AG2338" s="6">
        <v>67</v>
      </c>
      <c r="AH2338" s="7">
        <v>0.7273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>
        <v>0</v>
      </c>
      <c r="AP2338" s="4">
        <v>10</v>
      </c>
      <c r="AQ2338" s="8">
        <v>826.9</v>
      </c>
      <c r="AR2338" s="4">
        <v>63</v>
      </c>
      <c r="AS2338" s="8">
        <v>6032.36</v>
      </c>
      <c r="AT2338" s="7">
        <v>-0.8413</v>
      </c>
      <c r="AU2338" s="7">
        <v>-0.8629</v>
      </c>
      <c r="AV2338" s="4">
        <v>10</v>
      </c>
      <c r="AW2338" s="8">
        <v>826.9</v>
      </c>
      <c r="AX2338" s="4">
        <v>63</v>
      </c>
      <c r="AY2338" s="8">
        <v>6032.36</v>
      </c>
      <c r="AZ2338" s="7">
        <v>-0.8413</v>
      </c>
      <c r="BA2338" s="7">
        <v>-0.8629</v>
      </c>
      <c r="BB2338" s="7">
        <v>1</v>
      </c>
      <c r="BC2338" s="4">
        <v>23</v>
      </c>
      <c r="BD2338" s="8">
        <v>2260.15</v>
      </c>
      <c r="BE2338" s="4">
        <v>183</v>
      </c>
      <c r="BF2338" s="8">
        <v>18030.08</v>
      </c>
      <c r="BG2338" s="7">
        <v>-0.8743</v>
      </c>
      <c r="BH2338" s="7">
        <v>-0.8746</v>
      </c>
      <c r="BI2338" s="7">
        <v>0.3659</v>
      </c>
      <c r="BJ2338" s="4">
        <v>285</v>
      </c>
      <c r="BK2338" s="8">
        <v>32397.65</v>
      </c>
      <c r="BL2338" s="2" t="s">
        <v>8433</v>
      </c>
      <c r="BM2338" s="7">
        <v>0.0351</v>
      </c>
      <c r="BN2338" s="7">
        <v>0.0255</v>
      </c>
      <c r="BO2338" s="4">
        <v>10</v>
      </c>
      <c r="BP2338" s="8">
        <v>826.9</v>
      </c>
      <c r="BQ2338" s="4">
        <v>63</v>
      </c>
      <c r="BR2338" s="8">
        <v>6032.36</v>
      </c>
      <c r="BS2338" s="7">
        <v>-0.8413</v>
      </c>
      <c r="BT2338" s="7">
        <v>-0.8629</v>
      </c>
      <c r="BU2338" s="2" t="s">
        <v>109</v>
      </c>
      <c r="BV2338" s="2" t="s">
        <v>97</v>
      </c>
      <c r="BW2338" s="2" t="s">
        <v>7311</v>
      </c>
      <c r="BX2338" s="2" t="s">
        <v>443</v>
      </c>
      <c r="BY2338" s="2" t="s">
        <v>112</v>
      </c>
      <c r="BZ2338" s="2" t="s">
        <v>100</v>
      </c>
    </row>
    <row r="2339">
      <c r="A2339" s="2" t="s">
        <v>8462</v>
      </c>
      <c r="B2339" s="2" t="s">
        <v>7252</v>
      </c>
      <c r="C2339" s="2" t="s">
        <v>88</v>
      </c>
      <c r="D2339" s="2" t="s">
        <v>8424</v>
      </c>
      <c r="E2339" s="2" t="s">
        <v>8425</v>
      </c>
      <c r="F2339" s="2" t="s">
        <v>8458</v>
      </c>
      <c r="G2339" s="2" t="s">
        <v>4195</v>
      </c>
      <c r="H2339" s="2" t="s">
        <v>8459</v>
      </c>
      <c r="I2339" s="2" t="s">
        <v>8460</v>
      </c>
      <c r="J2339" s="2" t="s">
        <v>6103</v>
      </c>
      <c r="K2339" s="2" t="s">
        <v>2553</v>
      </c>
      <c r="L2339" s="3">
        <v>114</v>
      </c>
      <c r="M2339" s="3">
        <v>119.7</v>
      </c>
      <c r="N2339" s="3">
        <v>239</v>
      </c>
      <c r="O2339" s="2" t="s">
        <v>97</v>
      </c>
      <c r="P2339" s="2" t="s">
        <v>182</v>
      </c>
      <c r="Q2339" s="2" t="s">
        <v>99</v>
      </c>
      <c r="R2339" s="2" t="s">
        <v>100</v>
      </c>
      <c r="S2339" s="2" t="s">
        <v>8463</v>
      </c>
      <c r="T2339" s="2" t="s">
        <v>100</v>
      </c>
      <c r="U2339" s="2" t="s">
        <v>100</v>
      </c>
      <c r="V2339" s="2" t="s">
        <v>601</v>
      </c>
      <c r="W2339" s="2" t="s">
        <v>104</v>
      </c>
      <c r="X2339" s="2" t="s">
        <v>100</v>
      </c>
      <c r="Y2339" s="2" t="s">
        <v>8464</v>
      </c>
      <c r="Z2339" s="4">
        <v>284</v>
      </c>
      <c r="AA2339" s="4">
        <f>=ROUNDDOWN(31.5555555555556,0)</f>
      </c>
      <c r="AB2339" s="5">
        <v>9</v>
      </c>
      <c r="AC2339" s="2" t="s">
        <v>527</v>
      </c>
      <c r="AD2339" s="4">
        <v>47</v>
      </c>
      <c r="AE2339" s="4">
        <v>216</v>
      </c>
      <c r="AF2339" s="6">
        <v>76</v>
      </c>
      <c r="AG2339" s="6">
        <v>67</v>
      </c>
      <c r="AH2339" s="7">
        <v>0.6485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>
        <v>0</v>
      </c>
      <c r="AP2339" s="4">
        <v>6</v>
      </c>
      <c r="AQ2339" s="8">
        <v>661.5</v>
      </c>
      <c r="AR2339" s="4">
        <v>39</v>
      </c>
      <c r="AS2339" s="8">
        <v>3705.25</v>
      </c>
      <c r="AT2339" s="7">
        <v>-0.8462</v>
      </c>
      <c r="AU2339" s="7">
        <v>-0.8215</v>
      </c>
      <c r="AV2339" s="4">
        <v>6</v>
      </c>
      <c r="AW2339" s="8">
        <v>661.5</v>
      </c>
      <c r="AX2339" s="4">
        <v>39</v>
      </c>
      <c r="AY2339" s="8">
        <v>3705.25</v>
      </c>
      <c r="AZ2339" s="7">
        <v>-0.8462</v>
      </c>
      <c r="BA2339" s="7">
        <v>-0.8215</v>
      </c>
      <c r="BB2339" s="7">
        <v>1</v>
      </c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>
        <v>0.2927</v>
      </c>
      <c r="BJ2339" s="4">
        <v>171</v>
      </c>
      <c r="BK2339" s="8">
        <v>19422.01</v>
      </c>
      <c r="BL2339" s="2" t="s">
        <v>8465</v>
      </c>
      <c r="BM2339" s="7">
        <v>0.0351</v>
      </c>
      <c r="BN2339" s="7">
        <v>0.0341</v>
      </c>
      <c r="BO2339" s="4">
        <v>6</v>
      </c>
      <c r="BP2339" s="8">
        <v>661.5</v>
      </c>
      <c r="BQ2339" s="4">
        <v>39</v>
      </c>
      <c r="BR2339" s="8">
        <v>3705.25</v>
      </c>
      <c r="BS2339" s="7">
        <v>-0.8462</v>
      </c>
      <c r="BT2339" s="7">
        <v>-0.8215</v>
      </c>
      <c r="BU2339" s="2" t="s">
        <v>109</v>
      </c>
      <c r="BV2339" s="2" t="s">
        <v>97</v>
      </c>
      <c r="BW2339" s="2" t="s">
        <v>7311</v>
      </c>
      <c r="BX2339" s="2" t="s">
        <v>6050</v>
      </c>
      <c r="BY2339" s="2" t="s">
        <v>112</v>
      </c>
      <c r="BZ2339" s="2" t="s">
        <v>100</v>
      </c>
    </row>
    <row r="2340">
      <c r="A2340" s="2" t="s">
        <v>8466</v>
      </c>
      <c r="B2340" s="2" t="s">
        <v>7252</v>
      </c>
      <c r="C2340" s="2" t="s">
        <v>88</v>
      </c>
      <c r="D2340" s="2" t="s">
        <v>8424</v>
      </c>
      <c r="E2340" s="2" t="s">
        <v>8425</v>
      </c>
      <c r="F2340" s="2" t="s">
        <v>8458</v>
      </c>
      <c r="G2340" s="2" t="s">
        <v>4195</v>
      </c>
      <c r="H2340" s="2" t="s">
        <v>8459</v>
      </c>
      <c r="I2340" s="2" t="s">
        <v>8460</v>
      </c>
      <c r="J2340" s="2" t="s">
        <v>6103</v>
      </c>
      <c r="K2340" s="2" t="s">
        <v>158</v>
      </c>
      <c r="L2340" s="3">
        <v>114</v>
      </c>
      <c r="M2340" s="3">
        <v>119.7</v>
      </c>
      <c r="N2340" s="3">
        <v>239</v>
      </c>
      <c r="O2340" s="2" t="s">
        <v>97</v>
      </c>
      <c r="P2340" s="2" t="s">
        <v>182</v>
      </c>
      <c r="Q2340" s="2" t="s">
        <v>99</v>
      </c>
      <c r="R2340" s="2" t="s">
        <v>100</v>
      </c>
      <c r="S2340" s="2" t="s">
        <v>8467</v>
      </c>
      <c r="T2340" s="2" t="s">
        <v>100</v>
      </c>
      <c r="U2340" s="2" t="s">
        <v>100</v>
      </c>
      <c r="V2340" s="2" t="s">
        <v>601</v>
      </c>
      <c r="W2340" s="2" t="s">
        <v>104</v>
      </c>
      <c r="X2340" s="2" t="s">
        <v>100</v>
      </c>
      <c r="Y2340" s="2" t="s">
        <v>106</v>
      </c>
      <c r="Z2340" s="4">
        <v>113</v>
      </c>
      <c r="AA2340" s="4">
        <f>=ROUNDDOWN(14.125,0)</f>
      </c>
      <c r="AB2340" s="5">
        <v>8</v>
      </c>
      <c r="AC2340" s="2" t="s">
        <v>527</v>
      </c>
      <c r="AD2340" s="4">
        <v>116</v>
      </c>
      <c r="AE2340" s="4">
        <v>191</v>
      </c>
      <c r="AF2340" s="6">
        <v>76</v>
      </c>
      <c r="AG2340" s="6">
        <v>67</v>
      </c>
      <c r="AH2340" s="7">
        <v>0.7273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>
        <v>0</v>
      </c>
      <c r="AP2340" s="4">
        <v>2</v>
      </c>
      <c r="AQ2340" s="8">
        <v>220.5</v>
      </c>
      <c r="AR2340" s="4">
        <v>33</v>
      </c>
      <c r="AS2340" s="8">
        <v>3445.34</v>
      </c>
      <c r="AT2340" s="7">
        <v>-0.9394</v>
      </c>
      <c r="AU2340" s="7">
        <v>-0.936</v>
      </c>
      <c r="AV2340" s="4">
        <v>2</v>
      </c>
      <c r="AW2340" s="8">
        <v>220.5</v>
      </c>
      <c r="AX2340" s="4">
        <v>33</v>
      </c>
      <c r="AY2340" s="8">
        <v>3445.34</v>
      </c>
      <c r="AZ2340" s="7">
        <v>-0.9394</v>
      </c>
      <c r="BA2340" s="7">
        <v>-0.936</v>
      </c>
      <c r="BB2340" s="7">
        <v>1</v>
      </c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>
        <v>0.0976</v>
      </c>
      <c r="BJ2340" s="4">
        <v>137</v>
      </c>
      <c r="BK2340" s="8">
        <v>15211.29</v>
      </c>
      <c r="BL2340" s="2" t="s">
        <v>8468</v>
      </c>
      <c r="BM2340" s="7">
        <v>0.0146</v>
      </c>
      <c r="BN2340" s="7">
        <v>0.0145</v>
      </c>
      <c r="BO2340" s="4">
        <v>2</v>
      </c>
      <c r="BP2340" s="8">
        <v>220.5</v>
      </c>
      <c r="BQ2340" s="4">
        <v>33</v>
      </c>
      <c r="BR2340" s="8">
        <v>3445.34</v>
      </c>
      <c r="BS2340" s="7">
        <v>-0.9394</v>
      </c>
      <c r="BT2340" s="7">
        <v>-0.936</v>
      </c>
      <c r="BU2340" s="2" t="s">
        <v>109</v>
      </c>
      <c r="BV2340" s="2" t="s">
        <v>97</v>
      </c>
      <c r="BW2340" s="2" t="s">
        <v>7311</v>
      </c>
      <c r="BX2340" s="2" t="s">
        <v>8469</v>
      </c>
      <c r="BY2340" s="2" t="s">
        <v>112</v>
      </c>
      <c r="BZ2340" s="2" t="s">
        <v>100</v>
      </c>
    </row>
    <row r="2341">
      <c r="A2341" s="2" t="s">
        <v>8470</v>
      </c>
      <c r="B2341" s="2" t="s">
        <v>7252</v>
      </c>
      <c r="C2341" s="2" t="s">
        <v>88</v>
      </c>
      <c r="D2341" s="2" t="s">
        <v>8424</v>
      </c>
      <c r="E2341" s="2" t="s">
        <v>8425</v>
      </c>
      <c r="F2341" s="2" t="s">
        <v>8458</v>
      </c>
      <c r="G2341" s="2" t="s">
        <v>4195</v>
      </c>
      <c r="H2341" s="2" t="s">
        <v>8459</v>
      </c>
      <c r="I2341" s="2" t="s">
        <v>8460</v>
      </c>
      <c r="J2341" s="2" t="s">
        <v>6103</v>
      </c>
      <c r="K2341" s="2" t="s">
        <v>8471</v>
      </c>
      <c r="L2341" s="3">
        <v>114</v>
      </c>
      <c r="M2341" s="3">
        <v>119.7</v>
      </c>
      <c r="N2341" s="3">
        <v>239</v>
      </c>
      <c r="O2341" s="2" t="s">
        <v>97</v>
      </c>
      <c r="P2341" s="2" t="s">
        <v>182</v>
      </c>
      <c r="Q2341" s="2" t="s">
        <v>99</v>
      </c>
      <c r="R2341" s="2" t="s">
        <v>100</v>
      </c>
      <c r="S2341" s="2" t="s">
        <v>8472</v>
      </c>
      <c r="T2341" s="2" t="s">
        <v>100</v>
      </c>
      <c r="U2341" s="2" t="s">
        <v>100</v>
      </c>
      <c r="V2341" s="2" t="s">
        <v>601</v>
      </c>
      <c r="W2341" s="2" t="s">
        <v>104</v>
      </c>
      <c r="X2341" s="2" t="s">
        <v>100</v>
      </c>
      <c r="Y2341" s="2" t="s">
        <v>106</v>
      </c>
      <c r="Z2341" s="4">
        <v>163</v>
      </c>
      <c r="AA2341" s="4">
        <f>=ROUNDDOWN(32.6,0)</f>
      </c>
      <c r="AB2341" s="5">
        <v>5</v>
      </c>
      <c r="AC2341" s="2" t="s">
        <v>2670</v>
      </c>
      <c r="AD2341" s="4">
        <v>33</v>
      </c>
      <c r="AE2341" s="4">
        <v>33</v>
      </c>
      <c r="AF2341" s="6">
        <v>76</v>
      </c>
      <c r="AG2341" s="6">
        <v>67</v>
      </c>
      <c r="AH2341" s="7">
        <v>0.9515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>
        <v>0</v>
      </c>
      <c r="AP2341" s="4">
        <v>2</v>
      </c>
      <c r="AQ2341" s="8">
        <v>220.5</v>
      </c>
      <c r="AR2341" s="4">
        <v>11</v>
      </c>
      <c r="AS2341" s="8">
        <v>996.21</v>
      </c>
      <c r="AT2341" s="7">
        <v>-0.8182</v>
      </c>
      <c r="AU2341" s="7">
        <v>-0.7787</v>
      </c>
      <c r="AV2341" s="4">
        <v>2</v>
      </c>
      <c r="AW2341" s="8">
        <v>220.5</v>
      </c>
      <c r="AX2341" s="4">
        <v>11</v>
      </c>
      <c r="AY2341" s="8">
        <v>996.21</v>
      </c>
      <c r="AZ2341" s="7">
        <v>-0.8182</v>
      </c>
      <c r="BA2341" s="7">
        <v>-0.7787</v>
      </c>
      <c r="BB2341" s="7">
        <v>1</v>
      </c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>
        <v>0.0976</v>
      </c>
      <c r="BJ2341" s="4">
        <v>118</v>
      </c>
      <c r="BK2341" s="8">
        <v>12728.08</v>
      </c>
      <c r="BL2341" s="2" t="s">
        <v>8473</v>
      </c>
      <c r="BM2341" s="7">
        <v>0.0169</v>
      </c>
      <c r="BN2341" s="7">
        <v>0.0173</v>
      </c>
      <c r="BO2341" s="4">
        <v>2</v>
      </c>
      <c r="BP2341" s="8">
        <v>220.5</v>
      </c>
      <c r="BQ2341" s="4">
        <v>11</v>
      </c>
      <c r="BR2341" s="8">
        <v>996.21</v>
      </c>
      <c r="BS2341" s="7">
        <v>-0.8182</v>
      </c>
      <c r="BT2341" s="7">
        <v>-0.7787</v>
      </c>
      <c r="BU2341" s="2" t="s">
        <v>109</v>
      </c>
      <c r="BV2341" s="2" t="s">
        <v>97</v>
      </c>
      <c r="BW2341" s="2" t="s">
        <v>7311</v>
      </c>
      <c r="BX2341" s="2" t="s">
        <v>6176</v>
      </c>
      <c r="BY2341" s="2" t="s">
        <v>112</v>
      </c>
      <c r="BZ2341" s="2" t="s">
        <v>100</v>
      </c>
    </row>
    <row r="2342">
      <c r="A2342" s="2" t="s">
        <v>8474</v>
      </c>
      <c r="B2342" s="2" t="s">
        <v>7252</v>
      </c>
      <c r="C2342" s="2" t="s">
        <v>88</v>
      </c>
      <c r="D2342" s="2" t="s">
        <v>8424</v>
      </c>
      <c r="E2342" s="2" t="s">
        <v>8425</v>
      </c>
      <c r="F2342" s="2" t="s">
        <v>8458</v>
      </c>
      <c r="G2342" s="2" t="s">
        <v>4195</v>
      </c>
      <c r="H2342" s="2" t="s">
        <v>8459</v>
      </c>
      <c r="I2342" s="2" t="s">
        <v>8460</v>
      </c>
      <c r="J2342" s="2" t="s">
        <v>6103</v>
      </c>
      <c r="K2342" s="2" t="s">
        <v>7362</v>
      </c>
      <c r="L2342" s="3">
        <v>114</v>
      </c>
      <c r="M2342" s="3">
        <v>119.7</v>
      </c>
      <c r="N2342" s="3">
        <v>239</v>
      </c>
      <c r="O2342" s="2" t="s">
        <v>97</v>
      </c>
      <c r="P2342" s="2" t="s">
        <v>182</v>
      </c>
      <c r="Q2342" s="2" t="s">
        <v>99</v>
      </c>
      <c r="R2342" s="2" t="s">
        <v>100</v>
      </c>
      <c r="S2342" s="2" t="s">
        <v>8475</v>
      </c>
      <c r="T2342" s="2" t="s">
        <v>100</v>
      </c>
      <c r="U2342" s="2" t="s">
        <v>100</v>
      </c>
      <c r="V2342" s="2" t="s">
        <v>601</v>
      </c>
      <c r="W2342" s="2" t="s">
        <v>602</v>
      </c>
      <c r="X2342" s="2" t="s">
        <v>100</v>
      </c>
      <c r="Y2342" s="2" t="s">
        <v>106</v>
      </c>
      <c r="Z2342" s="4">
        <v>189</v>
      </c>
      <c r="AA2342" s="4">
        <f>=ROUNDDOWN(14.5384615384615,0)</f>
      </c>
      <c r="AB2342" s="5">
        <v>13</v>
      </c>
      <c r="AC2342" s="2" t="s">
        <v>1221</v>
      </c>
      <c r="AD2342" s="4">
        <v>166</v>
      </c>
      <c r="AE2342" s="4">
        <v>166</v>
      </c>
      <c r="AF2342" s="6">
        <v>76</v>
      </c>
      <c r="AG2342" s="6">
        <v>67</v>
      </c>
      <c r="AH2342" s="7">
        <v>0.7394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>
        <v>0</v>
      </c>
      <c r="AP2342" s="4">
        <v>2</v>
      </c>
      <c r="AQ2342" s="8">
        <v>220.5</v>
      </c>
      <c r="AR2342" s="4">
        <v>16</v>
      </c>
      <c r="AS2342" s="8">
        <v>1756.14</v>
      </c>
      <c r="AT2342" s="7">
        <v>-0.875</v>
      </c>
      <c r="AU2342" s="7">
        <v>-0.8744</v>
      </c>
      <c r="AV2342" s="4">
        <v>2</v>
      </c>
      <c r="AW2342" s="8">
        <v>220.5</v>
      </c>
      <c r="AX2342" s="4">
        <v>16</v>
      </c>
      <c r="AY2342" s="8">
        <v>1756.14</v>
      </c>
      <c r="AZ2342" s="7">
        <v>-0.875</v>
      </c>
      <c r="BA2342" s="7">
        <v>-0.8744</v>
      </c>
      <c r="BB2342" s="7">
        <v>1</v>
      </c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>
        <v>0.0976</v>
      </c>
      <c r="BJ2342" s="4">
        <v>221</v>
      </c>
      <c r="BK2342" s="8">
        <v>24979.29</v>
      </c>
      <c r="BL2342" s="2" t="s">
        <v>8476</v>
      </c>
      <c r="BM2342" s="7">
        <v>0.009</v>
      </c>
      <c r="BN2342" s="7">
        <v>0.0088</v>
      </c>
      <c r="BO2342" s="4">
        <v>2</v>
      </c>
      <c r="BP2342" s="8">
        <v>220.5</v>
      </c>
      <c r="BQ2342" s="4">
        <v>16</v>
      </c>
      <c r="BR2342" s="8">
        <v>1756.14</v>
      </c>
      <c r="BS2342" s="7">
        <v>-0.875</v>
      </c>
      <c r="BT2342" s="7">
        <v>-0.8744</v>
      </c>
      <c r="BU2342" s="2" t="s">
        <v>109</v>
      </c>
      <c r="BV2342" s="2" t="s">
        <v>97</v>
      </c>
      <c r="BW2342" s="2" t="s">
        <v>7311</v>
      </c>
      <c r="BX2342" s="2" t="s">
        <v>4736</v>
      </c>
      <c r="BY2342" s="2" t="s">
        <v>112</v>
      </c>
      <c r="BZ2342" s="2" t="s">
        <v>100</v>
      </c>
    </row>
    <row r="2343">
      <c r="A2343" s="2" t="s">
        <v>8477</v>
      </c>
      <c r="B2343" s="2" t="s">
        <v>7252</v>
      </c>
      <c r="C2343" s="2" t="s">
        <v>88</v>
      </c>
      <c r="D2343" s="2" t="s">
        <v>8424</v>
      </c>
      <c r="E2343" s="2" t="s">
        <v>8425</v>
      </c>
      <c r="F2343" s="2" t="s">
        <v>8458</v>
      </c>
      <c r="G2343" s="2" t="s">
        <v>4195</v>
      </c>
      <c r="H2343" s="2" t="s">
        <v>8459</v>
      </c>
      <c r="I2343" s="2" t="s">
        <v>8460</v>
      </c>
      <c r="J2343" s="2" t="s">
        <v>6103</v>
      </c>
      <c r="K2343" s="2" t="s">
        <v>197</v>
      </c>
      <c r="L2343" s="3">
        <v>114</v>
      </c>
      <c r="M2343" s="3">
        <v>119.7</v>
      </c>
      <c r="N2343" s="3">
        <v>239</v>
      </c>
      <c r="O2343" s="2" t="s">
        <v>97</v>
      </c>
      <c r="P2343" s="2" t="s">
        <v>182</v>
      </c>
      <c r="Q2343" s="2" t="s">
        <v>99</v>
      </c>
      <c r="R2343" s="2" t="s">
        <v>100</v>
      </c>
      <c r="S2343" s="2" t="s">
        <v>8478</v>
      </c>
      <c r="T2343" s="2" t="s">
        <v>100</v>
      </c>
      <c r="U2343" s="2" t="s">
        <v>100</v>
      </c>
      <c r="V2343" s="2" t="s">
        <v>601</v>
      </c>
      <c r="W2343" s="2" t="s">
        <v>602</v>
      </c>
      <c r="X2343" s="2" t="s">
        <v>100</v>
      </c>
      <c r="Y2343" s="2" t="s">
        <v>106</v>
      </c>
      <c r="Z2343" s="4">
        <v>195</v>
      </c>
      <c r="AA2343" s="4">
        <f>=ROUNDDOWN(21.6666666666667,0)</f>
      </c>
      <c r="AB2343" s="5">
        <v>9</v>
      </c>
      <c r="AC2343" s="2" t="s">
        <v>527</v>
      </c>
      <c r="AD2343" s="4">
        <v>116</v>
      </c>
      <c r="AE2343" s="4">
        <v>116</v>
      </c>
      <c r="AF2343" s="6">
        <v>76</v>
      </c>
      <c r="AG2343" s="6">
        <v>67</v>
      </c>
      <c r="AH2343" s="7">
        <v>0.6667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>
        <v>0</v>
      </c>
      <c r="AP2343" s="4">
        <v>1</v>
      </c>
      <c r="AQ2343" s="8">
        <v>110.25</v>
      </c>
      <c r="AR2343" s="4">
        <v>21</v>
      </c>
      <c r="AS2343" s="8">
        <v>2094.78</v>
      </c>
      <c r="AT2343" s="7">
        <v>-0.9524</v>
      </c>
      <c r="AU2343" s="7">
        <v>-0.9474</v>
      </c>
      <c r="AV2343" s="4">
        <v>1</v>
      </c>
      <c r="AW2343" s="8">
        <v>110.25</v>
      </c>
      <c r="AX2343" s="4">
        <v>21</v>
      </c>
      <c r="AY2343" s="8">
        <v>2094.78</v>
      </c>
      <c r="AZ2343" s="7">
        <v>-0.9524</v>
      </c>
      <c r="BA2343" s="7">
        <v>-0.9474</v>
      </c>
      <c r="BB2343" s="7">
        <v>1</v>
      </c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>
        <v>0.0488</v>
      </c>
      <c r="BJ2343" s="4">
        <v>165</v>
      </c>
      <c r="BK2343" s="8">
        <v>19264.48</v>
      </c>
      <c r="BL2343" s="2" t="s">
        <v>8479</v>
      </c>
      <c r="BM2343" s="7">
        <v>0.0061</v>
      </c>
      <c r="BN2343" s="7">
        <v>0.0057</v>
      </c>
      <c r="BO2343" s="4">
        <v>1</v>
      </c>
      <c r="BP2343" s="8">
        <v>110.25</v>
      </c>
      <c r="BQ2343" s="4">
        <v>21</v>
      </c>
      <c r="BR2343" s="8">
        <v>2094.78</v>
      </c>
      <c r="BS2343" s="7">
        <v>-0.9524</v>
      </c>
      <c r="BT2343" s="7">
        <v>-0.9474</v>
      </c>
      <c r="BU2343" s="2" t="s">
        <v>109</v>
      </c>
      <c r="BV2343" s="2" t="s">
        <v>97</v>
      </c>
      <c r="BW2343" s="2" t="s">
        <v>7307</v>
      </c>
      <c r="BX2343" s="2" t="s">
        <v>4328</v>
      </c>
      <c r="BY2343" s="2" t="s">
        <v>112</v>
      </c>
      <c r="BZ2343" s="2" t="s">
        <v>100</v>
      </c>
    </row>
    <row r="2344">
      <c r="A2344" s="2" t="s">
        <v>8480</v>
      </c>
      <c r="B2344" s="2" t="s">
        <v>7252</v>
      </c>
      <c r="C2344" s="2" t="s">
        <v>88</v>
      </c>
      <c r="D2344" s="2" t="s">
        <v>8424</v>
      </c>
      <c r="E2344" s="2" t="s">
        <v>8425</v>
      </c>
      <c r="F2344" s="2" t="s">
        <v>8458</v>
      </c>
      <c r="G2344" s="2" t="s">
        <v>4195</v>
      </c>
      <c r="H2344" s="2" t="s">
        <v>8459</v>
      </c>
      <c r="I2344" s="2" t="s">
        <v>8460</v>
      </c>
      <c r="J2344" s="2" t="s">
        <v>6103</v>
      </c>
      <c r="K2344" s="2" t="s">
        <v>123</v>
      </c>
      <c r="L2344" s="3">
        <v>114</v>
      </c>
      <c r="M2344" s="3">
        <v>119.7</v>
      </c>
      <c r="N2344" s="3">
        <v>239</v>
      </c>
      <c r="O2344" s="2" t="s">
        <v>97</v>
      </c>
      <c r="P2344" s="2" t="s">
        <v>182</v>
      </c>
      <c r="Q2344" s="2" t="s">
        <v>99</v>
      </c>
      <c r="R2344" s="2" t="s">
        <v>100</v>
      </c>
      <c r="S2344" s="2" t="s">
        <v>100</v>
      </c>
      <c r="T2344" s="2" t="s">
        <v>100</v>
      </c>
      <c r="U2344" s="2" t="s">
        <v>100</v>
      </c>
      <c r="V2344" s="2" t="s">
        <v>601</v>
      </c>
      <c r="W2344" s="2" t="s">
        <v>104</v>
      </c>
      <c r="X2344" s="2" t="s">
        <v>100</v>
      </c>
      <c r="Y2344" s="2" t="s">
        <v>7879</v>
      </c>
      <c r="Z2344" s="4">
        <v>170</v>
      </c>
      <c r="AA2344" s="4">
        <f>=ROUNDDOWN(15.4545454545455,0)</f>
      </c>
      <c r="AB2344" s="5">
        <v>11</v>
      </c>
      <c r="AC2344" s="2" t="s">
        <v>1328</v>
      </c>
      <c r="AD2344" s="4">
        <v>110</v>
      </c>
      <c r="AE2344" s="4">
        <v>305</v>
      </c>
      <c r="AF2344" s="6">
        <v>76</v>
      </c>
      <c r="AG2344" s="6">
        <v>67</v>
      </c>
      <c r="AH2344" s="7">
        <v>0.9455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/>
      <c r="AW2344" s="8"/>
      <c r="AX2344" s="4"/>
      <c r="AY2344" s="8"/>
      <c r="AZ2344" s="7"/>
      <c r="BA2344" s="7"/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250</v>
      </c>
      <c r="BK2344" s="8">
        <v>27474.41</v>
      </c>
      <c r="BL2344" s="2" t="s">
        <v>8481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6185</v>
      </c>
      <c r="BV2344" s="2" t="s">
        <v>97</v>
      </c>
      <c r="BW2344" s="2" t="s">
        <v>100</v>
      </c>
      <c r="BX2344" s="2" t="s">
        <v>100</v>
      </c>
      <c r="BY2344" s="2" t="s">
        <v>112</v>
      </c>
      <c r="BZ2344" s="2" t="s">
        <v>100</v>
      </c>
    </row>
    <row r="2345">
      <c r="A2345" s="2" t="s">
        <v>8482</v>
      </c>
      <c r="B2345" s="2" t="s">
        <v>7252</v>
      </c>
      <c r="C2345" s="2" t="s">
        <v>88</v>
      </c>
      <c r="D2345" s="2" t="s">
        <v>8424</v>
      </c>
      <c r="E2345" s="2" t="s">
        <v>8425</v>
      </c>
      <c r="F2345" s="2" t="s">
        <v>1119</v>
      </c>
      <c r="G2345" s="2" t="s">
        <v>8483</v>
      </c>
      <c r="H2345" s="2" t="s">
        <v>8484</v>
      </c>
      <c r="I2345" s="2" t="s">
        <v>8451</v>
      </c>
      <c r="J2345" s="2" t="s">
        <v>6103</v>
      </c>
      <c r="K2345" s="2" t="s">
        <v>333</v>
      </c>
      <c r="L2345" s="3">
        <v>187.91</v>
      </c>
      <c r="M2345" s="3">
        <v>197.31</v>
      </c>
      <c r="N2345" s="3">
        <v>399</v>
      </c>
      <c r="O2345" s="2" t="s">
        <v>97</v>
      </c>
      <c r="P2345" s="2" t="s">
        <v>1265</v>
      </c>
      <c r="Q2345" s="2" t="s">
        <v>99</v>
      </c>
      <c r="R2345" s="2" t="s">
        <v>100</v>
      </c>
      <c r="S2345" s="2" t="s">
        <v>8485</v>
      </c>
      <c r="T2345" s="2" t="s">
        <v>100</v>
      </c>
      <c r="U2345" s="2" t="s">
        <v>100</v>
      </c>
      <c r="V2345" s="2" t="s">
        <v>601</v>
      </c>
      <c r="W2345" s="2" t="s">
        <v>104</v>
      </c>
      <c r="X2345" s="2" t="s">
        <v>100</v>
      </c>
      <c r="Y2345" s="2" t="s">
        <v>8443</v>
      </c>
      <c r="Z2345" s="4">
        <v>73</v>
      </c>
      <c r="AA2345" s="4">
        <f>=ROUNDDOWN(36.5,0)</f>
      </c>
      <c r="AB2345" s="5">
        <v>2</v>
      </c>
      <c r="AC2345" s="2" t="s">
        <v>100</v>
      </c>
      <c r="AD2345" s="4"/>
      <c r="AE2345" s="4"/>
      <c r="AF2345" s="6">
        <v>66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>
        <v>0</v>
      </c>
      <c r="AP2345" s="4">
        <v>11</v>
      </c>
      <c r="AQ2345" s="8">
        <v>2170.3</v>
      </c>
      <c r="AR2345" s="4">
        <v>7</v>
      </c>
      <c r="AS2345" s="8">
        <v>1095.08</v>
      </c>
      <c r="AT2345" s="7">
        <v>0.5714</v>
      </c>
      <c r="AU2345" s="7">
        <v>0.9819</v>
      </c>
      <c r="AV2345" s="4">
        <v>11</v>
      </c>
      <c r="AW2345" s="8">
        <v>2170.3</v>
      </c>
      <c r="AX2345" s="4">
        <v>7</v>
      </c>
      <c r="AY2345" s="8">
        <v>1095.08</v>
      </c>
      <c r="AZ2345" s="7">
        <v>0.5714</v>
      </c>
      <c r="BA2345" s="7">
        <v>0.9819</v>
      </c>
      <c r="BB2345" s="7">
        <v>1</v>
      </c>
      <c r="BC2345" s="4">
        <v>11</v>
      </c>
      <c r="BD2345" s="8">
        <v>2170.3</v>
      </c>
      <c r="BE2345" s="4">
        <v>7</v>
      </c>
      <c r="BF2345" s="8">
        <v>1095.08</v>
      </c>
      <c r="BG2345" s="7">
        <v>0.5714</v>
      </c>
      <c r="BH2345" s="7">
        <v>0.9819</v>
      </c>
      <c r="BI2345" s="7">
        <v>1</v>
      </c>
      <c r="BJ2345" s="4">
        <v>48</v>
      </c>
      <c r="BK2345" s="8">
        <v>9616.41</v>
      </c>
      <c r="BL2345" s="2" t="s">
        <v>8486</v>
      </c>
      <c r="BM2345" s="7">
        <v>0.2292</v>
      </c>
      <c r="BN2345" s="7">
        <v>0.2257</v>
      </c>
      <c r="BO2345" s="4">
        <v>11</v>
      </c>
      <c r="BP2345" s="8">
        <v>2170.3</v>
      </c>
      <c r="BQ2345" s="4">
        <v>7</v>
      </c>
      <c r="BR2345" s="8">
        <v>1095.08</v>
      </c>
      <c r="BS2345" s="7">
        <v>0.5714</v>
      </c>
      <c r="BT2345" s="7">
        <v>0.9819</v>
      </c>
      <c r="BU2345" s="2" t="s">
        <v>109</v>
      </c>
      <c r="BV2345" s="2" t="s">
        <v>97</v>
      </c>
      <c r="BW2345" s="2" t="s">
        <v>3536</v>
      </c>
      <c r="BX2345" s="2" t="s">
        <v>8487</v>
      </c>
      <c r="BY2345" s="2" t="s">
        <v>112</v>
      </c>
      <c r="BZ2345" s="2" t="s">
        <v>100</v>
      </c>
    </row>
    <row r="2346">
      <c r="A2346" s="2" t="s">
        <v>8488</v>
      </c>
      <c r="B2346" s="2" t="s">
        <v>7252</v>
      </c>
      <c r="C2346" s="2" t="s">
        <v>88</v>
      </c>
      <c r="D2346" s="2" t="s">
        <v>8424</v>
      </c>
      <c r="E2346" s="2" t="s">
        <v>8425</v>
      </c>
      <c r="F2346" s="2" t="s">
        <v>8489</v>
      </c>
      <c r="G2346" s="2" t="s">
        <v>8490</v>
      </c>
      <c r="H2346" s="2" t="s">
        <v>8491</v>
      </c>
      <c r="I2346" s="2" t="s">
        <v>8451</v>
      </c>
      <c r="J2346" s="2" t="s">
        <v>6103</v>
      </c>
      <c r="K2346" s="2" t="s">
        <v>2367</v>
      </c>
      <c r="L2346" s="3">
        <v>128.7</v>
      </c>
      <c r="M2346" s="3">
        <v>135.14</v>
      </c>
      <c r="N2346" s="3">
        <v>269</v>
      </c>
      <c r="O2346" s="2" t="s">
        <v>97</v>
      </c>
      <c r="P2346" s="2" t="s">
        <v>182</v>
      </c>
      <c r="Q2346" s="2" t="s">
        <v>99</v>
      </c>
      <c r="R2346" s="2" t="s">
        <v>100</v>
      </c>
      <c r="S2346" s="2" t="s">
        <v>8492</v>
      </c>
      <c r="T2346" s="2" t="s">
        <v>100</v>
      </c>
      <c r="U2346" s="2" t="s">
        <v>100</v>
      </c>
      <c r="V2346" s="2" t="s">
        <v>601</v>
      </c>
      <c r="W2346" s="2" t="s">
        <v>602</v>
      </c>
      <c r="X2346" s="2" t="s">
        <v>100</v>
      </c>
      <c r="Y2346" s="2" t="s">
        <v>106</v>
      </c>
      <c r="Z2346" s="4">
        <v>80</v>
      </c>
      <c r="AA2346" s="4">
        <f>=ROUNDDOWN(7.27272727272727,0)</f>
      </c>
      <c r="AB2346" s="5">
        <v>11</v>
      </c>
      <c r="AC2346" s="2" t="s">
        <v>659</v>
      </c>
      <c r="AD2346" s="4">
        <v>160</v>
      </c>
      <c r="AE2346" s="4">
        <v>160</v>
      </c>
      <c r="AF2346" s="6">
        <v>66</v>
      </c>
      <c r="AG2346" s="6">
        <v>49</v>
      </c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>
        <v>0</v>
      </c>
      <c r="AP2346" s="4">
        <v>12</v>
      </c>
      <c r="AQ2346" s="8">
        <v>1385.76</v>
      </c>
      <c r="AR2346" s="4">
        <v>4</v>
      </c>
      <c r="AS2346" s="8">
        <v>346.44</v>
      </c>
      <c r="AT2346" s="7">
        <v>2</v>
      </c>
      <c r="AU2346" s="7">
        <v>3</v>
      </c>
      <c r="AV2346" s="4">
        <v>12</v>
      </c>
      <c r="AW2346" s="8">
        <v>1385.76</v>
      </c>
      <c r="AX2346" s="4">
        <v>4</v>
      </c>
      <c r="AY2346" s="8">
        <v>346.44</v>
      </c>
      <c r="AZ2346" s="7">
        <v>2</v>
      </c>
      <c r="BA2346" s="7">
        <v>3</v>
      </c>
      <c r="BB2346" s="7">
        <v>1</v>
      </c>
      <c r="BC2346" s="4">
        <v>12</v>
      </c>
      <c r="BD2346" s="8">
        <v>1385.76</v>
      </c>
      <c r="BE2346" s="4">
        <v>4</v>
      </c>
      <c r="BF2346" s="8">
        <v>346.44</v>
      </c>
      <c r="BG2346" s="7">
        <v>2</v>
      </c>
      <c r="BH2346" s="7">
        <v>3</v>
      </c>
      <c r="BI2346" s="7">
        <v>1</v>
      </c>
      <c r="BJ2346" s="4">
        <v>268</v>
      </c>
      <c r="BK2346" s="8">
        <v>32500.44</v>
      </c>
      <c r="BL2346" s="2" t="s">
        <v>8493</v>
      </c>
      <c r="BM2346" s="7">
        <v>0.0448</v>
      </c>
      <c r="BN2346" s="7">
        <v>0.0426</v>
      </c>
      <c r="BO2346" s="4">
        <v>12</v>
      </c>
      <c r="BP2346" s="8">
        <v>1385.76</v>
      </c>
      <c r="BQ2346" s="4">
        <v>4</v>
      </c>
      <c r="BR2346" s="8">
        <v>346.44</v>
      </c>
      <c r="BS2346" s="7">
        <v>2</v>
      </c>
      <c r="BT2346" s="7">
        <v>3</v>
      </c>
      <c r="BU2346" s="2" t="s">
        <v>109</v>
      </c>
      <c r="BV2346" s="2" t="s">
        <v>97</v>
      </c>
      <c r="BW2346" s="2" t="s">
        <v>3536</v>
      </c>
      <c r="BX2346" s="2" t="s">
        <v>7514</v>
      </c>
      <c r="BY2346" s="2" t="s">
        <v>112</v>
      </c>
      <c r="BZ2346" s="2" t="s">
        <v>100</v>
      </c>
    </row>
    <row r="2347">
      <c r="A2347" s="2" t="s">
        <v>8494</v>
      </c>
      <c r="B2347" s="2" t="s">
        <v>7252</v>
      </c>
      <c r="C2347" s="2" t="s">
        <v>88</v>
      </c>
      <c r="D2347" s="2" t="s">
        <v>8424</v>
      </c>
      <c r="E2347" s="2" t="s">
        <v>8425</v>
      </c>
      <c r="F2347" s="2" t="s">
        <v>8495</v>
      </c>
      <c r="G2347" s="2" t="s">
        <v>8496</v>
      </c>
      <c r="H2347" s="2" t="s">
        <v>8497</v>
      </c>
      <c r="I2347" s="2" t="s">
        <v>8498</v>
      </c>
      <c r="J2347" s="2" t="s">
        <v>6103</v>
      </c>
      <c r="K2347" s="2" t="s">
        <v>333</v>
      </c>
      <c r="L2347" s="3">
        <v>141.28</v>
      </c>
      <c r="M2347" s="3">
        <v>148.34</v>
      </c>
      <c r="N2347" s="3">
        <v>299</v>
      </c>
      <c r="O2347" s="2" t="s">
        <v>97</v>
      </c>
      <c r="P2347" s="2" t="s">
        <v>1265</v>
      </c>
      <c r="Q2347" s="2" t="s">
        <v>99</v>
      </c>
      <c r="R2347" s="2" t="s">
        <v>100</v>
      </c>
      <c r="S2347" s="2" t="s">
        <v>8499</v>
      </c>
      <c r="T2347" s="2" t="s">
        <v>100</v>
      </c>
      <c r="U2347" s="2" t="s">
        <v>3531</v>
      </c>
      <c r="V2347" s="2" t="s">
        <v>601</v>
      </c>
      <c r="W2347" s="2" t="s">
        <v>602</v>
      </c>
      <c r="X2347" s="2" t="s">
        <v>104</v>
      </c>
      <c r="Y2347" s="2" t="s">
        <v>8500</v>
      </c>
      <c r="Z2347" s="4">
        <v>116</v>
      </c>
      <c r="AA2347" s="4">
        <f>=ROUNDDOWN(38.6666666666667,0)</f>
      </c>
      <c r="AB2347" s="5">
        <v>3</v>
      </c>
      <c r="AC2347" s="2" t="s">
        <v>100</v>
      </c>
      <c r="AD2347" s="4"/>
      <c r="AE2347" s="4"/>
      <c r="AF2347" s="6">
        <v>66</v>
      </c>
      <c r="AG2347" s="6">
        <v>49</v>
      </c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>
        <v>0</v>
      </c>
      <c r="AP2347" s="4">
        <v>8</v>
      </c>
      <c r="AQ2347" s="8">
        <v>1134</v>
      </c>
      <c r="AR2347" s="4">
        <v>6</v>
      </c>
      <c r="AS2347" s="8">
        <v>848.86</v>
      </c>
      <c r="AT2347" s="7">
        <v>0.3333</v>
      </c>
      <c r="AU2347" s="7">
        <v>0.3359</v>
      </c>
      <c r="AV2347" s="4">
        <v>8</v>
      </c>
      <c r="AW2347" s="8">
        <v>1134</v>
      </c>
      <c r="AX2347" s="4">
        <v>6</v>
      </c>
      <c r="AY2347" s="8">
        <v>848.86</v>
      </c>
      <c r="AZ2347" s="7">
        <v>0.3333</v>
      </c>
      <c r="BA2347" s="7">
        <v>0.3359</v>
      </c>
      <c r="BB2347" s="7">
        <v>1</v>
      </c>
      <c r="BC2347" s="4">
        <v>8</v>
      </c>
      <c r="BD2347" s="8">
        <v>1134</v>
      </c>
      <c r="BE2347" s="4">
        <v>6</v>
      </c>
      <c r="BF2347" s="8">
        <v>848.86</v>
      </c>
      <c r="BG2347" s="7">
        <v>0.3333</v>
      </c>
      <c r="BH2347" s="7">
        <v>0.3359</v>
      </c>
      <c r="BI2347" s="7">
        <v>1</v>
      </c>
      <c r="BJ2347" s="4">
        <v>72</v>
      </c>
      <c r="BK2347" s="8">
        <v>9828.29</v>
      </c>
      <c r="BL2347" s="2" t="s">
        <v>8501</v>
      </c>
      <c r="BM2347" s="7">
        <v>0.1111</v>
      </c>
      <c r="BN2347" s="7">
        <v>0.1154</v>
      </c>
      <c r="BO2347" s="4">
        <v>8</v>
      </c>
      <c r="BP2347" s="8">
        <v>1134</v>
      </c>
      <c r="BQ2347" s="4">
        <v>6</v>
      </c>
      <c r="BR2347" s="8">
        <v>848.86</v>
      </c>
      <c r="BS2347" s="7">
        <v>0.3333</v>
      </c>
      <c r="BT2347" s="7">
        <v>0.3359</v>
      </c>
      <c r="BU2347" s="2" t="s">
        <v>109</v>
      </c>
      <c r="BV2347" s="2" t="s">
        <v>97</v>
      </c>
      <c r="BW2347" s="2" t="s">
        <v>8502</v>
      </c>
      <c r="BX2347" s="2" t="s">
        <v>6237</v>
      </c>
      <c r="BY2347" s="2" t="s">
        <v>112</v>
      </c>
      <c r="BZ2347" s="2" t="s">
        <v>100</v>
      </c>
    </row>
    <row r="2348">
      <c r="A2348" s="2" t="s">
        <v>8503</v>
      </c>
      <c r="B2348" s="2" t="s">
        <v>7252</v>
      </c>
      <c r="C2348" s="2" t="s">
        <v>88</v>
      </c>
      <c r="D2348" s="2" t="s">
        <v>8424</v>
      </c>
      <c r="E2348" s="2" t="s">
        <v>8425</v>
      </c>
      <c r="F2348" s="2" t="s">
        <v>8504</v>
      </c>
      <c r="G2348" s="2" t="s">
        <v>1694</v>
      </c>
      <c r="H2348" s="2" t="s">
        <v>8505</v>
      </c>
      <c r="I2348" s="2" t="s">
        <v>8460</v>
      </c>
      <c r="J2348" s="2" t="s">
        <v>6103</v>
      </c>
      <c r="K2348" s="2" t="s">
        <v>622</v>
      </c>
      <c r="L2348" s="3">
        <v>85.5</v>
      </c>
      <c r="M2348" s="3">
        <v>89.78</v>
      </c>
      <c r="N2348" s="3">
        <v>179</v>
      </c>
      <c r="O2348" s="2" t="s">
        <v>97</v>
      </c>
      <c r="P2348" s="2" t="s">
        <v>182</v>
      </c>
      <c r="Q2348" s="2" t="s">
        <v>99</v>
      </c>
      <c r="R2348" s="2" t="s">
        <v>100</v>
      </c>
      <c r="S2348" s="2" t="s">
        <v>8506</v>
      </c>
      <c r="T2348" s="2" t="s">
        <v>100</v>
      </c>
      <c r="U2348" s="2" t="s">
        <v>100</v>
      </c>
      <c r="V2348" s="2" t="s">
        <v>601</v>
      </c>
      <c r="W2348" s="2" t="s">
        <v>602</v>
      </c>
      <c r="X2348" s="2" t="s">
        <v>100</v>
      </c>
      <c r="Y2348" s="2" t="s">
        <v>106</v>
      </c>
      <c r="Z2348" s="4">
        <v>124</v>
      </c>
      <c r="AA2348" s="4">
        <f>=ROUNDDOWN(31,0)</f>
      </c>
      <c r="AB2348" s="5">
        <v>4</v>
      </c>
      <c r="AC2348" s="2" t="s">
        <v>2670</v>
      </c>
      <c r="AD2348" s="4">
        <v>62</v>
      </c>
      <c r="AE2348" s="4">
        <v>167</v>
      </c>
      <c r="AF2348" s="6">
        <v>76</v>
      </c>
      <c r="AG2348" s="6">
        <v>67</v>
      </c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>
        <v>0</v>
      </c>
      <c r="AP2348" s="4">
        <v>4</v>
      </c>
      <c r="AQ2348" s="8">
        <v>330.76</v>
      </c>
      <c r="AR2348" s="4">
        <v>9</v>
      </c>
      <c r="AS2348" s="8">
        <v>736.99</v>
      </c>
      <c r="AT2348" s="7">
        <v>-0.5556</v>
      </c>
      <c r="AU2348" s="7">
        <v>-0.5512</v>
      </c>
      <c r="AV2348" s="4">
        <v>4</v>
      </c>
      <c r="AW2348" s="8">
        <v>330.76</v>
      </c>
      <c r="AX2348" s="4">
        <v>9</v>
      </c>
      <c r="AY2348" s="8">
        <v>736.99</v>
      </c>
      <c r="AZ2348" s="7">
        <v>-0.5556</v>
      </c>
      <c r="BA2348" s="7">
        <v>-0.5512</v>
      </c>
      <c r="BB2348" s="7">
        <v>1</v>
      </c>
      <c r="BC2348" s="4">
        <v>9</v>
      </c>
      <c r="BD2348" s="8">
        <v>744.21</v>
      </c>
      <c r="BE2348" s="4">
        <v>64</v>
      </c>
      <c r="BF2348" s="8">
        <v>5393.18</v>
      </c>
      <c r="BG2348" s="7">
        <v>-0.8594</v>
      </c>
      <c r="BH2348" s="7">
        <v>-0.862</v>
      </c>
      <c r="BI2348" s="7">
        <v>0.4444</v>
      </c>
      <c r="BJ2348" s="4">
        <v>132</v>
      </c>
      <c r="BK2348" s="8">
        <v>11623.97</v>
      </c>
      <c r="BL2348" s="2" t="s">
        <v>8507</v>
      </c>
      <c r="BM2348" s="7">
        <v>0.0303</v>
      </c>
      <c r="BN2348" s="7">
        <v>0.0285</v>
      </c>
      <c r="BO2348" s="4">
        <v>4</v>
      </c>
      <c r="BP2348" s="8">
        <v>330.76</v>
      </c>
      <c r="BQ2348" s="4">
        <v>9</v>
      </c>
      <c r="BR2348" s="8">
        <v>736.99</v>
      </c>
      <c r="BS2348" s="7">
        <v>-0.5556</v>
      </c>
      <c r="BT2348" s="7">
        <v>-0.5512</v>
      </c>
      <c r="BU2348" s="2" t="s">
        <v>109</v>
      </c>
      <c r="BV2348" s="2" t="s">
        <v>97</v>
      </c>
      <c r="BW2348" s="2" t="s">
        <v>7311</v>
      </c>
      <c r="BX2348" s="2" t="s">
        <v>1116</v>
      </c>
      <c r="BY2348" s="2" t="s">
        <v>112</v>
      </c>
      <c r="BZ2348" s="2" t="s">
        <v>100</v>
      </c>
    </row>
    <row r="2349">
      <c r="A2349" s="2" t="s">
        <v>8508</v>
      </c>
      <c r="B2349" s="2" t="s">
        <v>7252</v>
      </c>
      <c r="C2349" s="2" t="s">
        <v>88</v>
      </c>
      <c r="D2349" s="2" t="s">
        <v>8424</v>
      </c>
      <c r="E2349" s="2" t="s">
        <v>8425</v>
      </c>
      <c r="F2349" s="2" t="s">
        <v>8504</v>
      </c>
      <c r="G2349" s="2" t="s">
        <v>1694</v>
      </c>
      <c r="H2349" s="2" t="s">
        <v>8505</v>
      </c>
      <c r="I2349" s="2" t="s">
        <v>8460</v>
      </c>
      <c r="J2349" s="2" t="s">
        <v>6103</v>
      </c>
      <c r="K2349" s="2" t="s">
        <v>2553</v>
      </c>
      <c r="L2349" s="3">
        <v>85.5</v>
      </c>
      <c r="M2349" s="3">
        <v>89.78</v>
      </c>
      <c r="N2349" s="3">
        <v>179</v>
      </c>
      <c r="O2349" s="2" t="s">
        <v>97</v>
      </c>
      <c r="P2349" s="2" t="s">
        <v>182</v>
      </c>
      <c r="Q2349" s="2" t="s">
        <v>99</v>
      </c>
      <c r="R2349" s="2" t="s">
        <v>100</v>
      </c>
      <c r="S2349" s="2" t="s">
        <v>8509</v>
      </c>
      <c r="T2349" s="2" t="s">
        <v>100</v>
      </c>
      <c r="U2349" s="2" t="s">
        <v>100</v>
      </c>
      <c r="V2349" s="2" t="s">
        <v>601</v>
      </c>
      <c r="W2349" s="2" t="s">
        <v>602</v>
      </c>
      <c r="X2349" s="2" t="s">
        <v>100</v>
      </c>
      <c r="Y2349" s="2" t="s">
        <v>106</v>
      </c>
      <c r="Z2349" s="4">
        <v>194</v>
      </c>
      <c r="AA2349" s="4">
        <f>=ROUNDDOWN(38.8,0)</f>
      </c>
      <c r="AB2349" s="5">
        <v>5</v>
      </c>
      <c r="AC2349" s="2" t="s">
        <v>1221</v>
      </c>
      <c r="AD2349" s="4">
        <v>250</v>
      </c>
      <c r="AE2349" s="4">
        <v>250</v>
      </c>
      <c r="AF2349" s="6">
        <v>76</v>
      </c>
      <c r="AG2349" s="6">
        <v>67</v>
      </c>
      <c r="AH2349" s="7">
        <v>0.9697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>
        <v>0</v>
      </c>
      <c r="AP2349" s="4">
        <v>3</v>
      </c>
      <c r="AQ2349" s="8">
        <v>248.07</v>
      </c>
      <c r="AR2349" s="4">
        <v>23</v>
      </c>
      <c r="AS2349" s="8">
        <v>1803.76</v>
      </c>
      <c r="AT2349" s="7">
        <v>-0.8696</v>
      </c>
      <c r="AU2349" s="7">
        <v>-0.8625</v>
      </c>
      <c r="AV2349" s="4">
        <v>3</v>
      </c>
      <c r="AW2349" s="8">
        <v>248.07</v>
      </c>
      <c r="AX2349" s="4">
        <v>23</v>
      </c>
      <c r="AY2349" s="8">
        <v>1803.76</v>
      </c>
      <c r="AZ2349" s="7">
        <v>-0.8696</v>
      </c>
      <c r="BA2349" s="7">
        <v>-0.8625</v>
      </c>
      <c r="BB2349" s="7">
        <v>1</v>
      </c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>
        <v>0.3333</v>
      </c>
      <c r="BJ2349" s="4">
        <v>153</v>
      </c>
      <c r="BK2349" s="8">
        <v>13434.39</v>
      </c>
      <c r="BL2349" s="2" t="s">
        <v>8510</v>
      </c>
      <c r="BM2349" s="7">
        <v>0.0196</v>
      </c>
      <c r="BN2349" s="7">
        <v>0.0185</v>
      </c>
      <c r="BO2349" s="4">
        <v>3</v>
      </c>
      <c r="BP2349" s="8">
        <v>248.07</v>
      </c>
      <c r="BQ2349" s="4">
        <v>23</v>
      </c>
      <c r="BR2349" s="8">
        <v>1803.76</v>
      </c>
      <c r="BS2349" s="7">
        <v>-0.8696</v>
      </c>
      <c r="BT2349" s="7">
        <v>-0.8625</v>
      </c>
      <c r="BU2349" s="2" t="s">
        <v>109</v>
      </c>
      <c r="BV2349" s="2" t="s">
        <v>97</v>
      </c>
      <c r="BW2349" s="2" t="s">
        <v>7307</v>
      </c>
      <c r="BX2349" s="2" t="s">
        <v>5003</v>
      </c>
      <c r="BY2349" s="2" t="s">
        <v>112</v>
      </c>
      <c r="BZ2349" s="2" t="s">
        <v>100</v>
      </c>
    </row>
    <row r="2350">
      <c r="A2350" s="2" t="s">
        <v>8511</v>
      </c>
      <c r="B2350" s="2" t="s">
        <v>7252</v>
      </c>
      <c r="C2350" s="2" t="s">
        <v>88</v>
      </c>
      <c r="D2350" s="2" t="s">
        <v>8424</v>
      </c>
      <c r="E2350" s="2" t="s">
        <v>8425</v>
      </c>
      <c r="F2350" s="2" t="s">
        <v>8504</v>
      </c>
      <c r="G2350" s="2" t="s">
        <v>1694</v>
      </c>
      <c r="H2350" s="2" t="s">
        <v>8505</v>
      </c>
      <c r="I2350" s="2" t="s">
        <v>8460</v>
      </c>
      <c r="J2350" s="2" t="s">
        <v>6103</v>
      </c>
      <c r="K2350" s="2" t="s">
        <v>7696</v>
      </c>
      <c r="L2350" s="3">
        <v>85.5</v>
      </c>
      <c r="M2350" s="3">
        <v>89.78</v>
      </c>
      <c r="N2350" s="3">
        <v>179</v>
      </c>
      <c r="O2350" s="2" t="s">
        <v>97</v>
      </c>
      <c r="P2350" s="2" t="s">
        <v>182</v>
      </c>
      <c r="Q2350" s="2" t="s">
        <v>99</v>
      </c>
      <c r="R2350" s="2" t="s">
        <v>100</v>
      </c>
      <c r="S2350" s="2" t="s">
        <v>8512</v>
      </c>
      <c r="T2350" s="2" t="s">
        <v>100</v>
      </c>
      <c r="U2350" s="2" t="s">
        <v>100</v>
      </c>
      <c r="V2350" s="2" t="s">
        <v>601</v>
      </c>
      <c r="W2350" s="2" t="s">
        <v>104</v>
      </c>
      <c r="X2350" s="2" t="s">
        <v>100</v>
      </c>
      <c r="Y2350" s="2" t="s">
        <v>6992</v>
      </c>
      <c r="Z2350" s="4">
        <v>369</v>
      </c>
      <c r="AA2350" s="4">
        <f>=ROUNDDOWN(73.8,0)</f>
      </c>
      <c r="AB2350" s="5">
        <v>5</v>
      </c>
      <c r="AC2350" s="2" t="s">
        <v>2670</v>
      </c>
      <c r="AD2350" s="4">
        <v>95</v>
      </c>
      <c r="AE2350" s="4">
        <v>95</v>
      </c>
      <c r="AF2350" s="6">
        <v>76</v>
      </c>
      <c r="AG2350" s="6">
        <v>67</v>
      </c>
      <c r="AH2350" s="7">
        <v>0.7273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>
        <v>0</v>
      </c>
      <c r="AP2350" s="4">
        <v>2</v>
      </c>
      <c r="AQ2350" s="8">
        <v>165.38</v>
      </c>
      <c r="AR2350" s="4">
        <v>21</v>
      </c>
      <c r="AS2350" s="8">
        <v>1830.64</v>
      </c>
      <c r="AT2350" s="7">
        <v>-0.9048</v>
      </c>
      <c r="AU2350" s="7">
        <v>-0.9097</v>
      </c>
      <c r="AV2350" s="4">
        <v>2</v>
      </c>
      <c r="AW2350" s="8">
        <v>165.38</v>
      </c>
      <c r="AX2350" s="4">
        <v>21</v>
      </c>
      <c r="AY2350" s="8">
        <v>1830.64</v>
      </c>
      <c r="AZ2350" s="7">
        <v>-0.9048</v>
      </c>
      <c r="BA2350" s="7">
        <v>-0.9097</v>
      </c>
      <c r="BB2350" s="7">
        <v>1</v>
      </c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>
        <v>0.2222</v>
      </c>
      <c r="BJ2350" s="4">
        <v>93</v>
      </c>
      <c r="BK2350" s="8">
        <v>8030.55</v>
      </c>
      <c r="BL2350" s="2" t="s">
        <v>8468</v>
      </c>
      <c r="BM2350" s="7">
        <v>0.0215</v>
      </c>
      <c r="BN2350" s="7">
        <v>0.0206</v>
      </c>
      <c r="BO2350" s="4">
        <v>2</v>
      </c>
      <c r="BP2350" s="8">
        <v>165.38</v>
      </c>
      <c r="BQ2350" s="4">
        <v>21</v>
      </c>
      <c r="BR2350" s="8">
        <v>1830.64</v>
      </c>
      <c r="BS2350" s="7">
        <v>-0.9048</v>
      </c>
      <c r="BT2350" s="7">
        <v>-0.9097</v>
      </c>
      <c r="BU2350" s="2" t="s">
        <v>109</v>
      </c>
      <c r="BV2350" s="2" t="s">
        <v>97</v>
      </c>
      <c r="BW2350" s="2" t="s">
        <v>7307</v>
      </c>
      <c r="BX2350" s="2" t="s">
        <v>8513</v>
      </c>
      <c r="BY2350" s="2" t="s">
        <v>112</v>
      </c>
      <c r="BZ2350" s="2" t="s">
        <v>100</v>
      </c>
    </row>
    <row r="2351">
      <c r="A2351" s="2" t="s">
        <v>8514</v>
      </c>
      <c r="B2351" s="2" t="s">
        <v>7252</v>
      </c>
      <c r="C2351" s="2" t="s">
        <v>88</v>
      </c>
      <c r="D2351" s="2" t="s">
        <v>8424</v>
      </c>
      <c r="E2351" s="2" t="s">
        <v>8425</v>
      </c>
      <c r="F2351" s="2" t="s">
        <v>8504</v>
      </c>
      <c r="G2351" s="2" t="s">
        <v>1694</v>
      </c>
      <c r="H2351" s="2" t="s">
        <v>8505</v>
      </c>
      <c r="I2351" s="2" t="s">
        <v>8460</v>
      </c>
      <c r="J2351" s="2" t="s">
        <v>6103</v>
      </c>
      <c r="K2351" s="2" t="s">
        <v>158</v>
      </c>
      <c r="L2351" s="3">
        <v>85.5</v>
      </c>
      <c r="M2351" s="3">
        <v>89.78</v>
      </c>
      <c r="N2351" s="3">
        <v>179</v>
      </c>
      <c r="O2351" s="2" t="s">
        <v>97</v>
      </c>
      <c r="P2351" s="2" t="s">
        <v>182</v>
      </c>
      <c r="Q2351" s="2" t="s">
        <v>99</v>
      </c>
      <c r="R2351" s="2" t="s">
        <v>100</v>
      </c>
      <c r="S2351" s="2" t="s">
        <v>8515</v>
      </c>
      <c r="T2351" s="2" t="s">
        <v>100</v>
      </c>
      <c r="U2351" s="2" t="s">
        <v>100</v>
      </c>
      <c r="V2351" s="2" t="s">
        <v>601</v>
      </c>
      <c r="W2351" s="2" t="s">
        <v>602</v>
      </c>
      <c r="X2351" s="2" t="s">
        <v>100</v>
      </c>
      <c r="Y2351" s="2" t="s">
        <v>106</v>
      </c>
      <c r="Z2351" s="4">
        <v>210</v>
      </c>
      <c r="AA2351" s="4">
        <f>=ROUNDDOWN(52.5,0)</f>
      </c>
      <c r="AB2351" s="5">
        <v>4</v>
      </c>
      <c r="AC2351" s="2" t="s">
        <v>2670</v>
      </c>
      <c r="AD2351" s="4">
        <v>75</v>
      </c>
      <c r="AE2351" s="4">
        <v>75</v>
      </c>
      <c r="AF2351" s="6">
        <v>76</v>
      </c>
      <c r="AG2351" s="6">
        <v>67</v>
      </c>
      <c r="AH2351" s="7">
        <v>0.897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>
        <v>0</v>
      </c>
      <c r="AP2351" s="4"/>
      <c r="AQ2351" s="8"/>
      <c r="AR2351" s="4">
        <v>2</v>
      </c>
      <c r="AS2351" s="8">
        <v>199.5</v>
      </c>
      <c r="AT2351" s="7">
        <v>-1</v>
      </c>
      <c r="AU2351" s="7">
        <v>-1</v>
      </c>
      <c r="AV2351" s="4"/>
      <c r="AW2351" s="8"/>
      <c r="AX2351" s="4">
        <v>2</v>
      </c>
      <c r="AY2351" s="8">
        <v>199.5</v>
      </c>
      <c r="AZ2351" s="7">
        <v>-1</v>
      </c>
      <c r="BA2351" s="7">
        <v>-1</v>
      </c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108</v>
      </c>
      <c r="BK2351" s="8">
        <v>8943.41</v>
      </c>
      <c r="BL2351" s="2" t="s">
        <v>8516</v>
      </c>
      <c r="BM2351" s="7"/>
      <c r="BN2351" s="7"/>
      <c r="BO2351" s="4"/>
      <c r="BP2351" s="8"/>
      <c r="BQ2351" s="4">
        <v>2</v>
      </c>
      <c r="BR2351" s="8">
        <v>199.5</v>
      </c>
      <c r="BS2351" s="7">
        <v>-1</v>
      </c>
      <c r="BT2351" s="7">
        <v>-1</v>
      </c>
      <c r="BU2351" s="2" t="s">
        <v>109</v>
      </c>
      <c r="BV2351" s="2" t="s">
        <v>97</v>
      </c>
      <c r="BW2351" s="2" t="s">
        <v>7311</v>
      </c>
      <c r="BX2351" s="2" t="s">
        <v>911</v>
      </c>
      <c r="BY2351" s="2" t="s">
        <v>112</v>
      </c>
      <c r="BZ2351" s="2" t="s">
        <v>100</v>
      </c>
    </row>
    <row r="2352">
      <c r="A2352" s="2" t="s">
        <v>8517</v>
      </c>
      <c r="B2352" s="2" t="s">
        <v>7252</v>
      </c>
      <c r="C2352" s="2" t="s">
        <v>88</v>
      </c>
      <c r="D2352" s="2" t="s">
        <v>8424</v>
      </c>
      <c r="E2352" s="2" t="s">
        <v>8425</v>
      </c>
      <c r="F2352" s="2" t="s">
        <v>8504</v>
      </c>
      <c r="G2352" s="2" t="s">
        <v>1694</v>
      </c>
      <c r="H2352" s="2" t="s">
        <v>8505</v>
      </c>
      <c r="I2352" s="2" t="s">
        <v>8460</v>
      </c>
      <c r="J2352" s="2" t="s">
        <v>6103</v>
      </c>
      <c r="K2352" s="2" t="s">
        <v>333</v>
      </c>
      <c r="L2352" s="3">
        <v>85.5</v>
      </c>
      <c r="M2352" s="3">
        <v>89.78</v>
      </c>
      <c r="N2352" s="3">
        <v>179</v>
      </c>
      <c r="O2352" s="2" t="s">
        <v>229</v>
      </c>
      <c r="P2352" s="2" t="s">
        <v>198</v>
      </c>
      <c r="Q2352" s="2" t="s">
        <v>99</v>
      </c>
      <c r="R2352" s="2" t="s">
        <v>100</v>
      </c>
      <c r="S2352" s="2" t="s">
        <v>8518</v>
      </c>
      <c r="T2352" s="2" t="s">
        <v>100</v>
      </c>
      <c r="U2352" s="2" t="s">
        <v>100</v>
      </c>
      <c r="V2352" s="2" t="s">
        <v>3244</v>
      </c>
      <c r="W2352" s="2" t="s">
        <v>602</v>
      </c>
      <c r="X2352" s="2" t="s">
        <v>100</v>
      </c>
      <c r="Y2352" s="2" t="s">
        <v>106</v>
      </c>
      <c r="Z2352" s="4"/>
      <c r="AA2352" s="4">
        <f>=ROUNDDOWN({0},0)</f>
      </c>
      <c r="AB2352" s="5">
        <v>1</v>
      </c>
      <c r="AC2352" s="2" t="s">
        <v>100</v>
      </c>
      <c r="AD2352" s="4"/>
      <c r="AE2352" s="4"/>
      <c r="AF2352" s="6">
        <v>75</v>
      </c>
      <c r="AG2352" s="6">
        <v>66</v>
      </c>
      <c r="AH2352" s="7">
        <v>0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>
        <v>0</v>
      </c>
      <c r="AP2352" s="4"/>
      <c r="AQ2352" s="8"/>
      <c r="AR2352" s="4">
        <v>9</v>
      </c>
      <c r="AS2352" s="8">
        <v>822.29</v>
      </c>
      <c r="AT2352" s="7">
        <v>-1</v>
      </c>
      <c r="AU2352" s="7">
        <v>-1</v>
      </c>
      <c r="AV2352" s="4"/>
      <c r="AW2352" s="8"/>
      <c r="AX2352" s="4">
        <v>9</v>
      </c>
      <c r="AY2352" s="8">
        <v>822.29</v>
      </c>
      <c r="AZ2352" s="7">
        <v>-1</v>
      </c>
      <c r="BA2352" s="7">
        <v>-1</v>
      </c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/>
      <c r="BK2352" s="8"/>
      <c r="BL2352" s="2" t="s">
        <v>8519</v>
      </c>
      <c r="BM2352" s="7"/>
      <c r="BN2352" s="7"/>
      <c r="BO2352" s="4"/>
      <c r="BP2352" s="8"/>
      <c r="BQ2352" s="4">
        <v>9</v>
      </c>
      <c r="BR2352" s="8">
        <v>822.29</v>
      </c>
      <c r="BS2352" s="7">
        <v>-1</v>
      </c>
      <c r="BT2352" s="7">
        <v>-1</v>
      </c>
      <c r="BU2352" s="2" t="s">
        <v>109</v>
      </c>
      <c r="BV2352" s="2" t="s">
        <v>552</v>
      </c>
      <c r="BW2352" s="2" t="s">
        <v>7307</v>
      </c>
      <c r="BX2352" s="2" t="s">
        <v>6545</v>
      </c>
      <c r="BY2352" s="2" t="s">
        <v>112</v>
      </c>
      <c r="BZ2352" s="2" t="s">
        <v>100</v>
      </c>
    </row>
    <row r="2353">
      <c r="A2353" s="2" t="s">
        <v>8520</v>
      </c>
      <c r="B2353" s="2" t="s">
        <v>7252</v>
      </c>
      <c r="C2353" s="2" t="s">
        <v>88</v>
      </c>
      <c r="D2353" s="2" t="s">
        <v>8424</v>
      </c>
      <c r="E2353" s="2" t="s">
        <v>8425</v>
      </c>
      <c r="F2353" s="2" t="s">
        <v>8521</v>
      </c>
      <c r="G2353" s="2" t="s">
        <v>8522</v>
      </c>
      <c r="H2353" s="2" t="s">
        <v>8523</v>
      </c>
      <c r="I2353" s="2" t="s">
        <v>8429</v>
      </c>
      <c r="J2353" s="2" t="s">
        <v>6103</v>
      </c>
      <c r="K2353" s="2" t="s">
        <v>2367</v>
      </c>
      <c r="L2353" s="3">
        <v>171</v>
      </c>
      <c r="M2353" s="3">
        <v>179.55</v>
      </c>
      <c r="N2353" s="3">
        <v>359</v>
      </c>
      <c r="O2353" s="2" t="s">
        <v>97</v>
      </c>
      <c r="P2353" s="2" t="s">
        <v>182</v>
      </c>
      <c r="Q2353" s="2" t="s">
        <v>99</v>
      </c>
      <c r="R2353" s="2" t="s">
        <v>100</v>
      </c>
      <c r="S2353" s="2" t="s">
        <v>100</v>
      </c>
      <c r="T2353" s="2" t="s">
        <v>100</v>
      </c>
      <c r="U2353" s="2" t="s">
        <v>3531</v>
      </c>
      <c r="V2353" s="2" t="s">
        <v>601</v>
      </c>
      <c r="W2353" s="2" t="s">
        <v>104</v>
      </c>
      <c r="X2353" s="2" t="s">
        <v>405</v>
      </c>
      <c r="Y2353" s="2" t="s">
        <v>3669</v>
      </c>
      <c r="Z2353" s="4">
        <v>115</v>
      </c>
      <c r="AA2353" s="4">
        <f>=ROUNDDOWN(14.375,0)</f>
      </c>
      <c r="AB2353" s="5">
        <v>8</v>
      </c>
      <c r="AC2353" s="2" t="s">
        <v>936</v>
      </c>
      <c r="AD2353" s="4">
        <v>39</v>
      </c>
      <c r="AE2353" s="4">
        <v>139</v>
      </c>
      <c r="AF2353" s="6">
        <v>66</v>
      </c>
      <c r="AG2353" s="6">
        <v>49</v>
      </c>
      <c r="AH2353" s="7">
        <v>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>
        <v>0</v>
      </c>
      <c r="AP2353" s="4">
        <v>4</v>
      </c>
      <c r="AQ2353" s="8">
        <v>635.04</v>
      </c>
      <c r="AR2353" s="4">
        <v>13</v>
      </c>
      <c r="AS2353" s="8">
        <v>2191.35</v>
      </c>
      <c r="AT2353" s="7">
        <v>-0.6923</v>
      </c>
      <c r="AU2353" s="7">
        <v>-0.7102</v>
      </c>
      <c r="AV2353" s="4">
        <v>4</v>
      </c>
      <c r="AW2353" s="8">
        <v>635.04</v>
      </c>
      <c r="AX2353" s="4">
        <v>13</v>
      </c>
      <c r="AY2353" s="8">
        <v>2191.35</v>
      </c>
      <c r="AZ2353" s="7">
        <v>-0.6923</v>
      </c>
      <c r="BA2353" s="7">
        <v>-0.7102</v>
      </c>
      <c r="BB2353" s="7">
        <v>1</v>
      </c>
      <c r="BC2353" s="4">
        <v>4</v>
      </c>
      <c r="BD2353" s="8">
        <v>635.04</v>
      </c>
      <c r="BE2353" s="4">
        <v>13</v>
      </c>
      <c r="BF2353" s="8">
        <v>2191.35</v>
      </c>
      <c r="BG2353" s="7">
        <v>-0.6923</v>
      </c>
      <c r="BH2353" s="7">
        <v>-0.7102</v>
      </c>
      <c r="BI2353" s="7">
        <v>1</v>
      </c>
      <c r="BJ2353" s="4">
        <v>187</v>
      </c>
      <c r="BK2353" s="8">
        <v>31052.45</v>
      </c>
      <c r="BL2353" s="2" t="s">
        <v>8524</v>
      </c>
      <c r="BM2353" s="7">
        <v>0.0214</v>
      </c>
      <c r="BN2353" s="7">
        <v>0.0205</v>
      </c>
      <c r="BO2353" s="4">
        <v>4</v>
      </c>
      <c r="BP2353" s="8">
        <v>635.04</v>
      </c>
      <c r="BQ2353" s="4">
        <v>13</v>
      </c>
      <c r="BR2353" s="8">
        <v>2191.35</v>
      </c>
      <c r="BS2353" s="7">
        <v>-0.6923</v>
      </c>
      <c r="BT2353" s="7">
        <v>-0.7102</v>
      </c>
      <c r="BU2353" s="2" t="s">
        <v>109</v>
      </c>
      <c r="BV2353" s="2" t="s">
        <v>97</v>
      </c>
      <c r="BW2353" s="2" t="s">
        <v>7311</v>
      </c>
      <c r="BX2353" s="2" t="s">
        <v>7124</v>
      </c>
      <c r="BY2353" s="2" t="s">
        <v>112</v>
      </c>
      <c r="BZ2353" s="2" t="s">
        <v>100</v>
      </c>
    </row>
    <row r="2354">
      <c r="A2354" s="2" t="s">
        <v>8525</v>
      </c>
      <c r="B2354" s="2" t="s">
        <v>7252</v>
      </c>
      <c r="C2354" s="2" t="s">
        <v>88</v>
      </c>
      <c r="D2354" s="2" t="s">
        <v>8424</v>
      </c>
      <c r="E2354" s="2" t="s">
        <v>8425</v>
      </c>
      <c r="F2354" s="2" t="s">
        <v>8526</v>
      </c>
      <c r="G2354" s="2" t="s">
        <v>8527</v>
      </c>
      <c r="H2354" s="2" t="s">
        <v>8528</v>
      </c>
      <c r="I2354" s="2" t="s">
        <v>8529</v>
      </c>
      <c r="J2354" s="2" t="s">
        <v>6103</v>
      </c>
      <c r="K2354" s="2" t="s">
        <v>8530</v>
      </c>
      <c r="L2354" s="3">
        <v>108</v>
      </c>
      <c r="M2354" s="3">
        <v>113.4</v>
      </c>
      <c r="N2354" s="3">
        <v>229</v>
      </c>
      <c r="O2354" s="2" t="s">
        <v>97</v>
      </c>
      <c r="P2354" s="2" t="s">
        <v>1265</v>
      </c>
      <c r="Q2354" s="2" t="s">
        <v>99</v>
      </c>
      <c r="R2354" s="2" t="s">
        <v>100</v>
      </c>
      <c r="S2354" s="2" t="s">
        <v>100</v>
      </c>
      <c r="T2354" s="2" t="s">
        <v>100</v>
      </c>
      <c r="U2354" s="2" t="s">
        <v>3531</v>
      </c>
      <c r="V2354" s="2" t="s">
        <v>601</v>
      </c>
      <c r="W2354" s="2" t="s">
        <v>2195</v>
      </c>
      <c r="X2354" s="2" t="s">
        <v>602</v>
      </c>
      <c r="Y2354" s="2" t="s">
        <v>4695</v>
      </c>
      <c r="Z2354" s="4">
        <v>349</v>
      </c>
      <c r="AA2354" s="4">
        <f>=ROUNDDOWN(69.8,0)</f>
      </c>
      <c r="AB2354" s="5">
        <v>5</v>
      </c>
      <c r="AC2354" s="2" t="s">
        <v>100</v>
      </c>
      <c r="AD2354" s="4"/>
      <c r="AE2354" s="4"/>
      <c r="AF2354" s="6">
        <v>66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>
        <v>0</v>
      </c>
      <c r="AP2354" s="4">
        <v>2</v>
      </c>
      <c r="AQ2354" s="8">
        <v>226.8</v>
      </c>
      <c r="AR2354" s="4">
        <v>8</v>
      </c>
      <c r="AS2354" s="8">
        <v>778.05</v>
      </c>
      <c r="AT2354" s="7">
        <v>-0.75</v>
      </c>
      <c r="AU2354" s="7">
        <v>-0.7085</v>
      </c>
      <c r="AV2354" s="4">
        <v>2</v>
      </c>
      <c r="AW2354" s="8">
        <v>226.8</v>
      </c>
      <c r="AX2354" s="4">
        <v>8</v>
      </c>
      <c r="AY2354" s="8">
        <v>778.05</v>
      </c>
      <c r="AZ2354" s="7">
        <v>-0.75</v>
      </c>
      <c r="BA2354" s="7">
        <v>-0.7085</v>
      </c>
      <c r="BB2354" s="7">
        <v>1</v>
      </c>
      <c r="BC2354" s="4">
        <v>2</v>
      </c>
      <c r="BD2354" s="8">
        <v>226.8</v>
      </c>
      <c r="BE2354" s="4">
        <v>8</v>
      </c>
      <c r="BF2354" s="8">
        <v>778.05</v>
      </c>
      <c r="BG2354" s="7">
        <v>-0.75</v>
      </c>
      <c r="BH2354" s="7">
        <v>-0.7085</v>
      </c>
      <c r="BI2354" s="7">
        <v>1</v>
      </c>
      <c r="BJ2354" s="4">
        <v>109</v>
      </c>
      <c r="BK2354" s="8">
        <v>12231.56</v>
      </c>
      <c r="BL2354" s="2" t="s">
        <v>8531</v>
      </c>
      <c r="BM2354" s="7">
        <v>0.0183</v>
      </c>
      <c r="BN2354" s="7">
        <v>0.0185</v>
      </c>
      <c r="BO2354" s="4">
        <v>2</v>
      </c>
      <c r="BP2354" s="8">
        <v>226.8</v>
      </c>
      <c r="BQ2354" s="4">
        <v>8</v>
      </c>
      <c r="BR2354" s="8">
        <v>778.05</v>
      </c>
      <c r="BS2354" s="7">
        <v>-0.75</v>
      </c>
      <c r="BT2354" s="7">
        <v>-0.7085</v>
      </c>
      <c r="BU2354" s="2" t="s">
        <v>109</v>
      </c>
      <c r="BV2354" s="2" t="s">
        <v>97</v>
      </c>
      <c r="BW2354" s="2" t="s">
        <v>5598</v>
      </c>
      <c r="BX2354" s="2" t="s">
        <v>2013</v>
      </c>
      <c r="BY2354" s="2" t="s">
        <v>112</v>
      </c>
      <c r="BZ2354" s="2" t="s">
        <v>100</v>
      </c>
    </row>
    <row r="2355">
      <c r="A2355" s="2" t="s">
        <v>8532</v>
      </c>
      <c r="B2355" s="2" t="s">
        <v>7252</v>
      </c>
      <c r="C2355" s="2" t="s">
        <v>88</v>
      </c>
      <c r="D2355" s="2" t="s">
        <v>8424</v>
      </c>
      <c r="E2355" s="2" t="s">
        <v>8425</v>
      </c>
      <c r="F2355" s="2" t="s">
        <v>8533</v>
      </c>
      <c r="G2355" s="2" t="s">
        <v>2957</v>
      </c>
      <c r="H2355" s="2" t="s">
        <v>8534</v>
      </c>
      <c r="I2355" s="2" t="s">
        <v>8535</v>
      </c>
      <c r="J2355" s="2" t="s">
        <v>6103</v>
      </c>
      <c r="K2355" s="2" t="s">
        <v>323</v>
      </c>
      <c r="L2355" s="3">
        <v>144.5</v>
      </c>
      <c r="M2355" s="3">
        <v>151.72</v>
      </c>
      <c r="N2355" s="3">
        <v>299</v>
      </c>
      <c r="O2355" s="2" t="s">
        <v>97</v>
      </c>
      <c r="P2355" s="2" t="s">
        <v>1265</v>
      </c>
      <c r="Q2355" s="2" t="s">
        <v>99</v>
      </c>
      <c r="R2355" s="2" t="s">
        <v>100</v>
      </c>
      <c r="S2355" s="2" t="s">
        <v>100</v>
      </c>
      <c r="T2355" s="2" t="s">
        <v>100</v>
      </c>
      <c r="U2355" s="2" t="s">
        <v>3531</v>
      </c>
      <c r="V2355" s="2" t="s">
        <v>1752</v>
      </c>
      <c r="W2355" s="2" t="s">
        <v>602</v>
      </c>
      <c r="X2355" s="2" t="s">
        <v>759</v>
      </c>
      <c r="Y2355" s="2" t="s">
        <v>3373</v>
      </c>
      <c r="Z2355" s="4">
        <v>102</v>
      </c>
      <c r="AA2355" s="4">
        <f>=ROUNDDOWN(17,0)</f>
      </c>
      <c r="AB2355" s="5">
        <v>6</v>
      </c>
      <c r="AC2355" s="2" t="s">
        <v>8536</v>
      </c>
      <c r="AD2355" s="4">
        <v>100</v>
      </c>
      <c r="AE2355" s="4">
        <v>100</v>
      </c>
      <c r="AF2355" s="6">
        <v>74</v>
      </c>
      <c r="AG2355" s="6"/>
      <c r="AH2355" s="7">
        <v>0.9091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/>
      <c r="BD2355" s="8"/>
      <c r="BE2355" s="4"/>
      <c r="BF2355" s="8"/>
      <c r="BG2355" s="7"/>
      <c r="BH2355" s="7"/>
      <c r="BI2355" s="7"/>
      <c r="BJ2355" s="4">
        <v>95</v>
      </c>
      <c r="BK2355" s="8">
        <v>14292.96</v>
      </c>
      <c r="BL2355" s="2" t="s">
        <v>8537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6185</v>
      </c>
      <c r="BV2355" s="2" t="s">
        <v>97</v>
      </c>
      <c r="BW2355" s="2" t="s">
        <v>100</v>
      </c>
      <c r="BX2355" s="2" t="s">
        <v>100</v>
      </c>
      <c r="BY2355" s="2" t="s">
        <v>112</v>
      </c>
      <c r="BZ2355" s="2" t="s">
        <v>100</v>
      </c>
    </row>
    <row r="2356">
      <c r="A2356" s="2" t="s">
        <v>8538</v>
      </c>
      <c r="B2356" s="2" t="s">
        <v>7252</v>
      </c>
      <c r="C2356" s="2" t="s">
        <v>88</v>
      </c>
      <c r="D2356" s="2" t="s">
        <v>8424</v>
      </c>
      <c r="E2356" s="2" t="s">
        <v>8425</v>
      </c>
      <c r="F2356" s="2" t="s">
        <v>932</v>
      </c>
      <c r="G2356" s="2" t="s">
        <v>8539</v>
      </c>
      <c r="H2356" s="2" t="s">
        <v>8540</v>
      </c>
      <c r="I2356" s="2" t="s">
        <v>8541</v>
      </c>
      <c r="J2356" s="2" t="s">
        <v>6103</v>
      </c>
      <c r="K2356" s="2" t="s">
        <v>323</v>
      </c>
      <c r="L2356" s="3">
        <v>155</v>
      </c>
      <c r="M2356" s="3">
        <v>162.75</v>
      </c>
      <c r="N2356" s="3">
        <v>329</v>
      </c>
      <c r="O2356" s="2" t="s">
        <v>229</v>
      </c>
      <c r="P2356" s="2" t="s">
        <v>198</v>
      </c>
      <c r="Q2356" s="2" t="s">
        <v>99</v>
      </c>
      <c r="R2356" s="2" t="s">
        <v>100</v>
      </c>
      <c r="S2356" s="2" t="s">
        <v>8542</v>
      </c>
      <c r="T2356" s="2" t="s">
        <v>100</v>
      </c>
      <c r="U2356" s="2" t="s">
        <v>100</v>
      </c>
      <c r="V2356" s="2" t="s">
        <v>601</v>
      </c>
      <c r="W2356" s="2" t="s">
        <v>104</v>
      </c>
      <c r="X2356" s="2" t="s">
        <v>100</v>
      </c>
      <c r="Y2356" s="2" t="s">
        <v>106</v>
      </c>
      <c r="Z2356" s="4"/>
      <c r="AA2356" s="4">
        <f>=ROUNDDOWN({0},0)</f>
      </c>
      <c r="AB2356" s="5">
        <v>3</v>
      </c>
      <c r="AC2356" s="2" t="s">
        <v>100</v>
      </c>
      <c r="AD2356" s="4"/>
      <c r="AE2356" s="4"/>
      <c r="AF2356" s="6">
        <v>66</v>
      </c>
      <c r="AG2356" s="6">
        <v>49</v>
      </c>
      <c r="AH2356" s="7">
        <v>0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>
        <v>0</v>
      </c>
      <c r="AP2356" s="4"/>
      <c r="AQ2356" s="8"/>
      <c r="AR2356" s="4">
        <v>5</v>
      </c>
      <c r="AS2356" s="8">
        <v>813.75</v>
      </c>
      <c r="AT2356" s="7">
        <v>-1</v>
      </c>
      <c r="AU2356" s="7">
        <v>-1</v>
      </c>
      <c r="AV2356" s="4"/>
      <c r="AW2356" s="8"/>
      <c r="AX2356" s="4">
        <v>5</v>
      </c>
      <c r="AY2356" s="8">
        <v>813.75</v>
      </c>
      <c r="AZ2356" s="7">
        <v>-1</v>
      </c>
      <c r="BA2356" s="7">
        <v>-1</v>
      </c>
      <c r="BB2356" s="7"/>
      <c r="BC2356" s="4" t="s">
        <v>100</v>
      </c>
      <c r="BD2356" s="8" t="s">
        <v>100</v>
      </c>
      <c r="BE2356" s="4">
        <v>8</v>
      </c>
      <c r="BF2356" s="8">
        <v>1302</v>
      </c>
      <c r="BG2356" s="7" t="s">
        <v>100</v>
      </c>
      <c r="BH2356" s="7" t="s">
        <v>100</v>
      </c>
      <c r="BI2356" s="7"/>
      <c r="BJ2356" s="4"/>
      <c r="BK2356" s="8"/>
      <c r="BL2356" s="2" t="s">
        <v>8543</v>
      </c>
      <c r="BM2356" s="7"/>
      <c r="BN2356" s="7"/>
      <c r="BO2356" s="4"/>
      <c r="BP2356" s="8"/>
      <c r="BQ2356" s="4">
        <v>5</v>
      </c>
      <c r="BR2356" s="8">
        <v>813.75</v>
      </c>
      <c r="BS2356" s="7">
        <v>-1</v>
      </c>
      <c r="BT2356" s="7">
        <v>-1</v>
      </c>
      <c r="BU2356" s="2" t="s">
        <v>109</v>
      </c>
      <c r="BV2356" s="2" t="s">
        <v>552</v>
      </c>
      <c r="BW2356" s="2" t="s">
        <v>7307</v>
      </c>
      <c r="BX2356" s="2" t="s">
        <v>5076</v>
      </c>
      <c r="BY2356" s="2" t="s">
        <v>112</v>
      </c>
      <c r="BZ2356" s="2" t="s">
        <v>100</v>
      </c>
    </row>
    <row r="2357">
      <c r="A2357" s="2" t="s">
        <v>8544</v>
      </c>
      <c r="B2357" s="2" t="s">
        <v>7252</v>
      </c>
      <c r="C2357" s="2" t="s">
        <v>88</v>
      </c>
      <c r="D2357" s="2" t="s">
        <v>8424</v>
      </c>
      <c r="E2357" s="2" t="s">
        <v>8425</v>
      </c>
      <c r="F2357" s="2" t="s">
        <v>932</v>
      </c>
      <c r="G2357" s="2" t="s">
        <v>8539</v>
      </c>
      <c r="H2357" s="2" t="s">
        <v>8540</v>
      </c>
      <c r="I2357" s="2" t="s">
        <v>8460</v>
      </c>
      <c r="J2357" s="2" t="s">
        <v>6103</v>
      </c>
      <c r="K2357" s="2" t="s">
        <v>333</v>
      </c>
      <c r="L2357" s="3">
        <v>155</v>
      </c>
      <c r="M2357" s="3">
        <v>162.75</v>
      </c>
      <c r="N2357" s="3">
        <v>329</v>
      </c>
      <c r="O2357" s="2" t="s">
        <v>229</v>
      </c>
      <c r="P2357" s="2" t="s">
        <v>198</v>
      </c>
      <c r="Q2357" s="2" t="s">
        <v>99</v>
      </c>
      <c r="R2357" s="2" t="s">
        <v>100</v>
      </c>
      <c r="S2357" s="2" t="s">
        <v>8545</v>
      </c>
      <c r="T2357" s="2" t="s">
        <v>100</v>
      </c>
      <c r="U2357" s="2" t="s">
        <v>100</v>
      </c>
      <c r="V2357" s="2" t="s">
        <v>601</v>
      </c>
      <c r="W2357" s="2" t="s">
        <v>104</v>
      </c>
      <c r="X2357" s="2" t="s">
        <v>100</v>
      </c>
      <c r="Y2357" s="2" t="s">
        <v>106</v>
      </c>
      <c r="Z2357" s="4"/>
      <c r="AA2357" s="4">
        <f>=ROUNDDOWN({0},0)</f>
      </c>
      <c r="AB2357" s="5"/>
      <c r="AC2357" s="2" t="s">
        <v>100</v>
      </c>
      <c r="AD2357" s="4"/>
      <c r="AE2357" s="4"/>
      <c r="AF2357" s="6">
        <v>66</v>
      </c>
      <c r="AG2357" s="6">
        <v>49</v>
      </c>
      <c r="AH2357" s="7">
        <v>0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>
        <v>0</v>
      </c>
      <c r="AP2357" s="4"/>
      <c r="AQ2357" s="8"/>
      <c r="AR2357" s="4">
        <v>3</v>
      </c>
      <c r="AS2357" s="8">
        <v>488.25</v>
      </c>
      <c r="AT2357" s="7">
        <v>-1</v>
      </c>
      <c r="AU2357" s="7">
        <v>-1</v>
      </c>
      <c r="AV2357" s="4"/>
      <c r="AW2357" s="8"/>
      <c r="AX2357" s="4">
        <v>3</v>
      </c>
      <c r="AY2357" s="8">
        <v>488.25</v>
      </c>
      <c r="AZ2357" s="7">
        <v>-1</v>
      </c>
      <c r="BA2357" s="7">
        <v>-1</v>
      </c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/>
      <c r="BK2357" s="8"/>
      <c r="BL2357" s="2" t="s">
        <v>8546</v>
      </c>
      <c r="BM2357" s="7"/>
      <c r="BN2357" s="7"/>
      <c r="BO2357" s="4"/>
      <c r="BP2357" s="8"/>
      <c r="BQ2357" s="4">
        <v>3</v>
      </c>
      <c r="BR2357" s="8">
        <v>488.25</v>
      </c>
      <c r="BS2357" s="7">
        <v>-1</v>
      </c>
      <c r="BT2357" s="7">
        <v>-1</v>
      </c>
      <c r="BU2357" s="2" t="s">
        <v>109</v>
      </c>
      <c r="BV2357" s="2" t="s">
        <v>552</v>
      </c>
      <c r="BW2357" s="2" t="s">
        <v>7307</v>
      </c>
      <c r="BX2357" s="2" t="s">
        <v>1846</v>
      </c>
      <c r="BY2357" s="2" t="s">
        <v>112</v>
      </c>
      <c r="BZ2357" s="2" t="s">
        <v>100</v>
      </c>
    </row>
    <row r="2358">
      <c r="A2358" s="2" t="s">
        <v>8547</v>
      </c>
      <c r="B2358" s="2" t="s">
        <v>7252</v>
      </c>
      <c r="C2358" s="2" t="s">
        <v>88</v>
      </c>
      <c r="D2358" s="2" t="s">
        <v>8424</v>
      </c>
      <c r="E2358" s="2" t="s">
        <v>8548</v>
      </c>
      <c r="F2358" s="2" t="s">
        <v>8549</v>
      </c>
      <c r="G2358" s="2" t="s">
        <v>8550</v>
      </c>
      <c r="H2358" s="2" t="s">
        <v>8551</v>
      </c>
      <c r="I2358" s="2" t="s">
        <v>8552</v>
      </c>
      <c r="J2358" s="2" t="s">
        <v>6103</v>
      </c>
      <c r="K2358" s="2" t="s">
        <v>1204</v>
      </c>
      <c r="L2358" s="3">
        <v>143</v>
      </c>
      <c r="M2358" s="3">
        <v>150.15</v>
      </c>
      <c r="N2358" s="3">
        <v>299</v>
      </c>
      <c r="O2358" s="2" t="s">
        <v>229</v>
      </c>
      <c r="P2358" s="2" t="s">
        <v>198</v>
      </c>
      <c r="Q2358" s="2" t="s">
        <v>99</v>
      </c>
      <c r="R2358" s="2" t="s">
        <v>100</v>
      </c>
      <c r="S2358" s="2" t="s">
        <v>100</v>
      </c>
      <c r="T2358" s="2" t="s">
        <v>100</v>
      </c>
      <c r="U2358" s="2" t="s">
        <v>3531</v>
      </c>
      <c r="V2358" s="2" t="s">
        <v>1752</v>
      </c>
      <c r="W2358" s="2" t="s">
        <v>104</v>
      </c>
      <c r="X2358" s="2" t="s">
        <v>100</v>
      </c>
      <c r="Y2358" s="2" t="s">
        <v>8553</v>
      </c>
      <c r="Z2358" s="4">
        <v>19</v>
      </c>
      <c r="AA2358" s="4">
        <f>=ROUNDDOWN(19,0)</f>
      </c>
      <c r="AB2358" s="5">
        <v>1</v>
      </c>
      <c r="AC2358" s="2" t="s">
        <v>100</v>
      </c>
      <c r="AD2358" s="4"/>
      <c r="AE2358" s="4"/>
      <c r="AF2358" s="6">
        <v>75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/>
      <c r="BD2358" s="8"/>
      <c r="BE2358" s="4"/>
      <c r="BF2358" s="8"/>
      <c r="BG2358" s="7"/>
      <c r="BH2358" s="7"/>
      <c r="BI2358" s="7"/>
      <c r="BJ2358" s="4">
        <v>24</v>
      </c>
      <c r="BK2358" s="8">
        <v>2993.99</v>
      </c>
      <c r="BL2358" s="2" t="s">
        <v>8554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147</v>
      </c>
      <c r="BV2358" s="2" t="s">
        <v>97</v>
      </c>
      <c r="BW2358" s="2" t="s">
        <v>100</v>
      </c>
      <c r="BX2358" s="2" t="s">
        <v>100</v>
      </c>
      <c r="BY2358" s="2" t="s">
        <v>112</v>
      </c>
      <c r="BZ2358" s="2" t="s">
        <v>100</v>
      </c>
    </row>
    <row r="2359">
      <c r="A2359" s="2" t="s">
        <v>8555</v>
      </c>
      <c r="B2359" s="2" t="s">
        <v>7252</v>
      </c>
      <c r="C2359" s="2" t="s">
        <v>88</v>
      </c>
      <c r="D2359" s="2" t="s">
        <v>8424</v>
      </c>
      <c r="E2359" s="2" t="s">
        <v>8548</v>
      </c>
      <c r="F2359" s="2" t="s">
        <v>8556</v>
      </c>
      <c r="G2359" s="2" t="s">
        <v>8557</v>
      </c>
      <c r="H2359" s="2" t="s">
        <v>5901</v>
      </c>
      <c r="I2359" s="2" t="s">
        <v>8558</v>
      </c>
      <c r="J2359" s="2" t="s">
        <v>6103</v>
      </c>
      <c r="K2359" s="2" t="s">
        <v>1204</v>
      </c>
      <c r="L2359" s="3">
        <v>156.75</v>
      </c>
      <c r="M2359" s="3">
        <v>164.59</v>
      </c>
      <c r="N2359" s="3">
        <v>329</v>
      </c>
      <c r="O2359" s="2" t="s">
        <v>97</v>
      </c>
      <c r="P2359" s="2" t="s">
        <v>182</v>
      </c>
      <c r="Q2359" s="2" t="s">
        <v>99</v>
      </c>
      <c r="R2359" s="2" t="s">
        <v>100</v>
      </c>
      <c r="S2359" s="2" t="s">
        <v>100</v>
      </c>
      <c r="T2359" s="2" t="s">
        <v>100</v>
      </c>
      <c r="U2359" s="2" t="s">
        <v>3531</v>
      </c>
      <c r="V2359" s="2" t="s">
        <v>1752</v>
      </c>
      <c r="W2359" s="2" t="s">
        <v>104</v>
      </c>
      <c r="X2359" s="2" t="s">
        <v>2195</v>
      </c>
      <c r="Y2359" s="2" t="s">
        <v>8559</v>
      </c>
      <c r="Z2359" s="4">
        <v>94</v>
      </c>
      <c r="AA2359" s="4">
        <f>=ROUNDDOWN(23.5,0)</f>
      </c>
      <c r="AB2359" s="5">
        <v>4</v>
      </c>
      <c r="AC2359" s="2" t="s">
        <v>518</v>
      </c>
      <c r="AD2359" s="4">
        <v>100</v>
      </c>
      <c r="AE2359" s="4">
        <v>100</v>
      </c>
      <c r="AF2359" s="6">
        <v>66</v>
      </c>
      <c r="AG2359" s="6"/>
      <c r="AH2359" s="7">
        <v>0.9394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/>
      <c r="BD2359" s="8"/>
      <c r="BE2359" s="4"/>
      <c r="BF2359" s="8"/>
      <c r="BG2359" s="7"/>
      <c r="BH2359" s="7"/>
      <c r="BI2359" s="7"/>
      <c r="BJ2359" s="4">
        <v>105</v>
      </c>
      <c r="BK2359" s="8">
        <v>18392.69</v>
      </c>
      <c r="BL2359" s="2" t="s">
        <v>8560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6185</v>
      </c>
      <c r="BV2359" s="2" t="s">
        <v>97</v>
      </c>
      <c r="BW2359" s="2" t="s">
        <v>100</v>
      </c>
      <c r="BX2359" s="2" t="s">
        <v>100</v>
      </c>
      <c r="BY2359" s="2" t="s">
        <v>112</v>
      </c>
      <c r="BZ2359" s="2" t="s">
        <v>100</v>
      </c>
    </row>
    <row r="2360">
      <c r="A2360" s="2" t="s">
        <v>8561</v>
      </c>
      <c r="B2360" s="2" t="s">
        <v>7252</v>
      </c>
      <c r="C2360" s="2" t="s">
        <v>88</v>
      </c>
      <c r="D2360" s="2" t="s">
        <v>8424</v>
      </c>
      <c r="E2360" s="2" t="s">
        <v>8548</v>
      </c>
      <c r="F2360" s="2" t="s">
        <v>8562</v>
      </c>
      <c r="G2360" s="2" t="s">
        <v>8563</v>
      </c>
      <c r="H2360" s="2" t="s">
        <v>8564</v>
      </c>
      <c r="I2360" s="2" t="s">
        <v>8565</v>
      </c>
      <c r="J2360" s="2" t="s">
        <v>6103</v>
      </c>
      <c r="K2360" s="2" t="s">
        <v>8566</v>
      </c>
      <c r="L2360" s="3">
        <v>165</v>
      </c>
      <c r="M2360" s="3">
        <v>173.25</v>
      </c>
      <c r="N2360" s="3">
        <v>349</v>
      </c>
      <c r="O2360" s="2" t="s">
        <v>97</v>
      </c>
      <c r="P2360" s="2" t="s">
        <v>182</v>
      </c>
      <c r="Q2360" s="2" t="s">
        <v>99</v>
      </c>
      <c r="R2360" s="2" t="s">
        <v>100</v>
      </c>
      <c r="S2360" s="2" t="s">
        <v>100</v>
      </c>
      <c r="T2360" s="2" t="s">
        <v>100</v>
      </c>
      <c r="U2360" s="2" t="s">
        <v>3531</v>
      </c>
      <c r="V2360" s="2" t="s">
        <v>601</v>
      </c>
      <c r="W2360" s="2" t="s">
        <v>104</v>
      </c>
      <c r="X2360" s="2" t="s">
        <v>1288</v>
      </c>
      <c r="Y2360" s="2" t="s">
        <v>116</v>
      </c>
      <c r="Z2360" s="4">
        <v>110</v>
      </c>
      <c r="AA2360" s="4">
        <f>=ROUNDDOWN(27.5,0)</f>
      </c>
      <c r="AB2360" s="5">
        <v>4</v>
      </c>
      <c r="AC2360" s="2" t="s">
        <v>936</v>
      </c>
      <c r="AD2360" s="4">
        <v>30</v>
      </c>
      <c r="AE2360" s="4">
        <v>110</v>
      </c>
      <c r="AF2360" s="6">
        <v>66</v>
      </c>
      <c r="AG2360" s="6"/>
      <c r="AH2360" s="7">
        <v>0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>
        <v>2</v>
      </c>
      <c r="BK2360" s="8">
        <v>392.86</v>
      </c>
      <c r="BL2360" s="2" t="s">
        <v>8567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6185</v>
      </c>
      <c r="BV2360" s="2" t="s">
        <v>97</v>
      </c>
      <c r="BW2360" s="2" t="s">
        <v>100</v>
      </c>
      <c r="BX2360" s="2" t="s">
        <v>100</v>
      </c>
      <c r="BY2360" s="2" t="s">
        <v>112</v>
      </c>
      <c r="BZ2360" s="2" t="s">
        <v>100</v>
      </c>
    </row>
    <row r="2361">
      <c r="A2361" s="2" t="s">
        <v>8568</v>
      </c>
      <c r="B2361" s="2" t="s">
        <v>7252</v>
      </c>
      <c r="C2361" s="2" t="s">
        <v>88</v>
      </c>
      <c r="D2361" s="2" t="s">
        <v>8424</v>
      </c>
      <c r="E2361" s="2" t="s">
        <v>8548</v>
      </c>
      <c r="F2361" s="2" t="s">
        <v>8569</v>
      </c>
      <c r="G2361" s="2" t="s">
        <v>8570</v>
      </c>
      <c r="H2361" s="2" t="s">
        <v>8571</v>
      </c>
      <c r="I2361" s="2" t="s">
        <v>8572</v>
      </c>
      <c r="J2361" s="2" t="s">
        <v>6103</v>
      </c>
      <c r="K2361" s="2" t="s">
        <v>713</v>
      </c>
      <c r="L2361" s="3">
        <v>118.8</v>
      </c>
      <c r="M2361" s="3">
        <v>124.74</v>
      </c>
      <c r="N2361" s="3">
        <v>249</v>
      </c>
      <c r="O2361" s="2" t="s">
        <v>97</v>
      </c>
      <c r="P2361" s="2" t="s">
        <v>1265</v>
      </c>
      <c r="Q2361" s="2" t="s">
        <v>99</v>
      </c>
      <c r="R2361" s="2" t="s">
        <v>100</v>
      </c>
      <c r="S2361" s="2" t="s">
        <v>100</v>
      </c>
      <c r="T2361" s="2" t="s">
        <v>100</v>
      </c>
      <c r="U2361" s="2" t="s">
        <v>3531</v>
      </c>
      <c r="V2361" s="2" t="s">
        <v>1752</v>
      </c>
      <c r="W2361" s="2" t="s">
        <v>1190</v>
      </c>
      <c r="X2361" s="2" t="s">
        <v>602</v>
      </c>
      <c r="Y2361" s="2" t="s">
        <v>8559</v>
      </c>
      <c r="Z2361" s="4">
        <v>76</v>
      </c>
      <c r="AA2361" s="4">
        <f>=ROUNDDOWN(38,0)</f>
      </c>
      <c r="AB2361" s="5">
        <v>2</v>
      </c>
      <c r="AC2361" s="2" t="s">
        <v>100</v>
      </c>
      <c r="AD2361" s="4"/>
      <c r="AE2361" s="4"/>
      <c r="AF2361" s="6">
        <v>66</v>
      </c>
      <c r="AG2361" s="6"/>
      <c r="AH2361" s="7">
        <v>0.9576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>
        <v>53</v>
      </c>
      <c r="BK2361" s="8">
        <v>6744.15</v>
      </c>
      <c r="BL2361" s="2" t="s">
        <v>8573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147</v>
      </c>
      <c r="BV2361" s="2" t="s">
        <v>97</v>
      </c>
      <c r="BW2361" s="2" t="s">
        <v>100</v>
      </c>
      <c r="BX2361" s="2" t="s">
        <v>100</v>
      </c>
      <c r="BY2361" s="2" t="s">
        <v>112</v>
      </c>
      <c r="BZ2361" s="2" t="s">
        <v>100</v>
      </c>
    </row>
    <row r="2362">
      <c r="A2362" s="2" t="s">
        <v>8574</v>
      </c>
      <c r="B2362" s="2" t="s">
        <v>7252</v>
      </c>
      <c r="C2362" s="2" t="s">
        <v>88</v>
      </c>
      <c r="D2362" s="2" t="s">
        <v>8575</v>
      </c>
      <c r="E2362" s="2" t="s">
        <v>8576</v>
      </c>
      <c r="F2362" s="2" t="s">
        <v>3649</v>
      </c>
      <c r="G2362" s="2" t="s">
        <v>4243</v>
      </c>
      <c r="H2362" s="2" t="s">
        <v>8577</v>
      </c>
      <c r="I2362" s="2" t="s">
        <v>8576</v>
      </c>
      <c r="J2362" s="2" t="s">
        <v>6103</v>
      </c>
      <c r="K2362" s="2" t="s">
        <v>8578</v>
      </c>
      <c r="L2362" s="3">
        <v>133</v>
      </c>
      <c r="M2362" s="3">
        <v>139.65</v>
      </c>
      <c r="N2362" s="3">
        <v>279</v>
      </c>
      <c r="O2362" s="2" t="s">
        <v>97</v>
      </c>
      <c r="P2362" s="2" t="s">
        <v>124</v>
      </c>
      <c r="Q2362" s="2" t="s">
        <v>99</v>
      </c>
      <c r="R2362" s="2" t="s">
        <v>100</v>
      </c>
      <c r="S2362" s="2" t="s">
        <v>8579</v>
      </c>
      <c r="T2362" s="2" t="s">
        <v>100</v>
      </c>
      <c r="U2362" s="2" t="s">
        <v>100</v>
      </c>
      <c r="V2362" s="2" t="s">
        <v>601</v>
      </c>
      <c r="W2362" s="2" t="s">
        <v>2195</v>
      </c>
      <c r="X2362" s="2" t="s">
        <v>100</v>
      </c>
      <c r="Y2362" s="2" t="s">
        <v>106</v>
      </c>
      <c r="Z2362" s="4">
        <v>511</v>
      </c>
      <c r="AA2362" s="4">
        <f>=ROUNDDOWN(29.8830409356725,0)</f>
      </c>
      <c r="AB2362" s="5">
        <v>17.1</v>
      </c>
      <c r="AC2362" s="2" t="s">
        <v>130</v>
      </c>
      <c r="AD2362" s="4">
        <v>220</v>
      </c>
      <c r="AE2362" s="4">
        <v>376</v>
      </c>
      <c r="AF2362" s="6">
        <v>74</v>
      </c>
      <c r="AG2362" s="6">
        <v>60</v>
      </c>
      <c r="AH2362" s="7">
        <v>1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>
        <v>0</v>
      </c>
      <c r="AP2362" s="4">
        <v>10</v>
      </c>
      <c r="AQ2362" s="8">
        <v>1396.5</v>
      </c>
      <c r="AR2362" s="4">
        <v>25</v>
      </c>
      <c r="AS2362" s="8">
        <v>3316.7</v>
      </c>
      <c r="AT2362" s="7">
        <v>-0.6</v>
      </c>
      <c r="AU2362" s="7">
        <v>-0.5789</v>
      </c>
      <c r="AV2362" s="4">
        <v>10</v>
      </c>
      <c r="AW2362" s="8">
        <v>1396.5</v>
      </c>
      <c r="AX2362" s="4">
        <v>25</v>
      </c>
      <c r="AY2362" s="8">
        <v>3316.7</v>
      </c>
      <c r="AZ2362" s="7">
        <v>-0.6</v>
      </c>
      <c r="BA2362" s="7">
        <v>-0.5789</v>
      </c>
      <c r="BB2362" s="7">
        <v>1</v>
      </c>
      <c r="BC2362" s="4">
        <v>18</v>
      </c>
      <c r="BD2362" s="8">
        <v>2513.7</v>
      </c>
      <c r="BE2362" s="4">
        <v>46</v>
      </c>
      <c r="BF2362" s="8">
        <v>6039.89</v>
      </c>
      <c r="BG2362" s="7">
        <v>-0.6087</v>
      </c>
      <c r="BH2362" s="7">
        <v>-0.5838</v>
      </c>
      <c r="BI2362" s="7">
        <v>0.5556</v>
      </c>
      <c r="BJ2362" s="4">
        <v>1199</v>
      </c>
      <c r="BK2362" s="8">
        <v>156945.94</v>
      </c>
      <c r="BL2362" s="2" t="s">
        <v>8580</v>
      </c>
      <c r="BM2362" s="7">
        <v>0.0083</v>
      </c>
      <c r="BN2362" s="7">
        <v>0.0089</v>
      </c>
      <c r="BO2362" s="4">
        <v>10</v>
      </c>
      <c r="BP2362" s="8">
        <v>1396.5</v>
      </c>
      <c r="BQ2362" s="4">
        <v>25</v>
      </c>
      <c r="BR2362" s="8">
        <v>3316.7</v>
      </c>
      <c r="BS2362" s="7">
        <v>-0.6</v>
      </c>
      <c r="BT2362" s="7">
        <v>-0.5789</v>
      </c>
      <c r="BU2362" s="2" t="s">
        <v>109</v>
      </c>
      <c r="BV2362" s="2" t="s">
        <v>97</v>
      </c>
      <c r="BW2362" s="2" t="s">
        <v>7307</v>
      </c>
      <c r="BX2362" s="2" t="s">
        <v>6872</v>
      </c>
      <c r="BY2362" s="2" t="s">
        <v>112</v>
      </c>
      <c r="BZ2362" s="2" t="s">
        <v>100</v>
      </c>
    </row>
    <row r="2363">
      <c r="A2363" s="2" t="s">
        <v>8581</v>
      </c>
      <c r="B2363" s="2" t="s">
        <v>7252</v>
      </c>
      <c r="C2363" s="2" t="s">
        <v>88</v>
      </c>
      <c r="D2363" s="2" t="s">
        <v>8575</v>
      </c>
      <c r="E2363" s="2" t="s">
        <v>8576</v>
      </c>
      <c r="F2363" s="2" t="s">
        <v>3649</v>
      </c>
      <c r="G2363" s="2" t="s">
        <v>4243</v>
      </c>
      <c r="H2363" s="2" t="s">
        <v>8577</v>
      </c>
      <c r="I2363" s="2" t="s">
        <v>8576</v>
      </c>
      <c r="J2363" s="2" t="s">
        <v>6103</v>
      </c>
      <c r="K2363" s="2" t="s">
        <v>8582</v>
      </c>
      <c r="L2363" s="3">
        <v>133</v>
      </c>
      <c r="M2363" s="3">
        <v>139.65</v>
      </c>
      <c r="N2363" s="3">
        <v>279</v>
      </c>
      <c r="O2363" s="2" t="s">
        <v>97</v>
      </c>
      <c r="P2363" s="2" t="s">
        <v>143</v>
      </c>
      <c r="Q2363" s="2" t="s">
        <v>99</v>
      </c>
      <c r="R2363" s="2" t="s">
        <v>100</v>
      </c>
      <c r="S2363" s="2" t="s">
        <v>100</v>
      </c>
      <c r="T2363" s="2" t="s">
        <v>100</v>
      </c>
      <c r="U2363" s="2" t="s">
        <v>3531</v>
      </c>
      <c r="V2363" s="2" t="s">
        <v>601</v>
      </c>
      <c r="W2363" s="2" t="s">
        <v>2195</v>
      </c>
      <c r="X2363" s="2" t="s">
        <v>602</v>
      </c>
      <c r="Y2363" s="2" t="s">
        <v>3610</v>
      </c>
      <c r="Z2363" s="4">
        <v>408</v>
      </c>
      <c r="AA2363" s="4">
        <f>=ROUNDDOWN(32.1259842519685,0)</f>
      </c>
      <c r="AB2363" s="5">
        <v>12.7</v>
      </c>
      <c r="AC2363" s="2" t="s">
        <v>100</v>
      </c>
      <c r="AD2363" s="4"/>
      <c r="AE2363" s="4"/>
      <c r="AF2363" s="6">
        <v>74</v>
      </c>
      <c r="AG2363" s="6">
        <v>60</v>
      </c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>
        <v>0</v>
      </c>
      <c r="AP2363" s="4">
        <v>8</v>
      </c>
      <c r="AQ2363" s="8">
        <v>1117.2</v>
      </c>
      <c r="AR2363" s="4">
        <v>21</v>
      </c>
      <c r="AS2363" s="8">
        <v>2723.19</v>
      </c>
      <c r="AT2363" s="7">
        <v>-0.619</v>
      </c>
      <c r="AU2363" s="7">
        <v>-0.5897</v>
      </c>
      <c r="AV2363" s="4">
        <v>8</v>
      </c>
      <c r="AW2363" s="8">
        <v>1117.2</v>
      </c>
      <c r="AX2363" s="4">
        <v>21</v>
      </c>
      <c r="AY2363" s="8">
        <v>2723.19</v>
      </c>
      <c r="AZ2363" s="7">
        <v>-0.619</v>
      </c>
      <c r="BA2363" s="7">
        <v>-0.5897</v>
      </c>
      <c r="BB2363" s="7">
        <v>1</v>
      </c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>
        <v>0.4444</v>
      </c>
      <c r="BJ2363" s="4">
        <v>517</v>
      </c>
      <c r="BK2363" s="8">
        <v>64864.42</v>
      </c>
      <c r="BL2363" s="2" t="s">
        <v>8583</v>
      </c>
      <c r="BM2363" s="7">
        <v>0.0155</v>
      </c>
      <c r="BN2363" s="7">
        <v>0.0172</v>
      </c>
      <c r="BO2363" s="4">
        <v>8</v>
      </c>
      <c r="BP2363" s="8">
        <v>1117.2</v>
      </c>
      <c r="BQ2363" s="4">
        <v>21</v>
      </c>
      <c r="BR2363" s="8">
        <v>2723.19</v>
      </c>
      <c r="BS2363" s="7">
        <v>-0.619</v>
      </c>
      <c r="BT2363" s="7">
        <v>-0.5897</v>
      </c>
      <c r="BU2363" s="2" t="s">
        <v>109</v>
      </c>
      <c r="BV2363" s="2" t="s">
        <v>97</v>
      </c>
      <c r="BW2363" s="2" t="s">
        <v>7307</v>
      </c>
      <c r="BX2363" s="2" t="s">
        <v>5003</v>
      </c>
      <c r="BY2363" s="2" t="s">
        <v>112</v>
      </c>
      <c r="BZ2363" s="2" t="s">
        <v>100</v>
      </c>
    </row>
    <row r="2364">
      <c r="A2364" s="2" t="s">
        <v>8584</v>
      </c>
      <c r="B2364" s="2" t="s">
        <v>7252</v>
      </c>
      <c r="C2364" s="2" t="s">
        <v>88</v>
      </c>
      <c r="D2364" s="2" t="s">
        <v>8575</v>
      </c>
      <c r="E2364" s="2" t="s">
        <v>8576</v>
      </c>
      <c r="F2364" s="2" t="s">
        <v>3649</v>
      </c>
      <c r="G2364" s="2" t="s">
        <v>4243</v>
      </c>
      <c r="H2364" s="2" t="s">
        <v>8577</v>
      </c>
      <c r="I2364" s="2" t="s">
        <v>8576</v>
      </c>
      <c r="J2364" s="2" t="s">
        <v>6103</v>
      </c>
      <c r="K2364" s="2" t="s">
        <v>8585</v>
      </c>
      <c r="L2364" s="3">
        <v>133</v>
      </c>
      <c r="M2364" s="3">
        <v>139.65</v>
      </c>
      <c r="N2364" s="3">
        <v>279</v>
      </c>
      <c r="O2364" s="2" t="s">
        <v>97</v>
      </c>
      <c r="P2364" s="2" t="s">
        <v>1265</v>
      </c>
      <c r="Q2364" s="2" t="s">
        <v>99</v>
      </c>
      <c r="R2364" s="2" t="s">
        <v>100</v>
      </c>
      <c r="S2364" s="2" t="s">
        <v>100</v>
      </c>
      <c r="T2364" s="2" t="s">
        <v>100</v>
      </c>
      <c r="U2364" s="2" t="s">
        <v>3531</v>
      </c>
      <c r="V2364" s="2" t="s">
        <v>601</v>
      </c>
      <c r="W2364" s="2" t="s">
        <v>602</v>
      </c>
      <c r="X2364" s="2" t="s">
        <v>2195</v>
      </c>
      <c r="Y2364" s="2" t="s">
        <v>8586</v>
      </c>
      <c r="Z2364" s="4">
        <v>114</v>
      </c>
      <c r="AA2364" s="4">
        <f>=ROUNDDOWN(22.8,0)</f>
      </c>
      <c r="AB2364" s="5">
        <v>5</v>
      </c>
      <c r="AC2364" s="2" t="s">
        <v>100</v>
      </c>
      <c r="AD2364" s="4"/>
      <c r="AE2364" s="4"/>
      <c r="AF2364" s="6">
        <v>74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110</v>
      </c>
      <c r="BK2364" s="8">
        <v>13485.57</v>
      </c>
      <c r="BL2364" s="2" t="s">
        <v>8587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6185</v>
      </c>
      <c r="BV2364" s="2" t="s">
        <v>97</v>
      </c>
      <c r="BW2364" s="2" t="s">
        <v>100</v>
      </c>
      <c r="BX2364" s="2" t="s">
        <v>100</v>
      </c>
      <c r="BY2364" s="2" t="s">
        <v>112</v>
      </c>
      <c r="BZ2364" s="2" t="s">
        <v>100</v>
      </c>
    </row>
    <row r="2365">
      <c r="A2365" s="2" t="s">
        <v>8588</v>
      </c>
      <c r="B2365" s="2" t="s">
        <v>7252</v>
      </c>
      <c r="C2365" s="2" t="s">
        <v>88</v>
      </c>
      <c r="D2365" s="2" t="s">
        <v>8575</v>
      </c>
      <c r="E2365" s="2" t="s">
        <v>8576</v>
      </c>
      <c r="F2365" s="2" t="s">
        <v>8589</v>
      </c>
      <c r="G2365" s="2" t="s">
        <v>8590</v>
      </c>
      <c r="H2365" s="2" t="s">
        <v>8591</v>
      </c>
      <c r="I2365" s="2" t="s">
        <v>8576</v>
      </c>
      <c r="J2365" s="2" t="s">
        <v>6103</v>
      </c>
      <c r="K2365" s="2" t="s">
        <v>8592</v>
      </c>
      <c r="L2365" s="3">
        <v>161.5</v>
      </c>
      <c r="M2365" s="3">
        <v>169.58</v>
      </c>
      <c r="N2365" s="3">
        <v>339</v>
      </c>
      <c r="O2365" s="2" t="s">
        <v>97</v>
      </c>
      <c r="P2365" s="2" t="s">
        <v>124</v>
      </c>
      <c r="Q2365" s="2" t="s">
        <v>99</v>
      </c>
      <c r="R2365" s="2" t="s">
        <v>100</v>
      </c>
      <c r="S2365" s="2" t="s">
        <v>100</v>
      </c>
      <c r="T2365" s="2" t="s">
        <v>100</v>
      </c>
      <c r="U2365" s="2" t="s">
        <v>3531</v>
      </c>
      <c r="V2365" s="2" t="s">
        <v>601</v>
      </c>
      <c r="W2365" s="2" t="s">
        <v>602</v>
      </c>
      <c r="X2365" s="2" t="s">
        <v>104</v>
      </c>
      <c r="Y2365" s="2" t="s">
        <v>2648</v>
      </c>
      <c r="Z2365" s="4">
        <v>554</v>
      </c>
      <c r="AA2365" s="4">
        <f>=ROUNDDOWN(10.2592592592593,0)</f>
      </c>
      <c r="AB2365" s="5">
        <v>54</v>
      </c>
      <c r="AC2365" s="2" t="s">
        <v>130</v>
      </c>
      <c r="AD2365" s="4">
        <v>400</v>
      </c>
      <c r="AE2365" s="4">
        <v>1540</v>
      </c>
      <c r="AF2365" s="6">
        <v>74</v>
      </c>
      <c r="AG2365" s="6">
        <v>60</v>
      </c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>
        <v>0</v>
      </c>
      <c r="AP2365" s="4">
        <v>2</v>
      </c>
      <c r="AQ2365" s="8">
        <v>319.72</v>
      </c>
      <c r="AR2365" s="4">
        <v>11</v>
      </c>
      <c r="AS2365" s="8">
        <v>1769.06</v>
      </c>
      <c r="AT2365" s="7">
        <v>-0.8182</v>
      </c>
      <c r="AU2365" s="7">
        <v>-0.8193</v>
      </c>
      <c r="AV2365" s="4">
        <v>2</v>
      </c>
      <c r="AW2365" s="8">
        <v>319.72</v>
      </c>
      <c r="AX2365" s="4">
        <v>11</v>
      </c>
      <c r="AY2365" s="8">
        <v>1769.06</v>
      </c>
      <c r="AZ2365" s="7">
        <v>-0.8182</v>
      </c>
      <c r="BA2365" s="7">
        <v>-0.8193</v>
      </c>
      <c r="BB2365" s="7">
        <v>1</v>
      </c>
      <c r="BC2365" s="4">
        <v>2</v>
      </c>
      <c r="BD2365" s="8">
        <v>319.72</v>
      </c>
      <c r="BE2365" s="4">
        <v>11</v>
      </c>
      <c r="BF2365" s="8">
        <v>1769.06</v>
      </c>
      <c r="BG2365" s="7">
        <v>-0.8182</v>
      </c>
      <c r="BH2365" s="7">
        <v>-0.8193</v>
      </c>
      <c r="BI2365" s="7">
        <v>1</v>
      </c>
      <c r="BJ2365" s="4">
        <v>1269</v>
      </c>
      <c r="BK2365" s="8">
        <v>206112.03</v>
      </c>
      <c r="BL2365" s="2" t="s">
        <v>8593</v>
      </c>
      <c r="BM2365" s="7">
        <v>0.0016</v>
      </c>
      <c r="BN2365" s="7">
        <v>0.0016</v>
      </c>
      <c r="BO2365" s="4">
        <v>2</v>
      </c>
      <c r="BP2365" s="8">
        <v>319.72</v>
      </c>
      <c r="BQ2365" s="4">
        <v>11</v>
      </c>
      <c r="BR2365" s="8">
        <v>1769.06</v>
      </c>
      <c r="BS2365" s="7">
        <v>-0.8182</v>
      </c>
      <c r="BT2365" s="7">
        <v>-0.8193</v>
      </c>
      <c r="BU2365" s="2" t="s">
        <v>109</v>
      </c>
      <c r="BV2365" s="2" t="s">
        <v>97</v>
      </c>
      <c r="BW2365" s="2" t="s">
        <v>7663</v>
      </c>
      <c r="BX2365" s="2" t="s">
        <v>2525</v>
      </c>
      <c r="BY2365" s="2" t="s">
        <v>112</v>
      </c>
      <c r="BZ2365" s="2" t="s">
        <v>100</v>
      </c>
    </row>
    <row r="2366">
      <c r="A2366" s="2" t="s">
        <v>8594</v>
      </c>
      <c r="B2366" s="2" t="s">
        <v>7252</v>
      </c>
      <c r="C2366" s="2" t="s">
        <v>88</v>
      </c>
      <c r="D2366" s="2" t="s">
        <v>8575</v>
      </c>
      <c r="E2366" s="2" t="s">
        <v>8576</v>
      </c>
      <c r="F2366" s="2" t="s">
        <v>8595</v>
      </c>
      <c r="G2366" s="2" t="s">
        <v>8596</v>
      </c>
      <c r="H2366" s="2" t="s">
        <v>8597</v>
      </c>
      <c r="I2366" s="2" t="s">
        <v>8576</v>
      </c>
      <c r="J2366" s="2" t="s">
        <v>6103</v>
      </c>
      <c r="K2366" s="2" t="s">
        <v>2066</v>
      </c>
      <c r="L2366" s="3">
        <v>166.67</v>
      </c>
      <c r="M2366" s="3">
        <v>175</v>
      </c>
      <c r="N2366" s="3">
        <v>349</v>
      </c>
      <c r="O2366" s="2" t="s">
        <v>1148</v>
      </c>
      <c r="P2366" s="2" t="s">
        <v>198</v>
      </c>
      <c r="Q2366" s="2" t="s">
        <v>99</v>
      </c>
      <c r="R2366" s="2" t="s">
        <v>100</v>
      </c>
      <c r="S2366" s="2" t="s">
        <v>8598</v>
      </c>
      <c r="T2366" s="2" t="s">
        <v>100</v>
      </c>
      <c r="U2366" s="2" t="s">
        <v>100</v>
      </c>
      <c r="V2366" s="2" t="s">
        <v>601</v>
      </c>
      <c r="W2366" s="2" t="s">
        <v>602</v>
      </c>
      <c r="X2366" s="2" t="s">
        <v>100</v>
      </c>
      <c r="Y2366" s="2" t="s">
        <v>3733</v>
      </c>
      <c r="Z2366" s="4"/>
      <c r="AA2366" s="4">
        <f>=ROUNDDOWN({0},0)</f>
      </c>
      <c r="AB2366" s="5"/>
      <c r="AC2366" s="2" t="s">
        <v>100</v>
      </c>
      <c r="AD2366" s="4"/>
      <c r="AE2366" s="4"/>
      <c r="AF2366" s="6"/>
      <c r="AG2366" s="6"/>
      <c r="AH2366" s="7">
        <v>0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/>
      <c r="BD2366" s="8"/>
      <c r="BE2366" s="4"/>
      <c r="BF2366" s="8"/>
      <c r="BG2366" s="7"/>
      <c r="BH2366" s="7"/>
      <c r="BI2366" s="7"/>
      <c r="BJ2366" s="4"/>
      <c r="BK2366" s="8"/>
      <c r="BL2366" s="2" t="s">
        <v>100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147</v>
      </c>
      <c r="BV2366" s="2" t="s">
        <v>97</v>
      </c>
      <c r="BW2366" s="2" t="s">
        <v>100</v>
      </c>
      <c r="BX2366" s="2" t="s">
        <v>100</v>
      </c>
      <c r="BY2366" s="2" t="s">
        <v>112</v>
      </c>
      <c r="BZ2366" s="2" t="s">
        <v>100</v>
      </c>
    </row>
    <row r="2367">
      <c r="A2367" s="2" t="s">
        <v>8599</v>
      </c>
      <c r="B2367" s="2" t="s">
        <v>7252</v>
      </c>
      <c r="C2367" s="2" t="s">
        <v>88</v>
      </c>
      <c r="D2367" s="2" t="s">
        <v>8575</v>
      </c>
      <c r="E2367" s="2" t="s">
        <v>8576</v>
      </c>
      <c r="F2367" s="2" t="s">
        <v>1129</v>
      </c>
      <c r="G2367" s="2" t="s">
        <v>8285</v>
      </c>
      <c r="H2367" s="2" t="s">
        <v>8600</v>
      </c>
      <c r="I2367" s="2" t="s">
        <v>8576</v>
      </c>
      <c r="J2367" s="2" t="s">
        <v>6103</v>
      </c>
      <c r="K2367" s="2" t="s">
        <v>8601</v>
      </c>
      <c r="L2367" s="3">
        <v>200</v>
      </c>
      <c r="M2367" s="3">
        <v>210</v>
      </c>
      <c r="N2367" s="3">
        <v>419</v>
      </c>
      <c r="O2367" s="2" t="s">
        <v>229</v>
      </c>
      <c r="P2367" s="2" t="s">
        <v>198</v>
      </c>
      <c r="Q2367" s="2" t="s">
        <v>99</v>
      </c>
      <c r="R2367" s="2" t="s">
        <v>100</v>
      </c>
      <c r="S2367" s="2" t="s">
        <v>8602</v>
      </c>
      <c r="T2367" s="2" t="s">
        <v>100</v>
      </c>
      <c r="U2367" s="2" t="s">
        <v>100</v>
      </c>
      <c r="V2367" s="2" t="s">
        <v>601</v>
      </c>
      <c r="W2367" s="2" t="s">
        <v>6998</v>
      </c>
      <c r="X2367" s="2" t="s">
        <v>100</v>
      </c>
      <c r="Y2367" s="2" t="s">
        <v>106</v>
      </c>
      <c r="Z2367" s="4"/>
      <c r="AA2367" s="4">
        <f>=ROUNDDOWN({0},0)</f>
      </c>
      <c r="AB2367" s="5"/>
      <c r="AC2367" s="2" t="s">
        <v>100</v>
      </c>
      <c r="AD2367" s="4"/>
      <c r="AE2367" s="4"/>
      <c r="AF2367" s="6">
        <v>74</v>
      </c>
      <c r="AG2367" s="6"/>
      <c r="AH2367" s="7">
        <v>0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>
        <v>0</v>
      </c>
      <c r="AP2367" s="4"/>
      <c r="AQ2367" s="8"/>
      <c r="AR2367" s="4">
        <v>3</v>
      </c>
      <c r="AS2367" s="8">
        <v>630</v>
      </c>
      <c r="AT2367" s="7">
        <v>-1</v>
      </c>
      <c r="AU2367" s="7">
        <v>-1</v>
      </c>
      <c r="AV2367" s="4"/>
      <c r="AW2367" s="8"/>
      <c r="AX2367" s="4">
        <v>3</v>
      </c>
      <c r="AY2367" s="8">
        <v>630</v>
      </c>
      <c r="AZ2367" s="7">
        <v>-1</v>
      </c>
      <c r="BA2367" s="7">
        <v>-1</v>
      </c>
      <c r="BB2367" s="7"/>
      <c r="BC2367" s="4"/>
      <c r="BD2367" s="8"/>
      <c r="BE2367" s="4">
        <v>3</v>
      </c>
      <c r="BF2367" s="8">
        <v>630</v>
      </c>
      <c r="BG2367" s="7">
        <v>-1</v>
      </c>
      <c r="BH2367" s="7">
        <v>-1</v>
      </c>
      <c r="BI2367" s="7"/>
      <c r="BJ2367" s="4">
        <v>1</v>
      </c>
      <c r="BK2367" s="8">
        <v>264.75</v>
      </c>
      <c r="BL2367" s="2" t="s">
        <v>8603</v>
      </c>
      <c r="BM2367" s="7"/>
      <c r="BN2367" s="7"/>
      <c r="BO2367" s="4"/>
      <c r="BP2367" s="8"/>
      <c r="BQ2367" s="4">
        <v>3</v>
      </c>
      <c r="BR2367" s="8">
        <v>630</v>
      </c>
      <c r="BS2367" s="7">
        <v>-1</v>
      </c>
      <c r="BT2367" s="7">
        <v>-1</v>
      </c>
      <c r="BU2367" s="2" t="s">
        <v>109</v>
      </c>
      <c r="BV2367" s="2" t="s">
        <v>552</v>
      </c>
      <c r="BW2367" s="2" t="s">
        <v>3848</v>
      </c>
      <c r="BX2367" s="2" t="s">
        <v>8604</v>
      </c>
      <c r="BY2367" s="2" t="s">
        <v>112</v>
      </c>
      <c r="BZ2367" s="2" t="s">
        <v>100</v>
      </c>
    </row>
    <row r="2368">
      <c r="A2368" s="2" t="s">
        <v>8605</v>
      </c>
      <c r="B2368" s="2" t="s">
        <v>7252</v>
      </c>
      <c r="C2368" s="2" t="s">
        <v>88</v>
      </c>
      <c r="D2368" s="2" t="s">
        <v>8575</v>
      </c>
      <c r="E2368" s="2" t="s">
        <v>8576</v>
      </c>
      <c r="F2368" s="2" t="s">
        <v>8606</v>
      </c>
      <c r="G2368" s="2" t="s">
        <v>8607</v>
      </c>
      <c r="H2368" s="2" t="s">
        <v>8608</v>
      </c>
      <c r="I2368" s="2" t="s">
        <v>8576</v>
      </c>
      <c r="J2368" s="2" t="s">
        <v>6103</v>
      </c>
      <c r="K2368" s="2" t="s">
        <v>8609</v>
      </c>
      <c r="L2368" s="3">
        <v>148.5</v>
      </c>
      <c r="M2368" s="3">
        <v>155.92</v>
      </c>
      <c r="N2368" s="3">
        <v>309</v>
      </c>
      <c r="O2368" s="2" t="s">
        <v>97</v>
      </c>
      <c r="P2368" s="2" t="s">
        <v>182</v>
      </c>
      <c r="Q2368" s="2" t="s">
        <v>99</v>
      </c>
      <c r="R2368" s="2" t="s">
        <v>100</v>
      </c>
      <c r="S2368" s="2" t="s">
        <v>8610</v>
      </c>
      <c r="T2368" s="2" t="s">
        <v>100</v>
      </c>
      <c r="U2368" s="2" t="s">
        <v>100</v>
      </c>
      <c r="V2368" s="2" t="s">
        <v>601</v>
      </c>
      <c r="W2368" s="2" t="s">
        <v>2195</v>
      </c>
      <c r="X2368" s="2" t="s">
        <v>100</v>
      </c>
      <c r="Y2368" s="2" t="s">
        <v>162</v>
      </c>
      <c r="Z2368" s="4">
        <v>156</v>
      </c>
      <c r="AA2368" s="4">
        <f>=ROUNDDOWN(39,0)</f>
      </c>
      <c r="AB2368" s="5">
        <v>4</v>
      </c>
      <c r="AC2368" s="2" t="s">
        <v>100</v>
      </c>
      <c r="AD2368" s="4"/>
      <c r="AE2368" s="4"/>
      <c r="AF2368" s="6">
        <v>74</v>
      </c>
      <c r="AG2368" s="6"/>
      <c r="AH2368" s="7">
        <v>1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83</v>
      </c>
      <c r="BK2368" s="8">
        <v>13362.82</v>
      </c>
      <c r="BL2368" s="2" t="s">
        <v>8611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147</v>
      </c>
      <c r="BV2368" s="2" t="s">
        <v>97</v>
      </c>
      <c r="BW2368" s="2" t="s">
        <v>100</v>
      </c>
      <c r="BX2368" s="2" t="s">
        <v>100</v>
      </c>
      <c r="BY2368" s="2" t="s">
        <v>112</v>
      </c>
      <c r="BZ2368" s="2" t="s">
        <v>100</v>
      </c>
    </row>
    <row r="2369">
      <c r="A2369" s="2" t="s">
        <v>8612</v>
      </c>
      <c r="B2369" s="2" t="s">
        <v>7252</v>
      </c>
      <c r="C2369" s="2" t="s">
        <v>88</v>
      </c>
      <c r="D2369" s="2" t="s">
        <v>8575</v>
      </c>
      <c r="E2369" s="2" t="s">
        <v>8576</v>
      </c>
      <c r="F2369" s="2" t="s">
        <v>8613</v>
      </c>
      <c r="G2369" s="2" t="s">
        <v>2363</v>
      </c>
      <c r="H2369" s="2" t="s">
        <v>8614</v>
      </c>
      <c r="I2369" s="2" t="s">
        <v>8576</v>
      </c>
      <c r="J2369" s="2" t="s">
        <v>6103</v>
      </c>
      <c r="K2369" s="2" t="s">
        <v>4776</v>
      </c>
      <c r="L2369" s="3">
        <v>350</v>
      </c>
      <c r="M2369" s="3">
        <v>367.5</v>
      </c>
      <c r="N2369" s="3">
        <v>729</v>
      </c>
      <c r="O2369" s="2" t="s">
        <v>97</v>
      </c>
      <c r="P2369" s="2" t="s">
        <v>1265</v>
      </c>
      <c r="Q2369" s="2" t="s">
        <v>99</v>
      </c>
      <c r="R2369" s="2" t="s">
        <v>100</v>
      </c>
      <c r="S2369" s="2" t="s">
        <v>8615</v>
      </c>
      <c r="T2369" s="2" t="s">
        <v>100</v>
      </c>
      <c r="U2369" s="2" t="s">
        <v>100</v>
      </c>
      <c r="V2369" s="2" t="s">
        <v>601</v>
      </c>
      <c r="W2369" s="2" t="s">
        <v>602</v>
      </c>
      <c r="X2369" s="2" t="s">
        <v>100</v>
      </c>
      <c r="Y2369" s="2" t="s">
        <v>3138</v>
      </c>
      <c r="Z2369" s="4">
        <v>59</v>
      </c>
      <c r="AA2369" s="4">
        <f>=ROUNDDOWN(19.6666666666667,0)</f>
      </c>
      <c r="AB2369" s="5">
        <v>3</v>
      </c>
      <c r="AC2369" s="2" t="s">
        <v>792</v>
      </c>
      <c r="AD2369" s="4">
        <v>95</v>
      </c>
      <c r="AE2369" s="4">
        <v>95</v>
      </c>
      <c r="AF2369" s="6">
        <v>66</v>
      </c>
      <c r="AG2369" s="6">
        <v>49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/>
      <c r="BD2369" s="8"/>
      <c r="BE2369" s="4"/>
      <c r="BF2369" s="8"/>
      <c r="BG2369" s="7"/>
      <c r="BH2369" s="7"/>
      <c r="BI2369" s="7"/>
      <c r="BJ2369" s="4">
        <v>55</v>
      </c>
      <c r="BK2369" s="8">
        <v>16906.98</v>
      </c>
      <c r="BL2369" s="2" t="s">
        <v>8616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6185</v>
      </c>
      <c r="BV2369" s="2" t="s">
        <v>97</v>
      </c>
      <c r="BW2369" s="2" t="s">
        <v>100</v>
      </c>
      <c r="BX2369" s="2" t="s">
        <v>100</v>
      </c>
      <c r="BY2369" s="2" t="s">
        <v>112</v>
      </c>
      <c r="BZ2369" s="2" t="s">
        <v>100</v>
      </c>
    </row>
    <row r="2370">
      <c r="A2370" s="2" t="s">
        <v>8617</v>
      </c>
      <c r="B2370" s="2" t="s">
        <v>7252</v>
      </c>
      <c r="C2370" s="2" t="s">
        <v>88</v>
      </c>
      <c r="D2370" s="2" t="s">
        <v>8575</v>
      </c>
      <c r="E2370" s="2" t="s">
        <v>8576</v>
      </c>
      <c r="F2370" s="2" t="s">
        <v>8618</v>
      </c>
      <c r="G2370" s="2" t="s">
        <v>8619</v>
      </c>
      <c r="H2370" s="2" t="s">
        <v>8620</v>
      </c>
      <c r="I2370" s="2" t="s">
        <v>8621</v>
      </c>
      <c r="J2370" s="2" t="s">
        <v>6103</v>
      </c>
      <c r="K2370" s="2" t="s">
        <v>8622</v>
      </c>
      <c r="L2370" s="3">
        <v>95.24</v>
      </c>
      <c r="M2370" s="3">
        <v>100</v>
      </c>
      <c r="N2370" s="3">
        <v>199</v>
      </c>
      <c r="O2370" s="2" t="s">
        <v>1148</v>
      </c>
      <c r="P2370" s="2" t="s">
        <v>198</v>
      </c>
      <c r="Q2370" s="2" t="s">
        <v>99</v>
      </c>
      <c r="R2370" s="2" t="s">
        <v>100</v>
      </c>
      <c r="S2370" s="2" t="s">
        <v>8623</v>
      </c>
      <c r="T2370" s="2" t="s">
        <v>100</v>
      </c>
      <c r="U2370" s="2" t="s">
        <v>100</v>
      </c>
      <c r="V2370" s="2" t="s">
        <v>601</v>
      </c>
      <c r="W2370" s="2" t="s">
        <v>405</v>
      </c>
      <c r="X2370" s="2" t="s">
        <v>100</v>
      </c>
      <c r="Y2370" s="2" t="s">
        <v>106</v>
      </c>
      <c r="Z2370" s="4"/>
      <c r="AA2370" s="4">
        <f>=ROUNDDOWN({0},0)</f>
      </c>
      <c r="AB2370" s="5"/>
      <c r="AC2370" s="2" t="s">
        <v>100</v>
      </c>
      <c r="AD2370" s="4"/>
      <c r="AE2370" s="4"/>
      <c r="AF2370" s="6"/>
      <c r="AG2370" s="6"/>
      <c r="AH2370" s="7">
        <v>0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/>
      <c r="BD2370" s="8"/>
      <c r="BE2370" s="4"/>
      <c r="BF2370" s="8"/>
      <c r="BG2370" s="7"/>
      <c r="BH2370" s="7"/>
      <c r="BI2370" s="7"/>
      <c r="BJ2370" s="4"/>
      <c r="BK2370" s="8"/>
      <c r="BL2370" s="2" t="s">
        <v>100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147</v>
      </c>
      <c r="BV2370" s="2" t="s">
        <v>97</v>
      </c>
      <c r="BW2370" s="2" t="s">
        <v>100</v>
      </c>
      <c r="BX2370" s="2" t="s">
        <v>100</v>
      </c>
      <c r="BY2370" s="2" t="s">
        <v>112</v>
      </c>
      <c r="BZ2370" s="2" t="s">
        <v>100</v>
      </c>
    </row>
    <row r="2371">
      <c r="A2371" s="2" t="s">
        <v>8624</v>
      </c>
      <c r="B2371" s="2" t="s">
        <v>7252</v>
      </c>
      <c r="C2371" s="2" t="s">
        <v>88</v>
      </c>
      <c r="D2371" s="2" t="s">
        <v>8575</v>
      </c>
      <c r="E2371" s="2" t="s">
        <v>8576</v>
      </c>
      <c r="F2371" s="2" t="s">
        <v>8625</v>
      </c>
      <c r="G2371" s="2" t="s">
        <v>8626</v>
      </c>
      <c r="H2371" s="2" t="s">
        <v>8627</v>
      </c>
      <c r="I2371" s="2" t="s">
        <v>8628</v>
      </c>
      <c r="J2371" s="2" t="s">
        <v>6103</v>
      </c>
      <c r="K2371" s="2" t="s">
        <v>123</v>
      </c>
      <c r="L2371" s="3">
        <v>142.5</v>
      </c>
      <c r="M2371" s="3">
        <v>150</v>
      </c>
      <c r="N2371" s="3">
        <v>299</v>
      </c>
      <c r="O2371" s="2" t="s">
        <v>1148</v>
      </c>
      <c r="P2371" s="2" t="s">
        <v>198</v>
      </c>
      <c r="Q2371" s="2" t="s">
        <v>99</v>
      </c>
      <c r="R2371" s="2" t="s">
        <v>100</v>
      </c>
      <c r="S2371" s="2" t="s">
        <v>8629</v>
      </c>
      <c r="T2371" s="2" t="s">
        <v>100</v>
      </c>
      <c r="U2371" s="2" t="s">
        <v>100</v>
      </c>
      <c r="V2371" s="2" t="s">
        <v>601</v>
      </c>
      <c r="W2371" s="2" t="s">
        <v>602</v>
      </c>
      <c r="X2371" s="2" t="s">
        <v>100</v>
      </c>
      <c r="Y2371" s="2" t="s">
        <v>106</v>
      </c>
      <c r="Z2371" s="4"/>
      <c r="AA2371" s="4">
        <f>=ROUNDDOWN({0},0)</f>
      </c>
      <c r="AB2371" s="5"/>
      <c r="AC2371" s="2" t="s">
        <v>100</v>
      </c>
      <c r="AD2371" s="4"/>
      <c r="AE2371" s="4"/>
      <c r="AF2371" s="6"/>
      <c r="AG2371" s="6"/>
      <c r="AH2371" s="7">
        <v>0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/>
      <c r="BD2371" s="8"/>
      <c r="BE2371" s="4"/>
      <c r="BF2371" s="8"/>
      <c r="BG2371" s="7"/>
      <c r="BH2371" s="7"/>
      <c r="BI2371" s="7"/>
      <c r="BJ2371" s="4"/>
      <c r="BK2371" s="8"/>
      <c r="BL2371" s="2" t="s">
        <v>100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147</v>
      </c>
      <c r="BV2371" s="2" t="s">
        <v>97</v>
      </c>
      <c r="BW2371" s="2" t="s">
        <v>100</v>
      </c>
      <c r="BX2371" s="2" t="s">
        <v>100</v>
      </c>
      <c r="BY2371" s="2" t="s">
        <v>112</v>
      </c>
      <c r="BZ2371" s="2" t="s">
        <v>100</v>
      </c>
    </row>
    <row r="2372">
      <c r="A2372" s="2" t="s">
        <v>8630</v>
      </c>
      <c r="B2372" s="2" t="s">
        <v>7252</v>
      </c>
      <c r="C2372" s="2" t="s">
        <v>88</v>
      </c>
      <c r="D2372" s="2" t="s">
        <v>8575</v>
      </c>
      <c r="E2372" s="2" t="s">
        <v>8576</v>
      </c>
      <c r="F2372" s="2" t="s">
        <v>1163</v>
      </c>
      <c r="G2372" s="2" t="s">
        <v>8631</v>
      </c>
      <c r="H2372" s="2" t="s">
        <v>8632</v>
      </c>
      <c r="I2372" s="2" t="s">
        <v>8633</v>
      </c>
      <c r="J2372" s="2" t="s">
        <v>6103</v>
      </c>
      <c r="K2372" s="2" t="s">
        <v>123</v>
      </c>
      <c r="L2372" s="3">
        <v>198</v>
      </c>
      <c r="M2372" s="3">
        <v>207.9</v>
      </c>
      <c r="N2372" s="3">
        <v>419</v>
      </c>
      <c r="O2372" s="2" t="s">
        <v>229</v>
      </c>
      <c r="P2372" s="2" t="s">
        <v>198</v>
      </c>
      <c r="Q2372" s="2" t="s">
        <v>99</v>
      </c>
      <c r="R2372" s="2" t="s">
        <v>100</v>
      </c>
      <c r="S2372" s="2" t="s">
        <v>100</v>
      </c>
      <c r="T2372" s="2" t="s">
        <v>100</v>
      </c>
      <c r="U2372" s="2" t="s">
        <v>100</v>
      </c>
      <c r="V2372" s="2" t="s">
        <v>1752</v>
      </c>
      <c r="W2372" s="2" t="s">
        <v>6998</v>
      </c>
      <c r="X2372" s="2" t="s">
        <v>759</v>
      </c>
      <c r="Y2372" s="2" t="s">
        <v>8634</v>
      </c>
      <c r="Z2372" s="4">
        <v>18</v>
      </c>
      <c r="AA2372" s="4">
        <f>=ROUNDDOWN({0},0)</f>
      </c>
      <c r="AB2372" s="5"/>
      <c r="AC2372" s="2" t="s">
        <v>100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>
        <v>2</v>
      </c>
      <c r="BK2372" s="8">
        <v>248.69</v>
      </c>
      <c r="BL2372" s="2" t="s">
        <v>8635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147</v>
      </c>
      <c r="BV2372" s="2" t="s">
        <v>97</v>
      </c>
      <c r="BW2372" s="2" t="s">
        <v>100</v>
      </c>
      <c r="BX2372" s="2" t="s">
        <v>100</v>
      </c>
      <c r="BY2372" s="2" t="s">
        <v>112</v>
      </c>
      <c r="BZ2372" s="2" t="s">
        <v>100</v>
      </c>
    </row>
    <row r="2373">
      <c r="A2373" s="2" t="s">
        <v>8636</v>
      </c>
      <c r="B2373" s="2" t="s">
        <v>7252</v>
      </c>
      <c r="C2373" s="2" t="s">
        <v>88</v>
      </c>
      <c r="D2373" s="2" t="s">
        <v>8575</v>
      </c>
      <c r="E2373" s="2" t="s">
        <v>8637</v>
      </c>
      <c r="F2373" s="2" t="s">
        <v>3649</v>
      </c>
      <c r="G2373" s="2" t="s">
        <v>4243</v>
      </c>
      <c r="H2373" s="2" t="s">
        <v>8577</v>
      </c>
      <c r="I2373" s="2" t="s">
        <v>8637</v>
      </c>
      <c r="J2373" s="2" t="s">
        <v>6103</v>
      </c>
      <c r="K2373" s="2" t="s">
        <v>8578</v>
      </c>
      <c r="L2373" s="3">
        <v>90</v>
      </c>
      <c r="M2373" s="3">
        <v>94.5</v>
      </c>
      <c r="N2373" s="3">
        <v>189</v>
      </c>
      <c r="O2373" s="2" t="s">
        <v>97</v>
      </c>
      <c r="P2373" s="2" t="s">
        <v>124</v>
      </c>
      <c r="Q2373" s="2" t="s">
        <v>99</v>
      </c>
      <c r="R2373" s="2" t="s">
        <v>100</v>
      </c>
      <c r="S2373" s="2" t="s">
        <v>8638</v>
      </c>
      <c r="T2373" s="2" t="s">
        <v>100</v>
      </c>
      <c r="U2373" s="2" t="s">
        <v>100</v>
      </c>
      <c r="V2373" s="2" t="s">
        <v>601</v>
      </c>
      <c r="W2373" s="2" t="s">
        <v>2195</v>
      </c>
      <c r="X2373" s="2" t="s">
        <v>100</v>
      </c>
      <c r="Y2373" s="2" t="s">
        <v>106</v>
      </c>
      <c r="Z2373" s="4">
        <v>345</v>
      </c>
      <c r="AA2373" s="4">
        <f>=ROUNDDOWN(6.80473372781065,0)</f>
      </c>
      <c r="AB2373" s="5">
        <v>50.7</v>
      </c>
      <c r="AC2373" s="2" t="s">
        <v>130</v>
      </c>
      <c r="AD2373" s="4">
        <v>130</v>
      </c>
      <c r="AE2373" s="4">
        <v>610</v>
      </c>
      <c r="AF2373" s="6">
        <v>74</v>
      </c>
      <c r="AG2373" s="6">
        <v>60</v>
      </c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>
        <v>0</v>
      </c>
      <c r="AP2373" s="4">
        <v>9</v>
      </c>
      <c r="AQ2373" s="8">
        <v>850.5</v>
      </c>
      <c r="AR2373" s="4">
        <v>30</v>
      </c>
      <c r="AS2373" s="8">
        <v>2669.66</v>
      </c>
      <c r="AT2373" s="7">
        <v>-0.7</v>
      </c>
      <c r="AU2373" s="7">
        <v>-0.6814</v>
      </c>
      <c r="AV2373" s="4">
        <v>9</v>
      </c>
      <c r="AW2373" s="8">
        <v>850.5</v>
      </c>
      <c r="AX2373" s="4">
        <v>30</v>
      </c>
      <c r="AY2373" s="8">
        <v>2669.66</v>
      </c>
      <c r="AZ2373" s="7">
        <v>-0.7</v>
      </c>
      <c r="BA2373" s="7">
        <v>-0.6814</v>
      </c>
      <c r="BB2373" s="7">
        <v>1</v>
      </c>
      <c r="BC2373" s="4">
        <v>14</v>
      </c>
      <c r="BD2373" s="8">
        <v>1323</v>
      </c>
      <c r="BE2373" s="4">
        <v>41</v>
      </c>
      <c r="BF2373" s="8">
        <v>3685.54</v>
      </c>
      <c r="BG2373" s="7">
        <v>-0.6585</v>
      </c>
      <c r="BH2373" s="7">
        <v>-0.641</v>
      </c>
      <c r="BI2373" s="7">
        <v>0.6429</v>
      </c>
      <c r="BJ2373" s="4">
        <v>1191</v>
      </c>
      <c r="BK2373" s="8">
        <v>102377.37</v>
      </c>
      <c r="BL2373" s="2" t="s">
        <v>8639</v>
      </c>
      <c r="BM2373" s="7">
        <v>0.0076</v>
      </c>
      <c r="BN2373" s="7">
        <v>0.0083</v>
      </c>
      <c r="BO2373" s="4">
        <v>9</v>
      </c>
      <c r="BP2373" s="8">
        <v>850.5</v>
      </c>
      <c r="BQ2373" s="4">
        <v>30</v>
      </c>
      <c r="BR2373" s="8">
        <v>2669.66</v>
      </c>
      <c r="BS2373" s="7">
        <v>-0.7</v>
      </c>
      <c r="BT2373" s="7">
        <v>-0.6814</v>
      </c>
      <c r="BU2373" s="2" t="s">
        <v>109</v>
      </c>
      <c r="BV2373" s="2" t="s">
        <v>97</v>
      </c>
      <c r="BW2373" s="2" t="s">
        <v>7307</v>
      </c>
      <c r="BX2373" s="2" t="s">
        <v>4328</v>
      </c>
      <c r="BY2373" s="2" t="s">
        <v>112</v>
      </c>
      <c r="BZ2373" s="2" t="s">
        <v>100</v>
      </c>
    </row>
    <row r="2374">
      <c r="A2374" s="2" t="s">
        <v>8640</v>
      </c>
      <c r="B2374" s="2" t="s">
        <v>7252</v>
      </c>
      <c r="C2374" s="2" t="s">
        <v>88</v>
      </c>
      <c r="D2374" s="2" t="s">
        <v>8575</v>
      </c>
      <c r="E2374" s="2" t="s">
        <v>8637</v>
      </c>
      <c r="F2374" s="2" t="s">
        <v>3649</v>
      </c>
      <c r="G2374" s="2" t="s">
        <v>4243</v>
      </c>
      <c r="H2374" s="2" t="s">
        <v>8577</v>
      </c>
      <c r="I2374" s="2" t="s">
        <v>8637</v>
      </c>
      <c r="J2374" s="2" t="s">
        <v>6103</v>
      </c>
      <c r="K2374" s="2" t="s">
        <v>8582</v>
      </c>
      <c r="L2374" s="3">
        <v>90</v>
      </c>
      <c r="M2374" s="3">
        <v>94.5</v>
      </c>
      <c r="N2374" s="3">
        <v>189</v>
      </c>
      <c r="O2374" s="2" t="s">
        <v>97</v>
      </c>
      <c r="P2374" s="2" t="s">
        <v>182</v>
      </c>
      <c r="Q2374" s="2" t="s">
        <v>99</v>
      </c>
      <c r="R2374" s="2" t="s">
        <v>100</v>
      </c>
      <c r="S2374" s="2" t="s">
        <v>100</v>
      </c>
      <c r="T2374" s="2" t="s">
        <v>100</v>
      </c>
      <c r="U2374" s="2" t="s">
        <v>3531</v>
      </c>
      <c r="V2374" s="2" t="s">
        <v>601</v>
      </c>
      <c r="W2374" s="2" t="s">
        <v>2195</v>
      </c>
      <c r="X2374" s="2" t="s">
        <v>602</v>
      </c>
      <c r="Y2374" s="2" t="s">
        <v>3610</v>
      </c>
      <c r="Z2374" s="4">
        <v>302</v>
      </c>
      <c r="AA2374" s="4">
        <f>=ROUNDDOWN(20.1333333333333,0)</f>
      </c>
      <c r="AB2374" s="5">
        <v>15</v>
      </c>
      <c r="AC2374" s="2" t="s">
        <v>130</v>
      </c>
      <c r="AD2374" s="4">
        <v>200</v>
      </c>
      <c r="AE2374" s="4">
        <v>200</v>
      </c>
      <c r="AF2374" s="6">
        <v>74</v>
      </c>
      <c r="AG2374" s="6">
        <v>60</v>
      </c>
      <c r="AH2374" s="7">
        <v>1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>
        <v>0</v>
      </c>
      <c r="AP2374" s="4">
        <v>5</v>
      </c>
      <c r="AQ2374" s="8">
        <v>472.5</v>
      </c>
      <c r="AR2374" s="4">
        <v>11</v>
      </c>
      <c r="AS2374" s="8">
        <v>1015.88</v>
      </c>
      <c r="AT2374" s="7">
        <v>-0.5455</v>
      </c>
      <c r="AU2374" s="7">
        <v>-0.5349</v>
      </c>
      <c r="AV2374" s="4">
        <v>5</v>
      </c>
      <c r="AW2374" s="8">
        <v>472.5</v>
      </c>
      <c r="AX2374" s="4">
        <v>11</v>
      </c>
      <c r="AY2374" s="8">
        <v>1015.88</v>
      </c>
      <c r="AZ2374" s="7">
        <v>-0.5455</v>
      </c>
      <c r="BA2374" s="7">
        <v>-0.5349</v>
      </c>
      <c r="BB2374" s="7">
        <v>1</v>
      </c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>
        <v>0.3571</v>
      </c>
      <c r="BJ2374" s="4">
        <v>354</v>
      </c>
      <c r="BK2374" s="8">
        <v>29675.18</v>
      </c>
      <c r="BL2374" s="2" t="s">
        <v>8641</v>
      </c>
      <c r="BM2374" s="7">
        <v>0.0141</v>
      </c>
      <c r="BN2374" s="7">
        <v>0.0159</v>
      </c>
      <c r="BO2374" s="4">
        <v>5</v>
      </c>
      <c r="BP2374" s="8">
        <v>472.5</v>
      </c>
      <c r="BQ2374" s="4">
        <v>11</v>
      </c>
      <c r="BR2374" s="8">
        <v>1015.88</v>
      </c>
      <c r="BS2374" s="7">
        <v>-0.5455</v>
      </c>
      <c r="BT2374" s="7">
        <v>-0.5349</v>
      </c>
      <c r="BU2374" s="2" t="s">
        <v>109</v>
      </c>
      <c r="BV2374" s="2" t="s">
        <v>97</v>
      </c>
      <c r="BW2374" s="2" t="s">
        <v>7307</v>
      </c>
      <c r="BX2374" s="2" t="s">
        <v>5003</v>
      </c>
      <c r="BY2374" s="2" t="s">
        <v>112</v>
      </c>
      <c r="BZ2374" s="2" t="s">
        <v>100</v>
      </c>
    </row>
    <row r="2375">
      <c r="A2375" s="2" t="s">
        <v>8642</v>
      </c>
      <c r="B2375" s="2" t="s">
        <v>7252</v>
      </c>
      <c r="C2375" s="2" t="s">
        <v>88</v>
      </c>
      <c r="D2375" s="2" t="s">
        <v>8575</v>
      </c>
      <c r="E2375" s="2" t="s">
        <v>8637</v>
      </c>
      <c r="F2375" s="2" t="s">
        <v>8606</v>
      </c>
      <c r="G2375" s="2" t="s">
        <v>8607</v>
      </c>
      <c r="H2375" s="2" t="s">
        <v>8608</v>
      </c>
      <c r="I2375" s="2" t="s">
        <v>8637</v>
      </c>
      <c r="J2375" s="2" t="s">
        <v>6103</v>
      </c>
      <c r="K2375" s="2" t="s">
        <v>8609</v>
      </c>
      <c r="L2375" s="3">
        <v>94.5</v>
      </c>
      <c r="M2375" s="3">
        <v>99.22</v>
      </c>
      <c r="N2375" s="3">
        <v>199</v>
      </c>
      <c r="O2375" s="2" t="s">
        <v>97</v>
      </c>
      <c r="P2375" s="2" t="s">
        <v>182</v>
      </c>
      <c r="Q2375" s="2" t="s">
        <v>99</v>
      </c>
      <c r="R2375" s="2" t="s">
        <v>100</v>
      </c>
      <c r="S2375" s="2" t="s">
        <v>8643</v>
      </c>
      <c r="T2375" s="2" t="s">
        <v>100</v>
      </c>
      <c r="U2375" s="2" t="s">
        <v>100</v>
      </c>
      <c r="V2375" s="2" t="s">
        <v>601</v>
      </c>
      <c r="W2375" s="2" t="s">
        <v>2195</v>
      </c>
      <c r="X2375" s="2" t="s">
        <v>100</v>
      </c>
      <c r="Y2375" s="2" t="s">
        <v>162</v>
      </c>
      <c r="Z2375" s="4">
        <v>135</v>
      </c>
      <c r="AA2375" s="4">
        <f>=ROUNDDOWN(27,0)</f>
      </c>
      <c r="AB2375" s="5">
        <v>5</v>
      </c>
      <c r="AC2375" s="2" t="s">
        <v>130</v>
      </c>
      <c r="AD2375" s="4">
        <v>94</v>
      </c>
      <c r="AE2375" s="4">
        <v>100</v>
      </c>
      <c r="AF2375" s="6">
        <v>74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>
        <v>0</v>
      </c>
      <c r="AP2375" s="4">
        <v>2</v>
      </c>
      <c r="AQ2375" s="8">
        <v>198.46</v>
      </c>
      <c r="AR2375" s="4"/>
      <c r="AS2375" s="8"/>
      <c r="AT2375" s="7"/>
      <c r="AU2375" s="7"/>
      <c r="AV2375" s="4">
        <v>2</v>
      </c>
      <c r="AW2375" s="8">
        <v>198.46</v>
      </c>
      <c r="AX2375" s="4"/>
      <c r="AY2375" s="8"/>
      <c r="AZ2375" s="7"/>
      <c r="BA2375" s="7"/>
      <c r="BB2375" s="7">
        <v>1</v>
      </c>
      <c r="BC2375" s="4">
        <v>2</v>
      </c>
      <c r="BD2375" s="8">
        <v>198.46</v>
      </c>
      <c r="BE2375" s="4"/>
      <c r="BF2375" s="8"/>
      <c r="BG2375" s="7"/>
      <c r="BH2375" s="7"/>
      <c r="BI2375" s="7">
        <v>1</v>
      </c>
      <c r="BJ2375" s="4">
        <v>103</v>
      </c>
      <c r="BK2375" s="8">
        <v>11080.69</v>
      </c>
      <c r="BL2375" s="2" t="s">
        <v>8644</v>
      </c>
      <c r="BM2375" s="7">
        <v>0.0194</v>
      </c>
      <c r="BN2375" s="7">
        <v>0.0179</v>
      </c>
      <c r="BO2375" s="4">
        <v>2</v>
      </c>
      <c r="BP2375" s="8">
        <v>198.46</v>
      </c>
      <c r="BQ2375" s="4"/>
      <c r="BR2375" s="8"/>
      <c r="BS2375" s="7"/>
      <c r="BT2375" s="7"/>
      <c r="BU2375" s="2" t="s">
        <v>109</v>
      </c>
      <c r="BV2375" s="2" t="s">
        <v>97</v>
      </c>
      <c r="BW2375" s="2" t="s">
        <v>8645</v>
      </c>
      <c r="BX2375" s="2" t="s">
        <v>2968</v>
      </c>
      <c r="BY2375" s="2" t="s">
        <v>112</v>
      </c>
      <c r="BZ2375" s="2" t="s">
        <v>100</v>
      </c>
    </row>
    <row r="2376">
      <c r="A2376" s="2" t="s">
        <v>8646</v>
      </c>
      <c r="B2376" s="2" t="s">
        <v>7252</v>
      </c>
      <c r="C2376" s="2" t="s">
        <v>88</v>
      </c>
      <c r="D2376" s="2" t="s">
        <v>8575</v>
      </c>
      <c r="E2376" s="2" t="s">
        <v>8637</v>
      </c>
      <c r="F2376" s="2" t="s">
        <v>8589</v>
      </c>
      <c r="G2376" s="2" t="s">
        <v>8590</v>
      </c>
      <c r="H2376" s="2" t="s">
        <v>8591</v>
      </c>
      <c r="I2376" s="2" t="s">
        <v>8637</v>
      </c>
      <c r="J2376" s="2" t="s">
        <v>6103</v>
      </c>
      <c r="K2376" s="2" t="s">
        <v>8592</v>
      </c>
      <c r="L2376" s="3">
        <v>95</v>
      </c>
      <c r="M2376" s="3">
        <v>99.75</v>
      </c>
      <c r="N2376" s="3">
        <v>199</v>
      </c>
      <c r="O2376" s="2" t="s">
        <v>97</v>
      </c>
      <c r="P2376" s="2" t="s">
        <v>143</v>
      </c>
      <c r="Q2376" s="2" t="s">
        <v>99</v>
      </c>
      <c r="R2376" s="2" t="s">
        <v>100</v>
      </c>
      <c r="S2376" s="2" t="s">
        <v>100</v>
      </c>
      <c r="T2376" s="2" t="s">
        <v>100</v>
      </c>
      <c r="U2376" s="2" t="s">
        <v>3531</v>
      </c>
      <c r="V2376" s="2" t="s">
        <v>601</v>
      </c>
      <c r="W2376" s="2" t="s">
        <v>602</v>
      </c>
      <c r="X2376" s="2" t="s">
        <v>104</v>
      </c>
      <c r="Y2376" s="2" t="s">
        <v>2648</v>
      </c>
      <c r="Z2376" s="4">
        <v>2</v>
      </c>
      <c r="AA2376" s="4">
        <f>=ROUNDDOWN(0.105263157894737,0)</f>
      </c>
      <c r="AB2376" s="5">
        <v>19</v>
      </c>
      <c r="AC2376" s="2" t="s">
        <v>4313</v>
      </c>
      <c r="AD2376" s="4">
        <v>300</v>
      </c>
      <c r="AE2376" s="4">
        <v>500</v>
      </c>
      <c r="AF2376" s="6">
        <v>74</v>
      </c>
      <c r="AG2376" s="6"/>
      <c r="AH2376" s="7">
        <v>0.9636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/>
      <c r="BD2376" s="8"/>
      <c r="BE2376" s="4"/>
      <c r="BF2376" s="8"/>
      <c r="BG2376" s="7"/>
      <c r="BH2376" s="7"/>
      <c r="BI2376" s="7"/>
      <c r="BJ2376" s="4">
        <v>376</v>
      </c>
      <c r="BK2376" s="8">
        <v>37640.54</v>
      </c>
      <c r="BL2376" s="2" t="s">
        <v>8647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109</v>
      </c>
      <c r="BV2376" s="2" t="s">
        <v>97</v>
      </c>
      <c r="BW2376" s="2" t="s">
        <v>8648</v>
      </c>
      <c r="BX2376" s="2" t="s">
        <v>100</v>
      </c>
      <c r="BY2376" s="2" t="s">
        <v>112</v>
      </c>
      <c r="BZ2376" s="2" t="s">
        <v>100</v>
      </c>
    </row>
    <row r="2377">
      <c r="A2377" s="2" t="s">
        <v>8649</v>
      </c>
      <c r="B2377" s="2" t="s">
        <v>7252</v>
      </c>
      <c r="C2377" s="2" t="s">
        <v>88</v>
      </c>
      <c r="D2377" s="2" t="s">
        <v>8575</v>
      </c>
      <c r="E2377" s="2" t="s">
        <v>8637</v>
      </c>
      <c r="F2377" s="2" t="s">
        <v>8613</v>
      </c>
      <c r="G2377" s="2" t="s">
        <v>2363</v>
      </c>
      <c r="H2377" s="2" t="s">
        <v>8614</v>
      </c>
      <c r="I2377" s="2" t="s">
        <v>8637</v>
      </c>
      <c r="J2377" s="2" t="s">
        <v>6103</v>
      </c>
      <c r="K2377" s="2" t="s">
        <v>4776</v>
      </c>
      <c r="L2377" s="3">
        <v>171</v>
      </c>
      <c r="M2377" s="3">
        <v>179.55</v>
      </c>
      <c r="N2377" s="3">
        <v>359</v>
      </c>
      <c r="O2377" s="2" t="s">
        <v>97</v>
      </c>
      <c r="P2377" s="2" t="s">
        <v>182</v>
      </c>
      <c r="Q2377" s="2" t="s">
        <v>99</v>
      </c>
      <c r="R2377" s="2" t="s">
        <v>100</v>
      </c>
      <c r="S2377" s="2" t="s">
        <v>8615</v>
      </c>
      <c r="T2377" s="2" t="s">
        <v>100</v>
      </c>
      <c r="U2377" s="2" t="s">
        <v>100</v>
      </c>
      <c r="V2377" s="2" t="s">
        <v>601</v>
      </c>
      <c r="W2377" s="2" t="s">
        <v>602</v>
      </c>
      <c r="X2377" s="2" t="s">
        <v>100</v>
      </c>
      <c r="Y2377" s="2" t="s">
        <v>3138</v>
      </c>
      <c r="Z2377" s="4">
        <v>128</v>
      </c>
      <c r="AA2377" s="4">
        <f>=ROUNDDOWN(32,0)</f>
      </c>
      <c r="AB2377" s="5">
        <v>4</v>
      </c>
      <c r="AC2377" s="2" t="s">
        <v>7385</v>
      </c>
      <c r="AD2377" s="4">
        <v>100</v>
      </c>
      <c r="AE2377" s="4">
        <v>100</v>
      </c>
      <c r="AF2377" s="6">
        <v>66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>
        <v>101</v>
      </c>
      <c r="BK2377" s="8">
        <v>17353.1</v>
      </c>
      <c r="BL2377" s="2" t="s">
        <v>8413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7683</v>
      </c>
      <c r="BV2377" s="2" t="s">
        <v>97</v>
      </c>
      <c r="BW2377" s="2" t="s">
        <v>100</v>
      </c>
      <c r="BX2377" s="2" t="s">
        <v>100</v>
      </c>
      <c r="BY2377" s="2" t="s">
        <v>112</v>
      </c>
      <c r="BZ2377" s="2" t="s">
        <v>100</v>
      </c>
    </row>
    <row r="2378">
      <c r="A2378" s="2" t="s">
        <v>8650</v>
      </c>
      <c r="B2378" s="2" t="s">
        <v>7252</v>
      </c>
      <c r="C2378" s="2" t="s">
        <v>88</v>
      </c>
      <c r="D2378" s="2" t="s">
        <v>8575</v>
      </c>
      <c r="E2378" s="2" t="s">
        <v>8637</v>
      </c>
      <c r="F2378" s="2" t="s">
        <v>1163</v>
      </c>
      <c r="G2378" s="2" t="s">
        <v>8631</v>
      </c>
      <c r="H2378" s="2" t="s">
        <v>8632</v>
      </c>
      <c r="I2378" s="2" t="s">
        <v>8637</v>
      </c>
      <c r="J2378" s="2" t="s">
        <v>6103</v>
      </c>
      <c r="K2378" s="2" t="s">
        <v>123</v>
      </c>
      <c r="L2378" s="3">
        <v>118</v>
      </c>
      <c r="M2378" s="3">
        <v>123.9</v>
      </c>
      <c r="N2378" s="3">
        <v>249</v>
      </c>
      <c r="O2378" s="2" t="s">
        <v>229</v>
      </c>
      <c r="P2378" s="2" t="s">
        <v>198</v>
      </c>
      <c r="Q2378" s="2" t="s">
        <v>99</v>
      </c>
      <c r="R2378" s="2" t="s">
        <v>100</v>
      </c>
      <c r="S2378" s="2" t="s">
        <v>100</v>
      </c>
      <c r="T2378" s="2" t="s">
        <v>100</v>
      </c>
      <c r="U2378" s="2" t="s">
        <v>3531</v>
      </c>
      <c r="V2378" s="2" t="s">
        <v>1752</v>
      </c>
      <c r="W2378" s="2" t="s">
        <v>6998</v>
      </c>
      <c r="X2378" s="2" t="s">
        <v>759</v>
      </c>
      <c r="Y2378" s="2" t="s">
        <v>8634</v>
      </c>
      <c r="Z2378" s="4">
        <v>17</v>
      </c>
      <c r="AA2378" s="4">
        <f>=ROUNDDOWN(85,0)</f>
      </c>
      <c r="AB2378" s="5">
        <v>0.2</v>
      </c>
      <c r="AC2378" s="2" t="s">
        <v>100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/>
      <c r="BD2378" s="8"/>
      <c r="BE2378" s="4"/>
      <c r="BF2378" s="8"/>
      <c r="BG2378" s="7"/>
      <c r="BH2378" s="7"/>
      <c r="BI2378" s="7"/>
      <c r="BJ2378" s="4">
        <v>4</v>
      </c>
      <c r="BK2378" s="8">
        <v>148.68</v>
      </c>
      <c r="BL2378" s="2" t="s">
        <v>8651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147</v>
      </c>
      <c r="BV2378" s="2" t="s">
        <v>97</v>
      </c>
      <c r="BW2378" s="2" t="s">
        <v>100</v>
      </c>
      <c r="BX2378" s="2" t="s">
        <v>100</v>
      </c>
      <c r="BY2378" s="2" t="s">
        <v>112</v>
      </c>
      <c r="BZ2378" s="2" t="s">
        <v>100</v>
      </c>
    </row>
    <row r="2379">
      <c r="A2379" s="2" t="s">
        <v>8652</v>
      </c>
      <c r="B2379" s="2" t="s">
        <v>7252</v>
      </c>
      <c r="C2379" s="2" t="s">
        <v>88</v>
      </c>
      <c r="D2379" s="2" t="s">
        <v>8575</v>
      </c>
      <c r="E2379" s="2" t="s">
        <v>8653</v>
      </c>
      <c r="F2379" s="2" t="s">
        <v>3649</v>
      </c>
      <c r="G2379" s="2" t="s">
        <v>4243</v>
      </c>
      <c r="H2379" s="2" t="s">
        <v>8577</v>
      </c>
      <c r="I2379" s="2" t="s">
        <v>8654</v>
      </c>
      <c r="J2379" s="2" t="s">
        <v>6103</v>
      </c>
      <c r="K2379" s="2" t="s">
        <v>8578</v>
      </c>
      <c r="L2379" s="3">
        <v>126.35</v>
      </c>
      <c r="M2379" s="3">
        <v>132.67</v>
      </c>
      <c r="N2379" s="3">
        <v>269</v>
      </c>
      <c r="O2379" s="2" t="s">
        <v>97</v>
      </c>
      <c r="P2379" s="2" t="s">
        <v>182</v>
      </c>
      <c r="Q2379" s="2" t="s">
        <v>99</v>
      </c>
      <c r="R2379" s="2" t="s">
        <v>100</v>
      </c>
      <c r="S2379" s="2" t="s">
        <v>8655</v>
      </c>
      <c r="T2379" s="2" t="s">
        <v>100</v>
      </c>
      <c r="U2379" s="2" t="s">
        <v>100</v>
      </c>
      <c r="V2379" s="2" t="s">
        <v>601</v>
      </c>
      <c r="W2379" s="2" t="s">
        <v>2195</v>
      </c>
      <c r="X2379" s="2" t="s">
        <v>100</v>
      </c>
      <c r="Y2379" s="2" t="s">
        <v>106</v>
      </c>
      <c r="Z2379" s="4">
        <v>397</v>
      </c>
      <c r="AA2379" s="4">
        <f>=ROUNDDOWN(28.3571428571429,0)</f>
      </c>
      <c r="AB2379" s="5">
        <v>14</v>
      </c>
      <c r="AC2379" s="2" t="s">
        <v>1060</v>
      </c>
      <c r="AD2379" s="4">
        <v>100</v>
      </c>
      <c r="AE2379" s="4">
        <v>100</v>
      </c>
      <c r="AF2379" s="6">
        <v>74</v>
      </c>
      <c r="AG2379" s="6">
        <v>60</v>
      </c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>
        <v>0</v>
      </c>
      <c r="AP2379" s="4">
        <v>9</v>
      </c>
      <c r="AQ2379" s="8">
        <v>1194.03</v>
      </c>
      <c r="AR2379" s="4">
        <v>19</v>
      </c>
      <c r="AS2379" s="8">
        <v>2398.49</v>
      </c>
      <c r="AT2379" s="7">
        <v>-0.5263</v>
      </c>
      <c r="AU2379" s="7">
        <v>-0.5022</v>
      </c>
      <c r="AV2379" s="4">
        <v>9</v>
      </c>
      <c r="AW2379" s="8">
        <v>1194.03</v>
      </c>
      <c r="AX2379" s="4">
        <v>19</v>
      </c>
      <c r="AY2379" s="8">
        <v>2398.49</v>
      </c>
      <c r="AZ2379" s="7">
        <v>-0.5263</v>
      </c>
      <c r="BA2379" s="7">
        <v>-0.5022</v>
      </c>
      <c r="BB2379" s="7">
        <v>1</v>
      </c>
      <c r="BC2379" s="4">
        <v>11</v>
      </c>
      <c r="BD2379" s="8">
        <v>1459.37</v>
      </c>
      <c r="BE2379" s="4">
        <v>27</v>
      </c>
      <c r="BF2379" s="8">
        <v>3435.39</v>
      </c>
      <c r="BG2379" s="7">
        <v>-0.5926</v>
      </c>
      <c r="BH2379" s="7">
        <v>-0.5752</v>
      </c>
      <c r="BI2379" s="7">
        <v>0.8182</v>
      </c>
      <c r="BJ2379" s="4">
        <v>300</v>
      </c>
      <c r="BK2379" s="8">
        <v>36718.74</v>
      </c>
      <c r="BL2379" s="2" t="s">
        <v>8656</v>
      </c>
      <c r="BM2379" s="7">
        <v>0.03</v>
      </c>
      <c r="BN2379" s="7">
        <v>0.0325</v>
      </c>
      <c r="BO2379" s="4">
        <v>9</v>
      </c>
      <c r="BP2379" s="8">
        <v>1194.03</v>
      </c>
      <c r="BQ2379" s="4">
        <v>19</v>
      </c>
      <c r="BR2379" s="8">
        <v>2398.49</v>
      </c>
      <c r="BS2379" s="7">
        <v>-0.5263</v>
      </c>
      <c r="BT2379" s="7">
        <v>-0.5022</v>
      </c>
      <c r="BU2379" s="2" t="s">
        <v>109</v>
      </c>
      <c r="BV2379" s="2" t="s">
        <v>97</v>
      </c>
      <c r="BW2379" s="2" t="s">
        <v>7307</v>
      </c>
      <c r="BX2379" s="2" t="s">
        <v>5003</v>
      </c>
      <c r="BY2379" s="2" t="s">
        <v>112</v>
      </c>
      <c r="BZ2379" s="2" t="s">
        <v>100</v>
      </c>
    </row>
    <row r="2380">
      <c r="A2380" s="2" t="s">
        <v>8657</v>
      </c>
      <c r="B2380" s="2" t="s">
        <v>7252</v>
      </c>
      <c r="C2380" s="2" t="s">
        <v>88</v>
      </c>
      <c r="D2380" s="2" t="s">
        <v>8575</v>
      </c>
      <c r="E2380" s="2" t="s">
        <v>8653</v>
      </c>
      <c r="F2380" s="2" t="s">
        <v>3649</v>
      </c>
      <c r="G2380" s="2" t="s">
        <v>4243</v>
      </c>
      <c r="H2380" s="2" t="s">
        <v>8577</v>
      </c>
      <c r="I2380" s="2" t="s">
        <v>8654</v>
      </c>
      <c r="J2380" s="2" t="s">
        <v>6103</v>
      </c>
      <c r="K2380" s="2" t="s">
        <v>8582</v>
      </c>
      <c r="L2380" s="3">
        <v>126.35</v>
      </c>
      <c r="M2380" s="3">
        <v>132.67</v>
      </c>
      <c r="N2380" s="3">
        <v>269</v>
      </c>
      <c r="O2380" s="2" t="s">
        <v>97</v>
      </c>
      <c r="P2380" s="2" t="s">
        <v>182</v>
      </c>
      <c r="Q2380" s="2" t="s">
        <v>99</v>
      </c>
      <c r="R2380" s="2" t="s">
        <v>100</v>
      </c>
      <c r="S2380" s="2" t="s">
        <v>100</v>
      </c>
      <c r="T2380" s="2" t="s">
        <v>100</v>
      </c>
      <c r="U2380" s="2" t="s">
        <v>3531</v>
      </c>
      <c r="V2380" s="2" t="s">
        <v>601</v>
      </c>
      <c r="W2380" s="2" t="s">
        <v>2195</v>
      </c>
      <c r="X2380" s="2" t="s">
        <v>602</v>
      </c>
      <c r="Y2380" s="2" t="s">
        <v>3610</v>
      </c>
      <c r="Z2380" s="4">
        <v>160</v>
      </c>
      <c r="AA2380" s="4">
        <f>=ROUNDDOWN(14.5454545454545,0)</f>
      </c>
      <c r="AB2380" s="5">
        <v>11</v>
      </c>
      <c r="AC2380" s="2" t="s">
        <v>100</v>
      </c>
      <c r="AD2380" s="4"/>
      <c r="AE2380" s="4"/>
      <c r="AF2380" s="6">
        <v>74</v>
      </c>
      <c r="AG2380" s="6">
        <v>60</v>
      </c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>
        <v>0</v>
      </c>
      <c r="AP2380" s="4">
        <v>2</v>
      </c>
      <c r="AQ2380" s="8">
        <v>265.34</v>
      </c>
      <c r="AR2380" s="4">
        <v>8</v>
      </c>
      <c r="AS2380" s="8">
        <v>1036.9</v>
      </c>
      <c r="AT2380" s="7">
        <v>-0.75</v>
      </c>
      <c r="AU2380" s="7">
        <v>-0.7441</v>
      </c>
      <c r="AV2380" s="4">
        <v>2</v>
      </c>
      <c r="AW2380" s="8">
        <v>265.34</v>
      </c>
      <c r="AX2380" s="4">
        <v>8</v>
      </c>
      <c r="AY2380" s="8">
        <v>1036.9</v>
      </c>
      <c r="AZ2380" s="7">
        <v>-0.75</v>
      </c>
      <c r="BA2380" s="7">
        <v>-0.7441</v>
      </c>
      <c r="BB2380" s="7">
        <v>1</v>
      </c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>
        <v>0.1818</v>
      </c>
      <c r="BJ2380" s="4">
        <v>143</v>
      </c>
      <c r="BK2380" s="8">
        <v>18106.73</v>
      </c>
      <c r="BL2380" s="2" t="s">
        <v>8658</v>
      </c>
      <c r="BM2380" s="7">
        <v>0.014</v>
      </c>
      <c r="BN2380" s="7">
        <v>0.0147</v>
      </c>
      <c r="BO2380" s="4">
        <v>2</v>
      </c>
      <c r="BP2380" s="8">
        <v>265.34</v>
      </c>
      <c r="BQ2380" s="4">
        <v>8</v>
      </c>
      <c r="BR2380" s="8">
        <v>1036.9</v>
      </c>
      <c r="BS2380" s="7">
        <v>-0.75</v>
      </c>
      <c r="BT2380" s="7">
        <v>-0.7441</v>
      </c>
      <c r="BU2380" s="2" t="s">
        <v>109</v>
      </c>
      <c r="BV2380" s="2" t="s">
        <v>97</v>
      </c>
      <c r="BW2380" s="2" t="s">
        <v>7307</v>
      </c>
      <c r="BX2380" s="2" t="s">
        <v>6148</v>
      </c>
      <c r="BY2380" s="2" t="s">
        <v>112</v>
      </c>
      <c r="BZ2380" s="2" t="s">
        <v>100</v>
      </c>
    </row>
    <row r="2381">
      <c r="A2381" s="2" t="s">
        <v>8659</v>
      </c>
      <c r="B2381" s="2" t="s">
        <v>7252</v>
      </c>
      <c r="C2381" s="2" t="s">
        <v>88</v>
      </c>
      <c r="D2381" s="2" t="s">
        <v>8575</v>
      </c>
      <c r="E2381" s="2" t="s">
        <v>8653</v>
      </c>
      <c r="F2381" s="2" t="s">
        <v>8660</v>
      </c>
      <c r="G2381" s="2" t="s">
        <v>8661</v>
      </c>
      <c r="H2381" s="2" t="s">
        <v>1896</v>
      </c>
      <c r="I2381" s="2" t="s">
        <v>8653</v>
      </c>
      <c r="J2381" s="2" t="s">
        <v>6103</v>
      </c>
      <c r="K2381" s="2" t="s">
        <v>8662</v>
      </c>
      <c r="L2381" s="3">
        <v>230.2</v>
      </c>
      <c r="M2381" s="3">
        <v>241.71</v>
      </c>
      <c r="N2381" s="3">
        <v>479</v>
      </c>
      <c r="O2381" s="2" t="s">
        <v>550</v>
      </c>
      <c r="P2381" s="2" t="s">
        <v>198</v>
      </c>
      <c r="Q2381" s="2" t="s">
        <v>99</v>
      </c>
      <c r="R2381" s="2" t="s">
        <v>100</v>
      </c>
      <c r="S2381" s="2" t="s">
        <v>8663</v>
      </c>
      <c r="T2381" s="2" t="s">
        <v>100</v>
      </c>
      <c r="U2381" s="2" t="s">
        <v>100</v>
      </c>
      <c r="V2381" s="2" t="s">
        <v>601</v>
      </c>
      <c r="W2381" s="2" t="s">
        <v>6998</v>
      </c>
      <c r="X2381" s="2" t="s">
        <v>100</v>
      </c>
      <c r="Y2381" s="2" t="s">
        <v>4663</v>
      </c>
      <c r="Z2381" s="4"/>
      <c r="AA2381" s="4">
        <f>=ROUNDDOWN({0},0)</f>
      </c>
      <c r="AB2381" s="5">
        <v>2.9</v>
      </c>
      <c r="AC2381" s="2" t="s">
        <v>100</v>
      </c>
      <c r="AD2381" s="4"/>
      <c r="AE2381" s="4"/>
      <c r="AF2381" s="6">
        <v>65</v>
      </c>
      <c r="AG2381" s="6"/>
      <c r="AH2381" s="7">
        <v>0.5758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>
        <v>0</v>
      </c>
      <c r="AP2381" s="4"/>
      <c r="AQ2381" s="8"/>
      <c r="AR2381" s="4">
        <v>3</v>
      </c>
      <c r="AS2381" s="8">
        <v>725.13</v>
      </c>
      <c r="AT2381" s="7">
        <v>-1</v>
      </c>
      <c r="AU2381" s="7">
        <v>-1</v>
      </c>
      <c r="AV2381" s="4"/>
      <c r="AW2381" s="8"/>
      <c r="AX2381" s="4">
        <v>3</v>
      </c>
      <c r="AY2381" s="8">
        <v>725.13</v>
      </c>
      <c r="AZ2381" s="7">
        <v>-1</v>
      </c>
      <c r="BA2381" s="7">
        <v>-1</v>
      </c>
      <c r="BB2381" s="7"/>
      <c r="BC2381" s="4"/>
      <c r="BD2381" s="8"/>
      <c r="BE2381" s="4">
        <v>3</v>
      </c>
      <c r="BF2381" s="8">
        <v>725.13</v>
      </c>
      <c r="BG2381" s="7">
        <v>-1</v>
      </c>
      <c r="BH2381" s="7">
        <v>-1</v>
      </c>
      <c r="BI2381" s="7"/>
      <c r="BJ2381" s="4">
        <v>40</v>
      </c>
      <c r="BK2381" s="8">
        <v>7140</v>
      </c>
      <c r="BL2381" s="2" t="s">
        <v>8664</v>
      </c>
      <c r="BM2381" s="7"/>
      <c r="BN2381" s="7"/>
      <c r="BO2381" s="4"/>
      <c r="BP2381" s="8"/>
      <c r="BQ2381" s="4">
        <v>3</v>
      </c>
      <c r="BR2381" s="8">
        <v>725.13</v>
      </c>
      <c r="BS2381" s="7">
        <v>-1</v>
      </c>
      <c r="BT2381" s="7">
        <v>-1</v>
      </c>
      <c r="BU2381" s="2" t="s">
        <v>109</v>
      </c>
      <c r="BV2381" s="2" t="s">
        <v>552</v>
      </c>
      <c r="BW2381" s="2" t="s">
        <v>7307</v>
      </c>
      <c r="BX2381" s="2" t="s">
        <v>8665</v>
      </c>
      <c r="BY2381" s="2" t="s">
        <v>112</v>
      </c>
      <c r="BZ2381" s="2" t="s">
        <v>100</v>
      </c>
    </row>
    <row r="2382">
      <c r="A2382" s="2" t="s">
        <v>8666</v>
      </c>
      <c r="B2382" s="2" t="s">
        <v>7252</v>
      </c>
      <c r="C2382" s="2" t="s">
        <v>88</v>
      </c>
      <c r="D2382" s="2" t="s">
        <v>8575</v>
      </c>
      <c r="E2382" s="2" t="s">
        <v>8667</v>
      </c>
      <c r="F2382" s="2" t="s">
        <v>7816</v>
      </c>
      <c r="G2382" s="2" t="s">
        <v>7817</v>
      </c>
      <c r="H2382" s="2" t="s">
        <v>7818</v>
      </c>
      <c r="I2382" s="2" t="s">
        <v>8668</v>
      </c>
      <c r="J2382" s="2" t="s">
        <v>6103</v>
      </c>
      <c r="K2382" s="2" t="s">
        <v>8609</v>
      </c>
      <c r="L2382" s="3">
        <v>118</v>
      </c>
      <c r="M2382" s="3">
        <v>123.9</v>
      </c>
      <c r="N2382" s="3">
        <v>249</v>
      </c>
      <c r="O2382" s="2" t="s">
        <v>229</v>
      </c>
      <c r="P2382" s="2" t="s">
        <v>198</v>
      </c>
      <c r="Q2382" s="2" t="s">
        <v>99</v>
      </c>
      <c r="R2382" s="2" t="s">
        <v>100</v>
      </c>
      <c r="S2382" s="2" t="s">
        <v>8669</v>
      </c>
      <c r="T2382" s="2" t="s">
        <v>100</v>
      </c>
      <c r="U2382" s="2" t="s">
        <v>100</v>
      </c>
      <c r="V2382" s="2" t="s">
        <v>601</v>
      </c>
      <c r="W2382" s="2" t="s">
        <v>405</v>
      </c>
      <c r="X2382" s="2" t="s">
        <v>100</v>
      </c>
      <c r="Y2382" s="2" t="s">
        <v>6401</v>
      </c>
      <c r="Z2382" s="4">
        <v>177</v>
      </c>
      <c r="AA2382" s="4">
        <f>=ROUNDDOWN(59,0)</f>
      </c>
      <c r="AB2382" s="5">
        <v>3</v>
      </c>
      <c r="AC2382" s="2" t="s">
        <v>100</v>
      </c>
      <c r="AD2382" s="4"/>
      <c r="AE2382" s="4"/>
      <c r="AF2382" s="6">
        <v>65</v>
      </c>
      <c r="AG2382" s="6">
        <v>48</v>
      </c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>
        <v>0</v>
      </c>
      <c r="AP2382" s="4"/>
      <c r="AQ2382" s="8"/>
      <c r="AR2382" s="4">
        <v>3</v>
      </c>
      <c r="AS2382" s="8">
        <v>371.7</v>
      </c>
      <c r="AT2382" s="7">
        <v>-1</v>
      </c>
      <c r="AU2382" s="7">
        <v>-1</v>
      </c>
      <c r="AV2382" s="4"/>
      <c r="AW2382" s="8"/>
      <c r="AX2382" s="4">
        <v>3</v>
      </c>
      <c r="AY2382" s="8">
        <v>371.7</v>
      </c>
      <c r="AZ2382" s="7">
        <v>-1</v>
      </c>
      <c r="BA2382" s="7">
        <v>-1</v>
      </c>
      <c r="BB2382" s="7"/>
      <c r="BC2382" s="4"/>
      <c r="BD2382" s="8"/>
      <c r="BE2382" s="4">
        <v>3</v>
      </c>
      <c r="BF2382" s="8">
        <v>371.7</v>
      </c>
      <c r="BG2382" s="7">
        <v>-1</v>
      </c>
      <c r="BH2382" s="7">
        <v>-1</v>
      </c>
      <c r="BI2382" s="7"/>
      <c r="BJ2382" s="4">
        <v>47</v>
      </c>
      <c r="BK2382" s="8">
        <v>5438.65</v>
      </c>
      <c r="BL2382" s="2" t="s">
        <v>8670</v>
      </c>
      <c r="BM2382" s="7"/>
      <c r="BN2382" s="7"/>
      <c r="BO2382" s="4"/>
      <c r="BP2382" s="8"/>
      <c r="BQ2382" s="4">
        <v>3</v>
      </c>
      <c r="BR2382" s="8">
        <v>371.7</v>
      </c>
      <c r="BS2382" s="7">
        <v>-1</v>
      </c>
      <c r="BT2382" s="7">
        <v>-1</v>
      </c>
      <c r="BU2382" s="2" t="s">
        <v>109</v>
      </c>
      <c r="BV2382" s="2" t="s">
        <v>97</v>
      </c>
      <c r="BW2382" s="2" t="s">
        <v>7307</v>
      </c>
      <c r="BX2382" s="2" t="s">
        <v>128</v>
      </c>
      <c r="BY2382" s="2" t="s">
        <v>112</v>
      </c>
      <c r="BZ2382" s="2" t="s">
        <v>100</v>
      </c>
    </row>
    <row r="2383">
      <c r="A2383" s="2" t="s">
        <v>8671</v>
      </c>
      <c r="B2383" s="2" t="s">
        <v>7252</v>
      </c>
      <c r="C2383" s="2" t="s">
        <v>88</v>
      </c>
      <c r="D2383" s="2" t="s">
        <v>8575</v>
      </c>
      <c r="E2383" s="2" t="s">
        <v>8667</v>
      </c>
      <c r="F2383" s="2" t="s">
        <v>8613</v>
      </c>
      <c r="G2383" s="2" t="s">
        <v>2363</v>
      </c>
      <c r="H2383" s="2" t="s">
        <v>8614</v>
      </c>
      <c r="I2383" s="2" t="s">
        <v>8672</v>
      </c>
      <c r="J2383" s="2" t="s">
        <v>6103</v>
      </c>
      <c r="K2383" s="2" t="s">
        <v>8673</v>
      </c>
      <c r="L2383" s="3">
        <v>121.44</v>
      </c>
      <c r="M2383" s="3">
        <v>127.51</v>
      </c>
      <c r="N2383" s="3">
        <v>259</v>
      </c>
      <c r="O2383" s="2" t="s">
        <v>97</v>
      </c>
      <c r="P2383" s="2" t="s">
        <v>182</v>
      </c>
      <c r="Q2383" s="2" t="s">
        <v>99</v>
      </c>
      <c r="R2383" s="2" t="s">
        <v>100</v>
      </c>
      <c r="S2383" s="2" t="s">
        <v>8615</v>
      </c>
      <c r="T2383" s="2" t="s">
        <v>100</v>
      </c>
      <c r="U2383" s="2" t="s">
        <v>100</v>
      </c>
      <c r="V2383" s="2" t="s">
        <v>601</v>
      </c>
      <c r="W2383" s="2" t="s">
        <v>405</v>
      </c>
      <c r="X2383" s="2" t="s">
        <v>100</v>
      </c>
      <c r="Y2383" s="2" t="s">
        <v>3593</v>
      </c>
      <c r="Z2383" s="4">
        <v>99</v>
      </c>
      <c r="AA2383" s="4">
        <f>=ROUNDDOWN(16.5,0)</f>
      </c>
      <c r="AB2383" s="5">
        <v>6</v>
      </c>
      <c r="AC2383" s="2" t="s">
        <v>689</v>
      </c>
      <c r="AD2383" s="4">
        <v>110</v>
      </c>
      <c r="AE2383" s="4">
        <v>110</v>
      </c>
      <c r="AF2383" s="6">
        <v>66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/>
      <c r="BD2383" s="8"/>
      <c r="BE2383" s="4"/>
      <c r="BF2383" s="8"/>
      <c r="BG2383" s="7"/>
      <c r="BH2383" s="7"/>
      <c r="BI2383" s="7"/>
      <c r="BJ2383" s="4">
        <v>137</v>
      </c>
      <c r="BK2383" s="8">
        <v>15260.92</v>
      </c>
      <c r="BL2383" s="2" t="s">
        <v>8674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147</v>
      </c>
      <c r="BV2383" s="2" t="s">
        <v>97</v>
      </c>
      <c r="BW2383" s="2" t="s">
        <v>100</v>
      </c>
      <c r="BX2383" s="2" t="s">
        <v>100</v>
      </c>
      <c r="BY2383" s="2" t="s">
        <v>112</v>
      </c>
      <c r="BZ2383" s="2" t="s">
        <v>100</v>
      </c>
    </row>
    <row r="2384">
      <c r="A2384" s="2" t="s">
        <v>8675</v>
      </c>
      <c r="B2384" s="2" t="s">
        <v>7252</v>
      </c>
      <c r="C2384" s="2" t="s">
        <v>88</v>
      </c>
      <c r="D2384" s="2" t="s">
        <v>8575</v>
      </c>
      <c r="E2384" s="2" t="s">
        <v>8676</v>
      </c>
      <c r="F2384" s="2" t="s">
        <v>7865</v>
      </c>
      <c r="G2384" s="2" t="s">
        <v>7866</v>
      </c>
      <c r="H2384" s="2" t="s">
        <v>7867</v>
      </c>
      <c r="I2384" s="2" t="s">
        <v>8677</v>
      </c>
      <c r="J2384" s="2" t="s">
        <v>6103</v>
      </c>
      <c r="K2384" s="2" t="s">
        <v>8678</v>
      </c>
      <c r="L2384" s="3">
        <v>205.2</v>
      </c>
      <c r="M2384" s="3">
        <v>215.46</v>
      </c>
      <c r="N2384" s="3">
        <v>429</v>
      </c>
      <c r="O2384" s="2" t="s">
        <v>97</v>
      </c>
      <c r="P2384" s="2" t="s">
        <v>1265</v>
      </c>
      <c r="Q2384" s="2" t="s">
        <v>99</v>
      </c>
      <c r="R2384" s="2" t="s">
        <v>100</v>
      </c>
      <c r="S2384" s="2" t="s">
        <v>100</v>
      </c>
      <c r="T2384" s="2" t="s">
        <v>100</v>
      </c>
      <c r="U2384" s="2" t="s">
        <v>3531</v>
      </c>
      <c r="V2384" s="2" t="s">
        <v>601</v>
      </c>
      <c r="W2384" s="2" t="s">
        <v>104</v>
      </c>
      <c r="X2384" s="2" t="s">
        <v>759</v>
      </c>
      <c r="Y2384" s="2" t="s">
        <v>3692</v>
      </c>
      <c r="Z2384" s="4">
        <v>86</v>
      </c>
      <c r="AA2384" s="4">
        <f>=ROUNDDOWN(172,0)</f>
      </c>
      <c r="AB2384" s="5">
        <v>0.5</v>
      </c>
      <c r="AC2384" s="2" t="s">
        <v>100</v>
      </c>
      <c r="AD2384" s="4"/>
      <c r="AE2384" s="4"/>
      <c r="AF2384" s="6">
        <v>74</v>
      </c>
      <c r="AG2384" s="6"/>
      <c r="AH2384" s="7">
        <v>1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>
        <v>6</v>
      </c>
      <c r="BK2384" s="8">
        <v>1269.77</v>
      </c>
      <c r="BL2384" s="2" t="s">
        <v>5499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6185</v>
      </c>
      <c r="BV2384" s="2" t="s">
        <v>97</v>
      </c>
      <c r="BW2384" s="2" t="s">
        <v>100</v>
      </c>
      <c r="BX2384" s="2" t="s">
        <v>100</v>
      </c>
      <c r="BY2384" s="2" t="s">
        <v>112</v>
      </c>
      <c r="BZ2384" s="2" t="s">
        <v>100</v>
      </c>
    </row>
    <row r="2385">
      <c r="A2385" s="2" t="s">
        <v>8679</v>
      </c>
      <c r="B2385" s="2" t="s">
        <v>7252</v>
      </c>
      <c r="C2385" s="2" t="s">
        <v>88</v>
      </c>
      <c r="D2385" s="2" t="s">
        <v>8680</v>
      </c>
      <c r="E2385" s="2" t="s">
        <v>8681</v>
      </c>
      <c r="F2385" s="2" t="s">
        <v>8682</v>
      </c>
      <c r="G2385" s="2" t="s">
        <v>1963</v>
      </c>
      <c r="H2385" s="2" t="s">
        <v>8683</v>
      </c>
      <c r="I2385" s="2" t="s">
        <v>8684</v>
      </c>
      <c r="J2385" s="2" t="s">
        <v>6103</v>
      </c>
      <c r="K2385" s="2" t="s">
        <v>1828</v>
      </c>
      <c r="L2385" s="3">
        <v>95</v>
      </c>
      <c r="M2385" s="3">
        <v>99.75</v>
      </c>
      <c r="N2385" s="3">
        <v>199</v>
      </c>
      <c r="O2385" s="2" t="s">
        <v>97</v>
      </c>
      <c r="P2385" s="2" t="s">
        <v>198</v>
      </c>
      <c r="Q2385" s="2" t="s">
        <v>99</v>
      </c>
      <c r="R2385" s="2" t="s">
        <v>100</v>
      </c>
      <c r="S2385" s="2" t="s">
        <v>8685</v>
      </c>
      <c r="T2385" s="2" t="s">
        <v>100</v>
      </c>
      <c r="U2385" s="2" t="s">
        <v>100</v>
      </c>
      <c r="V2385" s="2" t="s">
        <v>601</v>
      </c>
      <c r="W2385" s="2" t="s">
        <v>759</v>
      </c>
      <c r="X2385" s="2" t="s">
        <v>100</v>
      </c>
      <c r="Y2385" s="2" t="s">
        <v>106</v>
      </c>
      <c r="Z2385" s="4">
        <v>74</v>
      </c>
      <c r="AA2385" s="4">
        <f>=ROUNDDOWN(24.6666666666667,0)</f>
      </c>
      <c r="AB2385" s="5">
        <v>3</v>
      </c>
      <c r="AC2385" s="2" t="s">
        <v>100</v>
      </c>
      <c r="AD2385" s="4"/>
      <c r="AE2385" s="4"/>
      <c r="AF2385" s="6">
        <v>65</v>
      </c>
      <c r="AG2385" s="6"/>
      <c r="AH2385" s="7">
        <v>0.897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>
        <v>0</v>
      </c>
      <c r="AP2385" s="4">
        <v>5</v>
      </c>
      <c r="AQ2385" s="8">
        <v>498.75</v>
      </c>
      <c r="AR2385" s="4">
        <v>9</v>
      </c>
      <c r="AS2385" s="8">
        <v>895.12</v>
      </c>
      <c r="AT2385" s="7">
        <v>-0.4444</v>
      </c>
      <c r="AU2385" s="7">
        <v>-0.4428</v>
      </c>
      <c r="AV2385" s="4">
        <v>5</v>
      </c>
      <c r="AW2385" s="8">
        <v>498.75</v>
      </c>
      <c r="AX2385" s="4">
        <v>9</v>
      </c>
      <c r="AY2385" s="8">
        <v>895.12</v>
      </c>
      <c r="AZ2385" s="7">
        <v>-0.4444</v>
      </c>
      <c r="BA2385" s="7">
        <v>-0.4428</v>
      </c>
      <c r="BB2385" s="7">
        <v>1</v>
      </c>
      <c r="BC2385" s="4">
        <v>14</v>
      </c>
      <c r="BD2385" s="8">
        <v>1396.5</v>
      </c>
      <c r="BE2385" s="4">
        <v>44</v>
      </c>
      <c r="BF2385" s="8">
        <v>4270.83</v>
      </c>
      <c r="BG2385" s="7">
        <v>-0.6818</v>
      </c>
      <c r="BH2385" s="7">
        <v>-0.673</v>
      </c>
      <c r="BI2385" s="7">
        <v>0.3571</v>
      </c>
      <c r="BJ2385" s="4">
        <v>46</v>
      </c>
      <c r="BK2385" s="8">
        <v>4787.09</v>
      </c>
      <c r="BL2385" s="2" t="s">
        <v>8686</v>
      </c>
      <c r="BM2385" s="7">
        <v>0.1087</v>
      </c>
      <c r="BN2385" s="7">
        <v>0.1042</v>
      </c>
      <c r="BO2385" s="4">
        <v>5</v>
      </c>
      <c r="BP2385" s="8">
        <v>498.75</v>
      </c>
      <c r="BQ2385" s="4">
        <v>9</v>
      </c>
      <c r="BR2385" s="8">
        <v>895.12</v>
      </c>
      <c r="BS2385" s="7">
        <v>-0.4444</v>
      </c>
      <c r="BT2385" s="7">
        <v>-0.4428</v>
      </c>
      <c r="BU2385" s="2" t="s">
        <v>109</v>
      </c>
      <c r="BV2385" s="2" t="s">
        <v>97</v>
      </c>
      <c r="BW2385" s="2" t="s">
        <v>7307</v>
      </c>
      <c r="BX2385" s="2" t="s">
        <v>4459</v>
      </c>
      <c r="BY2385" s="2" t="s">
        <v>112</v>
      </c>
      <c r="BZ2385" s="2" t="s">
        <v>100</v>
      </c>
    </row>
    <row r="2386">
      <c r="A2386" s="2" t="s">
        <v>8687</v>
      </c>
      <c r="B2386" s="2" t="s">
        <v>7252</v>
      </c>
      <c r="C2386" s="2" t="s">
        <v>88</v>
      </c>
      <c r="D2386" s="2" t="s">
        <v>8680</v>
      </c>
      <c r="E2386" s="2" t="s">
        <v>8681</v>
      </c>
      <c r="F2386" s="2" t="s">
        <v>8682</v>
      </c>
      <c r="G2386" s="2" t="s">
        <v>1963</v>
      </c>
      <c r="H2386" s="2" t="s">
        <v>8683</v>
      </c>
      <c r="I2386" s="2" t="s">
        <v>8684</v>
      </c>
      <c r="J2386" s="2" t="s">
        <v>6103</v>
      </c>
      <c r="K2386" s="2" t="s">
        <v>713</v>
      </c>
      <c r="L2386" s="3">
        <v>95</v>
      </c>
      <c r="M2386" s="3">
        <v>99.75</v>
      </c>
      <c r="N2386" s="3">
        <v>199</v>
      </c>
      <c r="O2386" s="2" t="s">
        <v>97</v>
      </c>
      <c r="P2386" s="2" t="s">
        <v>198</v>
      </c>
      <c r="Q2386" s="2" t="s">
        <v>99</v>
      </c>
      <c r="R2386" s="2" t="s">
        <v>100</v>
      </c>
      <c r="S2386" s="2" t="s">
        <v>8688</v>
      </c>
      <c r="T2386" s="2" t="s">
        <v>100</v>
      </c>
      <c r="U2386" s="2" t="s">
        <v>100</v>
      </c>
      <c r="V2386" s="2" t="s">
        <v>601</v>
      </c>
      <c r="W2386" s="2" t="s">
        <v>759</v>
      </c>
      <c r="X2386" s="2" t="s">
        <v>100</v>
      </c>
      <c r="Y2386" s="2" t="s">
        <v>106</v>
      </c>
      <c r="Z2386" s="4">
        <v>58</v>
      </c>
      <c r="AA2386" s="4">
        <f>=ROUNDDOWN(19.3333333333333,0)</f>
      </c>
      <c r="AB2386" s="5">
        <v>3</v>
      </c>
      <c r="AC2386" s="2" t="s">
        <v>100</v>
      </c>
      <c r="AD2386" s="4"/>
      <c r="AE2386" s="4"/>
      <c r="AF2386" s="6">
        <v>65</v>
      </c>
      <c r="AG2386" s="6">
        <v>48</v>
      </c>
      <c r="AH2386" s="7">
        <v>1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>
        <v>0</v>
      </c>
      <c r="AP2386" s="4">
        <v>5</v>
      </c>
      <c r="AQ2386" s="8">
        <v>498.75</v>
      </c>
      <c r="AR2386" s="4">
        <v>9</v>
      </c>
      <c r="AS2386" s="8">
        <v>876.74</v>
      </c>
      <c r="AT2386" s="7">
        <v>-0.4444</v>
      </c>
      <c r="AU2386" s="7">
        <v>-0.4311</v>
      </c>
      <c r="AV2386" s="4">
        <v>5</v>
      </c>
      <c r="AW2386" s="8">
        <v>498.75</v>
      </c>
      <c r="AX2386" s="4">
        <v>9</v>
      </c>
      <c r="AY2386" s="8">
        <v>876.74</v>
      </c>
      <c r="AZ2386" s="7">
        <v>-0.4444</v>
      </c>
      <c r="BA2386" s="7">
        <v>-0.4311</v>
      </c>
      <c r="BB2386" s="7">
        <v>1</v>
      </c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>
        <v>0.3571</v>
      </c>
      <c r="BJ2386" s="4">
        <v>58</v>
      </c>
      <c r="BK2386" s="8">
        <v>5607.42</v>
      </c>
      <c r="BL2386" s="2" t="s">
        <v>8689</v>
      </c>
      <c r="BM2386" s="7">
        <v>0.0862</v>
      </c>
      <c r="BN2386" s="7">
        <v>0.0889</v>
      </c>
      <c r="BO2386" s="4">
        <v>5</v>
      </c>
      <c r="BP2386" s="8">
        <v>498.75</v>
      </c>
      <c r="BQ2386" s="4">
        <v>9</v>
      </c>
      <c r="BR2386" s="8">
        <v>876.74</v>
      </c>
      <c r="BS2386" s="7">
        <v>-0.4444</v>
      </c>
      <c r="BT2386" s="7">
        <v>-0.4311</v>
      </c>
      <c r="BU2386" s="2" t="s">
        <v>109</v>
      </c>
      <c r="BV2386" s="2" t="s">
        <v>97</v>
      </c>
      <c r="BW2386" s="2" t="s">
        <v>7307</v>
      </c>
      <c r="BX2386" s="2" t="s">
        <v>8690</v>
      </c>
      <c r="BY2386" s="2" t="s">
        <v>112</v>
      </c>
      <c r="BZ2386" s="2" t="s">
        <v>100</v>
      </c>
    </row>
    <row r="2387">
      <c r="A2387" s="2" t="s">
        <v>8691</v>
      </c>
      <c r="B2387" s="2" t="s">
        <v>7252</v>
      </c>
      <c r="C2387" s="2" t="s">
        <v>88</v>
      </c>
      <c r="D2387" s="2" t="s">
        <v>8680</v>
      </c>
      <c r="E2387" s="2" t="s">
        <v>8681</v>
      </c>
      <c r="F2387" s="2" t="s">
        <v>8682</v>
      </c>
      <c r="G2387" s="2" t="s">
        <v>1963</v>
      </c>
      <c r="H2387" s="2" t="s">
        <v>8683</v>
      </c>
      <c r="I2387" s="2" t="s">
        <v>8684</v>
      </c>
      <c r="J2387" s="2" t="s">
        <v>6103</v>
      </c>
      <c r="K2387" s="2" t="s">
        <v>158</v>
      </c>
      <c r="L2387" s="3">
        <v>95</v>
      </c>
      <c r="M2387" s="3">
        <v>99.75</v>
      </c>
      <c r="N2387" s="3">
        <v>199</v>
      </c>
      <c r="O2387" s="2" t="s">
        <v>97</v>
      </c>
      <c r="P2387" s="2" t="s">
        <v>182</v>
      </c>
      <c r="Q2387" s="2" t="s">
        <v>99</v>
      </c>
      <c r="R2387" s="2" t="s">
        <v>100</v>
      </c>
      <c r="S2387" s="2" t="s">
        <v>8692</v>
      </c>
      <c r="T2387" s="2" t="s">
        <v>100</v>
      </c>
      <c r="U2387" s="2" t="s">
        <v>100</v>
      </c>
      <c r="V2387" s="2" t="s">
        <v>601</v>
      </c>
      <c r="W2387" s="2" t="s">
        <v>602</v>
      </c>
      <c r="X2387" s="2" t="s">
        <v>100</v>
      </c>
      <c r="Y2387" s="2" t="s">
        <v>106</v>
      </c>
      <c r="Z2387" s="4">
        <v>202</v>
      </c>
      <c r="AA2387" s="4">
        <f>=ROUNDDOWN(40.4,0)</f>
      </c>
      <c r="AB2387" s="5">
        <v>5</v>
      </c>
      <c r="AC2387" s="2" t="s">
        <v>100</v>
      </c>
      <c r="AD2387" s="4"/>
      <c r="AE2387" s="4"/>
      <c r="AF2387" s="6">
        <v>66</v>
      </c>
      <c r="AG2387" s="6">
        <v>49</v>
      </c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>
        <v>0</v>
      </c>
      <c r="AP2387" s="4">
        <v>2</v>
      </c>
      <c r="AQ2387" s="8">
        <v>199.5</v>
      </c>
      <c r="AR2387" s="4">
        <v>10</v>
      </c>
      <c r="AS2387" s="8">
        <v>935.8</v>
      </c>
      <c r="AT2387" s="7">
        <v>-0.8</v>
      </c>
      <c r="AU2387" s="7">
        <v>-0.7868</v>
      </c>
      <c r="AV2387" s="4">
        <v>2</v>
      </c>
      <c r="AW2387" s="8">
        <v>199.5</v>
      </c>
      <c r="AX2387" s="4">
        <v>10</v>
      </c>
      <c r="AY2387" s="8">
        <v>935.8</v>
      </c>
      <c r="AZ2387" s="7">
        <v>-0.8</v>
      </c>
      <c r="BA2387" s="7">
        <v>-0.7868</v>
      </c>
      <c r="BB2387" s="7">
        <v>1</v>
      </c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>
        <v>0.1429</v>
      </c>
      <c r="BJ2387" s="4">
        <v>101</v>
      </c>
      <c r="BK2387" s="8">
        <v>9882.81</v>
      </c>
      <c r="BL2387" s="2" t="s">
        <v>8693</v>
      </c>
      <c r="BM2387" s="7">
        <v>0.0198</v>
      </c>
      <c r="BN2387" s="7">
        <v>0.0202</v>
      </c>
      <c r="BO2387" s="4">
        <v>2</v>
      </c>
      <c r="BP2387" s="8">
        <v>199.5</v>
      </c>
      <c r="BQ2387" s="4">
        <v>10</v>
      </c>
      <c r="BR2387" s="8">
        <v>935.8</v>
      </c>
      <c r="BS2387" s="7">
        <v>-0.8</v>
      </c>
      <c r="BT2387" s="7">
        <v>-0.7868</v>
      </c>
      <c r="BU2387" s="2" t="s">
        <v>109</v>
      </c>
      <c r="BV2387" s="2" t="s">
        <v>97</v>
      </c>
      <c r="BW2387" s="2" t="s">
        <v>7307</v>
      </c>
      <c r="BX2387" s="2" t="s">
        <v>8694</v>
      </c>
      <c r="BY2387" s="2" t="s">
        <v>112</v>
      </c>
      <c r="BZ2387" s="2" t="s">
        <v>100</v>
      </c>
    </row>
    <row r="2388">
      <c r="A2388" s="2" t="s">
        <v>8695</v>
      </c>
      <c r="B2388" s="2" t="s">
        <v>7252</v>
      </c>
      <c r="C2388" s="2" t="s">
        <v>88</v>
      </c>
      <c r="D2388" s="2" t="s">
        <v>8680</v>
      </c>
      <c r="E2388" s="2" t="s">
        <v>8681</v>
      </c>
      <c r="F2388" s="2" t="s">
        <v>8682</v>
      </c>
      <c r="G2388" s="2" t="s">
        <v>1963</v>
      </c>
      <c r="H2388" s="2" t="s">
        <v>8683</v>
      </c>
      <c r="I2388" s="2" t="s">
        <v>8684</v>
      </c>
      <c r="J2388" s="2" t="s">
        <v>6103</v>
      </c>
      <c r="K2388" s="2" t="s">
        <v>333</v>
      </c>
      <c r="L2388" s="3">
        <v>95</v>
      </c>
      <c r="M2388" s="3">
        <v>99.75</v>
      </c>
      <c r="N2388" s="3">
        <v>199</v>
      </c>
      <c r="O2388" s="2" t="s">
        <v>229</v>
      </c>
      <c r="P2388" s="2" t="s">
        <v>198</v>
      </c>
      <c r="Q2388" s="2" t="s">
        <v>99</v>
      </c>
      <c r="R2388" s="2" t="s">
        <v>100</v>
      </c>
      <c r="S2388" s="2" t="s">
        <v>8696</v>
      </c>
      <c r="T2388" s="2" t="s">
        <v>100</v>
      </c>
      <c r="U2388" s="2" t="s">
        <v>3531</v>
      </c>
      <c r="V2388" s="2" t="s">
        <v>601</v>
      </c>
      <c r="W2388" s="2" t="s">
        <v>759</v>
      </c>
      <c r="X2388" s="2" t="s">
        <v>100</v>
      </c>
      <c r="Y2388" s="2" t="s">
        <v>3022</v>
      </c>
      <c r="Z2388" s="4"/>
      <c r="AA2388" s="4">
        <f>=ROUNDDOWN({0},0)</f>
      </c>
      <c r="AB2388" s="5">
        <v>1.8</v>
      </c>
      <c r="AC2388" s="2" t="s">
        <v>100</v>
      </c>
      <c r="AD2388" s="4"/>
      <c r="AE2388" s="4"/>
      <c r="AF2388" s="6">
        <v>65</v>
      </c>
      <c r="AG2388" s="6">
        <v>48</v>
      </c>
      <c r="AH2388" s="7">
        <v>0.6545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>
        <v>0</v>
      </c>
      <c r="AP2388" s="4">
        <v>2</v>
      </c>
      <c r="AQ2388" s="8">
        <v>199.5</v>
      </c>
      <c r="AR2388" s="4">
        <v>6</v>
      </c>
      <c r="AS2388" s="8">
        <v>652.31</v>
      </c>
      <c r="AT2388" s="7">
        <v>-0.6667</v>
      </c>
      <c r="AU2388" s="7">
        <v>-0.6942</v>
      </c>
      <c r="AV2388" s="4">
        <v>2</v>
      </c>
      <c r="AW2388" s="8">
        <v>199.5</v>
      </c>
      <c r="AX2388" s="4">
        <v>6</v>
      </c>
      <c r="AY2388" s="8">
        <v>652.31</v>
      </c>
      <c r="AZ2388" s="7">
        <v>-0.6667</v>
      </c>
      <c r="BA2388" s="7">
        <v>-0.6942</v>
      </c>
      <c r="BB2388" s="7">
        <v>1</v>
      </c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>
        <v>0.1429</v>
      </c>
      <c r="BJ2388" s="4">
        <v>27</v>
      </c>
      <c r="BK2388" s="8">
        <v>2133.31</v>
      </c>
      <c r="BL2388" s="2" t="s">
        <v>8697</v>
      </c>
      <c r="BM2388" s="7">
        <v>0.0741</v>
      </c>
      <c r="BN2388" s="7">
        <v>0.0935</v>
      </c>
      <c r="BO2388" s="4">
        <v>2</v>
      </c>
      <c r="BP2388" s="8">
        <v>199.5</v>
      </c>
      <c r="BQ2388" s="4">
        <v>6</v>
      </c>
      <c r="BR2388" s="8">
        <v>652.31</v>
      </c>
      <c r="BS2388" s="7">
        <v>-0.6667</v>
      </c>
      <c r="BT2388" s="7">
        <v>-0.6942</v>
      </c>
      <c r="BU2388" s="2" t="s">
        <v>109</v>
      </c>
      <c r="BV2388" s="2" t="s">
        <v>552</v>
      </c>
      <c r="BW2388" s="2" t="s">
        <v>7307</v>
      </c>
      <c r="BX2388" s="2" t="s">
        <v>5844</v>
      </c>
      <c r="BY2388" s="2" t="s">
        <v>112</v>
      </c>
      <c r="BZ2388" s="2" t="s">
        <v>100</v>
      </c>
    </row>
    <row r="2389">
      <c r="A2389" s="2" t="s">
        <v>8698</v>
      </c>
      <c r="B2389" s="2" t="s">
        <v>7252</v>
      </c>
      <c r="C2389" s="2" t="s">
        <v>88</v>
      </c>
      <c r="D2389" s="2" t="s">
        <v>8680</v>
      </c>
      <c r="E2389" s="2" t="s">
        <v>8681</v>
      </c>
      <c r="F2389" s="2" t="s">
        <v>8682</v>
      </c>
      <c r="G2389" s="2" t="s">
        <v>1963</v>
      </c>
      <c r="H2389" s="2" t="s">
        <v>8683</v>
      </c>
      <c r="I2389" s="2" t="s">
        <v>8684</v>
      </c>
      <c r="J2389" s="2" t="s">
        <v>6103</v>
      </c>
      <c r="K2389" s="2" t="s">
        <v>323</v>
      </c>
      <c r="L2389" s="3">
        <v>95</v>
      </c>
      <c r="M2389" s="3">
        <v>99.75</v>
      </c>
      <c r="N2389" s="3">
        <v>199</v>
      </c>
      <c r="O2389" s="2" t="s">
        <v>550</v>
      </c>
      <c r="P2389" s="2" t="s">
        <v>198</v>
      </c>
      <c r="Q2389" s="2" t="s">
        <v>99</v>
      </c>
      <c r="R2389" s="2" t="s">
        <v>100</v>
      </c>
      <c r="S2389" s="2" t="s">
        <v>8699</v>
      </c>
      <c r="T2389" s="2" t="s">
        <v>100</v>
      </c>
      <c r="U2389" s="2" t="s">
        <v>100</v>
      </c>
      <c r="V2389" s="2" t="s">
        <v>601</v>
      </c>
      <c r="W2389" s="2" t="s">
        <v>602</v>
      </c>
      <c r="X2389" s="2" t="s">
        <v>100</v>
      </c>
      <c r="Y2389" s="2" t="s">
        <v>106</v>
      </c>
      <c r="Z2389" s="4">
        <v>5</v>
      </c>
      <c r="AA2389" s="4">
        <f>=ROUNDDOWN(4.54545454545455,0)</f>
      </c>
      <c r="AB2389" s="5">
        <v>1.1</v>
      </c>
      <c r="AC2389" s="2" t="s">
        <v>100</v>
      </c>
      <c r="AD2389" s="4"/>
      <c r="AE2389" s="4"/>
      <c r="AF2389" s="6">
        <v>65</v>
      </c>
      <c r="AG2389" s="6">
        <v>48</v>
      </c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53</v>
      </c>
      <c r="BK2389" s="8">
        <v>4275.7</v>
      </c>
      <c r="BL2389" s="2" t="s">
        <v>8700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109</v>
      </c>
      <c r="BV2389" s="2" t="s">
        <v>97</v>
      </c>
      <c r="BW2389" s="2" t="s">
        <v>7307</v>
      </c>
      <c r="BX2389" s="2" t="s">
        <v>100</v>
      </c>
      <c r="BY2389" s="2" t="s">
        <v>112</v>
      </c>
      <c r="BZ2389" s="2" t="s">
        <v>100</v>
      </c>
    </row>
    <row r="2390">
      <c r="A2390" s="2" t="s">
        <v>8701</v>
      </c>
      <c r="B2390" s="2" t="s">
        <v>7252</v>
      </c>
      <c r="C2390" s="2" t="s">
        <v>88</v>
      </c>
      <c r="D2390" s="2" t="s">
        <v>8680</v>
      </c>
      <c r="E2390" s="2" t="s">
        <v>8681</v>
      </c>
      <c r="F2390" s="2" t="s">
        <v>8682</v>
      </c>
      <c r="G2390" s="2" t="s">
        <v>1963</v>
      </c>
      <c r="H2390" s="2" t="s">
        <v>8683</v>
      </c>
      <c r="I2390" s="2" t="s">
        <v>8684</v>
      </c>
      <c r="J2390" s="2" t="s">
        <v>6103</v>
      </c>
      <c r="K2390" s="2" t="s">
        <v>181</v>
      </c>
      <c r="L2390" s="3">
        <v>95</v>
      </c>
      <c r="M2390" s="3">
        <v>99.75</v>
      </c>
      <c r="N2390" s="3">
        <v>199</v>
      </c>
      <c r="O2390" s="2" t="s">
        <v>550</v>
      </c>
      <c r="P2390" s="2" t="s">
        <v>198</v>
      </c>
      <c r="Q2390" s="2" t="s">
        <v>99</v>
      </c>
      <c r="R2390" s="2" t="s">
        <v>100</v>
      </c>
      <c r="S2390" s="2" t="s">
        <v>8702</v>
      </c>
      <c r="T2390" s="2" t="s">
        <v>100</v>
      </c>
      <c r="U2390" s="2" t="s">
        <v>100</v>
      </c>
      <c r="V2390" s="2" t="s">
        <v>601</v>
      </c>
      <c r="W2390" s="2" t="s">
        <v>759</v>
      </c>
      <c r="X2390" s="2" t="s">
        <v>100</v>
      </c>
      <c r="Y2390" s="2" t="s">
        <v>106</v>
      </c>
      <c r="Z2390" s="4"/>
      <c r="AA2390" s="4">
        <f>=ROUNDDOWN({0},0)</f>
      </c>
      <c r="AB2390" s="5"/>
      <c r="AC2390" s="2" t="s">
        <v>100</v>
      </c>
      <c r="AD2390" s="4"/>
      <c r="AE2390" s="4"/>
      <c r="AF2390" s="6">
        <v>65</v>
      </c>
      <c r="AG2390" s="6">
        <v>48</v>
      </c>
      <c r="AH2390" s="7">
        <v>0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>
        <v>0</v>
      </c>
      <c r="AP2390" s="4"/>
      <c r="AQ2390" s="8"/>
      <c r="AR2390" s="4">
        <v>6</v>
      </c>
      <c r="AS2390" s="8">
        <v>448.86</v>
      </c>
      <c r="AT2390" s="7">
        <v>-1</v>
      </c>
      <c r="AU2390" s="7">
        <v>-1</v>
      </c>
      <c r="AV2390" s="4"/>
      <c r="AW2390" s="8"/>
      <c r="AX2390" s="4">
        <v>6</v>
      </c>
      <c r="AY2390" s="8">
        <v>448.86</v>
      </c>
      <c r="AZ2390" s="7">
        <v>-1</v>
      </c>
      <c r="BA2390" s="7">
        <v>-1</v>
      </c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/>
      <c r="BK2390" s="8"/>
      <c r="BL2390" s="2" t="s">
        <v>8703</v>
      </c>
      <c r="BM2390" s="7"/>
      <c r="BN2390" s="7"/>
      <c r="BO2390" s="4"/>
      <c r="BP2390" s="8"/>
      <c r="BQ2390" s="4">
        <v>6</v>
      </c>
      <c r="BR2390" s="8">
        <v>448.86</v>
      </c>
      <c r="BS2390" s="7">
        <v>-1</v>
      </c>
      <c r="BT2390" s="7">
        <v>-1</v>
      </c>
      <c r="BU2390" s="2" t="s">
        <v>109</v>
      </c>
      <c r="BV2390" s="2" t="s">
        <v>552</v>
      </c>
      <c r="BW2390" s="2" t="s">
        <v>8648</v>
      </c>
      <c r="BX2390" s="2" t="s">
        <v>1079</v>
      </c>
      <c r="BY2390" s="2" t="s">
        <v>112</v>
      </c>
      <c r="BZ2390" s="2" t="s">
        <v>100</v>
      </c>
    </row>
    <row r="2391">
      <c r="A2391" s="2" t="s">
        <v>8704</v>
      </c>
      <c r="B2391" s="2" t="s">
        <v>7252</v>
      </c>
      <c r="C2391" s="2" t="s">
        <v>88</v>
      </c>
      <c r="D2391" s="2" t="s">
        <v>8680</v>
      </c>
      <c r="E2391" s="2" t="s">
        <v>8681</v>
      </c>
      <c r="F2391" s="2" t="s">
        <v>8682</v>
      </c>
      <c r="G2391" s="2" t="s">
        <v>1963</v>
      </c>
      <c r="H2391" s="2" t="s">
        <v>8683</v>
      </c>
      <c r="I2391" s="2" t="s">
        <v>8684</v>
      </c>
      <c r="J2391" s="2" t="s">
        <v>6103</v>
      </c>
      <c r="K2391" s="2" t="s">
        <v>310</v>
      </c>
      <c r="L2391" s="3">
        <v>95</v>
      </c>
      <c r="M2391" s="3">
        <v>99.75</v>
      </c>
      <c r="N2391" s="3">
        <v>199</v>
      </c>
      <c r="O2391" s="2" t="s">
        <v>550</v>
      </c>
      <c r="P2391" s="2" t="s">
        <v>198</v>
      </c>
      <c r="Q2391" s="2" t="s">
        <v>99</v>
      </c>
      <c r="R2391" s="2" t="s">
        <v>100</v>
      </c>
      <c r="S2391" s="2" t="s">
        <v>8696</v>
      </c>
      <c r="T2391" s="2" t="s">
        <v>100</v>
      </c>
      <c r="U2391" s="2" t="s">
        <v>3531</v>
      </c>
      <c r="V2391" s="2" t="s">
        <v>601</v>
      </c>
      <c r="W2391" s="2" t="s">
        <v>759</v>
      </c>
      <c r="X2391" s="2" t="s">
        <v>100</v>
      </c>
      <c r="Y2391" s="2" t="s">
        <v>7271</v>
      </c>
      <c r="Z2391" s="4"/>
      <c r="AA2391" s="4">
        <f>=ROUNDDOWN({0},0)</f>
      </c>
      <c r="AB2391" s="5">
        <v>1.1</v>
      </c>
      <c r="AC2391" s="2" t="s">
        <v>100</v>
      </c>
      <c r="AD2391" s="4"/>
      <c r="AE2391" s="4"/>
      <c r="AF2391" s="6">
        <v>67</v>
      </c>
      <c r="AG2391" s="6"/>
      <c r="AH2391" s="7">
        <v>0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>
        <v>0</v>
      </c>
      <c r="AP2391" s="4"/>
      <c r="AQ2391" s="8"/>
      <c r="AR2391" s="4">
        <v>4</v>
      </c>
      <c r="AS2391" s="8">
        <v>462</v>
      </c>
      <c r="AT2391" s="7">
        <v>-1</v>
      </c>
      <c r="AU2391" s="7">
        <v>-1</v>
      </c>
      <c r="AV2391" s="4"/>
      <c r="AW2391" s="8"/>
      <c r="AX2391" s="4">
        <v>4</v>
      </c>
      <c r="AY2391" s="8">
        <v>462</v>
      </c>
      <c r="AZ2391" s="7">
        <v>-1</v>
      </c>
      <c r="BA2391" s="7">
        <v>-1</v>
      </c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/>
      <c r="BK2391" s="8"/>
      <c r="BL2391" s="2" t="s">
        <v>8705</v>
      </c>
      <c r="BM2391" s="7"/>
      <c r="BN2391" s="7"/>
      <c r="BO2391" s="4"/>
      <c r="BP2391" s="8"/>
      <c r="BQ2391" s="4">
        <v>4</v>
      </c>
      <c r="BR2391" s="8">
        <v>462</v>
      </c>
      <c r="BS2391" s="7">
        <v>-1</v>
      </c>
      <c r="BT2391" s="7">
        <v>-1</v>
      </c>
      <c r="BU2391" s="2" t="s">
        <v>109</v>
      </c>
      <c r="BV2391" s="2" t="s">
        <v>552</v>
      </c>
      <c r="BW2391" s="2" t="s">
        <v>7307</v>
      </c>
      <c r="BX2391" s="2" t="s">
        <v>8469</v>
      </c>
      <c r="BY2391" s="2" t="s">
        <v>112</v>
      </c>
      <c r="BZ2391" s="2" t="s">
        <v>100</v>
      </c>
    </row>
    <row r="2392">
      <c r="A2392" s="2" t="s">
        <v>8706</v>
      </c>
      <c r="B2392" s="2" t="s">
        <v>7252</v>
      </c>
      <c r="C2392" s="2" t="s">
        <v>88</v>
      </c>
      <c r="D2392" s="2" t="s">
        <v>8680</v>
      </c>
      <c r="E2392" s="2" t="s">
        <v>8681</v>
      </c>
      <c r="F2392" s="2" t="s">
        <v>8707</v>
      </c>
      <c r="G2392" s="2" t="s">
        <v>4013</v>
      </c>
      <c r="H2392" s="2" t="s">
        <v>8708</v>
      </c>
      <c r="I2392" s="2" t="s">
        <v>8709</v>
      </c>
      <c r="J2392" s="2" t="s">
        <v>6103</v>
      </c>
      <c r="K2392" s="2" t="s">
        <v>323</v>
      </c>
      <c r="L2392" s="3">
        <v>173.25</v>
      </c>
      <c r="M2392" s="3">
        <v>181.91</v>
      </c>
      <c r="N2392" s="3">
        <v>369</v>
      </c>
      <c r="O2392" s="2" t="s">
        <v>97</v>
      </c>
      <c r="P2392" s="2" t="s">
        <v>182</v>
      </c>
      <c r="Q2392" s="2" t="s">
        <v>99</v>
      </c>
      <c r="R2392" s="2" t="s">
        <v>100</v>
      </c>
      <c r="S2392" s="2" t="s">
        <v>8710</v>
      </c>
      <c r="T2392" s="2" t="s">
        <v>100</v>
      </c>
      <c r="U2392" s="2" t="s">
        <v>100</v>
      </c>
      <c r="V2392" s="2" t="s">
        <v>601</v>
      </c>
      <c r="W2392" s="2" t="s">
        <v>405</v>
      </c>
      <c r="X2392" s="2" t="s">
        <v>100</v>
      </c>
      <c r="Y2392" s="2" t="s">
        <v>106</v>
      </c>
      <c r="Z2392" s="4">
        <v>224</v>
      </c>
      <c r="AA2392" s="4">
        <f>=ROUNDDOWN(56,0)</f>
      </c>
      <c r="AB2392" s="5">
        <v>4</v>
      </c>
      <c r="AC2392" s="2" t="s">
        <v>100</v>
      </c>
      <c r="AD2392" s="4"/>
      <c r="AE2392" s="4"/>
      <c r="AF2392" s="6">
        <v>66</v>
      </c>
      <c r="AG2392" s="6">
        <v>49</v>
      </c>
      <c r="AH2392" s="7">
        <v>1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>
        <v>0</v>
      </c>
      <c r="AP2392" s="4">
        <v>6</v>
      </c>
      <c r="AQ2392" s="8">
        <v>1091.46</v>
      </c>
      <c r="AR2392" s="4">
        <v>19</v>
      </c>
      <c r="AS2392" s="8">
        <v>3274.34</v>
      </c>
      <c r="AT2392" s="7">
        <v>-0.6842</v>
      </c>
      <c r="AU2392" s="7">
        <v>-0.6667</v>
      </c>
      <c r="AV2392" s="4">
        <v>6</v>
      </c>
      <c r="AW2392" s="8">
        <v>1091.46</v>
      </c>
      <c r="AX2392" s="4">
        <v>19</v>
      </c>
      <c r="AY2392" s="8">
        <v>3274.34</v>
      </c>
      <c r="AZ2392" s="7">
        <v>-0.6842</v>
      </c>
      <c r="BA2392" s="7">
        <v>-0.6667</v>
      </c>
      <c r="BB2392" s="7">
        <v>1</v>
      </c>
      <c r="BC2392" s="4">
        <v>6</v>
      </c>
      <c r="BD2392" s="8">
        <v>1091.46</v>
      </c>
      <c r="BE2392" s="4">
        <v>19</v>
      </c>
      <c r="BF2392" s="8">
        <v>3274.34</v>
      </c>
      <c r="BG2392" s="7">
        <v>-0.6842</v>
      </c>
      <c r="BH2392" s="7">
        <v>-0.6667</v>
      </c>
      <c r="BI2392" s="7">
        <v>1</v>
      </c>
      <c r="BJ2392" s="4">
        <v>145</v>
      </c>
      <c r="BK2392" s="8">
        <v>24583.61</v>
      </c>
      <c r="BL2392" s="2" t="s">
        <v>8711</v>
      </c>
      <c r="BM2392" s="7">
        <v>0.0414</v>
      </c>
      <c r="BN2392" s="7">
        <v>0.0444</v>
      </c>
      <c r="BO2392" s="4">
        <v>6</v>
      </c>
      <c r="BP2392" s="8">
        <v>1091.46</v>
      </c>
      <c r="BQ2392" s="4">
        <v>19</v>
      </c>
      <c r="BR2392" s="8">
        <v>3274.34</v>
      </c>
      <c r="BS2392" s="7">
        <v>-0.6842</v>
      </c>
      <c r="BT2392" s="7">
        <v>-0.6667</v>
      </c>
      <c r="BU2392" s="2" t="s">
        <v>109</v>
      </c>
      <c r="BV2392" s="2" t="s">
        <v>97</v>
      </c>
      <c r="BW2392" s="2" t="s">
        <v>7307</v>
      </c>
      <c r="BX2392" s="2" t="s">
        <v>5256</v>
      </c>
      <c r="BY2392" s="2" t="s">
        <v>112</v>
      </c>
      <c r="BZ2392" s="2" t="s">
        <v>100</v>
      </c>
    </row>
    <row r="2393">
      <c r="A2393" s="2" t="s">
        <v>8712</v>
      </c>
      <c r="B2393" s="2" t="s">
        <v>7252</v>
      </c>
      <c r="C2393" s="2" t="s">
        <v>88</v>
      </c>
      <c r="D2393" s="2" t="s">
        <v>8680</v>
      </c>
      <c r="E2393" s="2" t="s">
        <v>8681</v>
      </c>
      <c r="F2393" s="2" t="s">
        <v>8707</v>
      </c>
      <c r="G2393" s="2" t="s">
        <v>4013</v>
      </c>
      <c r="H2393" s="2" t="s">
        <v>8708</v>
      </c>
      <c r="I2393" s="2" t="s">
        <v>8709</v>
      </c>
      <c r="J2393" s="2" t="s">
        <v>6103</v>
      </c>
      <c r="K2393" s="2" t="s">
        <v>2553</v>
      </c>
      <c r="L2393" s="3">
        <v>173.25</v>
      </c>
      <c r="M2393" s="3">
        <v>181.91</v>
      </c>
      <c r="N2393" s="3">
        <v>369</v>
      </c>
      <c r="O2393" s="2" t="s">
        <v>229</v>
      </c>
      <c r="P2393" s="2" t="s">
        <v>198</v>
      </c>
      <c r="Q2393" s="2" t="s">
        <v>99</v>
      </c>
      <c r="R2393" s="2" t="s">
        <v>100</v>
      </c>
      <c r="S2393" s="2" t="s">
        <v>100</v>
      </c>
      <c r="T2393" s="2" t="s">
        <v>100</v>
      </c>
      <c r="U2393" s="2" t="s">
        <v>100</v>
      </c>
      <c r="V2393" s="2" t="s">
        <v>601</v>
      </c>
      <c r="W2393" s="2" t="s">
        <v>405</v>
      </c>
      <c r="X2393" s="2" t="s">
        <v>100</v>
      </c>
      <c r="Y2393" s="2" t="s">
        <v>8713</v>
      </c>
      <c r="Z2393" s="4">
        <v>387</v>
      </c>
      <c r="AA2393" s="4">
        <f>=ROUNDDOWN(552.857142857143,0)</f>
      </c>
      <c r="AB2393" s="5">
        <v>0.7</v>
      </c>
      <c r="AC2393" s="2" t="s">
        <v>100</v>
      </c>
      <c r="AD2393" s="4"/>
      <c r="AE2393" s="4"/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100</v>
      </c>
      <c r="BD2393" s="8" t="s">
        <v>100</v>
      </c>
      <c r="BE2393" s="4" t="s">
        <v>100</v>
      </c>
      <c r="BF2393" s="8" t="s">
        <v>100</v>
      </c>
      <c r="BG2393" s="7" t="s">
        <v>100</v>
      </c>
      <c r="BH2393" s="7" t="s">
        <v>100</v>
      </c>
      <c r="BI2393" s="7"/>
      <c r="BJ2393" s="4">
        <v>21</v>
      </c>
      <c r="BK2393" s="8">
        <v>3311.99</v>
      </c>
      <c r="BL2393" s="2" t="s">
        <v>8714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147</v>
      </c>
      <c r="BV2393" s="2" t="s">
        <v>97</v>
      </c>
      <c r="BW2393" s="2" t="s">
        <v>100</v>
      </c>
      <c r="BX2393" s="2" t="s">
        <v>100</v>
      </c>
      <c r="BY2393" s="2" t="s">
        <v>112</v>
      </c>
      <c r="BZ2393" s="2" t="s">
        <v>100</v>
      </c>
    </row>
    <row r="2394">
      <c r="A2394" s="2" t="s">
        <v>8715</v>
      </c>
      <c r="B2394" s="2" t="s">
        <v>7252</v>
      </c>
      <c r="C2394" s="2" t="s">
        <v>88</v>
      </c>
      <c r="D2394" s="2" t="s">
        <v>8680</v>
      </c>
      <c r="E2394" s="2" t="s">
        <v>8681</v>
      </c>
      <c r="F2394" s="2" t="s">
        <v>8707</v>
      </c>
      <c r="G2394" s="2" t="s">
        <v>4013</v>
      </c>
      <c r="H2394" s="2" t="s">
        <v>8708</v>
      </c>
      <c r="I2394" s="2" t="s">
        <v>8709</v>
      </c>
      <c r="J2394" s="2" t="s">
        <v>6103</v>
      </c>
      <c r="K2394" s="2" t="s">
        <v>622</v>
      </c>
      <c r="L2394" s="3">
        <v>173.25</v>
      </c>
      <c r="M2394" s="3">
        <v>181.91</v>
      </c>
      <c r="N2394" s="3">
        <v>369</v>
      </c>
      <c r="O2394" s="2" t="s">
        <v>97</v>
      </c>
      <c r="P2394" s="2" t="s">
        <v>182</v>
      </c>
      <c r="Q2394" s="2" t="s">
        <v>99</v>
      </c>
      <c r="R2394" s="2" t="s">
        <v>100</v>
      </c>
      <c r="S2394" s="2" t="s">
        <v>100</v>
      </c>
      <c r="T2394" s="2" t="s">
        <v>100</v>
      </c>
      <c r="U2394" s="2" t="s">
        <v>100</v>
      </c>
      <c r="V2394" s="2" t="s">
        <v>601</v>
      </c>
      <c r="W2394" s="2" t="s">
        <v>405</v>
      </c>
      <c r="X2394" s="2" t="s">
        <v>100</v>
      </c>
      <c r="Y2394" s="2" t="s">
        <v>8716</v>
      </c>
      <c r="Z2394" s="4">
        <v>110</v>
      </c>
      <c r="AA2394" s="4">
        <f>=ROUNDDOWN(18.3333333333333,0)</f>
      </c>
      <c r="AB2394" s="5">
        <v>6</v>
      </c>
      <c r="AC2394" s="2" t="s">
        <v>919</v>
      </c>
      <c r="AD2394" s="4">
        <v>80</v>
      </c>
      <c r="AE2394" s="4">
        <v>80</v>
      </c>
      <c r="AF2394" s="6">
        <v>66</v>
      </c>
      <c r="AG2394" s="6">
        <v>49</v>
      </c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100</v>
      </c>
      <c r="BD2394" s="8" t="s">
        <v>100</v>
      </c>
      <c r="BE2394" s="4" t="s">
        <v>100</v>
      </c>
      <c r="BF2394" s="8" t="s">
        <v>100</v>
      </c>
      <c r="BG2394" s="7" t="s">
        <v>100</v>
      </c>
      <c r="BH2394" s="7" t="s">
        <v>100</v>
      </c>
      <c r="BI2394" s="7"/>
      <c r="BJ2394" s="4">
        <v>134</v>
      </c>
      <c r="BK2394" s="8">
        <v>24516.32</v>
      </c>
      <c r="BL2394" s="2" t="s">
        <v>8717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6185</v>
      </c>
      <c r="BV2394" s="2" t="s">
        <v>97</v>
      </c>
      <c r="BW2394" s="2" t="s">
        <v>100</v>
      </c>
      <c r="BX2394" s="2" t="s">
        <v>100</v>
      </c>
      <c r="BY2394" s="2" t="s">
        <v>112</v>
      </c>
      <c r="BZ2394" s="2" t="s">
        <v>100</v>
      </c>
    </row>
    <row r="2395">
      <c r="A2395" s="2" t="s">
        <v>8718</v>
      </c>
      <c r="B2395" s="2" t="s">
        <v>7252</v>
      </c>
      <c r="C2395" s="2" t="s">
        <v>88</v>
      </c>
      <c r="D2395" s="2" t="s">
        <v>8680</v>
      </c>
      <c r="E2395" s="2" t="s">
        <v>8681</v>
      </c>
      <c r="F2395" s="2" t="s">
        <v>3114</v>
      </c>
      <c r="G2395" s="2" t="s">
        <v>8719</v>
      </c>
      <c r="H2395" s="2" t="s">
        <v>1778</v>
      </c>
      <c r="I2395" s="2" t="s">
        <v>8720</v>
      </c>
      <c r="J2395" s="2" t="s">
        <v>6103</v>
      </c>
      <c r="K2395" s="2" t="s">
        <v>8721</v>
      </c>
      <c r="L2395" s="3">
        <v>183.83</v>
      </c>
      <c r="M2395" s="3">
        <v>193.02</v>
      </c>
      <c r="N2395" s="3">
        <v>389</v>
      </c>
      <c r="O2395" s="2" t="s">
        <v>229</v>
      </c>
      <c r="P2395" s="2" t="s">
        <v>198</v>
      </c>
      <c r="Q2395" s="2" t="s">
        <v>99</v>
      </c>
      <c r="R2395" s="2" t="s">
        <v>100</v>
      </c>
      <c r="S2395" s="2" t="s">
        <v>100</v>
      </c>
      <c r="T2395" s="2" t="s">
        <v>100</v>
      </c>
      <c r="U2395" s="2" t="s">
        <v>3531</v>
      </c>
      <c r="V2395" s="2" t="s">
        <v>601</v>
      </c>
      <c r="W2395" s="2" t="s">
        <v>104</v>
      </c>
      <c r="X2395" s="2" t="s">
        <v>602</v>
      </c>
      <c r="Y2395" s="2" t="s">
        <v>8722</v>
      </c>
      <c r="Z2395" s="4">
        <v>16</v>
      </c>
      <c r="AA2395" s="4">
        <f>=ROUNDDOWN(32,0)</f>
      </c>
      <c r="AB2395" s="5">
        <v>0.5</v>
      </c>
      <c r="AC2395" s="2" t="s">
        <v>100</v>
      </c>
      <c r="AD2395" s="4"/>
      <c r="AE2395" s="4"/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>
        <v>0</v>
      </c>
      <c r="AP2395" s="4">
        <v>4</v>
      </c>
      <c r="AQ2395" s="8">
        <v>772.08</v>
      </c>
      <c r="AR2395" s="4">
        <v>10</v>
      </c>
      <c r="AS2395" s="8">
        <v>2151.41</v>
      </c>
      <c r="AT2395" s="7">
        <v>-0.6</v>
      </c>
      <c r="AU2395" s="7">
        <v>-0.6411</v>
      </c>
      <c r="AV2395" s="4">
        <v>4</v>
      </c>
      <c r="AW2395" s="8">
        <v>772.08</v>
      </c>
      <c r="AX2395" s="4">
        <v>10</v>
      </c>
      <c r="AY2395" s="8">
        <v>2151.41</v>
      </c>
      <c r="AZ2395" s="7">
        <v>-0.6</v>
      </c>
      <c r="BA2395" s="7">
        <v>-0.6411</v>
      </c>
      <c r="BB2395" s="7">
        <v>1</v>
      </c>
      <c r="BC2395" s="4">
        <v>4</v>
      </c>
      <c r="BD2395" s="8">
        <v>772.08</v>
      </c>
      <c r="BE2395" s="4">
        <v>10</v>
      </c>
      <c r="BF2395" s="8">
        <v>2151.41</v>
      </c>
      <c r="BG2395" s="7">
        <v>-0.6</v>
      </c>
      <c r="BH2395" s="7">
        <v>-0.6411</v>
      </c>
      <c r="BI2395" s="7">
        <v>1</v>
      </c>
      <c r="BJ2395" s="4">
        <v>43</v>
      </c>
      <c r="BK2395" s="8">
        <v>6731.68</v>
      </c>
      <c r="BL2395" s="2" t="s">
        <v>8723</v>
      </c>
      <c r="BM2395" s="7">
        <v>0.093</v>
      </c>
      <c r="BN2395" s="7">
        <v>0.1147</v>
      </c>
      <c r="BO2395" s="4">
        <v>4</v>
      </c>
      <c r="BP2395" s="8">
        <v>772.08</v>
      </c>
      <c r="BQ2395" s="4">
        <v>10</v>
      </c>
      <c r="BR2395" s="8">
        <v>2151.41</v>
      </c>
      <c r="BS2395" s="7">
        <v>-0.6</v>
      </c>
      <c r="BT2395" s="7">
        <v>-0.6411</v>
      </c>
      <c r="BU2395" s="2" t="s">
        <v>109</v>
      </c>
      <c r="BV2395" s="2" t="s">
        <v>97</v>
      </c>
      <c r="BW2395" s="2" t="s">
        <v>573</v>
      </c>
      <c r="BX2395" s="2" t="s">
        <v>8724</v>
      </c>
      <c r="BY2395" s="2" t="s">
        <v>112</v>
      </c>
      <c r="BZ2395" s="2" t="s">
        <v>100</v>
      </c>
    </row>
    <row r="2396">
      <c r="A2396" s="2" t="s">
        <v>8725</v>
      </c>
      <c r="B2396" s="2" t="s">
        <v>7252</v>
      </c>
      <c r="C2396" s="2" t="s">
        <v>88</v>
      </c>
      <c r="D2396" s="2" t="s">
        <v>8680</v>
      </c>
      <c r="E2396" s="2" t="s">
        <v>8681</v>
      </c>
      <c r="F2396" s="2" t="s">
        <v>3114</v>
      </c>
      <c r="G2396" s="2" t="s">
        <v>8719</v>
      </c>
      <c r="H2396" s="2" t="s">
        <v>1778</v>
      </c>
      <c r="I2396" s="2" t="s">
        <v>8720</v>
      </c>
      <c r="J2396" s="2" t="s">
        <v>6103</v>
      </c>
      <c r="K2396" s="2" t="s">
        <v>8726</v>
      </c>
      <c r="L2396" s="3">
        <v>183.83</v>
      </c>
      <c r="M2396" s="3">
        <v>193.02</v>
      </c>
      <c r="N2396" s="3">
        <v>389</v>
      </c>
      <c r="O2396" s="2" t="s">
        <v>97</v>
      </c>
      <c r="P2396" s="2" t="s">
        <v>182</v>
      </c>
      <c r="Q2396" s="2" t="s">
        <v>99</v>
      </c>
      <c r="R2396" s="2" t="s">
        <v>100</v>
      </c>
      <c r="S2396" s="2" t="s">
        <v>8727</v>
      </c>
      <c r="T2396" s="2" t="s">
        <v>100</v>
      </c>
      <c r="U2396" s="2" t="s">
        <v>100</v>
      </c>
      <c r="V2396" s="2" t="s">
        <v>601</v>
      </c>
      <c r="W2396" s="2" t="s">
        <v>405</v>
      </c>
      <c r="X2396" s="2" t="s">
        <v>100</v>
      </c>
      <c r="Y2396" s="2" t="s">
        <v>1262</v>
      </c>
      <c r="Z2396" s="4">
        <v>93</v>
      </c>
      <c r="AA2396" s="4">
        <f>=ROUNDDOWN(15.5,0)</f>
      </c>
      <c r="AB2396" s="5">
        <v>6</v>
      </c>
      <c r="AC2396" s="2" t="s">
        <v>909</v>
      </c>
      <c r="AD2396" s="4">
        <v>100</v>
      </c>
      <c r="AE2396" s="4">
        <v>100</v>
      </c>
      <c r="AF2396" s="6">
        <v>66</v>
      </c>
      <c r="AG2396" s="6">
        <v>49</v>
      </c>
      <c r="AH2396" s="7">
        <v>0.6364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53</v>
      </c>
      <c r="BK2396" s="8">
        <v>9782.99</v>
      </c>
      <c r="BL2396" s="2" t="s">
        <v>8728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6185</v>
      </c>
      <c r="BV2396" s="2" t="s">
        <v>97</v>
      </c>
      <c r="BW2396" s="2" t="s">
        <v>100</v>
      </c>
      <c r="BX2396" s="2" t="s">
        <v>100</v>
      </c>
      <c r="BY2396" s="2" t="s">
        <v>112</v>
      </c>
      <c r="BZ2396" s="2" t="s">
        <v>100</v>
      </c>
    </row>
    <row r="2397">
      <c r="A2397" s="2" t="s">
        <v>8729</v>
      </c>
      <c r="B2397" s="2" t="s">
        <v>7252</v>
      </c>
      <c r="C2397" s="2" t="s">
        <v>88</v>
      </c>
      <c r="D2397" s="2" t="s">
        <v>8680</v>
      </c>
      <c r="E2397" s="2" t="s">
        <v>8681</v>
      </c>
      <c r="F2397" s="2" t="s">
        <v>3114</v>
      </c>
      <c r="G2397" s="2" t="s">
        <v>8719</v>
      </c>
      <c r="H2397" s="2" t="s">
        <v>1778</v>
      </c>
      <c r="I2397" s="2" t="s">
        <v>8720</v>
      </c>
      <c r="J2397" s="2" t="s">
        <v>6103</v>
      </c>
      <c r="K2397" s="2" t="s">
        <v>8730</v>
      </c>
      <c r="L2397" s="3">
        <v>183.83</v>
      </c>
      <c r="M2397" s="3">
        <v>193.02</v>
      </c>
      <c r="N2397" s="3">
        <v>389</v>
      </c>
      <c r="O2397" s="2" t="s">
        <v>97</v>
      </c>
      <c r="P2397" s="2" t="s">
        <v>1265</v>
      </c>
      <c r="Q2397" s="2" t="s">
        <v>99</v>
      </c>
      <c r="R2397" s="2" t="s">
        <v>100</v>
      </c>
      <c r="S2397" s="2" t="s">
        <v>8731</v>
      </c>
      <c r="T2397" s="2" t="s">
        <v>100</v>
      </c>
      <c r="U2397" s="2" t="s">
        <v>100</v>
      </c>
      <c r="V2397" s="2" t="s">
        <v>601</v>
      </c>
      <c r="W2397" s="2" t="s">
        <v>405</v>
      </c>
      <c r="X2397" s="2" t="s">
        <v>100</v>
      </c>
      <c r="Y2397" s="2" t="s">
        <v>1262</v>
      </c>
      <c r="Z2397" s="4">
        <v>17</v>
      </c>
      <c r="AA2397" s="4">
        <f>=ROUNDDOWN(8.5,0)</f>
      </c>
      <c r="AB2397" s="5">
        <v>2</v>
      </c>
      <c r="AC2397" s="2" t="s">
        <v>7385</v>
      </c>
      <c r="AD2397" s="4">
        <v>60</v>
      </c>
      <c r="AE2397" s="4">
        <v>100</v>
      </c>
      <c r="AF2397" s="6">
        <v>66</v>
      </c>
      <c r="AG2397" s="6">
        <v>49</v>
      </c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 t="s">
        <v>100</v>
      </c>
      <c r="BD2397" s="8" t="s">
        <v>100</v>
      </c>
      <c r="BE2397" s="4" t="s">
        <v>100</v>
      </c>
      <c r="BF2397" s="8" t="s">
        <v>100</v>
      </c>
      <c r="BG2397" s="7" t="s">
        <v>100</v>
      </c>
      <c r="BH2397" s="7" t="s">
        <v>100</v>
      </c>
      <c r="BI2397" s="7"/>
      <c r="BJ2397" s="4">
        <v>58</v>
      </c>
      <c r="BK2397" s="8">
        <v>9612.83</v>
      </c>
      <c r="BL2397" s="2" t="s">
        <v>8732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6185</v>
      </c>
      <c r="BV2397" s="2" t="s">
        <v>97</v>
      </c>
      <c r="BW2397" s="2" t="s">
        <v>100</v>
      </c>
      <c r="BX2397" s="2" t="s">
        <v>100</v>
      </c>
      <c r="BY2397" s="2" t="s">
        <v>112</v>
      </c>
      <c r="BZ2397" s="2" t="s">
        <v>100</v>
      </c>
    </row>
    <row r="2398">
      <c r="A2398" s="2" t="s">
        <v>8733</v>
      </c>
      <c r="B2398" s="2" t="s">
        <v>7252</v>
      </c>
      <c r="C2398" s="2" t="s">
        <v>88</v>
      </c>
      <c r="D2398" s="2" t="s">
        <v>8680</v>
      </c>
      <c r="E2398" s="2" t="s">
        <v>8681</v>
      </c>
      <c r="F2398" s="2" t="s">
        <v>8734</v>
      </c>
      <c r="G2398" s="2" t="s">
        <v>7557</v>
      </c>
      <c r="H2398" s="2" t="s">
        <v>8735</v>
      </c>
      <c r="I2398" s="2" t="s">
        <v>8736</v>
      </c>
      <c r="J2398" s="2" t="s">
        <v>6103</v>
      </c>
      <c r="K2398" s="2" t="s">
        <v>158</v>
      </c>
      <c r="L2398" s="3">
        <v>125.4</v>
      </c>
      <c r="M2398" s="3">
        <v>131.67</v>
      </c>
      <c r="N2398" s="3">
        <v>269</v>
      </c>
      <c r="O2398" s="2" t="s">
        <v>97</v>
      </c>
      <c r="P2398" s="2" t="s">
        <v>182</v>
      </c>
      <c r="Q2398" s="2" t="s">
        <v>99</v>
      </c>
      <c r="R2398" s="2" t="s">
        <v>100</v>
      </c>
      <c r="S2398" s="2" t="s">
        <v>100</v>
      </c>
      <c r="T2398" s="2" t="s">
        <v>100</v>
      </c>
      <c r="U2398" s="2" t="s">
        <v>3531</v>
      </c>
      <c r="V2398" s="2" t="s">
        <v>601</v>
      </c>
      <c r="W2398" s="2" t="s">
        <v>104</v>
      </c>
      <c r="X2398" s="2" t="s">
        <v>100</v>
      </c>
      <c r="Y2398" s="2" t="s">
        <v>8737</v>
      </c>
      <c r="Z2398" s="4">
        <v>227</v>
      </c>
      <c r="AA2398" s="4">
        <f>=ROUNDDOWN(25.2222222222222,0)</f>
      </c>
      <c r="AB2398" s="5">
        <v>9</v>
      </c>
      <c r="AC2398" s="2" t="s">
        <v>2120</v>
      </c>
      <c r="AD2398" s="4">
        <v>100</v>
      </c>
      <c r="AE2398" s="4">
        <v>100</v>
      </c>
      <c r="AF2398" s="6">
        <v>76</v>
      </c>
      <c r="AG2398" s="6">
        <v>67</v>
      </c>
      <c r="AH2398" s="7">
        <v>0.5152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>
        <v>0</v>
      </c>
      <c r="AP2398" s="4">
        <v>4</v>
      </c>
      <c r="AQ2398" s="8">
        <v>363.84</v>
      </c>
      <c r="AR2398" s="4">
        <v>79</v>
      </c>
      <c r="AS2398" s="8">
        <v>7662.24</v>
      </c>
      <c r="AT2398" s="7">
        <v>-0.9494</v>
      </c>
      <c r="AU2398" s="7">
        <v>-0.9525</v>
      </c>
      <c r="AV2398" s="4">
        <v>4</v>
      </c>
      <c r="AW2398" s="8">
        <v>363.84</v>
      </c>
      <c r="AX2398" s="4">
        <v>79</v>
      </c>
      <c r="AY2398" s="8">
        <v>7662.24</v>
      </c>
      <c r="AZ2398" s="7">
        <v>-0.9494</v>
      </c>
      <c r="BA2398" s="7">
        <v>-0.9525</v>
      </c>
      <c r="BB2398" s="7">
        <v>1</v>
      </c>
      <c r="BC2398" s="4">
        <v>8</v>
      </c>
      <c r="BD2398" s="8">
        <v>727.68</v>
      </c>
      <c r="BE2398" s="4">
        <v>121</v>
      </c>
      <c r="BF2398" s="8">
        <v>11768.4</v>
      </c>
      <c r="BG2398" s="7">
        <v>-0.9339</v>
      </c>
      <c r="BH2398" s="7">
        <v>-0.9382</v>
      </c>
      <c r="BI2398" s="7">
        <v>0.5</v>
      </c>
      <c r="BJ2398" s="4">
        <v>99</v>
      </c>
      <c r="BK2398" s="8">
        <v>11367.55</v>
      </c>
      <c r="BL2398" s="2" t="s">
        <v>8738</v>
      </c>
      <c r="BM2398" s="7">
        <v>0.0404</v>
      </c>
      <c r="BN2398" s="7">
        <v>0.032</v>
      </c>
      <c r="BO2398" s="4">
        <v>4</v>
      </c>
      <c r="BP2398" s="8">
        <v>363.84</v>
      </c>
      <c r="BQ2398" s="4">
        <v>79</v>
      </c>
      <c r="BR2398" s="8">
        <v>7662.24</v>
      </c>
      <c r="BS2398" s="7">
        <v>-0.9494</v>
      </c>
      <c r="BT2398" s="7">
        <v>-0.9525</v>
      </c>
      <c r="BU2398" s="2" t="s">
        <v>109</v>
      </c>
      <c r="BV2398" s="2" t="s">
        <v>97</v>
      </c>
      <c r="BW2398" s="2" t="s">
        <v>8648</v>
      </c>
      <c r="BX2398" s="2" t="s">
        <v>6163</v>
      </c>
      <c r="BY2398" s="2" t="s">
        <v>112</v>
      </c>
      <c r="BZ2398" s="2" t="s">
        <v>100</v>
      </c>
    </row>
    <row r="2399">
      <c r="A2399" s="2" t="s">
        <v>8739</v>
      </c>
      <c r="B2399" s="2" t="s">
        <v>7252</v>
      </c>
      <c r="C2399" s="2" t="s">
        <v>88</v>
      </c>
      <c r="D2399" s="2" t="s">
        <v>8680</v>
      </c>
      <c r="E2399" s="2" t="s">
        <v>8681</v>
      </c>
      <c r="F2399" s="2" t="s">
        <v>8734</v>
      </c>
      <c r="G2399" s="2" t="s">
        <v>7557</v>
      </c>
      <c r="H2399" s="2" t="s">
        <v>8735</v>
      </c>
      <c r="I2399" s="2" t="s">
        <v>8736</v>
      </c>
      <c r="J2399" s="2" t="s">
        <v>6103</v>
      </c>
      <c r="K2399" s="2" t="s">
        <v>2553</v>
      </c>
      <c r="L2399" s="3">
        <v>125.4</v>
      </c>
      <c r="M2399" s="3">
        <v>131.67</v>
      </c>
      <c r="N2399" s="3">
        <v>269</v>
      </c>
      <c r="O2399" s="2" t="s">
        <v>97</v>
      </c>
      <c r="P2399" s="2" t="s">
        <v>182</v>
      </c>
      <c r="Q2399" s="2" t="s">
        <v>99</v>
      </c>
      <c r="R2399" s="2" t="s">
        <v>100</v>
      </c>
      <c r="S2399" s="2" t="s">
        <v>8740</v>
      </c>
      <c r="T2399" s="2" t="s">
        <v>100</v>
      </c>
      <c r="U2399" s="2" t="s">
        <v>100</v>
      </c>
      <c r="V2399" s="2" t="s">
        <v>601</v>
      </c>
      <c r="W2399" s="2" t="s">
        <v>104</v>
      </c>
      <c r="X2399" s="2" t="s">
        <v>100</v>
      </c>
      <c r="Y2399" s="2" t="s">
        <v>106</v>
      </c>
      <c r="Z2399" s="4">
        <v>308</v>
      </c>
      <c r="AA2399" s="4">
        <f>=ROUNDDOWN(51.3333333333333,0)</f>
      </c>
      <c r="AB2399" s="5">
        <v>6</v>
      </c>
      <c r="AC2399" s="2" t="s">
        <v>2670</v>
      </c>
      <c r="AD2399" s="4">
        <v>75</v>
      </c>
      <c r="AE2399" s="4">
        <v>75</v>
      </c>
      <c r="AF2399" s="6">
        <v>76</v>
      </c>
      <c r="AG2399" s="6">
        <v>67</v>
      </c>
      <c r="AH2399" s="7">
        <v>0.9697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>
        <v>0</v>
      </c>
      <c r="AP2399" s="4">
        <v>4</v>
      </c>
      <c r="AQ2399" s="8">
        <v>363.84</v>
      </c>
      <c r="AR2399" s="4">
        <v>42</v>
      </c>
      <c r="AS2399" s="8">
        <v>4106.16</v>
      </c>
      <c r="AT2399" s="7">
        <v>-0.9048</v>
      </c>
      <c r="AU2399" s="7">
        <v>-0.9114</v>
      </c>
      <c r="AV2399" s="4">
        <v>4</v>
      </c>
      <c r="AW2399" s="8">
        <v>363.84</v>
      </c>
      <c r="AX2399" s="4">
        <v>42</v>
      </c>
      <c r="AY2399" s="8">
        <v>4106.16</v>
      </c>
      <c r="AZ2399" s="7">
        <v>-0.9048</v>
      </c>
      <c r="BA2399" s="7">
        <v>-0.9114</v>
      </c>
      <c r="BB2399" s="7">
        <v>1</v>
      </c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>
        <v>0.5</v>
      </c>
      <c r="BJ2399" s="4">
        <v>161</v>
      </c>
      <c r="BK2399" s="8">
        <v>18188.51</v>
      </c>
      <c r="BL2399" s="2" t="s">
        <v>8741</v>
      </c>
      <c r="BM2399" s="7">
        <v>0.0248</v>
      </c>
      <c r="BN2399" s="7">
        <v>0.02</v>
      </c>
      <c r="BO2399" s="4">
        <v>4</v>
      </c>
      <c r="BP2399" s="8">
        <v>363.84</v>
      </c>
      <c r="BQ2399" s="4">
        <v>42</v>
      </c>
      <c r="BR2399" s="8">
        <v>4106.16</v>
      </c>
      <c r="BS2399" s="7">
        <v>-0.9048</v>
      </c>
      <c r="BT2399" s="7">
        <v>-0.9114</v>
      </c>
      <c r="BU2399" s="2" t="s">
        <v>109</v>
      </c>
      <c r="BV2399" s="2" t="s">
        <v>97</v>
      </c>
      <c r="BW2399" s="2" t="s">
        <v>8648</v>
      </c>
      <c r="BX2399" s="2" t="s">
        <v>443</v>
      </c>
      <c r="BY2399" s="2" t="s">
        <v>112</v>
      </c>
      <c r="BZ2399" s="2" t="s">
        <v>100</v>
      </c>
    </row>
    <row r="2400">
      <c r="A2400" s="2" t="s">
        <v>8742</v>
      </c>
      <c r="B2400" s="2" t="s">
        <v>7252</v>
      </c>
      <c r="C2400" s="2" t="s">
        <v>88</v>
      </c>
      <c r="D2400" s="2" t="s">
        <v>8680</v>
      </c>
      <c r="E2400" s="2" t="s">
        <v>8681</v>
      </c>
      <c r="F2400" s="2" t="s">
        <v>8734</v>
      </c>
      <c r="G2400" s="2" t="s">
        <v>7557</v>
      </c>
      <c r="H2400" s="2" t="s">
        <v>8735</v>
      </c>
      <c r="I2400" s="2" t="s">
        <v>8736</v>
      </c>
      <c r="J2400" s="2" t="s">
        <v>6103</v>
      </c>
      <c r="K2400" s="2" t="s">
        <v>7362</v>
      </c>
      <c r="L2400" s="3">
        <v>125.4</v>
      </c>
      <c r="M2400" s="3">
        <v>131.67</v>
      </c>
      <c r="N2400" s="3">
        <v>269</v>
      </c>
      <c r="O2400" s="2" t="s">
        <v>97</v>
      </c>
      <c r="P2400" s="2" t="s">
        <v>182</v>
      </c>
      <c r="Q2400" s="2" t="s">
        <v>99</v>
      </c>
      <c r="R2400" s="2" t="s">
        <v>100</v>
      </c>
      <c r="S2400" s="2" t="s">
        <v>8743</v>
      </c>
      <c r="T2400" s="2" t="s">
        <v>100</v>
      </c>
      <c r="U2400" s="2" t="s">
        <v>100</v>
      </c>
      <c r="V2400" s="2" t="s">
        <v>601</v>
      </c>
      <c r="W2400" s="2" t="s">
        <v>104</v>
      </c>
      <c r="X2400" s="2" t="s">
        <v>100</v>
      </c>
      <c r="Y2400" s="2" t="s">
        <v>106</v>
      </c>
      <c r="Z2400" s="4">
        <v>220</v>
      </c>
      <c r="AA2400" s="4">
        <f>=ROUNDDOWN(27.5,0)</f>
      </c>
      <c r="AB2400" s="5">
        <v>8</v>
      </c>
      <c r="AC2400" s="2" t="s">
        <v>2670</v>
      </c>
      <c r="AD2400" s="4">
        <v>110</v>
      </c>
      <c r="AE2400" s="4">
        <v>110</v>
      </c>
      <c r="AF2400" s="6">
        <v>76</v>
      </c>
      <c r="AG2400" s="6">
        <v>67</v>
      </c>
      <c r="AH2400" s="7">
        <v>0.9515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182</v>
      </c>
      <c r="BK2400" s="8">
        <v>21519.5</v>
      </c>
      <c r="BL2400" s="2" t="s">
        <v>8744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109</v>
      </c>
      <c r="BV2400" s="2" t="s">
        <v>97</v>
      </c>
      <c r="BW2400" s="2" t="s">
        <v>8648</v>
      </c>
      <c r="BX2400" s="2" t="s">
        <v>100</v>
      </c>
      <c r="BY2400" s="2" t="s">
        <v>112</v>
      </c>
      <c r="BZ2400" s="2" t="s">
        <v>100</v>
      </c>
    </row>
    <row r="2401">
      <c r="A2401" s="2" t="s">
        <v>8745</v>
      </c>
      <c r="B2401" s="2" t="s">
        <v>7252</v>
      </c>
      <c r="C2401" s="2" t="s">
        <v>88</v>
      </c>
      <c r="D2401" s="2" t="s">
        <v>8680</v>
      </c>
      <c r="E2401" s="2" t="s">
        <v>8681</v>
      </c>
      <c r="F2401" s="2" t="s">
        <v>8620</v>
      </c>
      <c r="G2401" s="2" t="s">
        <v>8746</v>
      </c>
      <c r="H2401" s="2" t="s">
        <v>8747</v>
      </c>
      <c r="I2401" s="2" t="s">
        <v>8748</v>
      </c>
      <c r="J2401" s="2" t="s">
        <v>6103</v>
      </c>
      <c r="K2401" s="2" t="s">
        <v>4481</v>
      </c>
      <c r="L2401" s="3">
        <v>121.41</v>
      </c>
      <c r="M2401" s="3">
        <v>127.48</v>
      </c>
      <c r="N2401" s="3">
        <v>259</v>
      </c>
      <c r="O2401" s="2" t="s">
        <v>97</v>
      </c>
      <c r="P2401" s="2" t="s">
        <v>182</v>
      </c>
      <c r="Q2401" s="2" t="s">
        <v>99</v>
      </c>
      <c r="R2401" s="2" t="s">
        <v>100</v>
      </c>
      <c r="S2401" s="2" t="s">
        <v>8749</v>
      </c>
      <c r="T2401" s="2" t="s">
        <v>100</v>
      </c>
      <c r="U2401" s="2" t="s">
        <v>100</v>
      </c>
      <c r="V2401" s="2" t="s">
        <v>601</v>
      </c>
      <c r="W2401" s="2" t="s">
        <v>602</v>
      </c>
      <c r="X2401" s="2" t="s">
        <v>100</v>
      </c>
      <c r="Y2401" s="2" t="s">
        <v>106</v>
      </c>
      <c r="Z2401" s="4">
        <v>375</v>
      </c>
      <c r="AA2401" s="4">
        <f>=ROUNDDOWN(41.6666666666667,0)</f>
      </c>
      <c r="AB2401" s="5">
        <v>9</v>
      </c>
      <c r="AC2401" s="2" t="s">
        <v>100</v>
      </c>
      <c r="AD2401" s="4"/>
      <c r="AE2401" s="4"/>
      <c r="AF2401" s="6">
        <v>74</v>
      </c>
      <c r="AG2401" s="6">
        <v>60</v>
      </c>
      <c r="AH2401" s="7">
        <v>0.7273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>
        <v>0</v>
      </c>
      <c r="AP2401" s="4">
        <v>2</v>
      </c>
      <c r="AQ2401" s="8">
        <v>254.96</v>
      </c>
      <c r="AR2401" s="4">
        <v>6</v>
      </c>
      <c r="AS2401" s="8">
        <v>711.75</v>
      </c>
      <c r="AT2401" s="7">
        <v>-0.6667</v>
      </c>
      <c r="AU2401" s="7">
        <v>-0.6418</v>
      </c>
      <c r="AV2401" s="4">
        <v>2</v>
      </c>
      <c r="AW2401" s="8">
        <v>254.96</v>
      </c>
      <c r="AX2401" s="4">
        <v>6</v>
      </c>
      <c r="AY2401" s="8">
        <v>711.75</v>
      </c>
      <c r="AZ2401" s="7">
        <v>-0.6667</v>
      </c>
      <c r="BA2401" s="7">
        <v>-0.6418</v>
      </c>
      <c r="BB2401" s="7">
        <v>1</v>
      </c>
      <c r="BC2401" s="4">
        <v>3</v>
      </c>
      <c r="BD2401" s="8">
        <v>382.44</v>
      </c>
      <c r="BE2401" s="4">
        <v>17</v>
      </c>
      <c r="BF2401" s="8">
        <v>2085.67</v>
      </c>
      <c r="BG2401" s="7">
        <v>-0.8235</v>
      </c>
      <c r="BH2401" s="7">
        <v>-0.8166</v>
      </c>
      <c r="BI2401" s="7">
        <v>0.6667</v>
      </c>
      <c r="BJ2401" s="4">
        <v>147</v>
      </c>
      <c r="BK2401" s="8">
        <v>19089.67</v>
      </c>
      <c r="BL2401" s="2" t="s">
        <v>8750</v>
      </c>
      <c r="BM2401" s="7">
        <v>0.0136</v>
      </c>
      <c r="BN2401" s="7">
        <v>0.0134</v>
      </c>
      <c r="BO2401" s="4">
        <v>2</v>
      </c>
      <c r="BP2401" s="8">
        <v>254.96</v>
      </c>
      <c r="BQ2401" s="4">
        <v>6</v>
      </c>
      <c r="BR2401" s="8">
        <v>711.75</v>
      </c>
      <c r="BS2401" s="7">
        <v>-0.6667</v>
      </c>
      <c r="BT2401" s="7">
        <v>-0.6418</v>
      </c>
      <c r="BU2401" s="2" t="s">
        <v>109</v>
      </c>
      <c r="BV2401" s="2" t="s">
        <v>97</v>
      </c>
      <c r="BW2401" s="2" t="s">
        <v>7307</v>
      </c>
      <c r="BX2401" s="2" t="s">
        <v>7723</v>
      </c>
      <c r="BY2401" s="2" t="s">
        <v>112</v>
      </c>
      <c r="BZ2401" s="2" t="s">
        <v>100</v>
      </c>
    </row>
    <row r="2402">
      <c r="A2402" s="2" t="s">
        <v>8751</v>
      </c>
      <c r="B2402" s="2" t="s">
        <v>7252</v>
      </c>
      <c r="C2402" s="2" t="s">
        <v>88</v>
      </c>
      <c r="D2402" s="2" t="s">
        <v>8680</v>
      </c>
      <c r="E2402" s="2" t="s">
        <v>8681</v>
      </c>
      <c r="F2402" s="2" t="s">
        <v>8620</v>
      </c>
      <c r="G2402" s="2" t="s">
        <v>8746</v>
      </c>
      <c r="H2402" s="2" t="s">
        <v>8747</v>
      </c>
      <c r="I2402" s="2" t="s">
        <v>8748</v>
      </c>
      <c r="J2402" s="2" t="s">
        <v>6103</v>
      </c>
      <c r="K2402" s="2" t="s">
        <v>7269</v>
      </c>
      <c r="L2402" s="3">
        <v>121.41</v>
      </c>
      <c r="M2402" s="3">
        <v>127.48</v>
      </c>
      <c r="N2402" s="3">
        <v>259</v>
      </c>
      <c r="O2402" s="2" t="s">
        <v>97</v>
      </c>
      <c r="P2402" s="2" t="s">
        <v>182</v>
      </c>
      <c r="Q2402" s="2" t="s">
        <v>99</v>
      </c>
      <c r="R2402" s="2" t="s">
        <v>100</v>
      </c>
      <c r="S2402" s="2" t="s">
        <v>100</v>
      </c>
      <c r="T2402" s="2" t="s">
        <v>100</v>
      </c>
      <c r="U2402" s="2" t="s">
        <v>3531</v>
      </c>
      <c r="V2402" s="2" t="s">
        <v>601</v>
      </c>
      <c r="W2402" s="2" t="s">
        <v>602</v>
      </c>
      <c r="X2402" s="2" t="s">
        <v>100</v>
      </c>
      <c r="Y2402" s="2" t="s">
        <v>7338</v>
      </c>
      <c r="Z2402" s="4">
        <v>123</v>
      </c>
      <c r="AA2402" s="4">
        <f>=ROUNDDOWN(29.2857142857143,0)</f>
      </c>
      <c r="AB2402" s="5">
        <v>4.2</v>
      </c>
      <c r="AC2402" s="2" t="s">
        <v>919</v>
      </c>
      <c r="AD2402" s="4">
        <v>100</v>
      </c>
      <c r="AE2402" s="4">
        <v>100</v>
      </c>
      <c r="AF2402" s="6">
        <v>74</v>
      </c>
      <c r="AG2402" s="6"/>
      <c r="AH2402" s="7">
        <v>0.7212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>
        <v>0</v>
      </c>
      <c r="AP2402" s="4">
        <v>1</v>
      </c>
      <c r="AQ2402" s="8">
        <v>127.48</v>
      </c>
      <c r="AR2402" s="4">
        <v>2</v>
      </c>
      <c r="AS2402" s="8">
        <v>283.28</v>
      </c>
      <c r="AT2402" s="7">
        <v>-0.5</v>
      </c>
      <c r="AU2402" s="7">
        <v>-0.55</v>
      </c>
      <c r="AV2402" s="4">
        <v>1</v>
      </c>
      <c r="AW2402" s="8">
        <v>127.48</v>
      </c>
      <c r="AX2402" s="4">
        <v>2</v>
      </c>
      <c r="AY2402" s="8">
        <v>283.28</v>
      </c>
      <c r="AZ2402" s="7">
        <v>-0.5</v>
      </c>
      <c r="BA2402" s="7">
        <v>-0.55</v>
      </c>
      <c r="BB2402" s="7">
        <v>1</v>
      </c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>
        <v>0.3333</v>
      </c>
      <c r="BJ2402" s="4">
        <v>64</v>
      </c>
      <c r="BK2402" s="8">
        <v>8535.99</v>
      </c>
      <c r="BL2402" s="2" t="s">
        <v>8752</v>
      </c>
      <c r="BM2402" s="7">
        <v>0.0156</v>
      </c>
      <c r="BN2402" s="7">
        <v>0.0149</v>
      </c>
      <c r="BO2402" s="4">
        <v>1</v>
      </c>
      <c r="BP2402" s="8">
        <v>127.48</v>
      </c>
      <c r="BQ2402" s="4">
        <v>2</v>
      </c>
      <c r="BR2402" s="8">
        <v>283.28</v>
      </c>
      <c r="BS2402" s="7">
        <v>-0.5</v>
      </c>
      <c r="BT2402" s="7">
        <v>-0.55</v>
      </c>
      <c r="BU2402" s="2" t="s">
        <v>109</v>
      </c>
      <c r="BV2402" s="2" t="s">
        <v>97</v>
      </c>
      <c r="BW2402" s="2" t="s">
        <v>7307</v>
      </c>
      <c r="BX2402" s="2" t="s">
        <v>4736</v>
      </c>
      <c r="BY2402" s="2" t="s">
        <v>112</v>
      </c>
      <c r="BZ2402" s="2" t="s">
        <v>100</v>
      </c>
    </row>
    <row r="2403">
      <c r="A2403" s="2" t="s">
        <v>8753</v>
      </c>
      <c r="B2403" s="2" t="s">
        <v>7252</v>
      </c>
      <c r="C2403" s="2" t="s">
        <v>88</v>
      </c>
      <c r="D2403" s="2" t="s">
        <v>8680</v>
      </c>
      <c r="E2403" s="2" t="s">
        <v>8681</v>
      </c>
      <c r="F2403" s="2" t="s">
        <v>8620</v>
      </c>
      <c r="G2403" s="2" t="s">
        <v>8746</v>
      </c>
      <c r="H2403" s="2" t="s">
        <v>8747</v>
      </c>
      <c r="I2403" s="2" t="s">
        <v>8748</v>
      </c>
      <c r="J2403" s="2" t="s">
        <v>6103</v>
      </c>
      <c r="K2403" s="2" t="s">
        <v>158</v>
      </c>
      <c r="L2403" s="3">
        <v>121.41</v>
      </c>
      <c r="M2403" s="3">
        <v>127.48</v>
      </c>
      <c r="N2403" s="3">
        <v>259</v>
      </c>
      <c r="O2403" s="2" t="s">
        <v>97</v>
      </c>
      <c r="P2403" s="2" t="s">
        <v>182</v>
      </c>
      <c r="Q2403" s="2" t="s">
        <v>99</v>
      </c>
      <c r="R2403" s="2" t="s">
        <v>100</v>
      </c>
      <c r="S2403" s="2" t="s">
        <v>8754</v>
      </c>
      <c r="T2403" s="2" t="s">
        <v>100</v>
      </c>
      <c r="U2403" s="2" t="s">
        <v>100</v>
      </c>
      <c r="V2403" s="2" t="s">
        <v>601</v>
      </c>
      <c r="W2403" s="2" t="s">
        <v>104</v>
      </c>
      <c r="X2403" s="2" t="s">
        <v>100</v>
      </c>
      <c r="Y2403" s="2" t="s">
        <v>106</v>
      </c>
      <c r="Z2403" s="4">
        <v>115</v>
      </c>
      <c r="AA2403" s="4">
        <f>=ROUNDDOWN(23,0)</f>
      </c>
      <c r="AB2403" s="5">
        <v>5</v>
      </c>
      <c r="AC2403" s="2" t="s">
        <v>7295</v>
      </c>
      <c r="AD2403" s="4">
        <v>50</v>
      </c>
      <c r="AE2403" s="4">
        <v>50</v>
      </c>
      <c r="AF2403" s="6">
        <v>74</v>
      </c>
      <c r="AG2403" s="6"/>
      <c r="AH2403" s="7">
        <v>0.7212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>
        <v>0</v>
      </c>
      <c r="AP2403" s="4"/>
      <c r="AQ2403" s="8"/>
      <c r="AR2403" s="4">
        <v>3</v>
      </c>
      <c r="AS2403" s="8">
        <v>332.86</v>
      </c>
      <c r="AT2403" s="7">
        <v>-1</v>
      </c>
      <c r="AU2403" s="7">
        <v>-1</v>
      </c>
      <c r="AV2403" s="4"/>
      <c r="AW2403" s="8"/>
      <c r="AX2403" s="4">
        <v>3</v>
      </c>
      <c r="AY2403" s="8">
        <v>332.86</v>
      </c>
      <c r="AZ2403" s="7">
        <v>-1</v>
      </c>
      <c r="BA2403" s="7">
        <v>-1</v>
      </c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83</v>
      </c>
      <c r="BK2403" s="8">
        <v>10758.5</v>
      </c>
      <c r="BL2403" s="2" t="s">
        <v>8755</v>
      </c>
      <c r="BM2403" s="7"/>
      <c r="BN2403" s="7"/>
      <c r="BO2403" s="4"/>
      <c r="BP2403" s="8"/>
      <c r="BQ2403" s="4">
        <v>3</v>
      </c>
      <c r="BR2403" s="8">
        <v>332.86</v>
      </c>
      <c r="BS2403" s="7">
        <v>-1</v>
      </c>
      <c r="BT2403" s="7">
        <v>-1</v>
      </c>
      <c r="BU2403" s="2" t="s">
        <v>109</v>
      </c>
      <c r="BV2403" s="2" t="s">
        <v>97</v>
      </c>
      <c r="BW2403" s="2" t="s">
        <v>7307</v>
      </c>
      <c r="BX2403" s="2" t="s">
        <v>4459</v>
      </c>
      <c r="BY2403" s="2" t="s">
        <v>112</v>
      </c>
      <c r="BZ2403" s="2" t="s">
        <v>100</v>
      </c>
    </row>
    <row r="2404">
      <c r="A2404" s="2" t="s">
        <v>8756</v>
      </c>
      <c r="B2404" s="2" t="s">
        <v>7252</v>
      </c>
      <c r="C2404" s="2" t="s">
        <v>88</v>
      </c>
      <c r="D2404" s="2" t="s">
        <v>8680</v>
      </c>
      <c r="E2404" s="2" t="s">
        <v>8681</v>
      </c>
      <c r="F2404" s="2" t="s">
        <v>8620</v>
      </c>
      <c r="G2404" s="2" t="s">
        <v>8746</v>
      </c>
      <c r="H2404" s="2" t="s">
        <v>8747</v>
      </c>
      <c r="I2404" s="2" t="s">
        <v>8748</v>
      </c>
      <c r="J2404" s="2" t="s">
        <v>6103</v>
      </c>
      <c r="K2404" s="2" t="s">
        <v>8151</v>
      </c>
      <c r="L2404" s="3">
        <v>121.41</v>
      </c>
      <c r="M2404" s="3">
        <v>127.48</v>
      </c>
      <c r="N2404" s="3">
        <v>259</v>
      </c>
      <c r="O2404" s="2" t="s">
        <v>97</v>
      </c>
      <c r="P2404" s="2" t="s">
        <v>182</v>
      </c>
      <c r="Q2404" s="2" t="s">
        <v>99</v>
      </c>
      <c r="R2404" s="2" t="s">
        <v>100</v>
      </c>
      <c r="S2404" s="2" t="s">
        <v>8757</v>
      </c>
      <c r="T2404" s="2" t="s">
        <v>100</v>
      </c>
      <c r="U2404" s="2" t="s">
        <v>100</v>
      </c>
      <c r="V2404" s="2" t="s">
        <v>601</v>
      </c>
      <c r="W2404" s="2" t="s">
        <v>602</v>
      </c>
      <c r="X2404" s="2" t="s">
        <v>100</v>
      </c>
      <c r="Y2404" s="2" t="s">
        <v>106</v>
      </c>
      <c r="Z2404" s="4">
        <v>182</v>
      </c>
      <c r="AA2404" s="4">
        <f>=ROUNDDOWN(67.4074074074074,0)</f>
      </c>
      <c r="AB2404" s="5">
        <v>2.7</v>
      </c>
      <c r="AC2404" s="2" t="s">
        <v>919</v>
      </c>
      <c r="AD2404" s="4">
        <v>100</v>
      </c>
      <c r="AE2404" s="4">
        <v>100</v>
      </c>
      <c r="AF2404" s="6">
        <v>74</v>
      </c>
      <c r="AG2404" s="6">
        <v>60</v>
      </c>
      <c r="AH2404" s="7">
        <v>0.4667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>
        <v>0</v>
      </c>
      <c r="AP2404" s="4"/>
      <c r="AQ2404" s="8"/>
      <c r="AR2404" s="4">
        <v>6</v>
      </c>
      <c r="AS2404" s="8">
        <v>757.78</v>
      </c>
      <c r="AT2404" s="7">
        <v>-1</v>
      </c>
      <c r="AU2404" s="7">
        <v>-1</v>
      </c>
      <c r="AV2404" s="4"/>
      <c r="AW2404" s="8"/>
      <c r="AX2404" s="4">
        <v>6</v>
      </c>
      <c r="AY2404" s="8">
        <v>757.78</v>
      </c>
      <c r="AZ2404" s="7">
        <v>-1</v>
      </c>
      <c r="BA2404" s="7">
        <v>-1</v>
      </c>
      <c r="BB2404" s="7"/>
      <c r="BC2404" s="4" t="s">
        <v>100</v>
      </c>
      <c r="BD2404" s="8" t="s">
        <v>100</v>
      </c>
      <c r="BE2404" s="4" t="s">
        <v>100</v>
      </c>
      <c r="BF2404" s="8" t="s">
        <v>100</v>
      </c>
      <c r="BG2404" s="7" t="s">
        <v>100</v>
      </c>
      <c r="BH2404" s="7" t="s">
        <v>100</v>
      </c>
      <c r="BI2404" s="7"/>
      <c r="BJ2404" s="4">
        <v>26</v>
      </c>
      <c r="BK2404" s="8">
        <v>3407.26</v>
      </c>
      <c r="BL2404" s="2" t="s">
        <v>8758</v>
      </c>
      <c r="BM2404" s="7"/>
      <c r="BN2404" s="7"/>
      <c r="BO2404" s="4"/>
      <c r="BP2404" s="8"/>
      <c r="BQ2404" s="4">
        <v>6</v>
      </c>
      <c r="BR2404" s="8">
        <v>757.78</v>
      </c>
      <c r="BS2404" s="7">
        <v>-1</v>
      </c>
      <c r="BT2404" s="7">
        <v>-1</v>
      </c>
      <c r="BU2404" s="2" t="s">
        <v>109</v>
      </c>
      <c r="BV2404" s="2" t="s">
        <v>97</v>
      </c>
      <c r="BW2404" s="2" t="s">
        <v>7307</v>
      </c>
      <c r="BX2404" s="2" t="s">
        <v>7124</v>
      </c>
      <c r="BY2404" s="2" t="s">
        <v>112</v>
      </c>
      <c r="BZ2404" s="2" t="s">
        <v>100</v>
      </c>
    </row>
    <row r="2405">
      <c r="A2405" s="2" t="s">
        <v>8759</v>
      </c>
      <c r="B2405" s="2" t="s">
        <v>7252</v>
      </c>
      <c r="C2405" s="2" t="s">
        <v>88</v>
      </c>
      <c r="D2405" s="2" t="s">
        <v>8680</v>
      </c>
      <c r="E2405" s="2" t="s">
        <v>8681</v>
      </c>
      <c r="F2405" s="2" t="s">
        <v>8760</v>
      </c>
      <c r="G2405" s="2" t="s">
        <v>8761</v>
      </c>
      <c r="H2405" s="2" t="s">
        <v>8762</v>
      </c>
      <c r="I2405" s="2" t="s">
        <v>8763</v>
      </c>
      <c r="J2405" s="2" t="s">
        <v>6103</v>
      </c>
      <c r="K2405" s="2" t="s">
        <v>158</v>
      </c>
      <c r="L2405" s="3">
        <v>60</v>
      </c>
      <c r="M2405" s="3">
        <v>63</v>
      </c>
      <c r="N2405" s="3">
        <v>129</v>
      </c>
      <c r="O2405" s="2" t="s">
        <v>550</v>
      </c>
      <c r="P2405" s="2" t="s">
        <v>198</v>
      </c>
      <c r="Q2405" s="2" t="s">
        <v>99</v>
      </c>
      <c r="R2405" s="2" t="s">
        <v>100</v>
      </c>
      <c r="S2405" s="2" t="s">
        <v>8764</v>
      </c>
      <c r="T2405" s="2" t="s">
        <v>100</v>
      </c>
      <c r="U2405" s="2" t="s">
        <v>100</v>
      </c>
      <c r="V2405" s="2" t="s">
        <v>601</v>
      </c>
      <c r="W2405" s="2" t="s">
        <v>2195</v>
      </c>
      <c r="X2405" s="2" t="s">
        <v>100</v>
      </c>
      <c r="Y2405" s="2" t="s">
        <v>106</v>
      </c>
      <c r="Z2405" s="4"/>
      <c r="AA2405" s="4">
        <f>=ROUNDDOWN({0},0)</f>
      </c>
      <c r="AB2405" s="5">
        <v>1.6</v>
      </c>
      <c r="AC2405" s="2" t="s">
        <v>100</v>
      </c>
      <c r="AD2405" s="4"/>
      <c r="AE2405" s="4"/>
      <c r="AF2405" s="6">
        <v>66</v>
      </c>
      <c r="AG2405" s="6">
        <v>49</v>
      </c>
      <c r="AH2405" s="7">
        <v>0.3697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>
        <v>0</v>
      </c>
      <c r="AP2405" s="4"/>
      <c r="AQ2405" s="8"/>
      <c r="AR2405" s="4">
        <v>2</v>
      </c>
      <c r="AS2405" s="8">
        <v>126</v>
      </c>
      <c r="AT2405" s="7">
        <v>-1</v>
      </c>
      <c r="AU2405" s="7">
        <v>-1</v>
      </c>
      <c r="AV2405" s="4"/>
      <c r="AW2405" s="8"/>
      <c r="AX2405" s="4">
        <v>2</v>
      </c>
      <c r="AY2405" s="8">
        <v>126</v>
      </c>
      <c r="AZ2405" s="7">
        <v>-1</v>
      </c>
      <c r="BA2405" s="7">
        <v>-1</v>
      </c>
      <c r="BB2405" s="7"/>
      <c r="BC2405" s="4" t="s">
        <v>100</v>
      </c>
      <c r="BD2405" s="8" t="s">
        <v>100</v>
      </c>
      <c r="BE2405" s="4">
        <v>14</v>
      </c>
      <c r="BF2405" s="8">
        <v>882</v>
      </c>
      <c r="BG2405" s="7" t="s">
        <v>100</v>
      </c>
      <c r="BH2405" s="7" t="s">
        <v>100</v>
      </c>
      <c r="BI2405" s="7"/>
      <c r="BJ2405" s="4">
        <v>14</v>
      </c>
      <c r="BK2405" s="8">
        <v>704.96</v>
      </c>
      <c r="BL2405" s="2" t="s">
        <v>8765</v>
      </c>
      <c r="BM2405" s="7"/>
      <c r="BN2405" s="7"/>
      <c r="BO2405" s="4"/>
      <c r="BP2405" s="8"/>
      <c r="BQ2405" s="4">
        <v>2</v>
      </c>
      <c r="BR2405" s="8">
        <v>126</v>
      </c>
      <c r="BS2405" s="7">
        <v>-1</v>
      </c>
      <c r="BT2405" s="7">
        <v>-1</v>
      </c>
      <c r="BU2405" s="2" t="s">
        <v>109</v>
      </c>
      <c r="BV2405" s="2" t="s">
        <v>552</v>
      </c>
      <c r="BW2405" s="2" t="s">
        <v>7307</v>
      </c>
      <c r="BX2405" s="2" t="s">
        <v>4736</v>
      </c>
      <c r="BY2405" s="2" t="s">
        <v>112</v>
      </c>
      <c r="BZ2405" s="2" t="s">
        <v>100</v>
      </c>
    </row>
    <row r="2406">
      <c r="A2406" s="2" t="s">
        <v>8766</v>
      </c>
      <c r="B2406" s="2" t="s">
        <v>7252</v>
      </c>
      <c r="C2406" s="2" t="s">
        <v>88</v>
      </c>
      <c r="D2406" s="2" t="s">
        <v>8680</v>
      </c>
      <c r="E2406" s="2" t="s">
        <v>8681</v>
      </c>
      <c r="F2406" s="2" t="s">
        <v>8760</v>
      </c>
      <c r="G2406" s="2" t="s">
        <v>8761</v>
      </c>
      <c r="H2406" s="2" t="s">
        <v>8762</v>
      </c>
      <c r="I2406" s="2" t="s">
        <v>8763</v>
      </c>
      <c r="J2406" s="2" t="s">
        <v>6103</v>
      </c>
      <c r="K2406" s="2" t="s">
        <v>1828</v>
      </c>
      <c r="L2406" s="3">
        <v>60</v>
      </c>
      <c r="M2406" s="3">
        <v>63</v>
      </c>
      <c r="N2406" s="3">
        <v>129</v>
      </c>
      <c r="O2406" s="2" t="s">
        <v>550</v>
      </c>
      <c r="P2406" s="2" t="s">
        <v>198</v>
      </c>
      <c r="Q2406" s="2" t="s">
        <v>99</v>
      </c>
      <c r="R2406" s="2" t="s">
        <v>100</v>
      </c>
      <c r="S2406" s="2" t="s">
        <v>8767</v>
      </c>
      <c r="T2406" s="2" t="s">
        <v>100</v>
      </c>
      <c r="U2406" s="2" t="s">
        <v>100</v>
      </c>
      <c r="V2406" s="2" t="s">
        <v>601</v>
      </c>
      <c r="W2406" s="2" t="s">
        <v>2195</v>
      </c>
      <c r="X2406" s="2" t="s">
        <v>100</v>
      </c>
      <c r="Y2406" s="2" t="s">
        <v>106</v>
      </c>
      <c r="Z2406" s="4"/>
      <c r="AA2406" s="4">
        <f>=ROUNDDOWN({0},0)</f>
      </c>
      <c r="AB2406" s="5">
        <v>0.6</v>
      </c>
      <c r="AC2406" s="2" t="s">
        <v>100</v>
      </c>
      <c r="AD2406" s="4"/>
      <c r="AE2406" s="4"/>
      <c r="AF2406" s="6">
        <v>66</v>
      </c>
      <c r="AG2406" s="6">
        <v>49</v>
      </c>
      <c r="AH2406" s="7">
        <v>0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>
        <v>0</v>
      </c>
      <c r="AP2406" s="4"/>
      <c r="AQ2406" s="8"/>
      <c r="AR2406" s="4">
        <v>12</v>
      </c>
      <c r="AS2406" s="8">
        <v>756</v>
      </c>
      <c r="AT2406" s="7">
        <v>-1</v>
      </c>
      <c r="AU2406" s="7">
        <v>-1</v>
      </c>
      <c r="AV2406" s="4"/>
      <c r="AW2406" s="8"/>
      <c r="AX2406" s="4">
        <v>12</v>
      </c>
      <c r="AY2406" s="8">
        <v>756</v>
      </c>
      <c r="AZ2406" s="7">
        <v>-1</v>
      </c>
      <c r="BA2406" s="7">
        <v>-1</v>
      </c>
      <c r="BB2406" s="7"/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/>
      <c r="BJ2406" s="4"/>
      <c r="BK2406" s="8"/>
      <c r="BL2406" s="2" t="s">
        <v>8768</v>
      </c>
      <c r="BM2406" s="7"/>
      <c r="BN2406" s="7"/>
      <c r="BO2406" s="4"/>
      <c r="BP2406" s="8"/>
      <c r="BQ2406" s="4">
        <v>12</v>
      </c>
      <c r="BR2406" s="8">
        <v>756</v>
      </c>
      <c r="BS2406" s="7">
        <v>-1</v>
      </c>
      <c r="BT2406" s="7">
        <v>-1</v>
      </c>
      <c r="BU2406" s="2" t="s">
        <v>109</v>
      </c>
      <c r="BV2406" s="2" t="s">
        <v>552</v>
      </c>
      <c r="BW2406" s="2" t="s">
        <v>7307</v>
      </c>
      <c r="BX2406" s="2" t="s">
        <v>111</v>
      </c>
      <c r="BY2406" s="2" t="s">
        <v>112</v>
      </c>
      <c r="BZ2406" s="2" t="s">
        <v>100</v>
      </c>
    </row>
    <row r="2407">
      <c r="A2407" s="2" t="s">
        <v>8769</v>
      </c>
      <c r="B2407" s="2" t="s">
        <v>7252</v>
      </c>
      <c r="C2407" s="2" t="s">
        <v>88</v>
      </c>
      <c r="D2407" s="2" t="s">
        <v>8680</v>
      </c>
      <c r="E2407" s="2" t="s">
        <v>8681</v>
      </c>
      <c r="F2407" s="2" t="s">
        <v>8362</v>
      </c>
      <c r="G2407" s="2" t="s">
        <v>8770</v>
      </c>
      <c r="H2407" s="2" t="s">
        <v>2365</v>
      </c>
      <c r="I2407" s="2" t="s">
        <v>8771</v>
      </c>
      <c r="J2407" s="2" t="s">
        <v>6103</v>
      </c>
      <c r="K2407" s="2" t="s">
        <v>158</v>
      </c>
      <c r="L2407" s="3">
        <v>153</v>
      </c>
      <c r="M2407" s="3">
        <v>160.65</v>
      </c>
      <c r="N2407" s="3">
        <v>319</v>
      </c>
      <c r="O2407" s="2" t="s">
        <v>97</v>
      </c>
      <c r="P2407" s="2" t="s">
        <v>182</v>
      </c>
      <c r="Q2407" s="2" t="s">
        <v>99</v>
      </c>
      <c r="R2407" s="2" t="s">
        <v>100</v>
      </c>
      <c r="S2407" s="2" t="s">
        <v>8772</v>
      </c>
      <c r="T2407" s="2" t="s">
        <v>100</v>
      </c>
      <c r="U2407" s="2" t="s">
        <v>100</v>
      </c>
      <c r="V2407" s="2" t="s">
        <v>601</v>
      </c>
      <c r="W2407" s="2" t="s">
        <v>405</v>
      </c>
      <c r="X2407" s="2" t="s">
        <v>100</v>
      </c>
      <c r="Y2407" s="2" t="s">
        <v>106</v>
      </c>
      <c r="Z2407" s="4">
        <v>113</v>
      </c>
      <c r="AA2407" s="4">
        <f>=ROUNDDOWN(26.2790697674419,0)</f>
      </c>
      <c r="AB2407" s="5">
        <v>4.3</v>
      </c>
      <c r="AC2407" s="2" t="s">
        <v>659</v>
      </c>
      <c r="AD2407" s="4">
        <v>14</v>
      </c>
      <c r="AE2407" s="4">
        <v>151</v>
      </c>
      <c r="AF2407" s="6">
        <v>66</v>
      </c>
      <c r="AG2407" s="6">
        <v>49</v>
      </c>
      <c r="AH2407" s="7">
        <v>0.8667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100</v>
      </c>
      <c r="BD2407" s="8" t="s">
        <v>100</v>
      </c>
      <c r="BE2407" s="4" t="s">
        <v>100</v>
      </c>
      <c r="BF2407" s="8" t="s">
        <v>100</v>
      </c>
      <c r="BG2407" s="7" t="s">
        <v>100</v>
      </c>
      <c r="BH2407" s="7" t="s">
        <v>100</v>
      </c>
      <c r="BI2407" s="7"/>
      <c r="BJ2407" s="4">
        <v>307</v>
      </c>
      <c r="BK2407" s="8">
        <v>45045.9</v>
      </c>
      <c r="BL2407" s="2" t="s">
        <v>8773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6185</v>
      </c>
      <c r="BV2407" s="2" t="s">
        <v>97</v>
      </c>
      <c r="BW2407" s="2" t="s">
        <v>100</v>
      </c>
      <c r="BX2407" s="2" t="s">
        <v>100</v>
      </c>
      <c r="BY2407" s="2" t="s">
        <v>112</v>
      </c>
      <c r="BZ2407" s="2" t="s">
        <v>100</v>
      </c>
    </row>
    <row r="2408">
      <c r="A2408" s="2" t="s">
        <v>8774</v>
      </c>
      <c r="B2408" s="2" t="s">
        <v>7252</v>
      </c>
      <c r="C2408" s="2" t="s">
        <v>88</v>
      </c>
      <c r="D2408" s="2" t="s">
        <v>8680</v>
      </c>
      <c r="E2408" s="2" t="s">
        <v>8681</v>
      </c>
      <c r="F2408" s="2" t="s">
        <v>8362</v>
      </c>
      <c r="G2408" s="2" t="s">
        <v>8770</v>
      </c>
      <c r="H2408" s="2" t="s">
        <v>2365</v>
      </c>
      <c r="I2408" s="2" t="s">
        <v>8771</v>
      </c>
      <c r="J2408" s="2" t="s">
        <v>6103</v>
      </c>
      <c r="K2408" s="2" t="s">
        <v>2367</v>
      </c>
      <c r="L2408" s="3">
        <v>153</v>
      </c>
      <c r="M2408" s="3">
        <v>160.65</v>
      </c>
      <c r="N2408" s="3">
        <v>319</v>
      </c>
      <c r="O2408" s="2" t="s">
        <v>97</v>
      </c>
      <c r="P2408" s="2" t="s">
        <v>143</v>
      </c>
      <c r="Q2408" s="2" t="s">
        <v>99</v>
      </c>
      <c r="R2408" s="2" t="s">
        <v>100</v>
      </c>
      <c r="S2408" s="2" t="s">
        <v>100</v>
      </c>
      <c r="T2408" s="2" t="s">
        <v>100</v>
      </c>
      <c r="U2408" s="2" t="s">
        <v>3531</v>
      </c>
      <c r="V2408" s="2" t="s">
        <v>601</v>
      </c>
      <c r="W2408" s="2" t="s">
        <v>405</v>
      </c>
      <c r="X2408" s="2" t="s">
        <v>100</v>
      </c>
      <c r="Y2408" s="2" t="s">
        <v>7338</v>
      </c>
      <c r="Z2408" s="4">
        <v>135</v>
      </c>
      <c r="AA2408" s="4">
        <f>=ROUNDDOWN(36.4864864864865,0)</f>
      </c>
      <c r="AB2408" s="5">
        <v>3.7</v>
      </c>
      <c r="AC2408" s="2" t="s">
        <v>919</v>
      </c>
      <c r="AD2408" s="4">
        <v>70</v>
      </c>
      <c r="AE2408" s="4">
        <v>70</v>
      </c>
      <c r="AF2408" s="6">
        <v>66</v>
      </c>
      <c r="AG2408" s="6">
        <v>49</v>
      </c>
      <c r="AH2408" s="7">
        <v>0.9273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>
        <v>352</v>
      </c>
      <c r="BK2408" s="8">
        <v>52015.71</v>
      </c>
      <c r="BL2408" s="2" t="s">
        <v>8775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6185</v>
      </c>
      <c r="BV2408" s="2" t="s">
        <v>97</v>
      </c>
      <c r="BW2408" s="2" t="s">
        <v>100</v>
      </c>
      <c r="BX2408" s="2" t="s">
        <v>100</v>
      </c>
      <c r="BY2408" s="2" t="s">
        <v>112</v>
      </c>
      <c r="BZ2408" s="2" t="s">
        <v>100</v>
      </c>
    </row>
    <row r="2409">
      <c r="A2409" s="2" t="s">
        <v>8776</v>
      </c>
      <c r="B2409" s="2" t="s">
        <v>7252</v>
      </c>
      <c r="C2409" s="2" t="s">
        <v>88</v>
      </c>
      <c r="D2409" s="2" t="s">
        <v>8680</v>
      </c>
      <c r="E2409" s="2" t="s">
        <v>8681</v>
      </c>
      <c r="F2409" s="2" t="s">
        <v>3762</v>
      </c>
      <c r="G2409" s="2" t="s">
        <v>8777</v>
      </c>
      <c r="H2409" s="2" t="s">
        <v>8778</v>
      </c>
      <c r="I2409" s="2" t="s">
        <v>8779</v>
      </c>
      <c r="J2409" s="2" t="s">
        <v>6103</v>
      </c>
      <c r="K2409" s="2" t="s">
        <v>333</v>
      </c>
      <c r="L2409" s="3">
        <v>140.25</v>
      </c>
      <c r="M2409" s="3">
        <v>147.26</v>
      </c>
      <c r="N2409" s="3">
        <v>299</v>
      </c>
      <c r="O2409" s="2" t="s">
        <v>97</v>
      </c>
      <c r="P2409" s="2" t="s">
        <v>182</v>
      </c>
      <c r="Q2409" s="2" t="s">
        <v>99</v>
      </c>
      <c r="R2409" s="2" t="s">
        <v>100</v>
      </c>
      <c r="S2409" s="2" t="s">
        <v>100</v>
      </c>
      <c r="T2409" s="2" t="s">
        <v>100</v>
      </c>
      <c r="U2409" s="2" t="s">
        <v>3531</v>
      </c>
      <c r="V2409" s="2" t="s">
        <v>601</v>
      </c>
      <c r="W2409" s="2" t="s">
        <v>104</v>
      </c>
      <c r="X2409" s="2" t="s">
        <v>602</v>
      </c>
      <c r="Y2409" s="2" t="s">
        <v>128</v>
      </c>
      <c r="Z2409" s="4">
        <v>62</v>
      </c>
      <c r="AA2409" s="4">
        <f>=ROUNDDOWN(15.5,0)</f>
      </c>
      <c r="AB2409" s="5">
        <v>4</v>
      </c>
      <c r="AC2409" s="2" t="s">
        <v>919</v>
      </c>
      <c r="AD2409" s="4">
        <v>75</v>
      </c>
      <c r="AE2409" s="4">
        <v>75</v>
      </c>
      <c r="AF2409" s="6">
        <v>66</v>
      </c>
      <c r="AG2409" s="6"/>
      <c r="AH2409" s="7">
        <v>0.6061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/>
      <c r="BD2409" s="8"/>
      <c r="BE2409" s="4"/>
      <c r="BF2409" s="8"/>
      <c r="BG2409" s="7"/>
      <c r="BH2409" s="7"/>
      <c r="BI2409" s="7"/>
      <c r="BJ2409" s="4">
        <v>65</v>
      </c>
      <c r="BK2409" s="8">
        <v>9757.28</v>
      </c>
      <c r="BL2409" s="2" t="s">
        <v>8780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6185</v>
      </c>
      <c r="BV2409" s="2" t="s">
        <v>97</v>
      </c>
      <c r="BW2409" s="2" t="s">
        <v>100</v>
      </c>
      <c r="BX2409" s="2" t="s">
        <v>100</v>
      </c>
      <c r="BY2409" s="2" t="s">
        <v>112</v>
      </c>
      <c r="BZ2409" s="2" t="s">
        <v>100</v>
      </c>
    </row>
    <row r="2410">
      <c r="A2410" s="2" t="s">
        <v>8781</v>
      </c>
      <c r="B2410" s="2" t="s">
        <v>7252</v>
      </c>
      <c r="C2410" s="2" t="s">
        <v>88</v>
      </c>
      <c r="D2410" s="2" t="s">
        <v>8680</v>
      </c>
      <c r="E2410" s="2" t="s">
        <v>8681</v>
      </c>
      <c r="F2410" s="2" t="s">
        <v>8782</v>
      </c>
      <c r="G2410" s="2" t="s">
        <v>8783</v>
      </c>
      <c r="H2410" s="2" t="s">
        <v>1786</v>
      </c>
      <c r="I2410" s="2" t="s">
        <v>8784</v>
      </c>
      <c r="J2410" s="2" t="s">
        <v>6103</v>
      </c>
      <c r="K2410" s="2" t="s">
        <v>3021</v>
      </c>
      <c r="L2410" s="3">
        <v>143</v>
      </c>
      <c r="M2410" s="3">
        <v>150.15</v>
      </c>
      <c r="N2410" s="3">
        <v>299</v>
      </c>
      <c r="O2410" s="2" t="s">
        <v>229</v>
      </c>
      <c r="P2410" s="2" t="s">
        <v>198</v>
      </c>
      <c r="Q2410" s="2" t="s">
        <v>99</v>
      </c>
      <c r="R2410" s="2" t="s">
        <v>100</v>
      </c>
      <c r="S2410" s="2" t="s">
        <v>100</v>
      </c>
      <c r="T2410" s="2" t="s">
        <v>100</v>
      </c>
      <c r="U2410" s="2" t="s">
        <v>100</v>
      </c>
      <c r="V2410" s="2" t="s">
        <v>1752</v>
      </c>
      <c r="W2410" s="2" t="s">
        <v>104</v>
      </c>
      <c r="X2410" s="2" t="s">
        <v>100</v>
      </c>
      <c r="Y2410" s="2" t="s">
        <v>8785</v>
      </c>
      <c r="Z2410" s="4">
        <v>29</v>
      </c>
      <c r="AA2410" s="4">
        <f>=ROUNDDOWN(29,0)</f>
      </c>
      <c r="AB2410" s="5">
        <v>1</v>
      </c>
      <c r="AC2410" s="2" t="s">
        <v>100</v>
      </c>
      <c r="AD2410" s="4"/>
      <c r="AE2410" s="4"/>
      <c r="AF2410" s="6">
        <v>66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/>
      <c r="BD2410" s="8"/>
      <c r="BE2410" s="4"/>
      <c r="BF2410" s="8"/>
      <c r="BG2410" s="7"/>
      <c r="BH2410" s="7"/>
      <c r="BI2410" s="7"/>
      <c r="BJ2410" s="4">
        <v>17</v>
      </c>
      <c r="BK2410" s="8">
        <v>2078.92</v>
      </c>
      <c r="BL2410" s="2" t="s">
        <v>8786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147</v>
      </c>
      <c r="BV2410" s="2" t="s">
        <v>97</v>
      </c>
      <c r="BW2410" s="2" t="s">
        <v>100</v>
      </c>
      <c r="BX2410" s="2" t="s">
        <v>100</v>
      </c>
      <c r="BY2410" s="2" t="s">
        <v>112</v>
      </c>
      <c r="BZ2410" s="2" t="s">
        <v>100</v>
      </c>
    </row>
    <row r="2411">
      <c r="A2411" s="2" t="s">
        <v>8787</v>
      </c>
      <c r="B2411" s="2" t="s">
        <v>7252</v>
      </c>
      <c r="C2411" s="2" t="s">
        <v>88</v>
      </c>
      <c r="D2411" s="2" t="s">
        <v>8680</v>
      </c>
      <c r="E2411" s="2" t="s">
        <v>8681</v>
      </c>
      <c r="F2411" s="2" t="s">
        <v>4195</v>
      </c>
      <c r="G2411" s="2" t="s">
        <v>1826</v>
      </c>
      <c r="H2411" s="2" t="s">
        <v>8788</v>
      </c>
      <c r="I2411" s="2" t="s">
        <v>8789</v>
      </c>
      <c r="J2411" s="2" t="s">
        <v>6103</v>
      </c>
      <c r="K2411" s="2" t="s">
        <v>158</v>
      </c>
      <c r="L2411" s="3">
        <v>95</v>
      </c>
      <c r="M2411" s="3">
        <v>99.75</v>
      </c>
      <c r="N2411" s="3">
        <v>199</v>
      </c>
      <c r="O2411" s="2" t="s">
        <v>229</v>
      </c>
      <c r="P2411" s="2" t="s">
        <v>198</v>
      </c>
      <c r="Q2411" s="2" t="s">
        <v>99</v>
      </c>
      <c r="R2411" s="2" t="s">
        <v>100</v>
      </c>
      <c r="S2411" s="2" t="s">
        <v>8790</v>
      </c>
      <c r="T2411" s="2" t="s">
        <v>100</v>
      </c>
      <c r="U2411" s="2" t="s">
        <v>100</v>
      </c>
      <c r="V2411" s="2" t="s">
        <v>601</v>
      </c>
      <c r="W2411" s="2" t="s">
        <v>602</v>
      </c>
      <c r="X2411" s="2" t="s">
        <v>100</v>
      </c>
      <c r="Y2411" s="2" t="s">
        <v>106</v>
      </c>
      <c r="Z2411" s="4">
        <v>18</v>
      </c>
      <c r="AA2411" s="4">
        <f>=ROUNDDOWN(22.5,0)</f>
      </c>
      <c r="AB2411" s="5">
        <v>0.8</v>
      </c>
      <c r="AC2411" s="2" t="s">
        <v>100</v>
      </c>
      <c r="AD2411" s="4"/>
      <c r="AE2411" s="4"/>
      <c r="AF2411" s="6">
        <v>66</v>
      </c>
      <c r="AG2411" s="6"/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>
        <v>0</v>
      </c>
      <c r="AP2411" s="4"/>
      <c r="AQ2411" s="8"/>
      <c r="AR2411" s="4">
        <v>3</v>
      </c>
      <c r="AS2411" s="8">
        <v>299.25</v>
      </c>
      <c r="AT2411" s="7">
        <v>-1</v>
      </c>
      <c r="AU2411" s="7">
        <v>-1</v>
      </c>
      <c r="AV2411" s="4"/>
      <c r="AW2411" s="8"/>
      <c r="AX2411" s="4">
        <v>3</v>
      </c>
      <c r="AY2411" s="8">
        <v>299.25</v>
      </c>
      <c r="AZ2411" s="7">
        <v>-1</v>
      </c>
      <c r="BA2411" s="7">
        <v>-1</v>
      </c>
      <c r="BB2411" s="7"/>
      <c r="BC2411" s="4" t="s">
        <v>100</v>
      </c>
      <c r="BD2411" s="8" t="s">
        <v>100</v>
      </c>
      <c r="BE2411" s="4">
        <v>16</v>
      </c>
      <c r="BF2411" s="8">
        <v>1596</v>
      </c>
      <c r="BG2411" s="7" t="s">
        <v>100</v>
      </c>
      <c r="BH2411" s="7" t="s">
        <v>100</v>
      </c>
      <c r="BI2411" s="7"/>
      <c r="BJ2411" s="4">
        <v>47</v>
      </c>
      <c r="BK2411" s="8">
        <v>3849.92</v>
      </c>
      <c r="BL2411" s="2" t="s">
        <v>8791</v>
      </c>
      <c r="BM2411" s="7"/>
      <c r="BN2411" s="7"/>
      <c r="BO2411" s="4"/>
      <c r="BP2411" s="8"/>
      <c r="BQ2411" s="4">
        <v>3</v>
      </c>
      <c r="BR2411" s="8">
        <v>299.25</v>
      </c>
      <c r="BS2411" s="7">
        <v>-1</v>
      </c>
      <c r="BT2411" s="7">
        <v>-1</v>
      </c>
      <c r="BU2411" s="2" t="s">
        <v>109</v>
      </c>
      <c r="BV2411" s="2" t="s">
        <v>97</v>
      </c>
      <c r="BW2411" s="2" t="s">
        <v>8648</v>
      </c>
      <c r="BX2411" s="2" t="s">
        <v>5076</v>
      </c>
      <c r="BY2411" s="2" t="s">
        <v>112</v>
      </c>
      <c r="BZ2411" s="2" t="s">
        <v>100</v>
      </c>
    </row>
    <row r="2412">
      <c r="A2412" s="2" t="s">
        <v>8792</v>
      </c>
      <c r="B2412" s="2" t="s">
        <v>7252</v>
      </c>
      <c r="C2412" s="2" t="s">
        <v>88</v>
      </c>
      <c r="D2412" s="2" t="s">
        <v>8680</v>
      </c>
      <c r="E2412" s="2" t="s">
        <v>8681</v>
      </c>
      <c r="F2412" s="2" t="s">
        <v>4195</v>
      </c>
      <c r="G2412" s="2" t="s">
        <v>1826</v>
      </c>
      <c r="H2412" s="2" t="s">
        <v>8788</v>
      </c>
      <c r="I2412" s="2" t="s">
        <v>8789</v>
      </c>
      <c r="J2412" s="2" t="s">
        <v>6103</v>
      </c>
      <c r="K2412" s="2" t="s">
        <v>333</v>
      </c>
      <c r="L2412" s="3">
        <v>95</v>
      </c>
      <c r="M2412" s="3">
        <v>99.75</v>
      </c>
      <c r="N2412" s="3">
        <v>199</v>
      </c>
      <c r="O2412" s="2" t="s">
        <v>229</v>
      </c>
      <c r="P2412" s="2" t="s">
        <v>198</v>
      </c>
      <c r="Q2412" s="2" t="s">
        <v>99</v>
      </c>
      <c r="R2412" s="2" t="s">
        <v>100</v>
      </c>
      <c r="S2412" s="2" t="s">
        <v>8793</v>
      </c>
      <c r="T2412" s="2" t="s">
        <v>100</v>
      </c>
      <c r="U2412" s="2" t="s">
        <v>100</v>
      </c>
      <c r="V2412" s="2" t="s">
        <v>601</v>
      </c>
      <c r="W2412" s="2" t="s">
        <v>602</v>
      </c>
      <c r="X2412" s="2" t="s">
        <v>100</v>
      </c>
      <c r="Y2412" s="2" t="s">
        <v>106</v>
      </c>
      <c r="Z2412" s="4"/>
      <c r="AA2412" s="4">
        <f>=ROUNDDOWN({0},0)</f>
      </c>
      <c r="AB2412" s="5"/>
      <c r="AC2412" s="2" t="s">
        <v>100</v>
      </c>
      <c r="AD2412" s="4"/>
      <c r="AE2412" s="4"/>
      <c r="AF2412" s="6">
        <v>66</v>
      </c>
      <c r="AG2412" s="6">
        <v>49</v>
      </c>
      <c r="AH2412" s="7">
        <v>0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>
        <v>0</v>
      </c>
      <c r="AP2412" s="4"/>
      <c r="AQ2412" s="8"/>
      <c r="AR2412" s="4">
        <v>13</v>
      </c>
      <c r="AS2412" s="8">
        <v>1296.75</v>
      </c>
      <c r="AT2412" s="7">
        <v>-1</v>
      </c>
      <c r="AU2412" s="7">
        <v>-1</v>
      </c>
      <c r="AV2412" s="4"/>
      <c r="AW2412" s="8"/>
      <c r="AX2412" s="4">
        <v>13</v>
      </c>
      <c r="AY2412" s="8">
        <v>1296.75</v>
      </c>
      <c r="AZ2412" s="7">
        <v>-1</v>
      </c>
      <c r="BA2412" s="7">
        <v>-1</v>
      </c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/>
      <c r="BK2412" s="8"/>
      <c r="BL2412" s="2" t="s">
        <v>8794</v>
      </c>
      <c r="BM2412" s="7"/>
      <c r="BN2412" s="7"/>
      <c r="BO2412" s="4"/>
      <c r="BP2412" s="8"/>
      <c r="BQ2412" s="4">
        <v>13</v>
      </c>
      <c r="BR2412" s="8">
        <v>1296.75</v>
      </c>
      <c r="BS2412" s="7">
        <v>-1</v>
      </c>
      <c r="BT2412" s="7">
        <v>-1</v>
      </c>
      <c r="BU2412" s="2" t="s">
        <v>109</v>
      </c>
      <c r="BV2412" s="2" t="s">
        <v>552</v>
      </c>
      <c r="BW2412" s="2" t="s">
        <v>8648</v>
      </c>
      <c r="BX2412" s="2" t="s">
        <v>5598</v>
      </c>
      <c r="BY2412" s="2" t="s">
        <v>112</v>
      </c>
      <c r="BZ2412" s="2" t="s">
        <v>100</v>
      </c>
    </row>
    <row r="2413">
      <c r="A2413" s="2" t="s">
        <v>8795</v>
      </c>
      <c r="B2413" s="2" t="s">
        <v>7252</v>
      </c>
      <c r="C2413" s="2" t="s">
        <v>88</v>
      </c>
      <c r="D2413" s="2" t="s">
        <v>8680</v>
      </c>
      <c r="E2413" s="2" t="s">
        <v>8681</v>
      </c>
      <c r="F2413" s="2" t="s">
        <v>8796</v>
      </c>
      <c r="G2413" s="2" t="s">
        <v>8797</v>
      </c>
      <c r="H2413" s="2" t="s">
        <v>8798</v>
      </c>
      <c r="I2413" s="2" t="s">
        <v>8799</v>
      </c>
      <c r="J2413" s="2" t="s">
        <v>6103</v>
      </c>
      <c r="K2413" s="2" t="s">
        <v>635</v>
      </c>
      <c r="L2413" s="3">
        <v>90</v>
      </c>
      <c r="M2413" s="3">
        <v>94.5</v>
      </c>
      <c r="N2413" s="3">
        <v>189</v>
      </c>
      <c r="O2413" s="2" t="s">
        <v>550</v>
      </c>
      <c r="P2413" s="2" t="s">
        <v>198</v>
      </c>
      <c r="Q2413" s="2" t="s">
        <v>99</v>
      </c>
      <c r="R2413" s="2" t="s">
        <v>100</v>
      </c>
      <c r="S2413" s="2" t="s">
        <v>8800</v>
      </c>
      <c r="T2413" s="2" t="s">
        <v>100</v>
      </c>
      <c r="U2413" s="2" t="s">
        <v>100</v>
      </c>
      <c r="V2413" s="2" t="s">
        <v>5769</v>
      </c>
      <c r="W2413" s="2" t="s">
        <v>602</v>
      </c>
      <c r="X2413" s="2" t="s">
        <v>100</v>
      </c>
      <c r="Y2413" s="2" t="s">
        <v>106</v>
      </c>
      <c r="Z2413" s="4"/>
      <c r="AA2413" s="4">
        <f>=ROUNDDOWN({0},0)</f>
      </c>
      <c r="AB2413" s="5"/>
      <c r="AC2413" s="2" t="s">
        <v>100</v>
      </c>
      <c r="AD2413" s="4"/>
      <c r="AE2413" s="4"/>
      <c r="AF2413" s="6"/>
      <c r="AG2413" s="6"/>
      <c r="AH2413" s="7">
        <v>0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/>
      <c r="BK2413" s="8"/>
      <c r="BL2413" s="2" t="s">
        <v>8801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109</v>
      </c>
      <c r="BV2413" s="2" t="s">
        <v>97</v>
      </c>
      <c r="BW2413" s="2" t="s">
        <v>8802</v>
      </c>
      <c r="BX2413" s="2" t="s">
        <v>100</v>
      </c>
      <c r="BY2413" s="2" t="s">
        <v>112</v>
      </c>
      <c r="BZ2413" s="2" t="s">
        <v>100</v>
      </c>
    </row>
    <row r="2414">
      <c r="A2414" s="2" t="s">
        <v>8803</v>
      </c>
      <c r="B2414" s="2" t="s">
        <v>7252</v>
      </c>
      <c r="C2414" s="2" t="s">
        <v>88</v>
      </c>
      <c r="D2414" s="2" t="s">
        <v>8680</v>
      </c>
      <c r="E2414" s="2" t="s">
        <v>8681</v>
      </c>
      <c r="F2414" s="2" t="s">
        <v>8796</v>
      </c>
      <c r="G2414" s="2" t="s">
        <v>8797</v>
      </c>
      <c r="H2414" s="2" t="s">
        <v>8798</v>
      </c>
      <c r="I2414" s="2" t="s">
        <v>8799</v>
      </c>
      <c r="J2414" s="2" t="s">
        <v>6103</v>
      </c>
      <c r="K2414" s="2" t="s">
        <v>96</v>
      </c>
      <c r="L2414" s="3">
        <v>90</v>
      </c>
      <c r="M2414" s="3">
        <v>94.5</v>
      </c>
      <c r="N2414" s="3">
        <v>189</v>
      </c>
      <c r="O2414" s="2" t="s">
        <v>97</v>
      </c>
      <c r="P2414" s="2" t="s">
        <v>198</v>
      </c>
      <c r="Q2414" s="2" t="s">
        <v>99</v>
      </c>
      <c r="R2414" s="2" t="s">
        <v>100</v>
      </c>
      <c r="S2414" s="2" t="s">
        <v>8804</v>
      </c>
      <c r="T2414" s="2" t="s">
        <v>100</v>
      </c>
      <c r="U2414" s="2" t="s">
        <v>100</v>
      </c>
      <c r="V2414" s="2" t="s">
        <v>3244</v>
      </c>
      <c r="W2414" s="2" t="s">
        <v>602</v>
      </c>
      <c r="X2414" s="2" t="s">
        <v>100</v>
      </c>
      <c r="Y2414" s="2" t="s">
        <v>106</v>
      </c>
      <c r="Z2414" s="4"/>
      <c r="AA2414" s="4">
        <f>=ROUNDDOWN({0},0)</f>
      </c>
      <c r="AB2414" s="5"/>
      <c r="AC2414" s="2" t="s">
        <v>100</v>
      </c>
      <c r="AD2414" s="4"/>
      <c r="AE2414" s="4"/>
      <c r="AF2414" s="6">
        <v>67</v>
      </c>
      <c r="AG2414" s="6"/>
      <c r="AH2414" s="7">
        <v>0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/>
      <c r="BK2414" s="8"/>
      <c r="BL2414" s="2" t="s">
        <v>8805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109</v>
      </c>
      <c r="BV2414" s="2" t="s">
        <v>97</v>
      </c>
      <c r="BW2414" s="2" t="s">
        <v>7307</v>
      </c>
      <c r="BX2414" s="2" t="s">
        <v>100</v>
      </c>
      <c r="BY2414" s="2" t="s">
        <v>112</v>
      </c>
      <c r="BZ2414" s="2" t="s">
        <v>100</v>
      </c>
    </row>
    <row r="2415">
      <c r="A2415" s="2" t="s">
        <v>8806</v>
      </c>
      <c r="B2415" s="2" t="s">
        <v>7252</v>
      </c>
      <c r="C2415" s="2" t="s">
        <v>88</v>
      </c>
      <c r="D2415" s="2" t="s">
        <v>8680</v>
      </c>
      <c r="E2415" s="2" t="s">
        <v>8681</v>
      </c>
      <c r="F2415" s="2" t="s">
        <v>8807</v>
      </c>
      <c r="G2415" s="2" t="s">
        <v>7493</v>
      </c>
      <c r="H2415" s="2" t="s">
        <v>8808</v>
      </c>
      <c r="I2415" s="2" t="s">
        <v>8809</v>
      </c>
      <c r="J2415" s="2" t="s">
        <v>6103</v>
      </c>
      <c r="K2415" s="2" t="s">
        <v>323</v>
      </c>
      <c r="L2415" s="3">
        <v>150</v>
      </c>
      <c r="M2415" s="3">
        <v>157.5</v>
      </c>
      <c r="N2415" s="3">
        <v>319</v>
      </c>
      <c r="O2415" s="2" t="s">
        <v>229</v>
      </c>
      <c r="P2415" s="2" t="s">
        <v>198</v>
      </c>
      <c r="Q2415" s="2" t="s">
        <v>99</v>
      </c>
      <c r="R2415" s="2" t="s">
        <v>100</v>
      </c>
      <c r="S2415" s="2" t="s">
        <v>100</v>
      </c>
      <c r="T2415" s="2" t="s">
        <v>100</v>
      </c>
      <c r="U2415" s="2" t="s">
        <v>3531</v>
      </c>
      <c r="V2415" s="2" t="s">
        <v>601</v>
      </c>
      <c r="W2415" s="2" t="s">
        <v>104</v>
      </c>
      <c r="X2415" s="2" t="s">
        <v>100</v>
      </c>
      <c r="Y2415" s="2" t="s">
        <v>8810</v>
      </c>
      <c r="Z2415" s="4">
        <v>82</v>
      </c>
      <c r="AA2415" s="4">
        <f>=ROUNDDOWN(91.1111111111111,0)</f>
      </c>
      <c r="AB2415" s="5">
        <v>0.9</v>
      </c>
      <c r="AC2415" s="2" t="s">
        <v>100</v>
      </c>
      <c r="AD2415" s="4"/>
      <c r="AE2415" s="4"/>
      <c r="AF2415" s="6">
        <v>75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/>
      <c r="BD2415" s="8"/>
      <c r="BE2415" s="4"/>
      <c r="BF2415" s="8"/>
      <c r="BG2415" s="7"/>
      <c r="BH2415" s="7"/>
      <c r="BI2415" s="7"/>
      <c r="BJ2415" s="4">
        <v>20</v>
      </c>
      <c r="BK2415" s="8">
        <v>2678.01</v>
      </c>
      <c r="BL2415" s="2" t="s">
        <v>8811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147</v>
      </c>
      <c r="BV2415" s="2" t="s">
        <v>97</v>
      </c>
      <c r="BW2415" s="2" t="s">
        <v>100</v>
      </c>
      <c r="BX2415" s="2" t="s">
        <v>100</v>
      </c>
      <c r="BY2415" s="2" t="s">
        <v>112</v>
      </c>
      <c r="BZ2415" s="2" t="s">
        <v>100</v>
      </c>
    </row>
    <row r="2416">
      <c r="A2416" s="2" t="s">
        <v>8812</v>
      </c>
      <c r="B2416" s="2" t="s">
        <v>7252</v>
      </c>
      <c r="C2416" s="2" t="s">
        <v>88</v>
      </c>
      <c r="D2416" s="2" t="s">
        <v>8680</v>
      </c>
      <c r="E2416" s="2" t="s">
        <v>8576</v>
      </c>
      <c r="F2416" s="2" t="s">
        <v>8526</v>
      </c>
      <c r="G2416" s="2" t="s">
        <v>8527</v>
      </c>
      <c r="H2416" s="2" t="s">
        <v>8528</v>
      </c>
      <c r="I2416" s="2" t="s">
        <v>8813</v>
      </c>
      <c r="J2416" s="2" t="s">
        <v>6103</v>
      </c>
      <c r="K2416" s="2" t="s">
        <v>635</v>
      </c>
      <c r="L2416" s="3">
        <v>148.5</v>
      </c>
      <c r="M2416" s="3">
        <v>155.92</v>
      </c>
      <c r="N2416" s="3">
        <v>309</v>
      </c>
      <c r="O2416" s="2" t="s">
        <v>97</v>
      </c>
      <c r="P2416" s="2" t="s">
        <v>198</v>
      </c>
      <c r="Q2416" s="2" t="s">
        <v>99</v>
      </c>
      <c r="R2416" s="2" t="s">
        <v>100</v>
      </c>
      <c r="S2416" s="2" t="s">
        <v>100</v>
      </c>
      <c r="T2416" s="2" t="s">
        <v>100</v>
      </c>
      <c r="U2416" s="2" t="s">
        <v>3531</v>
      </c>
      <c r="V2416" s="2" t="s">
        <v>1752</v>
      </c>
      <c r="W2416" s="2" t="s">
        <v>602</v>
      </c>
      <c r="X2416" s="2" t="s">
        <v>100</v>
      </c>
      <c r="Y2416" s="2" t="s">
        <v>8814</v>
      </c>
      <c r="Z2416" s="4">
        <v>98</v>
      </c>
      <c r="AA2416" s="4">
        <f>=ROUNDDOWN(65.3333333333333,0)</f>
      </c>
      <c r="AB2416" s="5">
        <v>1.5</v>
      </c>
      <c r="AC2416" s="2" t="s">
        <v>100</v>
      </c>
      <c r="AD2416" s="4"/>
      <c r="AE2416" s="4"/>
      <c r="AF2416" s="6">
        <v>66</v>
      </c>
      <c r="AG2416" s="6"/>
      <c r="AH2416" s="7">
        <v>1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/>
      <c r="BD2416" s="8"/>
      <c r="BE2416" s="4"/>
      <c r="BF2416" s="8"/>
      <c r="BG2416" s="7"/>
      <c r="BH2416" s="7"/>
      <c r="BI2416" s="7"/>
      <c r="BJ2416" s="4">
        <v>40</v>
      </c>
      <c r="BK2416" s="8">
        <v>6000.82</v>
      </c>
      <c r="BL2416" s="2" t="s">
        <v>8815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147</v>
      </c>
      <c r="BV2416" s="2" t="s">
        <v>97</v>
      </c>
      <c r="BW2416" s="2" t="s">
        <v>100</v>
      </c>
      <c r="BX2416" s="2" t="s">
        <v>100</v>
      </c>
      <c r="BY2416" s="2" t="s">
        <v>112</v>
      </c>
      <c r="BZ2416" s="2" t="s">
        <v>100</v>
      </c>
    </row>
    <row r="2417">
      <c r="A2417" s="2" t="s">
        <v>8816</v>
      </c>
      <c r="B2417" s="2" t="s">
        <v>7252</v>
      </c>
      <c r="C2417" s="2" t="s">
        <v>88</v>
      </c>
      <c r="D2417" s="2" t="s">
        <v>8817</v>
      </c>
      <c r="E2417" s="2" t="s">
        <v>8818</v>
      </c>
      <c r="F2417" s="2" t="s">
        <v>7958</v>
      </c>
      <c r="G2417" s="2" t="s">
        <v>7959</v>
      </c>
      <c r="H2417" s="2" t="s">
        <v>7616</v>
      </c>
      <c r="I2417" s="2" t="s">
        <v>8819</v>
      </c>
      <c r="J2417" s="2" t="s">
        <v>6103</v>
      </c>
      <c r="K2417" s="2" t="s">
        <v>622</v>
      </c>
      <c r="L2417" s="3">
        <v>171</v>
      </c>
      <c r="M2417" s="3">
        <v>179.55</v>
      </c>
      <c r="N2417" s="3">
        <v>359</v>
      </c>
      <c r="O2417" s="2" t="s">
        <v>229</v>
      </c>
      <c r="P2417" s="2" t="s">
        <v>198</v>
      </c>
      <c r="Q2417" s="2" t="s">
        <v>99</v>
      </c>
      <c r="R2417" s="2" t="s">
        <v>100</v>
      </c>
      <c r="S2417" s="2" t="s">
        <v>8820</v>
      </c>
      <c r="T2417" s="2" t="s">
        <v>100</v>
      </c>
      <c r="U2417" s="2" t="s">
        <v>100</v>
      </c>
      <c r="V2417" s="2" t="s">
        <v>3244</v>
      </c>
      <c r="W2417" s="2" t="s">
        <v>602</v>
      </c>
      <c r="X2417" s="2" t="s">
        <v>100</v>
      </c>
      <c r="Y2417" s="2" t="s">
        <v>106</v>
      </c>
      <c r="Z2417" s="4"/>
      <c r="AA2417" s="4">
        <f>=ROUNDDOWN({0},0)</f>
      </c>
      <c r="AB2417" s="5">
        <v>3.7</v>
      </c>
      <c r="AC2417" s="2" t="s">
        <v>100</v>
      </c>
      <c r="AD2417" s="4"/>
      <c r="AE2417" s="4"/>
      <c r="AF2417" s="6">
        <v>65</v>
      </c>
      <c r="AG2417" s="6">
        <v>48</v>
      </c>
      <c r="AH2417" s="7">
        <v>0.6182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>
        <v>0</v>
      </c>
      <c r="AP2417" s="4">
        <v>6</v>
      </c>
      <c r="AQ2417" s="8">
        <v>992.28</v>
      </c>
      <c r="AR2417" s="4">
        <v>16</v>
      </c>
      <c r="AS2417" s="8">
        <v>2663.78</v>
      </c>
      <c r="AT2417" s="7">
        <v>-0.625</v>
      </c>
      <c r="AU2417" s="7">
        <v>-0.6275</v>
      </c>
      <c r="AV2417" s="4">
        <v>6</v>
      </c>
      <c r="AW2417" s="8">
        <v>992.28</v>
      </c>
      <c r="AX2417" s="4">
        <v>16</v>
      </c>
      <c r="AY2417" s="8">
        <v>2663.78</v>
      </c>
      <c r="AZ2417" s="7">
        <v>-0.625</v>
      </c>
      <c r="BA2417" s="7">
        <v>-0.6275</v>
      </c>
      <c r="BB2417" s="7">
        <v>1</v>
      </c>
      <c r="BC2417" s="4">
        <v>6</v>
      </c>
      <c r="BD2417" s="8">
        <v>992.28</v>
      </c>
      <c r="BE2417" s="4">
        <v>39</v>
      </c>
      <c r="BF2417" s="8">
        <v>5516.7</v>
      </c>
      <c r="BG2417" s="7">
        <v>-0.8462</v>
      </c>
      <c r="BH2417" s="7">
        <v>-0.8201</v>
      </c>
      <c r="BI2417" s="7">
        <v>1</v>
      </c>
      <c r="BJ2417" s="4">
        <v>63</v>
      </c>
      <c r="BK2417" s="8">
        <v>10872.48</v>
      </c>
      <c r="BL2417" s="2" t="s">
        <v>8821</v>
      </c>
      <c r="BM2417" s="7">
        <v>0.0952</v>
      </c>
      <c r="BN2417" s="7">
        <v>0.0913</v>
      </c>
      <c r="BO2417" s="4">
        <v>6</v>
      </c>
      <c r="BP2417" s="8">
        <v>992.28</v>
      </c>
      <c r="BQ2417" s="4">
        <v>16</v>
      </c>
      <c r="BR2417" s="8">
        <v>2663.78</v>
      </c>
      <c r="BS2417" s="7">
        <v>-0.625</v>
      </c>
      <c r="BT2417" s="7">
        <v>-0.6275</v>
      </c>
      <c r="BU2417" s="2" t="s">
        <v>109</v>
      </c>
      <c r="BV2417" s="2" t="s">
        <v>97</v>
      </c>
      <c r="BW2417" s="2" t="s">
        <v>7307</v>
      </c>
      <c r="BX2417" s="2" t="s">
        <v>7811</v>
      </c>
      <c r="BY2417" s="2" t="s">
        <v>112</v>
      </c>
      <c r="BZ2417" s="2" t="s">
        <v>100</v>
      </c>
    </row>
    <row r="2418">
      <c r="A2418" s="2" t="s">
        <v>8822</v>
      </c>
      <c r="B2418" s="2" t="s">
        <v>7252</v>
      </c>
      <c r="C2418" s="2" t="s">
        <v>88</v>
      </c>
      <c r="D2418" s="2" t="s">
        <v>8817</v>
      </c>
      <c r="E2418" s="2" t="s">
        <v>8818</v>
      </c>
      <c r="F2418" s="2" t="s">
        <v>7958</v>
      </c>
      <c r="G2418" s="2" t="s">
        <v>7959</v>
      </c>
      <c r="H2418" s="2" t="s">
        <v>7616</v>
      </c>
      <c r="I2418" s="2" t="s">
        <v>8819</v>
      </c>
      <c r="J2418" s="2" t="s">
        <v>6103</v>
      </c>
      <c r="K2418" s="2" t="s">
        <v>2367</v>
      </c>
      <c r="L2418" s="3">
        <v>171</v>
      </c>
      <c r="M2418" s="3">
        <v>179.55</v>
      </c>
      <c r="N2418" s="3">
        <v>359</v>
      </c>
      <c r="O2418" s="2" t="s">
        <v>97</v>
      </c>
      <c r="P2418" s="2" t="s">
        <v>182</v>
      </c>
      <c r="Q2418" s="2" t="s">
        <v>99</v>
      </c>
      <c r="R2418" s="2" t="s">
        <v>100</v>
      </c>
      <c r="S2418" s="2" t="s">
        <v>8823</v>
      </c>
      <c r="T2418" s="2" t="s">
        <v>100</v>
      </c>
      <c r="U2418" s="2" t="s">
        <v>100</v>
      </c>
      <c r="V2418" s="2" t="s">
        <v>601</v>
      </c>
      <c r="W2418" s="2" t="s">
        <v>602</v>
      </c>
      <c r="X2418" s="2" t="s">
        <v>100</v>
      </c>
      <c r="Y2418" s="2" t="s">
        <v>106</v>
      </c>
      <c r="Z2418" s="4">
        <v>200</v>
      </c>
      <c r="AA2418" s="4">
        <f>=ROUNDDOWN(48.780487804878,0)</f>
      </c>
      <c r="AB2418" s="5">
        <v>4.1</v>
      </c>
      <c r="AC2418" s="2" t="s">
        <v>735</v>
      </c>
      <c r="AD2418" s="4">
        <v>100</v>
      </c>
      <c r="AE2418" s="4">
        <v>100</v>
      </c>
      <c r="AF2418" s="6">
        <v>74</v>
      </c>
      <c r="AG2418" s="6"/>
      <c r="AH2418" s="7">
        <v>0.6303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>
        <v>0</v>
      </c>
      <c r="AP2418" s="4"/>
      <c r="AQ2418" s="8"/>
      <c r="AR2418" s="4">
        <v>23</v>
      </c>
      <c r="AS2418" s="8">
        <v>2852.92</v>
      </c>
      <c r="AT2418" s="7">
        <v>-1</v>
      </c>
      <c r="AU2418" s="7">
        <v>-1</v>
      </c>
      <c r="AV2418" s="4"/>
      <c r="AW2418" s="8"/>
      <c r="AX2418" s="4">
        <v>23</v>
      </c>
      <c r="AY2418" s="8">
        <v>2852.92</v>
      </c>
      <c r="AZ2418" s="7">
        <v>-1</v>
      </c>
      <c r="BA2418" s="7">
        <v>-1</v>
      </c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>
        <v>54</v>
      </c>
      <c r="BK2418" s="8">
        <v>9636.95</v>
      </c>
      <c r="BL2418" s="2" t="s">
        <v>8824</v>
      </c>
      <c r="BM2418" s="7"/>
      <c r="BN2418" s="7"/>
      <c r="BO2418" s="4"/>
      <c r="BP2418" s="8"/>
      <c r="BQ2418" s="4">
        <v>23</v>
      </c>
      <c r="BR2418" s="8">
        <v>2852.92</v>
      </c>
      <c r="BS2418" s="7">
        <v>-1</v>
      </c>
      <c r="BT2418" s="7">
        <v>-1</v>
      </c>
      <c r="BU2418" s="2" t="s">
        <v>109</v>
      </c>
      <c r="BV2418" s="2" t="s">
        <v>97</v>
      </c>
      <c r="BW2418" s="2" t="s">
        <v>7307</v>
      </c>
      <c r="BX2418" s="2" t="s">
        <v>4459</v>
      </c>
      <c r="BY2418" s="2" t="s">
        <v>112</v>
      </c>
      <c r="BZ2418" s="2" t="s">
        <v>100</v>
      </c>
    </row>
    <row r="2419">
      <c r="A2419" s="2" t="s">
        <v>8825</v>
      </c>
      <c r="B2419" s="2" t="s">
        <v>7252</v>
      </c>
      <c r="C2419" s="2" t="s">
        <v>88</v>
      </c>
      <c r="D2419" s="2" t="s">
        <v>8817</v>
      </c>
      <c r="E2419" s="2" t="s">
        <v>8818</v>
      </c>
      <c r="F2419" s="2" t="s">
        <v>8097</v>
      </c>
      <c r="G2419" s="2" t="s">
        <v>8098</v>
      </c>
      <c r="H2419" s="2" t="s">
        <v>8099</v>
      </c>
      <c r="I2419" s="2" t="s">
        <v>8826</v>
      </c>
      <c r="J2419" s="2" t="s">
        <v>6103</v>
      </c>
      <c r="K2419" s="2" t="s">
        <v>323</v>
      </c>
      <c r="L2419" s="3">
        <v>136.8</v>
      </c>
      <c r="M2419" s="3">
        <v>143.64</v>
      </c>
      <c r="N2419" s="3">
        <v>289</v>
      </c>
      <c r="O2419" s="2" t="s">
        <v>97</v>
      </c>
      <c r="P2419" s="2" t="s">
        <v>182</v>
      </c>
      <c r="Q2419" s="2" t="s">
        <v>99</v>
      </c>
      <c r="R2419" s="2" t="s">
        <v>100</v>
      </c>
      <c r="S2419" s="2" t="s">
        <v>8827</v>
      </c>
      <c r="T2419" s="2" t="s">
        <v>100</v>
      </c>
      <c r="U2419" s="2" t="s">
        <v>100</v>
      </c>
      <c r="V2419" s="2" t="s">
        <v>601</v>
      </c>
      <c r="W2419" s="2" t="s">
        <v>405</v>
      </c>
      <c r="X2419" s="2" t="s">
        <v>100</v>
      </c>
      <c r="Y2419" s="2" t="s">
        <v>106</v>
      </c>
      <c r="Z2419" s="4">
        <v>109</v>
      </c>
      <c r="AA2419" s="4">
        <f>=ROUNDDOWN(5.45,0)</f>
      </c>
      <c r="AB2419" s="5">
        <v>20</v>
      </c>
      <c r="AC2419" s="2" t="s">
        <v>6016</v>
      </c>
      <c r="AD2419" s="4">
        <v>120</v>
      </c>
      <c r="AE2419" s="4">
        <v>490</v>
      </c>
      <c r="AF2419" s="6">
        <v>66</v>
      </c>
      <c r="AG2419" s="6">
        <v>49</v>
      </c>
      <c r="AH2419" s="7">
        <v>0.9515</v>
      </c>
      <c r="AI2419" s="4"/>
      <c r="AJ2419" s="4">
        <f>=ROUNDDOWN({0},0)</f>
      </c>
      <c r="AK2419" s="5"/>
      <c r="AL2419" s="2" t="s">
        <v>100</v>
      </c>
      <c r="AM2419" s="4"/>
      <c r="AN2419" s="4"/>
      <c r="AO2419" s="7">
        <v>0</v>
      </c>
      <c r="AP2419" s="4">
        <v>6</v>
      </c>
      <c r="AQ2419" s="8">
        <v>630.06</v>
      </c>
      <c r="AR2419" s="4">
        <v>38</v>
      </c>
      <c r="AS2419" s="8">
        <v>4033.29</v>
      </c>
      <c r="AT2419" s="7">
        <v>-0.8421</v>
      </c>
      <c r="AU2419" s="7">
        <v>-0.8438</v>
      </c>
      <c r="AV2419" s="4">
        <v>6</v>
      </c>
      <c r="AW2419" s="8">
        <v>630.06</v>
      </c>
      <c r="AX2419" s="4">
        <v>38</v>
      </c>
      <c r="AY2419" s="8">
        <v>4033.29</v>
      </c>
      <c r="AZ2419" s="7">
        <v>-0.8421</v>
      </c>
      <c r="BA2419" s="7">
        <v>-0.8438</v>
      </c>
      <c r="BB2419" s="7">
        <v>1</v>
      </c>
      <c r="BC2419" s="4">
        <v>8</v>
      </c>
      <c r="BD2419" s="8">
        <v>840.08</v>
      </c>
      <c r="BE2419" s="4">
        <v>42</v>
      </c>
      <c r="BF2419" s="8">
        <v>4493.21</v>
      </c>
      <c r="BG2419" s="7">
        <v>-0.8095</v>
      </c>
      <c r="BH2419" s="7">
        <v>-0.813</v>
      </c>
      <c r="BI2419" s="7">
        <v>0.75</v>
      </c>
      <c r="BJ2419" s="4">
        <v>370</v>
      </c>
      <c r="BK2419" s="8">
        <v>41990.55</v>
      </c>
      <c r="BL2419" s="2" t="s">
        <v>8828</v>
      </c>
      <c r="BM2419" s="7">
        <v>0.0162</v>
      </c>
      <c r="BN2419" s="7">
        <v>0.015</v>
      </c>
      <c r="BO2419" s="4">
        <v>6</v>
      </c>
      <c r="BP2419" s="8">
        <v>630.06</v>
      </c>
      <c r="BQ2419" s="4">
        <v>38</v>
      </c>
      <c r="BR2419" s="8">
        <v>4033.29</v>
      </c>
      <c r="BS2419" s="7">
        <v>-0.8421</v>
      </c>
      <c r="BT2419" s="7">
        <v>-0.8438</v>
      </c>
      <c r="BU2419" s="2" t="s">
        <v>109</v>
      </c>
      <c r="BV2419" s="2" t="s">
        <v>97</v>
      </c>
      <c r="BW2419" s="2" t="s">
        <v>7382</v>
      </c>
      <c r="BX2419" s="2" t="s">
        <v>2331</v>
      </c>
      <c r="BY2419" s="2" t="s">
        <v>112</v>
      </c>
      <c r="BZ2419" s="2" t="s">
        <v>100</v>
      </c>
    </row>
    <row r="2420">
      <c r="A2420" s="2" t="s">
        <v>8829</v>
      </c>
      <c r="B2420" s="2" t="s">
        <v>7252</v>
      </c>
      <c r="C2420" s="2" t="s">
        <v>88</v>
      </c>
      <c r="D2420" s="2" t="s">
        <v>8817</v>
      </c>
      <c r="E2420" s="2" t="s">
        <v>8818</v>
      </c>
      <c r="F2420" s="2" t="s">
        <v>8097</v>
      </c>
      <c r="G2420" s="2" t="s">
        <v>8098</v>
      </c>
      <c r="H2420" s="2" t="s">
        <v>8099</v>
      </c>
      <c r="I2420" s="2" t="s">
        <v>8826</v>
      </c>
      <c r="J2420" s="2" t="s">
        <v>6103</v>
      </c>
      <c r="K2420" s="2" t="s">
        <v>158</v>
      </c>
      <c r="L2420" s="3">
        <v>136.8</v>
      </c>
      <c r="M2420" s="3">
        <v>143.64</v>
      </c>
      <c r="N2420" s="3">
        <v>289</v>
      </c>
      <c r="O2420" s="2" t="s">
        <v>97</v>
      </c>
      <c r="P2420" s="2" t="s">
        <v>182</v>
      </c>
      <c r="Q2420" s="2" t="s">
        <v>99</v>
      </c>
      <c r="R2420" s="2" t="s">
        <v>100</v>
      </c>
      <c r="S2420" s="2" t="s">
        <v>8830</v>
      </c>
      <c r="T2420" s="2" t="s">
        <v>100</v>
      </c>
      <c r="U2420" s="2" t="s">
        <v>100</v>
      </c>
      <c r="V2420" s="2" t="s">
        <v>601</v>
      </c>
      <c r="W2420" s="2" t="s">
        <v>104</v>
      </c>
      <c r="X2420" s="2" t="s">
        <v>100</v>
      </c>
      <c r="Y2420" s="2" t="s">
        <v>106</v>
      </c>
      <c r="Z2420" s="4">
        <v>417</v>
      </c>
      <c r="AA2420" s="4">
        <f>=ROUNDDOWN(27.8,0)</f>
      </c>
      <c r="AB2420" s="5">
        <v>15</v>
      </c>
      <c r="AC2420" s="2" t="s">
        <v>138</v>
      </c>
      <c r="AD2420" s="4">
        <v>150</v>
      </c>
      <c r="AE2420" s="4">
        <v>150</v>
      </c>
      <c r="AF2420" s="6">
        <v>66</v>
      </c>
      <c r="AG2420" s="6">
        <v>49</v>
      </c>
      <c r="AH2420" s="7">
        <v>0.9879</v>
      </c>
      <c r="AI2420" s="4"/>
      <c r="AJ2420" s="4">
        <f>=ROUNDDOWN({0},0)</f>
      </c>
      <c r="AK2420" s="5"/>
      <c r="AL2420" s="2" t="s">
        <v>100</v>
      </c>
      <c r="AM2420" s="4"/>
      <c r="AN2420" s="4"/>
      <c r="AO2420" s="7">
        <v>0</v>
      </c>
      <c r="AP2420" s="4">
        <v>2</v>
      </c>
      <c r="AQ2420" s="8">
        <v>210.02</v>
      </c>
      <c r="AR2420" s="4">
        <v>4</v>
      </c>
      <c r="AS2420" s="8">
        <v>459.92</v>
      </c>
      <c r="AT2420" s="7">
        <v>-0.5</v>
      </c>
      <c r="AU2420" s="7">
        <v>-0.5434</v>
      </c>
      <c r="AV2420" s="4">
        <v>2</v>
      </c>
      <c r="AW2420" s="8">
        <v>210.02</v>
      </c>
      <c r="AX2420" s="4">
        <v>4</v>
      </c>
      <c r="AY2420" s="8">
        <v>459.92</v>
      </c>
      <c r="AZ2420" s="7">
        <v>-0.5</v>
      </c>
      <c r="BA2420" s="7">
        <v>-0.5434</v>
      </c>
      <c r="BB2420" s="7">
        <v>1</v>
      </c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>
        <v>0.25</v>
      </c>
      <c r="BJ2420" s="4">
        <v>346</v>
      </c>
      <c r="BK2420" s="8">
        <v>39736.04</v>
      </c>
      <c r="BL2420" s="2" t="s">
        <v>8831</v>
      </c>
      <c r="BM2420" s="7">
        <v>0.0058</v>
      </c>
      <c r="BN2420" s="7">
        <v>0.0053</v>
      </c>
      <c r="BO2420" s="4">
        <v>2</v>
      </c>
      <c r="BP2420" s="8">
        <v>210.02</v>
      </c>
      <c r="BQ2420" s="4">
        <v>4</v>
      </c>
      <c r="BR2420" s="8">
        <v>459.92</v>
      </c>
      <c r="BS2420" s="7">
        <v>-0.5</v>
      </c>
      <c r="BT2420" s="7">
        <v>-0.5434</v>
      </c>
      <c r="BU2420" s="2" t="s">
        <v>109</v>
      </c>
      <c r="BV2420" s="2" t="s">
        <v>97</v>
      </c>
      <c r="BW2420" s="2" t="s">
        <v>8832</v>
      </c>
      <c r="BX2420" s="2" t="s">
        <v>4325</v>
      </c>
      <c r="BY2420" s="2" t="s">
        <v>112</v>
      </c>
      <c r="BZ2420" s="2" t="s">
        <v>100</v>
      </c>
    </row>
    <row r="2421">
      <c r="A2421" s="2" t="s">
        <v>8833</v>
      </c>
      <c r="B2421" s="2" t="s">
        <v>7252</v>
      </c>
      <c r="C2421" s="2" t="s">
        <v>88</v>
      </c>
      <c r="D2421" s="2" t="s">
        <v>8817</v>
      </c>
      <c r="E2421" s="2" t="s">
        <v>8818</v>
      </c>
      <c r="F2421" s="2" t="s">
        <v>8097</v>
      </c>
      <c r="G2421" s="2" t="s">
        <v>8098</v>
      </c>
      <c r="H2421" s="2" t="s">
        <v>8099</v>
      </c>
      <c r="I2421" s="2" t="s">
        <v>8826</v>
      </c>
      <c r="J2421" s="2" t="s">
        <v>6103</v>
      </c>
      <c r="K2421" s="2" t="s">
        <v>333</v>
      </c>
      <c r="L2421" s="3">
        <v>136.8</v>
      </c>
      <c r="M2421" s="3">
        <v>143.64</v>
      </c>
      <c r="N2421" s="3">
        <v>289</v>
      </c>
      <c r="O2421" s="2" t="s">
        <v>97</v>
      </c>
      <c r="P2421" s="2" t="s">
        <v>182</v>
      </c>
      <c r="Q2421" s="2" t="s">
        <v>99</v>
      </c>
      <c r="R2421" s="2" t="s">
        <v>100</v>
      </c>
      <c r="S2421" s="2" t="s">
        <v>8834</v>
      </c>
      <c r="T2421" s="2" t="s">
        <v>100</v>
      </c>
      <c r="U2421" s="2" t="s">
        <v>100</v>
      </c>
      <c r="V2421" s="2" t="s">
        <v>601</v>
      </c>
      <c r="W2421" s="2" t="s">
        <v>104</v>
      </c>
      <c r="X2421" s="2" t="s">
        <v>100</v>
      </c>
      <c r="Y2421" s="2" t="s">
        <v>106</v>
      </c>
      <c r="Z2421" s="4">
        <v>169</v>
      </c>
      <c r="AA2421" s="4">
        <f>=ROUNDDOWN(15.3636363636364,0)</f>
      </c>
      <c r="AB2421" s="5">
        <v>11</v>
      </c>
      <c r="AC2421" s="2" t="s">
        <v>936</v>
      </c>
      <c r="AD2421" s="4">
        <v>23</v>
      </c>
      <c r="AE2421" s="4">
        <v>245</v>
      </c>
      <c r="AF2421" s="6">
        <v>66</v>
      </c>
      <c r="AG2421" s="6">
        <v>49</v>
      </c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>
        <v>276</v>
      </c>
      <c r="BK2421" s="8">
        <v>30429.62</v>
      </c>
      <c r="BL2421" s="2" t="s">
        <v>8835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109</v>
      </c>
      <c r="BV2421" s="2" t="s">
        <v>97</v>
      </c>
      <c r="BW2421" s="2" t="s">
        <v>7307</v>
      </c>
      <c r="BX2421" s="2" t="s">
        <v>100</v>
      </c>
      <c r="BY2421" s="2" t="s">
        <v>112</v>
      </c>
      <c r="BZ2421" s="2" t="s">
        <v>100</v>
      </c>
    </row>
    <row r="2422">
      <c r="A2422" s="2" t="s">
        <v>8836</v>
      </c>
      <c r="B2422" s="2" t="s">
        <v>7252</v>
      </c>
      <c r="C2422" s="2" t="s">
        <v>88</v>
      </c>
      <c r="D2422" s="2" t="s">
        <v>8817</v>
      </c>
      <c r="E2422" s="2" t="s">
        <v>8818</v>
      </c>
      <c r="F2422" s="2" t="s">
        <v>8837</v>
      </c>
      <c r="G2422" s="2" t="s">
        <v>8838</v>
      </c>
      <c r="H2422" s="2" t="s">
        <v>8839</v>
      </c>
      <c r="I2422" s="2" t="s">
        <v>8840</v>
      </c>
      <c r="J2422" s="2" t="s">
        <v>6103</v>
      </c>
      <c r="K2422" s="2" t="s">
        <v>2367</v>
      </c>
      <c r="L2422" s="3">
        <v>232.97</v>
      </c>
      <c r="M2422" s="3">
        <v>244.62</v>
      </c>
      <c r="N2422" s="3">
        <v>499</v>
      </c>
      <c r="O2422" s="2" t="s">
        <v>97</v>
      </c>
      <c r="P2422" s="2" t="s">
        <v>1265</v>
      </c>
      <c r="Q2422" s="2" t="s">
        <v>99</v>
      </c>
      <c r="R2422" s="2" t="s">
        <v>100</v>
      </c>
      <c r="S2422" s="2" t="s">
        <v>100</v>
      </c>
      <c r="T2422" s="2" t="s">
        <v>100</v>
      </c>
      <c r="U2422" s="2" t="s">
        <v>2104</v>
      </c>
      <c r="V2422" s="2" t="s">
        <v>601</v>
      </c>
      <c r="W2422" s="2" t="s">
        <v>602</v>
      </c>
      <c r="X2422" s="2" t="s">
        <v>100</v>
      </c>
      <c r="Y2422" s="2" t="s">
        <v>8841</v>
      </c>
      <c r="Z2422" s="4">
        <v>138</v>
      </c>
      <c r="AA2422" s="4">
        <f>=ROUNDDOWN(34.5,0)</f>
      </c>
      <c r="AB2422" s="5">
        <v>4</v>
      </c>
      <c r="AC2422" s="2" t="s">
        <v>100</v>
      </c>
      <c r="AD2422" s="4"/>
      <c r="AE2422" s="4"/>
      <c r="AF2422" s="6">
        <v>66</v>
      </c>
      <c r="AG2422" s="6"/>
      <c r="AH2422" s="7">
        <v>0.8606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>
        <v>0</v>
      </c>
      <c r="AP2422" s="4">
        <v>3</v>
      </c>
      <c r="AQ2422" s="8">
        <v>701.19</v>
      </c>
      <c r="AR2422" s="4">
        <v>5</v>
      </c>
      <c r="AS2422" s="8">
        <v>1262.46</v>
      </c>
      <c r="AT2422" s="7">
        <v>-0.4</v>
      </c>
      <c r="AU2422" s="7">
        <v>-0.4446</v>
      </c>
      <c r="AV2422" s="4">
        <v>3</v>
      </c>
      <c r="AW2422" s="8">
        <v>701.19</v>
      </c>
      <c r="AX2422" s="4">
        <v>5</v>
      </c>
      <c r="AY2422" s="8">
        <v>1262.46</v>
      </c>
      <c r="AZ2422" s="7">
        <v>-0.4</v>
      </c>
      <c r="BA2422" s="7">
        <v>-0.4446</v>
      </c>
      <c r="BB2422" s="7">
        <v>1</v>
      </c>
      <c r="BC2422" s="4">
        <v>3</v>
      </c>
      <c r="BD2422" s="8">
        <v>701.19</v>
      </c>
      <c r="BE2422" s="4">
        <v>5</v>
      </c>
      <c r="BF2422" s="8">
        <v>1262.46</v>
      </c>
      <c r="BG2422" s="7">
        <v>-0.4</v>
      </c>
      <c r="BH2422" s="7">
        <v>-0.4446</v>
      </c>
      <c r="BI2422" s="7">
        <v>1</v>
      </c>
      <c r="BJ2422" s="4">
        <v>66</v>
      </c>
      <c r="BK2422" s="8">
        <v>14297.09</v>
      </c>
      <c r="BL2422" s="2" t="s">
        <v>8842</v>
      </c>
      <c r="BM2422" s="7">
        <v>0.0455</v>
      </c>
      <c r="BN2422" s="7">
        <v>0.049</v>
      </c>
      <c r="BO2422" s="4">
        <v>3</v>
      </c>
      <c r="BP2422" s="8">
        <v>701.19</v>
      </c>
      <c r="BQ2422" s="4">
        <v>5</v>
      </c>
      <c r="BR2422" s="8">
        <v>1262.46</v>
      </c>
      <c r="BS2422" s="7">
        <v>-0.4</v>
      </c>
      <c r="BT2422" s="7">
        <v>-0.4446</v>
      </c>
      <c r="BU2422" s="2" t="s">
        <v>109</v>
      </c>
      <c r="BV2422" s="2" t="s">
        <v>97</v>
      </c>
      <c r="BW2422" s="2" t="s">
        <v>8648</v>
      </c>
      <c r="BX2422" s="2" t="s">
        <v>737</v>
      </c>
      <c r="BY2422" s="2" t="s">
        <v>112</v>
      </c>
      <c r="BZ2422" s="2" t="s">
        <v>100</v>
      </c>
    </row>
    <row r="2423">
      <c r="A2423" s="2" t="s">
        <v>8843</v>
      </c>
      <c r="B2423" s="2" t="s">
        <v>7252</v>
      </c>
      <c r="C2423" s="2" t="s">
        <v>88</v>
      </c>
      <c r="D2423" s="2" t="s">
        <v>8817</v>
      </c>
      <c r="E2423" s="2" t="s">
        <v>8818</v>
      </c>
      <c r="F2423" s="2" t="s">
        <v>8844</v>
      </c>
      <c r="G2423" s="2" t="s">
        <v>8845</v>
      </c>
      <c r="H2423" s="2" t="s">
        <v>8846</v>
      </c>
      <c r="I2423" s="2" t="s">
        <v>8847</v>
      </c>
      <c r="J2423" s="2" t="s">
        <v>6103</v>
      </c>
      <c r="K2423" s="2" t="s">
        <v>123</v>
      </c>
      <c r="L2423" s="3">
        <v>242.25</v>
      </c>
      <c r="M2423" s="3">
        <v>254.36</v>
      </c>
      <c r="N2423" s="3">
        <v>509</v>
      </c>
      <c r="O2423" s="2" t="s">
        <v>97</v>
      </c>
      <c r="P2423" s="2" t="s">
        <v>182</v>
      </c>
      <c r="Q2423" s="2" t="s">
        <v>99</v>
      </c>
      <c r="R2423" s="2" t="s">
        <v>100</v>
      </c>
      <c r="S2423" s="2" t="s">
        <v>8848</v>
      </c>
      <c r="T2423" s="2" t="s">
        <v>100</v>
      </c>
      <c r="U2423" s="2" t="s">
        <v>100</v>
      </c>
      <c r="V2423" s="2" t="s">
        <v>601</v>
      </c>
      <c r="W2423" s="2" t="s">
        <v>104</v>
      </c>
      <c r="X2423" s="2" t="s">
        <v>100</v>
      </c>
      <c r="Y2423" s="2" t="s">
        <v>8849</v>
      </c>
      <c r="Z2423" s="4">
        <v>125</v>
      </c>
      <c r="AA2423" s="4">
        <f>=ROUNDDOWN(25,0)</f>
      </c>
      <c r="AB2423" s="5">
        <v>5</v>
      </c>
      <c r="AC2423" s="2" t="s">
        <v>8850</v>
      </c>
      <c r="AD2423" s="4">
        <v>100</v>
      </c>
      <c r="AE2423" s="4">
        <v>100</v>
      </c>
      <c r="AF2423" s="6">
        <v>66</v>
      </c>
      <c r="AG2423" s="6"/>
      <c r="AH2423" s="7">
        <v>1</v>
      </c>
      <c r="AI2423" s="4"/>
      <c r="AJ2423" s="4">
        <f>=ROUNDDOWN({0},0)</f>
      </c>
      <c r="AK2423" s="5"/>
      <c r="AL2423" s="2" t="s">
        <v>100</v>
      </c>
      <c r="AM2423" s="4"/>
      <c r="AN2423" s="4"/>
      <c r="AO2423" s="7">
        <v>0</v>
      </c>
      <c r="AP2423" s="4">
        <v>3</v>
      </c>
      <c r="AQ2423" s="8">
        <v>661.5</v>
      </c>
      <c r="AR2423" s="4"/>
      <c r="AS2423" s="8"/>
      <c r="AT2423" s="7"/>
      <c r="AU2423" s="7"/>
      <c r="AV2423" s="4">
        <v>3</v>
      </c>
      <c r="AW2423" s="8">
        <v>661.5</v>
      </c>
      <c r="AX2423" s="4"/>
      <c r="AY2423" s="8"/>
      <c r="AZ2423" s="7"/>
      <c r="BA2423" s="7"/>
      <c r="BB2423" s="7">
        <v>1</v>
      </c>
      <c r="BC2423" s="4">
        <v>3</v>
      </c>
      <c r="BD2423" s="8">
        <v>661.5</v>
      </c>
      <c r="BE2423" s="4"/>
      <c r="BF2423" s="8"/>
      <c r="BG2423" s="7"/>
      <c r="BH2423" s="7"/>
      <c r="BI2423" s="7">
        <v>1</v>
      </c>
      <c r="BJ2423" s="4">
        <v>120</v>
      </c>
      <c r="BK2423" s="8">
        <v>26961.86</v>
      </c>
      <c r="BL2423" s="2" t="s">
        <v>8851</v>
      </c>
      <c r="BM2423" s="7">
        <v>0.025</v>
      </c>
      <c r="BN2423" s="7">
        <v>0.0245</v>
      </c>
      <c r="BO2423" s="4">
        <v>3</v>
      </c>
      <c r="BP2423" s="8">
        <v>661.5</v>
      </c>
      <c r="BQ2423" s="4"/>
      <c r="BR2423" s="8"/>
      <c r="BS2423" s="7"/>
      <c r="BT2423" s="7"/>
      <c r="BU2423" s="2" t="s">
        <v>109</v>
      </c>
      <c r="BV2423" s="2" t="s">
        <v>97</v>
      </c>
      <c r="BW2423" s="2" t="s">
        <v>7307</v>
      </c>
      <c r="BX2423" s="2" t="s">
        <v>8852</v>
      </c>
      <c r="BY2423" s="2" t="s">
        <v>112</v>
      </c>
      <c r="BZ2423" s="2" t="s">
        <v>100</v>
      </c>
    </row>
    <row r="2424">
      <c r="A2424" s="2" t="s">
        <v>8853</v>
      </c>
      <c r="B2424" s="2" t="s">
        <v>7252</v>
      </c>
      <c r="C2424" s="2" t="s">
        <v>88</v>
      </c>
      <c r="D2424" s="2" t="s">
        <v>8817</v>
      </c>
      <c r="E2424" s="2" t="s">
        <v>8818</v>
      </c>
      <c r="F2424" s="2" t="s">
        <v>7897</v>
      </c>
      <c r="G2424" s="2" t="s">
        <v>7898</v>
      </c>
      <c r="H2424" s="2" t="s">
        <v>7899</v>
      </c>
      <c r="I2424" s="2" t="s">
        <v>8854</v>
      </c>
      <c r="J2424" s="2" t="s">
        <v>6103</v>
      </c>
      <c r="K2424" s="2" t="s">
        <v>2367</v>
      </c>
      <c r="L2424" s="3">
        <v>173.25</v>
      </c>
      <c r="M2424" s="3">
        <v>181.91</v>
      </c>
      <c r="N2424" s="3">
        <v>369</v>
      </c>
      <c r="O2424" s="2" t="s">
        <v>97</v>
      </c>
      <c r="P2424" s="2" t="s">
        <v>182</v>
      </c>
      <c r="Q2424" s="2" t="s">
        <v>99</v>
      </c>
      <c r="R2424" s="2" t="s">
        <v>100</v>
      </c>
      <c r="S2424" s="2" t="s">
        <v>8855</v>
      </c>
      <c r="T2424" s="2" t="s">
        <v>100</v>
      </c>
      <c r="U2424" s="2" t="s">
        <v>100</v>
      </c>
      <c r="V2424" s="2" t="s">
        <v>601</v>
      </c>
      <c r="W2424" s="2" t="s">
        <v>104</v>
      </c>
      <c r="X2424" s="2" t="s">
        <v>100</v>
      </c>
      <c r="Y2424" s="2" t="s">
        <v>8464</v>
      </c>
      <c r="Z2424" s="4">
        <v>328</v>
      </c>
      <c r="AA2424" s="4">
        <f>=ROUNDDOWN(109.333333333333,0)</f>
      </c>
      <c r="AB2424" s="5">
        <v>3</v>
      </c>
      <c r="AC2424" s="2" t="s">
        <v>100</v>
      </c>
      <c r="AD2424" s="4"/>
      <c r="AE2424" s="4"/>
      <c r="AF2424" s="6">
        <v>76</v>
      </c>
      <c r="AG2424" s="6">
        <v>67</v>
      </c>
      <c r="AH2424" s="7">
        <v>0.6909</v>
      </c>
      <c r="AI2424" s="4"/>
      <c r="AJ2424" s="4">
        <f>=ROUNDDOWN({0},0)</f>
      </c>
      <c r="AK2424" s="5"/>
      <c r="AL2424" s="2" t="s">
        <v>100</v>
      </c>
      <c r="AM2424" s="4"/>
      <c r="AN2424" s="4"/>
      <c r="AO2424" s="7">
        <v>0</v>
      </c>
      <c r="AP2424" s="4">
        <v>2</v>
      </c>
      <c r="AQ2424" s="8">
        <v>247.76</v>
      </c>
      <c r="AR2424" s="4">
        <v>100</v>
      </c>
      <c r="AS2424" s="8">
        <v>14344</v>
      </c>
      <c r="AT2424" s="7">
        <v>-0.98</v>
      </c>
      <c r="AU2424" s="7">
        <v>-0.9827</v>
      </c>
      <c r="AV2424" s="4">
        <v>2</v>
      </c>
      <c r="AW2424" s="8">
        <v>247.76</v>
      </c>
      <c r="AX2424" s="4">
        <v>100</v>
      </c>
      <c r="AY2424" s="8">
        <v>14344</v>
      </c>
      <c r="AZ2424" s="7">
        <v>-0.98</v>
      </c>
      <c r="BA2424" s="7">
        <v>-0.9827</v>
      </c>
      <c r="BB2424" s="7">
        <v>1</v>
      </c>
      <c r="BC2424" s="4">
        <v>2</v>
      </c>
      <c r="BD2424" s="8">
        <v>247.76</v>
      </c>
      <c r="BE2424" s="4">
        <v>100</v>
      </c>
      <c r="BF2424" s="8">
        <v>14344</v>
      </c>
      <c r="BG2424" s="7">
        <v>-0.98</v>
      </c>
      <c r="BH2424" s="7">
        <v>-0.9827</v>
      </c>
      <c r="BI2424" s="7">
        <v>1</v>
      </c>
      <c r="BJ2424" s="4">
        <v>31</v>
      </c>
      <c r="BK2424" s="8">
        <v>5389.21</v>
      </c>
      <c r="BL2424" s="2" t="s">
        <v>8856</v>
      </c>
      <c r="BM2424" s="7">
        <v>0.0645</v>
      </c>
      <c r="BN2424" s="7">
        <v>0.046</v>
      </c>
      <c r="BO2424" s="4">
        <v>2</v>
      </c>
      <c r="BP2424" s="8">
        <v>247.76</v>
      </c>
      <c r="BQ2424" s="4">
        <v>100</v>
      </c>
      <c r="BR2424" s="8">
        <v>14344</v>
      </c>
      <c r="BS2424" s="7">
        <v>-0.98</v>
      </c>
      <c r="BT2424" s="7">
        <v>-0.9827</v>
      </c>
      <c r="BU2424" s="2" t="s">
        <v>109</v>
      </c>
      <c r="BV2424" s="2" t="s">
        <v>97</v>
      </c>
      <c r="BW2424" s="2" t="s">
        <v>8648</v>
      </c>
      <c r="BX2424" s="2" t="s">
        <v>6163</v>
      </c>
      <c r="BY2424" s="2" t="s">
        <v>112</v>
      </c>
      <c r="BZ2424" s="2" t="s">
        <v>100</v>
      </c>
    </row>
    <row r="2425">
      <c r="A2425" s="2" t="s">
        <v>8857</v>
      </c>
      <c r="B2425" s="2" t="s">
        <v>7252</v>
      </c>
      <c r="C2425" s="2" t="s">
        <v>88</v>
      </c>
      <c r="D2425" s="2" t="s">
        <v>8817</v>
      </c>
      <c r="E2425" s="2" t="s">
        <v>8818</v>
      </c>
      <c r="F2425" s="2" t="s">
        <v>8858</v>
      </c>
      <c r="G2425" s="2" t="s">
        <v>8859</v>
      </c>
      <c r="H2425" s="2" t="s">
        <v>8860</v>
      </c>
      <c r="I2425" s="2" t="s">
        <v>8861</v>
      </c>
      <c r="J2425" s="2" t="s">
        <v>6103</v>
      </c>
      <c r="K2425" s="2" t="s">
        <v>310</v>
      </c>
      <c r="L2425" s="3">
        <v>285.2</v>
      </c>
      <c r="M2425" s="3">
        <v>299.46</v>
      </c>
      <c r="N2425" s="3">
        <v>599</v>
      </c>
      <c r="O2425" s="2" t="s">
        <v>97</v>
      </c>
      <c r="P2425" s="2" t="s">
        <v>182</v>
      </c>
      <c r="Q2425" s="2" t="s">
        <v>99</v>
      </c>
      <c r="R2425" s="2" t="s">
        <v>100</v>
      </c>
      <c r="S2425" s="2" t="s">
        <v>100</v>
      </c>
      <c r="T2425" s="2" t="s">
        <v>100</v>
      </c>
      <c r="U2425" s="2" t="s">
        <v>2104</v>
      </c>
      <c r="V2425" s="2" t="s">
        <v>1752</v>
      </c>
      <c r="W2425" s="2" t="s">
        <v>104</v>
      </c>
      <c r="X2425" s="2" t="s">
        <v>100</v>
      </c>
      <c r="Y2425" s="2" t="s">
        <v>7729</v>
      </c>
      <c r="Z2425" s="4">
        <v>187</v>
      </c>
      <c r="AA2425" s="4">
        <f>=ROUNDDOWN(26.7142857142857,0)</f>
      </c>
      <c r="AB2425" s="5">
        <v>7</v>
      </c>
      <c r="AC2425" s="2" t="s">
        <v>100</v>
      </c>
      <c r="AD2425" s="4"/>
      <c r="AE2425" s="4"/>
      <c r="AF2425" s="6">
        <v>66</v>
      </c>
      <c r="AG2425" s="6">
        <v>49</v>
      </c>
      <c r="AH2425" s="7">
        <v>1</v>
      </c>
      <c r="AI2425" s="4"/>
      <c r="AJ2425" s="4">
        <f>=ROUNDDOWN({0},0)</f>
      </c>
      <c r="AK2425" s="5"/>
      <c r="AL2425" s="2" t="s">
        <v>100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153</v>
      </c>
      <c r="BK2425" s="8">
        <v>41300.14</v>
      </c>
      <c r="BL2425" s="2" t="s">
        <v>8862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6185</v>
      </c>
      <c r="BV2425" s="2" t="s">
        <v>97</v>
      </c>
      <c r="BW2425" s="2" t="s">
        <v>100</v>
      </c>
      <c r="BX2425" s="2" t="s">
        <v>100</v>
      </c>
      <c r="BY2425" s="2" t="s">
        <v>112</v>
      </c>
      <c r="BZ2425" s="2" t="s">
        <v>100</v>
      </c>
    </row>
    <row r="2426">
      <c r="A2426" s="2" t="s">
        <v>8863</v>
      </c>
      <c r="B2426" s="2" t="s">
        <v>7252</v>
      </c>
      <c r="C2426" s="2" t="s">
        <v>88</v>
      </c>
      <c r="D2426" s="2" t="s">
        <v>8817</v>
      </c>
      <c r="E2426" s="2" t="s">
        <v>8818</v>
      </c>
      <c r="F2426" s="2" t="s">
        <v>7739</v>
      </c>
      <c r="G2426" s="2" t="s">
        <v>8626</v>
      </c>
      <c r="H2426" s="2" t="s">
        <v>4190</v>
      </c>
      <c r="I2426" s="2" t="s">
        <v>8864</v>
      </c>
      <c r="J2426" s="2" t="s">
        <v>6103</v>
      </c>
      <c r="K2426" s="2" t="s">
        <v>2367</v>
      </c>
      <c r="L2426" s="3">
        <v>220</v>
      </c>
      <c r="M2426" s="3">
        <v>231</v>
      </c>
      <c r="N2426" s="3">
        <v>459</v>
      </c>
      <c r="O2426" s="2" t="s">
        <v>229</v>
      </c>
      <c r="P2426" s="2" t="s">
        <v>198</v>
      </c>
      <c r="Q2426" s="2" t="s">
        <v>99</v>
      </c>
      <c r="R2426" s="2" t="s">
        <v>100</v>
      </c>
      <c r="S2426" s="2" t="s">
        <v>100</v>
      </c>
      <c r="T2426" s="2" t="s">
        <v>100</v>
      </c>
      <c r="U2426" s="2" t="s">
        <v>2104</v>
      </c>
      <c r="V2426" s="2" t="s">
        <v>1752</v>
      </c>
      <c r="W2426" s="2" t="s">
        <v>104</v>
      </c>
      <c r="X2426" s="2" t="s">
        <v>602</v>
      </c>
      <c r="Y2426" s="2" t="s">
        <v>2285</v>
      </c>
      <c r="Z2426" s="4">
        <v>57</v>
      </c>
      <c r="AA2426" s="4">
        <f>=ROUNDDOWN({0},0)</f>
      </c>
      <c r="AB2426" s="5"/>
      <c r="AC2426" s="2" t="s">
        <v>100</v>
      </c>
      <c r="AD2426" s="4"/>
      <c r="AE2426" s="4"/>
      <c r="AF2426" s="6">
        <v>65</v>
      </c>
      <c r="AG2426" s="6"/>
      <c r="AH2426" s="7">
        <v>1</v>
      </c>
      <c r="AI2426" s="4"/>
      <c r="AJ2426" s="4">
        <f>=ROUNDDOWN({0},0)</f>
      </c>
      <c r="AK2426" s="5"/>
      <c r="AL2426" s="2" t="s">
        <v>100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>
        <v>11</v>
      </c>
      <c r="BK2426" s="8">
        <v>1668.98</v>
      </c>
      <c r="BL2426" s="2" t="s">
        <v>8865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147</v>
      </c>
      <c r="BV2426" s="2" t="s">
        <v>97</v>
      </c>
      <c r="BW2426" s="2" t="s">
        <v>100</v>
      </c>
      <c r="BX2426" s="2" t="s">
        <v>100</v>
      </c>
      <c r="BY2426" s="2" t="s">
        <v>112</v>
      </c>
      <c r="BZ2426" s="2" t="s">
        <v>100</v>
      </c>
    </row>
    <row r="2427">
      <c r="A2427" s="2" t="s">
        <v>8866</v>
      </c>
      <c r="B2427" s="2" t="s">
        <v>7252</v>
      </c>
      <c r="C2427" s="2" t="s">
        <v>88</v>
      </c>
      <c r="D2427" s="2" t="s">
        <v>8817</v>
      </c>
      <c r="E2427" s="2" t="s">
        <v>8818</v>
      </c>
      <c r="F2427" s="2" t="s">
        <v>8867</v>
      </c>
      <c r="G2427" s="2" t="s">
        <v>8868</v>
      </c>
      <c r="H2427" s="2" t="s">
        <v>8869</v>
      </c>
      <c r="I2427" s="2" t="s">
        <v>8870</v>
      </c>
      <c r="J2427" s="2" t="s">
        <v>6103</v>
      </c>
      <c r="K2427" s="2" t="s">
        <v>158</v>
      </c>
      <c r="L2427" s="3">
        <v>125.4</v>
      </c>
      <c r="M2427" s="3">
        <v>131.67</v>
      </c>
      <c r="N2427" s="3">
        <v>259</v>
      </c>
      <c r="O2427" s="2" t="s">
        <v>97</v>
      </c>
      <c r="P2427" s="2" t="s">
        <v>182</v>
      </c>
      <c r="Q2427" s="2" t="s">
        <v>99</v>
      </c>
      <c r="R2427" s="2" t="s">
        <v>100</v>
      </c>
      <c r="S2427" s="2" t="s">
        <v>8871</v>
      </c>
      <c r="T2427" s="2" t="s">
        <v>100</v>
      </c>
      <c r="U2427" s="2" t="s">
        <v>100</v>
      </c>
      <c r="V2427" s="2" t="s">
        <v>601</v>
      </c>
      <c r="W2427" s="2" t="s">
        <v>602</v>
      </c>
      <c r="X2427" s="2" t="s">
        <v>100</v>
      </c>
      <c r="Y2427" s="2" t="s">
        <v>106</v>
      </c>
      <c r="Z2427" s="4">
        <v>177</v>
      </c>
      <c r="AA2427" s="4">
        <f>=ROUNDDOWN(16.3888888888889,0)</f>
      </c>
      <c r="AB2427" s="5">
        <v>10.8</v>
      </c>
      <c r="AC2427" s="2" t="s">
        <v>100</v>
      </c>
      <c r="AD2427" s="4"/>
      <c r="AE2427" s="4"/>
      <c r="AF2427" s="6">
        <v>66</v>
      </c>
      <c r="AG2427" s="6"/>
      <c r="AH2427" s="7">
        <v>1</v>
      </c>
      <c r="AI2427" s="4"/>
      <c r="AJ2427" s="4">
        <f>=ROUNDDOWN({0},0)</f>
      </c>
      <c r="AK2427" s="5"/>
      <c r="AL2427" s="2" t="s">
        <v>100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/>
      <c r="AW2427" s="8"/>
      <c r="AX2427" s="4"/>
      <c r="AY2427" s="8"/>
      <c r="AZ2427" s="7"/>
      <c r="BA2427" s="7"/>
      <c r="BB2427" s="7"/>
      <c r="BC2427" s="4" t="s">
        <v>100</v>
      </c>
      <c r="BD2427" s="8" t="s">
        <v>100</v>
      </c>
      <c r="BE2427" s="4">
        <v>23</v>
      </c>
      <c r="BF2427" s="8">
        <v>2088.68</v>
      </c>
      <c r="BG2427" s="7" t="s">
        <v>100</v>
      </c>
      <c r="BH2427" s="7" t="s">
        <v>100</v>
      </c>
      <c r="BI2427" s="7"/>
      <c r="BJ2427" s="4">
        <v>185</v>
      </c>
      <c r="BK2427" s="8">
        <v>23198.21</v>
      </c>
      <c r="BL2427" s="2" t="s">
        <v>8872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109</v>
      </c>
      <c r="BV2427" s="2" t="s">
        <v>97</v>
      </c>
      <c r="BW2427" s="2" t="s">
        <v>7841</v>
      </c>
      <c r="BX2427" s="2" t="s">
        <v>100</v>
      </c>
      <c r="BY2427" s="2" t="s">
        <v>112</v>
      </c>
      <c r="BZ2427" s="2" t="s">
        <v>100</v>
      </c>
    </row>
    <row r="2428">
      <c r="A2428" s="2" t="s">
        <v>8873</v>
      </c>
      <c r="B2428" s="2" t="s">
        <v>7252</v>
      </c>
      <c r="C2428" s="2" t="s">
        <v>88</v>
      </c>
      <c r="D2428" s="2" t="s">
        <v>8817</v>
      </c>
      <c r="E2428" s="2" t="s">
        <v>8818</v>
      </c>
      <c r="F2428" s="2" t="s">
        <v>8867</v>
      </c>
      <c r="G2428" s="2" t="s">
        <v>8868</v>
      </c>
      <c r="H2428" s="2" t="s">
        <v>8869</v>
      </c>
      <c r="I2428" s="2" t="s">
        <v>8870</v>
      </c>
      <c r="J2428" s="2" t="s">
        <v>6103</v>
      </c>
      <c r="K2428" s="2" t="s">
        <v>2553</v>
      </c>
      <c r="L2428" s="3">
        <v>125.4</v>
      </c>
      <c r="M2428" s="3">
        <v>131.67</v>
      </c>
      <c r="N2428" s="3">
        <v>259</v>
      </c>
      <c r="O2428" s="2" t="s">
        <v>97</v>
      </c>
      <c r="P2428" s="2" t="s">
        <v>182</v>
      </c>
      <c r="Q2428" s="2" t="s">
        <v>99</v>
      </c>
      <c r="R2428" s="2" t="s">
        <v>100</v>
      </c>
      <c r="S2428" s="2" t="s">
        <v>8874</v>
      </c>
      <c r="T2428" s="2" t="s">
        <v>100</v>
      </c>
      <c r="U2428" s="2" t="s">
        <v>100</v>
      </c>
      <c r="V2428" s="2" t="s">
        <v>601</v>
      </c>
      <c r="W2428" s="2" t="s">
        <v>602</v>
      </c>
      <c r="X2428" s="2" t="s">
        <v>100</v>
      </c>
      <c r="Y2428" s="2" t="s">
        <v>106</v>
      </c>
      <c r="Z2428" s="4">
        <v>163</v>
      </c>
      <c r="AA2428" s="4">
        <f>=ROUNDDOWN(32.6,0)</f>
      </c>
      <c r="AB2428" s="5">
        <v>5</v>
      </c>
      <c r="AC2428" s="2" t="s">
        <v>589</v>
      </c>
      <c r="AD2428" s="4">
        <v>100</v>
      </c>
      <c r="AE2428" s="4">
        <v>100</v>
      </c>
      <c r="AF2428" s="6">
        <v>66</v>
      </c>
      <c r="AG2428" s="6"/>
      <c r="AH2428" s="7">
        <v>0.9273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>
        <v>0</v>
      </c>
      <c r="AP2428" s="4"/>
      <c r="AQ2428" s="8"/>
      <c r="AR2428" s="4">
        <v>1</v>
      </c>
      <c r="AS2428" s="8">
        <v>138.6</v>
      </c>
      <c r="AT2428" s="7">
        <v>-1</v>
      </c>
      <c r="AU2428" s="7">
        <v>-1</v>
      </c>
      <c r="AV2428" s="4"/>
      <c r="AW2428" s="8"/>
      <c r="AX2428" s="4">
        <v>1</v>
      </c>
      <c r="AY2428" s="8">
        <v>138.6</v>
      </c>
      <c r="AZ2428" s="7">
        <v>-1</v>
      </c>
      <c r="BA2428" s="7">
        <v>-1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114</v>
      </c>
      <c r="BK2428" s="8">
        <v>12639.53</v>
      </c>
      <c r="BL2428" s="2" t="s">
        <v>8875</v>
      </c>
      <c r="BM2428" s="7"/>
      <c r="BN2428" s="7"/>
      <c r="BO2428" s="4"/>
      <c r="BP2428" s="8"/>
      <c r="BQ2428" s="4">
        <v>1</v>
      </c>
      <c r="BR2428" s="8">
        <v>138.6</v>
      </c>
      <c r="BS2428" s="7">
        <v>-1</v>
      </c>
      <c r="BT2428" s="7">
        <v>-1</v>
      </c>
      <c r="BU2428" s="2" t="s">
        <v>109</v>
      </c>
      <c r="BV2428" s="2" t="s">
        <v>97</v>
      </c>
      <c r="BW2428" s="2" t="s">
        <v>7311</v>
      </c>
      <c r="BX2428" s="2" t="s">
        <v>128</v>
      </c>
      <c r="BY2428" s="2" t="s">
        <v>112</v>
      </c>
      <c r="BZ2428" s="2" t="s">
        <v>100</v>
      </c>
    </row>
    <row r="2429">
      <c r="A2429" s="2" t="s">
        <v>8876</v>
      </c>
      <c r="B2429" s="2" t="s">
        <v>7252</v>
      </c>
      <c r="C2429" s="2" t="s">
        <v>88</v>
      </c>
      <c r="D2429" s="2" t="s">
        <v>8817</v>
      </c>
      <c r="E2429" s="2" t="s">
        <v>8818</v>
      </c>
      <c r="F2429" s="2" t="s">
        <v>8867</v>
      </c>
      <c r="G2429" s="2" t="s">
        <v>8868</v>
      </c>
      <c r="H2429" s="2" t="s">
        <v>8869</v>
      </c>
      <c r="I2429" s="2" t="s">
        <v>8870</v>
      </c>
      <c r="J2429" s="2" t="s">
        <v>6103</v>
      </c>
      <c r="K2429" s="2" t="s">
        <v>123</v>
      </c>
      <c r="L2429" s="3">
        <v>125.4</v>
      </c>
      <c r="M2429" s="3">
        <v>131.67</v>
      </c>
      <c r="N2429" s="3">
        <v>259</v>
      </c>
      <c r="O2429" s="2" t="s">
        <v>97</v>
      </c>
      <c r="P2429" s="2" t="s">
        <v>182</v>
      </c>
      <c r="Q2429" s="2" t="s">
        <v>99</v>
      </c>
      <c r="R2429" s="2" t="s">
        <v>100</v>
      </c>
      <c r="S2429" s="2" t="s">
        <v>8877</v>
      </c>
      <c r="T2429" s="2" t="s">
        <v>100</v>
      </c>
      <c r="U2429" s="2" t="s">
        <v>100</v>
      </c>
      <c r="V2429" s="2" t="s">
        <v>601</v>
      </c>
      <c r="W2429" s="2" t="s">
        <v>602</v>
      </c>
      <c r="X2429" s="2" t="s">
        <v>100</v>
      </c>
      <c r="Y2429" s="2" t="s">
        <v>106</v>
      </c>
      <c r="Z2429" s="4">
        <v>323</v>
      </c>
      <c r="AA2429" s="4">
        <f>=ROUNDDOWN(32.3,0)</f>
      </c>
      <c r="AB2429" s="5">
        <v>10</v>
      </c>
      <c r="AC2429" s="2" t="s">
        <v>382</v>
      </c>
      <c r="AD2429" s="4">
        <v>100</v>
      </c>
      <c r="AE2429" s="4">
        <v>100</v>
      </c>
      <c r="AF2429" s="6">
        <v>66</v>
      </c>
      <c r="AG2429" s="6">
        <v>49</v>
      </c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>
        <v>0</v>
      </c>
      <c r="AP2429" s="4"/>
      <c r="AQ2429" s="8"/>
      <c r="AR2429" s="4">
        <v>22</v>
      </c>
      <c r="AS2429" s="8">
        <v>1950.08</v>
      </c>
      <c r="AT2429" s="7">
        <v>-1</v>
      </c>
      <c r="AU2429" s="7">
        <v>-1</v>
      </c>
      <c r="AV2429" s="4"/>
      <c r="AW2429" s="8"/>
      <c r="AX2429" s="4">
        <v>22</v>
      </c>
      <c r="AY2429" s="8">
        <v>1950.08</v>
      </c>
      <c r="AZ2429" s="7">
        <v>-1</v>
      </c>
      <c r="BA2429" s="7">
        <v>-1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175</v>
      </c>
      <c r="BK2429" s="8">
        <v>19526.56</v>
      </c>
      <c r="BL2429" s="2" t="s">
        <v>8878</v>
      </c>
      <c r="BM2429" s="7"/>
      <c r="BN2429" s="7"/>
      <c r="BO2429" s="4"/>
      <c r="BP2429" s="8"/>
      <c r="BQ2429" s="4">
        <v>22</v>
      </c>
      <c r="BR2429" s="8">
        <v>1950.08</v>
      </c>
      <c r="BS2429" s="7">
        <v>-1</v>
      </c>
      <c r="BT2429" s="7">
        <v>-1</v>
      </c>
      <c r="BU2429" s="2" t="s">
        <v>109</v>
      </c>
      <c r="BV2429" s="2" t="s">
        <v>97</v>
      </c>
      <c r="BW2429" s="2" t="s">
        <v>8879</v>
      </c>
      <c r="BX2429" s="2" t="s">
        <v>6391</v>
      </c>
      <c r="BY2429" s="2" t="s">
        <v>112</v>
      </c>
      <c r="BZ2429" s="2" t="s">
        <v>100</v>
      </c>
    </row>
    <row r="2430">
      <c r="A2430" s="2" t="s">
        <v>8880</v>
      </c>
      <c r="B2430" s="2" t="s">
        <v>7252</v>
      </c>
      <c r="C2430" s="2" t="s">
        <v>88</v>
      </c>
      <c r="D2430" s="2" t="s">
        <v>8817</v>
      </c>
      <c r="E2430" s="2" t="s">
        <v>8818</v>
      </c>
      <c r="F2430" s="2" t="s">
        <v>7985</v>
      </c>
      <c r="G2430" s="2" t="s">
        <v>7986</v>
      </c>
      <c r="H2430" s="2" t="s">
        <v>7987</v>
      </c>
      <c r="I2430" s="2" t="s">
        <v>8847</v>
      </c>
      <c r="J2430" s="2" t="s">
        <v>6103</v>
      </c>
      <c r="K2430" s="2" t="s">
        <v>2367</v>
      </c>
      <c r="L2430" s="3">
        <v>284.75</v>
      </c>
      <c r="M2430" s="3">
        <v>298.99</v>
      </c>
      <c r="N2430" s="3">
        <v>599</v>
      </c>
      <c r="O2430" s="2" t="s">
        <v>97</v>
      </c>
      <c r="P2430" s="2" t="s">
        <v>124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2104</v>
      </c>
      <c r="V2430" s="2" t="s">
        <v>601</v>
      </c>
      <c r="W2430" s="2" t="s">
        <v>602</v>
      </c>
      <c r="X2430" s="2" t="s">
        <v>100</v>
      </c>
      <c r="Y2430" s="2" t="s">
        <v>8881</v>
      </c>
      <c r="Z2430" s="4">
        <v>636</v>
      </c>
      <c r="AA2430" s="4">
        <f>=ROUNDDOWN(26.5,0)</f>
      </c>
      <c r="AB2430" s="5">
        <v>24</v>
      </c>
      <c r="AC2430" s="2" t="s">
        <v>382</v>
      </c>
      <c r="AD2430" s="4">
        <v>10</v>
      </c>
      <c r="AE2430" s="4">
        <v>307</v>
      </c>
      <c r="AF2430" s="6">
        <v>66</v>
      </c>
      <c r="AG2430" s="6">
        <v>49</v>
      </c>
      <c r="AH2430" s="7">
        <v>0.8667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/>
      <c r="AW2430" s="8"/>
      <c r="AX2430" s="4"/>
      <c r="AY2430" s="8"/>
      <c r="AZ2430" s="7"/>
      <c r="BA2430" s="7"/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464</v>
      </c>
      <c r="BK2430" s="8">
        <v>145222.53</v>
      </c>
      <c r="BL2430" s="2" t="s">
        <v>8882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6185</v>
      </c>
      <c r="BV2430" s="2" t="s">
        <v>97</v>
      </c>
      <c r="BW2430" s="2" t="s">
        <v>100</v>
      </c>
      <c r="BX2430" s="2" t="s">
        <v>100</v>
      </c>
      <c r="BY2430" s="2" t="s">
        <v>112</v>
      </c>
      <c r="BZ2430" s="2" t="s">
        <v>100</v>
      </c>
    </row>
    <row r="2431">
      <c r="A2431" s="2" t="s">
        <v>8883</v>
      </c>
      <c r="B2431" s="2" t="s">
        <v>7252</v>
      </c>
      <c r="C2431" s="2" t="s">
        <v>88</v>
      </c>
      <c r="D2431" s="2" t="s">
        <v>8817</v>
      </c>
      <c r="E2431" s="2" t="s">
        <v>8818</v>
      </c>
      <c r="F2431" s="2" t="s">
        <v>7985</v>
      </c>
      <c r="G2431" s="2" t="s">
        <v>7986</v>
      </c>
      <c r="H2431" s="2" t="s">
        <v>7987</v>
      </c>
      <c r="I2431" s="2" t="s">
        <v>8847</v>
      </c>
      <c r="J2431" s="2" t="s">
        <v>6103</v>
      </c>
      <c r="K2431" s="2" t="s">
        <v>333</v>
      </c>
      <c r="L2431" s="3">
        <v>284.75</v>
      </c>
      <c r="M2431" s="3">
        <v>298.99</v>
      </c>
      <c r="N2431" s="3">
        <v>599</v>
      </c>
      <c r="O2431" s="2" t="s">
        <v>97</v>
      </c>
      <c r="P2431" s="2" t="s">
        <v>182</v>
      </c>
      <c r="Q2431" s="2" t="s">
        <v>99</v>
      </c>
      <c r="R2431" s="2" t="s">
        <v>100</v>
      </c>
      <c r="S2431" s="2" t="s">
        <v>100</v>
      </c>
      <c r="T2431" s="2" t="s">
        <v>100</v>
      </c>
      <c r="U2431" s="2" t="s">
        <v>2104</v>
      </c>
      <c r="V2431" s="2" t="s">
        <v>1752</v>
      </c>
      <c r="W2431" s="2" t="s">
        <v>602</v>
      </c>
      <c r="X2431" s="2" t="s">
        <v>100</v>
      </c>
      <c r="Y2431" s="2" t="s">
        <v>8884</v>
      </c>
      <c r="Z2431" s="4">
        <v>197</v>
      </c>
      <c r="AA2431" s="4">
        <f>=ROUNDDOWN(28.1428571428571,0)</f>
      </c>
      <c r="AB2431" s="5">
        <v>7</v>
      </c>
      <c r="AC2431" s="2" t="s">
        <v>2120</v>
      </c>
      <c r="AD2431" s="4">
        <v>100</v>
      </c>
      <c r="AE2431" s="4">
        <v>100</v>
      </c>
      <c r="AF2431" s="6">
        <v>66</v>
      </c>
      <c r="AG2431" s="6"/>
      <c r="AH2431" s="7">
        <v>0.9091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163</v>
      </c>
      <c r="BK2431" s="8">
        <v>50108.54</v>
      </c>
      <c r="BL2431" s="2" t="s">
        <v>8885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6185</v>
      </c>
      <c r="BV2431" s="2" t="s">
        <v>97</v>
      </c>
      <c r="BW2431" s="2" t="s">
        <v>100</v>
      </c>
      <c r="BX2431" s="2" t="s">
        <v>100</v>
      </c>
      <c r="BY2431" s="2" t="s">
        <v>112</v>
      </c>
      <c r="BZ2431" s="2" t="s">
        <v>100</v>
      </c>
    </row>
    <row r="2432">
      <c r="A2432" s="2" t="s">
        <v>8886</v>
      </c>
      <c r="B2432" s="2" t="s">
        <v>7252</v>
      </c>
      <c r="C2432" s="2" t="s">
        <v>88</v>
      </c>
      <c r="D2432" s="2" t="s">
        <v>8817</v>
      </c>
      <c r="E2432" s="2" t="s">
        <v>8818</v>
      </c>
      <c r="F2432" s="2" t="s">
        <v>8887</v>
      </c>
      <c r="G2432" s="2" t="s">
        <v>8888</v>
      </c>
      <c r="H2432" s="2" t="s">
        <v>8889</v>
      </c>
      <c r="I2432" s="2" t="s">
        <v>8847</v>
      </c>
      <c r="J2432" s="2" t="s">
        <v>6103</v>
      </c>
      <c r="K2432" s="2" t="s">
        <v>123</v>
      </c>
      <c r="L2432" s="3">
        <v>252.45</v>
      </c>
      <c r="M2432" s="3">
        <v>265.07</v>
      </c>
      <c r="N2432" s="3">
        <v>529</v>
      </c>
      <c r="O2432" s="2" t="s">
        <v>97</v>
      </c>
      <c r="P2432" s="2" t="s">
        <v>143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2104</v>
      </c>
      <c r="V2432" s="2" t="s">
        <v>601</v>
      </c>
      <c r="W2432" s="2" t="s">
        <v>1288</v>
      </c>
      <c r="X2432" s="2" t="s">
        <v>104</v>
      </c>
      <c r="Y2432" s="2" t="s">
        <v>4565</v>
      </c>
      <c r="Z2432" s="4">
        <v>170</v>
      </c>
      <c r="AA2432" s="4">
        <f>=ROUNDDOWN(28.3333333333333,0)</f>
      </c>
      <c r="AB2432" s="5">
        <v>6</v>
      </c>
      <c r="AC2432" s="2" t="s">
        <v>936</v>
      </c>
      <c r="AD2432" s="4">
        <v>80</v>
      </c>
      <c r="AE2432" s="4">
        <v>80</v>
      </c>
      <c r="AF2432" s="6">
        <v>66</v>
      </c>
      <c r="AG2432" s="6">
        <v>49</v>
      </c>
      <c r="AH2432" s="7">
        <v>1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>
        <v>0</v>
      </c>
      <c r="AP2432" s="4"/>
      <c r="AQ2432" s="8"/>
      <c r="AR2432" s="4">
        <v>16</v>
      </c>
      <c r="AS2432" s="8">
        <v>2914.32</v>
      </c>
      <c r="AT2432" s="7">
        <v>-1</v>
      </c>
      <c r="AU2432" s="7">
        <v>-1</v>
      </c>
      <c r="AV2432" s="4"/>
      <c r="AW2432" s="8"/>
      <c r="AX2432" s="4">
        <v>16</v>
      </c>
      <c r="AY2432" s="8">
        <v>2914.32</v>
      </c>
      <c r="AZ2432" s="7">
        <v>-1</v>
      </c>
      <c r="BA2432" s="7">
        <v>-1</v>
      </c>
      <c r="BB2432" s="7"/>
      <c r="BC2432" s="4"/>
      <c r="BD2432" s="8"/>
      <c r="BE2432" s="4">
        <v>16</v>
      </c>
      <c r="BF2432" s="8">
        <v>2914.32</v>
      </c>
      <c r="BG2432" s="7">
        <v>-1</v>
      </c>
      <c r="BH2432" s="7">
        <v>-1</v>
      </c>
      <c r="BI2432" s="7"/>
      <c r="BJ2432" s="4">
        <v>135</v>
      </c>
      <c r="BK2432" s="8">
        <v>30740.74</v>
      </c>
      <c r="BL2432" s="2" t="s">
        <v>8890</v>
      </c>
      <c r="BM2432" s="7"/>
      <c r="BN2432" s="7"/>
      <c r="BO2432" s="4"/>
      <c r="BP2432" s="8"/>
      <c r="BQ2432" s="4">
        <v>16</v>
      </c>
      <c r="BR2432" s="8">
        <v>2914.32</v>
      </c>
      <c r="BS2432" s="7">
        <v>-1</v>
      </c>
      <c r="BT2432" s="7">
        <v>-1</v>
      </c>
      <c r="BU2432" s="2" t="s">
        <v>109</v>
      </c>
      <c r="BV2432" s="2" t="s">
        <v>97</v>
      </c>
      <c r="BW2432" s="2" t="s">
        <v>7676</v>
      </c>
      <c r="BX2432" s="2" t="s">
        <v>8325</v>
      </c>
      <c r="BY2432" s="2" t="s">
        <v>112</v>
      </c>
      <c r="BZ2432" s="2" t="s">
        <v>100</v>
      </c>
    </row>
    <row r="2433">
      <c r="A2433" s="2" t="s">
        <v>8891</v>
      </c>
      <c r="B2433" s="2" t="s">
        <v>7252</v>
      </c>
      <c r="C2433" s="2" t="s">
        <v>88</v>
      </c>
      <c r="D2433" s="2" t="s">
        <v>8817</v>
      </c>
      <c r="E2433" s="2" t="s">
        <v>8818</v>
      </c>
      <c r="F2433" s="2" t="s">
        <v>8892</v>
      </c>
      <c r="G2433" s="2" t="s">
        <v>1650</v>
      </c>
      <c r="H2433" s="2" t="s">
        <v>8893</v>
      </c>
      <c r="I2433" s="2" t="s">
        <v>8894</v>
      </c>
      <c r="J2433" s="2" t="s">
        <v>6103</v>
      </c>
      <c r="K2433" s="2" t="s">
        <v>2367</v>
      </c>
      <c r="L2433" s="3">
        <v>226.1</v>
      </c>
      <c r="M2433" s="3">
        <v>237.4</v>
      </c>
      <c r="N2433" s="3">
        <v>479</v>
      </c>
      <c r="O2433" s="2" t="s">
        <v>97</v>
      </c>
      <c r="P2433" s="2" t="s">
        <v>182</v>
      </c>
      <c r="Q2433" s="2" t="s">
        <v>99</v>
      </c>
      <c r="R2433" s="2" t="s">
        <v>100</v>
      </c>
      <c r="S2433" s="2" t="s">
        <v>100</v>
      </c>
      <c r="T2433" s="2" t="s">
        <v>100</v>
      </c>
      <c r="U2433" s="2" t="s">
        <v>2104</v>
      </c>
      <c r="V2433" s="2" t="s">
        <v>601</v>
      </c>
      <c r="W2433" s="2" t="s">
        <v>104</v>
      </c>
      <c r="X2433" s="2" t="s">
        <v>100</v>
      </c>
      <c r="Y2433" s="2" t="s">
        <v>8895</v>
      </c>
      <c r="Z2433" s="4">
        <v>267</v>
      </c>
      <c r="AA2433" s="4">
        <f>=ROUNDDOWN(44.5,0)</f>
      </c>
      <c r="AB2433" s="5">
        <v>6</v>
      </c>
      <c r="AC2433" s="2" t="s">
        <v>936</v>
      </c>
      <c r="AD2433" s="4">
        <v>34</v>
      </c>
      <c r="AE2433" s="4">
        <v>100</v>
      </c>
      <c r="AF2433" s="6">
        <v>66</v>
      </c>
      <c r="AG2433" s="6">
        <v>49</v>
      </c>
      <c r="AH2433" s="7">
        <v>0.9697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>
        <v>0</v>
      </c>
      <c r="AP2433" s="4"/>
      <c r="AQ2433" s="8"/>
      <c r="AR2433" s="4">
        <v>4</v>
      </c>
      <c r="AS2433" s="8">
        <v>578.84</v>
      </c>
      <c r="AT2433" s="7">
        <v>-1</v>
      </c>
      <c r="AU2433" s="7">
        <v>-1</v>
      </c>
      <c r="AV2433" s="4"/>
      <c r="AW2433" s="8"/>
      <c r="AX2433" s="4">
        <v>4</v>
      </c>
      <c r="AY2433" s="8">
        <v>578.84</v>
      </c>
      <c r="AZ2433" s="7">
        <v>-1</v>
      </c>
      <c r="BA2433" s="7">
        <v>-1</v>
      </c>
      <c r="BB2433" s="7"/>
      <c r="BC2433" s="4"/>
      <c r="BD2433" s="8"/>
      <c r="BE2433" s="4">
        <v>4</v>
      </c>
      <c r="BF2433" s="8">
        <v>578.84</v>
      </c>
      <c r="BG2433" s="7">
        <v>-1</v>
      </c>
      <c r="BH2433" s="7">
        <v>-1</v>
      </c>
      <c r="BI2433" s="7"/>
      <c r="BJ2433" s="4">
        <v>116</v>
      </c>
      <c r="BK2433" s="8">
        <v>23842.09</v>
      </c>
      <c r="BL2433" s="2" t="s">
        <v>8896</v>
      </c>
      <c r="BM2433" s="7"/>
      <c r="BN2433" s="7"/>
      <c r="BO2433" s="4"/>
      <c r="BP2433" s="8"/>
      <c r="BQ2433" s="4">
        <v>4</v>
      </c>
      <c r="BR2433" s="8">
        <v>578.84</v>
      </c>
      <c r="BS2433" s="7">
        <v>-1</v>
      </c>
      <c r="BT2433" s="7">
        <v>-1</v>
      </c>
      <c r="BU2433" s="2" t="s">
        <v>109</v>
      </c>
      <c r="BV2433" s="2" t="s">
        <v>97</v>
      </c>
      <c r="BW2433" s="2" t="s">
        <v>8648</v>
      </c>
      <c r="BX2433" s="2" t="s">
        <v>5127</v>
      </c>
      <c r="BY2433" s="2" t="s">
        <v>112</v>
      </c>
      <c r="BZ2433" s="2" t="s">
        <v>100</v>
      </c>
    </row>
    <row r="2434">
      <c r="A2434" s="2" t="s">
        <v>8897</v>
      </c>
      <c r="B2434" s="2" t="s">
        <v>7252</v>
      </c>
      <c r="C2434" s="2" t="s">
        <v>88</v>
      </c>
      <c r="D2434" s="2" t="s">
        <v>8817</v>
      </c>
      <c r="E2434" s="2" t="s">
        <v>8818</v>
      </c>
      <c r="F2434" s="2" t="s">
        <v>7882</v>
      </c>
      <c r="G2434" s="2" t="s">
        <v>7883</v>
      </c>
      <c r="H2434" s="2" t="s">
        <v>7884</v>
      </c>
      <c r="I2434" s="2" t="s">
        <v>8898</v>
      </c>
      <c r="J2434" s="2" t="s">
        <v>6103</v>
      </c>
      <c r="K2434" s="2" t="s">
        <v>2367</v>
      </c>
      <c r="L2434" s="3">
        <v>171</v>
      </c>
      <c r="M2434" s="3">
        <v>179.55</v>
      </c>
      <c r="N2434" s="3">
        <v>359</v>
      </c>
      <c r="O2434" s="2" t="s">
        <v>97</v>
      </c>
      <c r="P2434" s="2" t="s">
        <v>124</v>
      </c>
      <c r="Q2434" s="2" t="s">
        <v>99</v>
      </c>
      <c r="R2434" s="2" t="s">
        <v>100</v>
      </c>
      <c r="S2434" s="2" t="s">
        <v>7890</v>
      </c>
      <c r="T2434" s="2" t="s">
        <v>100</v>
      </c>
      <c r="U2434" s="2" t="s">
        <v>3531</v>
      </c>
      <c r="V2434" s="2" t="s">
        <v>601</v>
      </c>
      <c r="W2434" s="2" t="s">
        <v>104</v>
      </c>
      <c r="X2434" s="2" t="s">
        <v>100</v>
      </c>
      <c r="Y2434" s="2" t="s">
        <v>7588</v>
      </c>
      <c r="Z2434" s="4">
        <v>350</v>
      </c>
      <c r="AA2434" s="4">
        <f>=ROUNDDOWN(30.7017543859649,0)</f>
      </c>
      <c r="AB2434" s="5">
        <v>11.4</v>
      </c>
      <c r="AC2434" s="2" t="s">
        <v>100</v>
      </c>
      <c r="AD2434" s="4"/>
      <c r="AE2434" s="4"/>
      <c r="AF2434" s="6">
        <v>66</v>
      </c>
      <c r="AG2434" s="6">
        <v>49</v>
      </c>
      <c r="AH2434" s="7">
        <v>1</v>
      </c>
      <c r="AI2434" s="4"/>
      <c r="AJ2434" s="4">
        <f>=ROUNDDOWN({0},0)</f>
      </c>
      <c r="AK2434" s="5"/>
      <c r="AL2434" s="2" t="s">
        <v>751</v>
      </c>
      <c r="AM2434" s="4">
        <v>360</v>
      </c>
      <c r="AN2434" s="4">
        <v>360</v>
      </c>
      <c r="AO2434" s="7">
        <v>0</v>
      </c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>
        <v>599</v>
      </c>
      <c r="BK2434" s="8">
        <v>91784.85</v>
      </c>
      <c r="BL2434" s="2" t="s">
        <v>8899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109</v>
      </c>
      <c r="BV2434" s="2" t="s">
        <v>97</v>
      </c>
      <c r="BW2434" s="2" t="s">
        <v>7307</v>
      </c>
      <c r="BX2434" s="2" t="s">
        <v>100</v>
      </c>
      <c r="BY2434" s="2" t="s">
        <v>112</v>
      </c>
      <c r="BZ2434" s="2" t="s">
        <v>100</v>
      </c>
    </row>
    <row r="2435">
      <c r="A2435" s="2" t="s">
        <v>8900</v>
      </c>
      <c r="B2435" s="2" t="s">
        <v>7252</v>
      </c>
      <c r="C2435" s="2" t="s">
        <v>88</v>
      </c>
      <c r="D2435" s="2" t="s">
        <v>8817</v>
      </c>
      <c r="E2435" s="2" t="s">
        <v>8818</v>
      </c>
      <c r="F2435" s="2" t="s">
        <v>7882</v>
      </c>
      <c r="G2435" s="2" t="s">
        <v>7883</v>
      </c>
      <c r="H2435" s="2" t="s">
        <v>7884</v>
      </c>
      <c r="I2435" s="2" t="s">
        <v>8898</v>
      </c>
      <c r="J2435" s="2" t="s">
        <v>6103</v>
      </c>
      <c r="K2435" s="2" t="s">
        <v>7696</v>
      </c>
      <c r="L2435" s="3">
        <v>171</v>
      </c>
      <c r="M2435" s="3">
        <v>179.55</v>
      </c>
      <c r="N2435" s="3">
        <v>359</v>
      </c>
      <c r="O2435" s="2" t="s">
        <v>97</v>
      </c>
      <c r="P2435" s="2" t="s">
        <v>182</v>
      </c>
      <c r="Q2435" s="2" t="s">
        <v>99</v>
      </c>
      <c r="R2435" s="2" t="s">
        <v>100</v>
      </c>
      <c r="S2435" s="2" t="s">
        <v>100</v>
      </c>
      <c r="T2435" s="2" t="s">
        <v>100</v>
      </c>
      <c r="U2435" s="2" t="s">
        <v>3531</v>
      </c>
      <c r="V2435" s="2" t="s">
        <v>601</v>
      </c>
      <c r="W2435" s="2" t="s">
        <v>104</v>
      </c>
      <c r="X2435" s="2" t="s">
        <v>100</v>
      </c>
      <c r="Y2435" s="2" t="s">
        <v>7886</v>
      </c>
      <c r="Z2435" s="4">
        <v>100</v>
      </c>
      <c r="AA2435" s="4">
        <f>=ROUNDDOWN(16.6666666666667,0)</f>
      </c>
      <c r="AB2435" s="5">
        <v>6</v>
      </c>
      <c r="AC2435" s="2" t="s">
        <v>3645</v>
      </c>
      <c r="AD2435" s="4">
        <v>220</v>
      </c>
      <c r="AE2435" s="4">
        <v>220</v>
      </c>
      <c r="AF2435" s="6">
        <v>66</v>
      </c>
      <c r="AG2435" s="6">
        <v>49</v>
      </c>
      <c r="AH2435" s="7">
        <v>0.7576</v>
      </c>
      <c r="AI2435" s="4"/>
      <c r="AJ2435" s="4">
        <f>=ROUNDDOWN({0},0)</f>
      </c>
      <c r="AK2435" s="5"/>
      <c r="AL2435" s="2" t="s">
        <v>100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>
        <v>102</v>
      </c>
      <c r="BK2435" s="8">
        <v>15610.22</v>
      </c>
      <c r="BL2435" s="2" t="s">
        <v>8901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6185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8902</v>
      </c>
      <c r="B2436" s="2" t="s">
        <v>7252</v>
      </c>
      <c r="C2436" s="2" t="s">
        <v>88</v>
      </c>
      <c r="D2436" s="2" t="s">
        <v>8817</v>
      </c>
      <c r="E2436" s="2" t="s">
        <v>8818</v>
      </c>
      <c r="F2436" s="2" t="s">
        <v>7882</v>
      </c>
      <c r="G2436" s="2" t="s">
        <v>7883</v>
      </c>
      <c r="H2436" s="2" t="s">
        <v>7884</v>
      </c>
      <c r="I2436" s="2" t="s">
        <v>8898</v>
      </c>
      <c r="J2436" s="2" t="s">
        <v>6103</v>
      </c>
      <c r="K2436" s="2" t="s">
        <v>8903</v>
      </c>
      <c r="L2436" s="3">
        <v>171</v>
      </c>
      <c r="M2436" s="3">
        <v>179.55</v>
      </c>
      <c r="N2436" s="3">
        <v>359</v>
      </c>
      <c r="O2436" s="2" t="s">
        <v>97</v>
      </c>
      <c r="P2436" s="2" t="s">
        <v>182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3531</v>
      </c>
      <c r="V2436" s="2" t="s">
        <v>601</v>
      </c>
      <c r="W2436" s="2" t="s">
        <v>104</v>
      </c>
      <c r="X2436" s="2" t="s">
        <v>759</v>
      </c>
      <c r="Y2436" s="2" t="s">
        <v>6237</v>
      </c>
      <c r="Z2436" s="4"/>
      <c r="AA2436" s="4">
        <f>=ROUNDDOWN({0},0)</f>
      </c>
      <c r="AB2436" s="5">
        <v>6</v>
      </c>
      <c r="AC2436" s="2" t="s">
        <v>8904</v>
      </c>
      <c r="AD2436" s="4">
        <v>100</v>
      </c>
      <c r="AE2436" s="4">
        <v>200</v>
      </c>
      <c r="AF2436" s="6">
        <v>66</v>
      </c>
      <c r="AG2436" s="6">
        <v>49</v>
      </c>
      <c r="AH2436" s="7">
        <v>0.5455</v>
      </c>
      <c r="AI2436" s="4"/>
      <c r="AJ2436" s="4">
        <f>=ROUNDDOWN({0},0)</f>
      </c>
      <c r="AK2436" s="5"/>
      <c r="AL2436" s="2" t="s">
        <v>100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>
        <v>76</v>
      </c>
      <c r="BK2436" s="8">
        <v>12712.16</v>
      </c>
      <c r="BL2436" s="2" t="s">
        <v>8905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6185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8906</v>
      </c>
      <c r="B2437" s="2" t="s">
        <v>7252</v>
      </c>
      <c r="C2437" s="2" t="s">
        <v>88</v>
      </c>
      <c r="D2437" s="2" t="s">
        <v>8817</v>
      </c>
      <c r="E2437" s="2" t="s">
        <v>8818</v>
      </c>
      <c r="F2437" s="2" t="s">
        <v>2008</v>
      </c>
      <c r="G2437" s="2" t="s">
        <v>1984</v>
      </c>
      <c r="H2437" s="2" t="s">
        <v>1146</v>
      </c>
      <c r="I2437" s="2" t="s">
        <v>8907</v>
      </c>
      <c r="J2437" s="2" t="s">
        <v>6103</v>
      </c>
      <c r="K2437" s="2" t="s">
        <v>158</v>
      </c>
      <c r="L2437" s="3">
        <v>190</v>
      </c>
      <c r="M2437" s="3">
        <v>199.5</v>
      </c>
      <c r="N2437" s="3">
        <v>399</v>
      </c>
      <c r="O2437" s="2" t="s">
        <v>97</v>
      </c>
      <c r="P2437" s="2" t="s">
        <v>1166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3531</v>
      </c>
      <c r="V2437" s="2" t="s">
        <v>601</v>
      </c>
      <c r="W2437" s="2" t="s">
        <v>104</v>
      </c>
      <c r="X2437" s="2" t="s">
        <v>1288</v>
      </c>
      <c r="Y2437" s="2" t="s">
        <v>8908</v>
      </c>
      <c r="Z2437" s="4">
        <v>43</v>
      </c>
      <c r="AA2437" s="4">
        <f>=ROUNDDOWN(5.375,0)</f>
      </c>
      <c r="AB2437" s="5">
        <v>8</v>
      </c>
      <c r="AC2437" s="2" t="s">
        <v>518</v>
      </c>
      <c r="AD2437" s="4">
        <v>96</v>
      </c>
      <c r="AE2437" s="4">
        <v>196</v>
      </c>
      <c r="AF2437" s="6">
        <v>66</v>
      </c>
      <c r="AG2437" s="6"/>
      <c r="AH2437" s="7">
        <v>0.7714</v>
      </c>
      <c r="AI2437" s="4"/>
      <c r="AJ2437" s="4">
        <f>=ROUNDDOWN({0},0)</f>
      </c>
      <c r="AK2437" s="5"/>
      <c r="AL2437" s="2" t="s">
        <v>100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>
        <v>60</v>
      </c>
      <c r="BK2437" s="8">
        <v>12481.24</v>
      </c>
      <c r="BL2437" s="2" t="s">
        <v>8909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147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8910</v>
      </c>
      <c r="B2438" s="2" t="s">
        <v>7252</v>
      </c>
      <c r="C2438" s="2" t="s">
        <v>88</v>
      </c>
      <c r="D2438" s="2" t="s">
        <v>8817</v>
      </c>
      <c r="E2438" s="2" t="s">
        <v>8818</v>
      </c>
      <c r="F2438" s="2" t="s">
        <v>2008</v>
      </c>
      <c r="G2438" s="2" t="s">
        <v>1984</v>
      </c>
      <c r="H2438" s="2" t="s">
        <v>1146</v>
      </c>
      <c r="I2438" s="2" t="s">
        <v>8907</v>
      </c>
      <c r="J2438" s="2" t="s">
        <v>6103</v>
      </c>
      <c r="K2438" s="2" t="s">
        <v>2367</v>
      </c>
      <c r="L2438" s="3">
        <v>190</v>
      </c>
      <c r="M2438" s="3">
        <v>199.5</v>
      </c>
      <c r="N2438" s="3">
        <v>399</v>
      </c>
      <c r="O2438" s="2" t="s">
        <v>97</v>
      </c>
      <c r="P2438" s="2" t="s">
        <v>1166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3531</v>
      </c>
      <c r="V2438" s="2" t="s">
        <v>601</v>
      </c>
      <c r="W2438" s="2" t="s">
        <v>104</v>
      </c>
      <c r="X2438" s="2" t="s">
        <v>1288</v>
      </c>
      <c r="Y2438" s="2" t="s">
        <v>8908</v>
      </c>
      <c r="Z2438" s="4">
        <v>180</v>
      </c>
      <c r="AA2438" s="4">
        <f>=ROUNDDOWN(8.18181818181818,0)</f>
      </c>
      <c r="AB2438" s="5">
        <v>22</v>
      </c>
      <c r="AC2438" s="2" t="s">
        <v>533</v>
      </c>
      <c r="AD2438" s="4">
        <v>204</v>
      </c>
      <c r="AE2438" s="4">
        <v>291</v>
      </c>
      <c r="AF2438" s="6">
        <v>66</v>
      </c>
      <c r="AG2438" s="6"/>
      <c r="AH2438" s="7">
        <v>0.6381</v>
      </c>
      <c r="AI2438" s="4"/>
      <c r="AJ2438" s="4">
        <f>=ROUNDDOWN({0},0)</f>
      </c>
      <c r="AK2438" s="5"/>
      <c r="AL2438" s="2" t="s">
        <v>100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>
        <v>105</v>
      </c>
      <c r="BK2438" s="8">
        <v>21712.22</v>
      </c>
      <c r="BL2438" s="2" t="s">
        <v>3311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147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8911</v>
      </c>
      <c r="B2439" s="2" t="s">
        <v>7252</v>
      </c>
      <c r="C2439" s="2" t="s">
        <v>88</v>
      </c>
      <c r="D2439" s="2" t="s">
        <v>8817</v>
      </c>
      <c r="E2439" s="2" t="s">
        <v>8818</v>
      </c>
      <c r="F2439" s="2" t="s">
        <v>2008</v>
      </c>
      <c r="G2439" s="2" t="s">
        <v>1984</v>
      </c>
      <c r="H2439" s="2" t="s">
        <v>1146</v>
      </c>
      <c r="I2439" s="2" t="s">
        <v>8907</v>
      </c>
      <c r="J2439" s="2" t="s">
        <v>6103</v>
      </c>
      <c r="K2439" s="2" t="s">
        <v>333</v>
      </c>
      <c r="L2439" s="3">
        <v>190</v>
      </c>
      <c r="M2439" s="3">
        <v>199.5</v>
      </c>
      <c r="N2439" s="3">
        <v>399</v>
      </c>
      <c r="O2439" s="2" t="s">
        <v>97</v>
      </c>
      <c r="P2439" s="2" t="s">
        <v>143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3531</v>
      </c>
      <c r="V2439" s="2" t="s">
        <v>601</v>
      </c>
      <c r="W2439" s="2" t="s">
        <v>104</v>
      </c>
      <c r="X2439" s="2" t="s">
        <v>1288</v>
      </c>
      <c r="Y2439" s="2" t="s">
        <v>7723</v>
      </c>
      <c r="Z2439" s="4">
        <v>728</v>
      </c>
      <c r="AA2439" s="4">
        <f>=ROUNDDOWN(91,0)</f>
      </c>
      <c r="AB2439" s="5">
        <v>8</v>
      </c>
      <c r="AC2439" s="2" t="s">
        <v>100</v>
      </c>
      <c r="AD2439" s="4"/>
      <c r="AE2439" s="4"/>
      <c r="AF2439" s="6">
        <v>66</v>
      </c>
      <c r="AG2439" s="6"/>
      <c r="AH2439" s="7">
        <v>0.9273</v>
      </c>
      <c r="AI2439" s="4"/>
      <c r="AJ2439" s="4">
        <f>=ROUNDDOWN({0},0)</f>
      </c>
      <c r="AK2439" s="5"/>
      <c r="AL2439" s="2" t="s">
        <v>100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>
        <v>196</v>
      </c>
      <c r="BK2439" s="8">
        <v>41537.03</v>
      </c>
      <c r="BL2439" s="2" t="s">
        <v>8912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6185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8913</v>
      </c>
      <c r="B2440" s="2" t="s">
        <v>7252</v>
      </c>
      <c r="C2440" s="2" t="s">
        <v>88</v>
      </c>
      <c r="D2440" s="2" t="s">
        <v>8817</v>
      </c>
      <c r="E2440" s="2" t="s">
        <v>8818</v>
      </c>
      <c r="F2440" s="2" t="s">
        <v>7816</v>
      </c>
      <c r="G2440" s="2" t="s">
        <v>7817</v>
      </c>
      <c r="H2440" s="2" t="s">
        <v>7818</v>
      </c>
      <c r="I2440" s="2" t="s">
        <v>8854</v>
      </c>
      <c r="J2440" s="2" t="s">
        <v>6103</v>
      </c>
      <c r="K2440" s="2" t="s">
        <v>333</v>
      </c>
      <c r="L2440" s="3">
        <v>237.5</v>
      </c>
      <c r="M2440" s="3">
        <v>249.38</v>
      </c>
      <c r="N2440" s="3">
        <v>499</v>
      </c>
      <c r="O2440" s="2" t="s">
        <v>97</v>
      </c>
      <c r="P2440" s="2" t="s">
        <v>198</v>
      </c>
      <c r="Q2440" s="2" t="s">
        <v>99</v>
      </c>
      <c r="R2440" s="2" t="s">
        <v>100</v>
      </c>
      <c r="S2440" s="2" t="s">
        <v>8914</v>
      </c>
      <c r="T2440" s="2" t="s">
        <v>100</v>
      </c>
      <c r="U2440" s="2" t="s">
        <v>100</v>
      </c>
      <c r="V2440" s="2" t="s">
        <v>601</v>
      </c>
      <c r="W2440" s="2" t="s">
        <v>6998</v>
      </c>
      <c r="X2440" s="2" t="s">
        <v>100</v>
      </c>
      <c r="Y2440" s="2" t="s">
        <v>8915</v>
      </c>
      <c r="Z2440" s="4">
        <v>145</v>
      </c>
      <c r="AA2440" s="4">
        <f>=ROUNDDOWN(72.5,0)</f>
      </c>
      <c r="AB2440" s="5">
        <v>2</v>
      </c>
      <c r="AC2440" s="2" t="s">
        <v>100</v>
      </c>
      <c r="AD2440" s="4"/>
      <c r="AE2440" s="4"/>
      <c r="AF2440" s="6">
        <v>76</v>
      </c>
      <c r="AG2440" s="6">
        <v>67</v>
      </c>
      <c r="AH2440" s="7">
        <v>1</v>
      </c>
      <c r="AI2440" s="4"/>
      <c r="AJ2440" s="4">
        <f>=ROUNDDOWN({0},0)</f>
      </c>
      <c r="AK2440" s="5"/>
      <c r="AL2440" s="2" t="s">
        <v>100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/>
      <c r="BD2440" s="8"/>
      <c r="BE2440" s="4"/>
      <c r="BF2440" s="8"/>
      <c r="BG2440" s="7"/>
      <c r="BH2440" s="7"/>
      <c r="BI2440" s="7"/>
      <c r="BJ2440" s="4">
        <v>33</v>
      </c>
      <c r="BK2440" s="8">
        <v>8274.84</v>
      </c>
      <c r="BL2440" s="2" t="s">
        <v>7644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6185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8916</v>
      </c>
      <c r="B2441" s="2" t="s">
        <v>7252</v>
      </c>
      <c r="C2441" s="2" t="s">
        <v>88</v>
      </c>
      <c r="D2441" s="2" t="s">
        <v>8817</v>
      </c>
      <c r="E2441" s="2" t="s">
        <v>8818</v>
      </c>
      <c r="F2441" s="2" t="s">
        <v>8917</v>
      </c>
      <c r="G2441" s="2" t="s">
        <v>8918</v>
      </c>
      <c r="H2441" s="2" t="s">
        <v>8919</v>
      </c>
      <c r="I2441" s="2" t="s">
        <v>8920</v>
      </c>
      <c r="J2441" s="2" t="s">
        <v>6103</v>
      </c>
      <c r="K2441" s="2" t="s">
        <v>1412</v>
      </c>
      <c r="L2441" s="3">
        <v>263.5</v>
      </c>
      <c r="M2441" s="3">
        <v>276.68</v>
      </c>
      <c r="N2441" s="3">
        <v>549</v>
      </c>
      <c r="O2441" s="2" t="s">
        <v>97</v>
      </c>
      <c r="P2441" s="2" t="s">
        <v>182</v>
      </c>
      <c r="Q2441" s="2" t="s">
        <v>99</v>
      </c>
      <c r="R2441" s="2" t="s">
        <v>100</v>
      </c>
      <c r="S2441" s="2" t="s">
        <v>8921</v>
      </c>
      <c r="T2441" s="2" t="s">
        <v>100</v>
      </c>
      <c r="U2441" s="2" t="s">
        <v>2104</v>
      </c>
      <c r="V2441" s="2" t="s">
        <v>1752</v>
      </c>
      <c r="W2441" s="2" t="s">
        <v>1288</v>
      </c>
      <c r="X2441" s="2" t="s">
        <v>104</v>
      </c>
      <c r="Y2441" s="2" t="s">
        <v>8311</v>
      </c>
      <c r="Z2441" s="4">
        <v>273</v>
      </c>
      <c r="AA2441" s="4">
        <f>=ROUNDDOWN(24.8181818181818,0)</f>
      </c>
      <c r="AB2441" s="5">
        <v>11</v>
      </c>
      <c r="AC2441" s="2" t="s">
        <v>100</v>
      </c>
      <c r="AD2441" s="4"/>
      <c r="AE2441" s="4"/>
      <c r="AF2441" s="6">
        <v>66</v>
      </c>
      <c r="AG2441" s="6"/>
      <c r="AH2441" s="7">
        <v>0.9636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/>
      <c r="BD2441" s="8"/>
      <c r="BE2441" s="4"/>
      <c r="BF2441" s="8"/>
      <c r="BG2441" s="7"/>
      <c r="BH2441" s="7"/>
      <c r="BI2441" s="7"/>
      <c r="BJ2441" s="4">
        <v>244</v>
      </c>
      <c r="BK2441" s="8">
        <v>65424.82</v>
      </c>
      <c r="BL2441" s="2" t="s">
        <v>8922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7683</v>
      </c>
      <c r="BV2441" s="2" t="s">
        <v>97</v>
      </c>
      <c r="BW2441" s="2" t="s">
        <v>100</v>
      </c>
      <c r="BX2441" s="2" t="s">
        <v>100</v>
      </c>
      <c r="BY2441" s="2" t="s">
        <v>112</v>
      </c>
      <c r="BZ2441" s="2" t="s">
        <v>100</v>
      </c>
    </row>
    <row r="2442">
      <c r="A2442" s="2" t="s">
        <v>8923</v>
      </c>
      <c r="B2442" s="2" t="s">
        <v>7252</v>
      </c>
      <c r="C2442" s="2" t="s">
        <v>88</v>
      </c>
      <c r="D2442" s="2" t="s">
        <v>8817</v>
      </c>
      <c r="E2442" s="2" t="s">
        <v>8818</v>
      </c>
      <c r="F2442" s="2" t="s">
        <v>8924</v>
      </c>
      <c r="G2442" s="2" t="s">
        <v>8925</v>
      </c>
      <c r="H2442" s="2" t="s">
        <v>8926</v>
      </c>
      <c r="I2442" s="2" t="s">
        <v>8927</v>
      </c>
      <c r="J2442" s="2" t="s">
        <v>6103</v>
      </c>
      <c r="K2442" s="2" t="s">
        <v>1412</v>
      </c>
      <c r="L2442" s="3">
        <v>142.6</v>
      </c>
      <c r="M2442" s="3">
        <v>149.73</v>
      </c>
      <c r="N2442" s="3">
        <v>299</v>
      </c>
      <c r="O2442" s="2" t="s">
        <v>97</v>
      </c>
      <c r="P2442" s="2" t="s">
        <v>182</v>
      </c>
      <c r="Q2442" s="2" t="s">
        <v>99</v>
      </c>
      <c r="R2442" s="2" t="s">
        <v>100</v>
      </c>
      <c r="S2442" s="2" t="s">
        <v>8928</v>
      </c>
      <c r="T2442" s="2" t="s">
        <v>100</v>
      </c>
      <c r="U2442" s="2" t="s">
        <v>100</v>
      </c>
      <c r="V2442" s="2" t="s">
        <v>601</v>
      </c>
      <c r="W2442" s="2" t="s">
        <v>602</v>
      </c>
      <c r="X2442" s="2" t="s">
        <v>100</v>
      </c>
      <c r="Y2442" s="2" t="s">
        <v>106</v>
      </c>
      <c r="Z2442" s="4">
        <v>122</v>
      </c>
      <c r="AA2442" s="4">
        <f>=ROUNDDOWN(35.8823529411765,0)</f>
      </c>
      <c r="AB2442" s="5">
        <v>3.4</v>
      </c>
      <c r="AC2442" s="2" t="s">
        <v>919</v>
      </c>
      <c r="AD2442" s="4">
        <v>90</v>
      </c>
      <c r="AE2442" s="4">
        <v>90</v>
      </c>
      <c r="AF2442" s="6">
        <v>74</v>
      </c>
      <c r="AG2442" s="6"/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>
        <v>104</v>
      </c>
      <c r="BK2442" s="8">
        <v>14001</v>
      </c>
      <c r="BL2442" s="2" t="s">
        <v>8929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6185</v>
      </c>
      <c r="BV2442" s="2" t="s">
        <v>97</v>
      </c>
      <c r="BW2442" s="2" t="s">
        <v>100</v>
      </c>
      <c r="BX2442" s="2" t="s">
        <v>100</v>
      </c>
      <c r="BY2442" s="2" t="s">
        <v>112</v>
      </c>
      <c r="BZ2442" s="2" t="s">
        <v>100</v>
      </c>
    </row>
    <row r="2443">
      <c r="A2443" s="2" t="s">
        <v>8930</v>
      </c>
      <c r="B2443" s="2" t="s">
        <v>7252</v>
      </c>
      <c r="C2443" s="2" t="s">
        <v>88</v>
      </c>
      <c r="D2443" s="2" t="s">
        <v>8817</v>
      </c>
      <c r="E2443" s="2" t="s">
        <v>8818</v>
      </c>
      <c r="F2443" s="2" t="s">
        <v>8924</v>
      </c>
      <c r="G2443" s="2" t="s">
        <v>8925</v>
      </c>
      <c r="H2443" s="2" t="s">
        <v>8926</v>
      </c>
      <c r="I2443" s="2" t="s">
        <v>8927</v>
      </c>
      <c r="J2443" s="2" t="s">
        <v>6103</v>
      </c>
      <c r="K2443" s="2" t="s">
        <v>2553</v>
      </c>
      <c r="L2443" s="3">
        <v>142.6</v>
      </c>
      <c r="M2443" s="3">
        <v>149.73</v>
      </c>
      <c r="N2443" s="3">
        <v>299</v>
      </c>
      <c r="O2443" s="2" t="s">
        <v>97</v>
      </c>
      <c r="P2443" s="2" t="s">
        <v>182</v>
      </c>
      <c r="Q2443" s="2" t="s">
        <v>99</v>
      </c>
      <c r="R2443" s="2" t="s">
        <v>100</v>
      </c>
      <c r="S2443" s="2" t="s">
        <v>8931</v>
      </c>
      <c r="T2443" s="2" t="s">
        <v>100</v>
      </c>
      <c r="U2443" s="2" t="s">
        <v>100</v>
      </c>
      <c r="V2443" s="2" t="s">
        <v>601</v>
      </c>
      <c r="W2443" s="2" t="s">
        <v>602</v>
      </c>
      <c r="X2443" s="2" t="s">
        <v>100</v>
      </c>
      <c r="Y2443" s="2" t="s">
        <v>106</v>
      </c>
      <c r="Z2443" s="4">
        <v>188</v>
      </c>
      <c r="AA2443" s="4">
        <f>=ROUNDDOWN(47,0)</f>
      </c>
      <c r="AB2443" s="5">
        <v>4</v>
      </c>
      <c r="AC2443" s="2" t="s">
        <v>100</v>
      </c>
      <c r="AD2443" s="4"/>
      <c r="AE2443" s="4"/>
      <c r="AF2443" s="6">
        <v>74</v>
      </c>
      <c r="AG2443" s="6"/>
      <c r="AH2443" s="7">
        <v>1</v>
      </c>
      <c r="AI2443" s="4"/>
      <c r="AJ2443" s="4">
        <f>=ROUNDDOWN({0},0)</f>
      </c>
      <c r="AK2443" s="5"/>
      <c r="AL2443" s="2" t="s">
        <v>100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>
        <v>85</v>
      </c>
      <c r="BK2443" s="8">
        <v>11971.05</v>
      </c>
      <c r="BL2443" s="2" t="s">
        <v>8932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147</v>
      </c>
      <c r="BV2443" s="2" t="s">
        <v>97</v>
      </c>
      <c r="BW2443" s="2" t="s">
        <v>100</v>
      </c>
      <c r="BX2443" s="2" t="s">
        <v>100</v>
      </c>
      <c r="BY2443" s="2" t="s">
        <v>112</v>
      </c>
      <c r="BZ2443" s="2" t="s">
        <v>100</v>
      </c>
    </row>
    <row r="2444">
      <c r="A2444" s="2" t="s">
        <v>8933</v>
      </c>
      <c r="B2444" s="2" t="s">
        <v>7252</v>
      </c>
      <c r="C2444" s="2" t="s">
        <v>88</v>
      </c>
      <c r="D2444" s="2" t="s">
        <v>8817</v>
      </c>
      <c r="E2444" s="2" t="s">
        <v>8818</v>
      </c>
      <c r="F2444" s="2" t="s">
        <v>8924</v>
      </c>
      <c r="G2444" s="2" t="s">
        <v>8925</v>
      </c>
      <c r="H2444" s="2" t="s">
        <v>8926</v>
      </c>
      <c r="I2444" s="2" t="s">
        <v>8927</v>
      </c>
      <c r="J2444" s="2" t="s">
        <v>6103</v>
      </c>
      <c r="K2444" s="2" t="s">
        <v>1004</v>
      </c>
      <c r="L2444" s="3">
        <v>142.6</v>
      </c>
      <c r="M2444" s="3">
        <v>149.73</v>
      </c>
      <c r="N2444" s="3">
        <v>299</v>
      </c>
      <c r="O2444" s="2" t="s">
        <v>97</v>
      </c>
      <c r="P2444" s="2" t="s">
        <v>182</v>
      </c>
      <c r="Q2444" s="2" t="s">
        <v>99</v>
      </c>
      <c r="R2444" s="2" t="s">
        <v>100</v>
      </c>
      <c r="S2444" s="2" t="s">
        <v>8934</v>
      </c>
      <c r="T2444" s="2" t="s">
        <v>100</v>
      </c>
      <c r="U2444" s="2" t="s">
        <v>100</v>
      </c>
      <c r="V2444" s="2" t="s">
        <v>601</v>
      </c>
      <c r="W2444" s="2" t="s">
        <v>602</v>
      </c>
      <c r="X2444" s="2" t="s">
        <v>100</v>
      </c>
      <c r="Y2444" s="2" t="s">
        <v>106</v>
      </c>
      <c r="Z2444" s="4">
        <v>200</v>
      </c>
      <c r="AA2444" s="4">
        <f>=ROUNDDOWN(40,0)</f>
      </c>
      <c r="AB2444" s="5">
        <v>5</v>
      </c>
      <c r="AC2444" s="2" t="s">
        <v>919</v>
      </c>
      <c r="AD2444" s="4">
        <v>82</v>
      </c>
      <c r="AE2444" s="4">
        <v>82</v>
      </c>
      <c r="AF2444" s="6">
        <v>74</v>
      </c>
      <c r="AG2444" s="6"/>
      <c r="AH2444" s="7">
        <v>1</v>
      </c>
      <c r="AI2444" s="4"/>
      <c r="AJ2444" s="4">
        <f>=ROUNDDOWN({0},0)</f>
      </c>
      <c r="AK2444" s="5"/>
      <c r="AL2444" s="2" t="s">
        <v>100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>
        <v>128</v>
      </c>
      <c r="BK2444" s="8">
        <v>16153.97</v>
      </c>
      <c r="BL2444" s="2" t="s">
        <v>8935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6185</v>
      </c>
      <c r="BV2444" s="2" t="s">
        <v>97</v>
      </c>
      <c r="BW2444" s="2" t="s">
        <v>100</v>
      </c>
      <c r="BX2444" s="2" t="s">
        <v>100</v>
      </c>
      <c r="BY2444" s="2" t="s">
        <v>112</v>
      </c>
      <c r="BZ2444" s="2" t="s">
        <v>100</v>
      </c>
    </row>
    <row r="2445">
      <c r="A2445" s="2" t="s">
        <v>8936</v>
      </c>
      <c r="B2445" s="2" t="s">
        <v>7252</v>
      </c>
      <c r="C2445" s="2" t="s">
        <v>88</v>
      </c>
      <c r="D2445" s="2" t="s">
        <v>8817</v>
      </c>
      <c r="E2445" s="2" t="s">
        <v>8818</v>
      </c>
      <c r="F2445" s="2" t="s">
        <v>8924</v>
      </c>
      <c r="G2445" s="2" t="s">
        <v>8925</v>
      </c>
      <c r="H2445" s="2" t="s">
        <v>8926</v>
      </c>
      <c r="I2445" s="2" t="s">
        <v>8927</v>
      </c>
      <c r="J2445" s="2" t="s">
        <v>6103</v>
      </c>
      <c r="K2445" s="2" t="s">
        <v>333</v>
      </c>
      <c r="L2445" s="3">
        <v>142.6</v>
      </c>
      <c r="M2445" s="3">
        <v>149.73</v>
      </c>
      <c r="N2445" s="3">
        <v>299</v>
      </c>
      <c r="O2445" s="2" t="s">
        <v>97</v>
      </c>
      <c r="P2445" s="2" t="s">
        <v>1265</v>
      </c>
      <c r="Q2445" s="2" t="s">
        <v>99</v>
      </c>
      <c r="R2445" s="2" t="s">
        <v>100</v>
      </c>
      <c r="S2445" s="2" t="s">
        <v>8937</v>
      </c>
      <c r="T2445" s="2" t="s">
        <v>100</v>
      </c>
      <c r="U2445" s="2" t="s">
        <v>100</v>
      </c>
      <c r="V2445" s="2" t="s">
        <v>601</v>
      </c>
      <c r="W2445" s="2" t="s">
        <v>602</v>
      </c>
      <c r="X2445" s="2" t="s">
        <v>100</v>
      </c>
      <c r="Y2445" s="2" t="s">
        <v>106</v>
      </c>
      <c r="Z2445" s="4">
        <v>109</v>
      </c>
      <c r="AA2445" s="4">
        <f>=ROUNDDOWN(49.5454545454545,0)</f>
      </c>
      <c r="AB2445" s="5">
        <v>2.2</v>
      </c>
      <c r="AC2445" s="2" t="s">
        <v>919</v>
      </c>
      <c r="AD2445" s="4">
        <v>100</v>
      </c>
      <c r="AE2445" s="4">
        <v>100</v>
      </c>
      <c r="AF2445" s="6">
        <v>74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100</v>
      </c>
      <c r="BD2445" s="8" t="s">
        <v>100</v>
      </c>
      <c r="BE2445" s="4" t="s">
        <v>100</v>
      </c>
      <c r="BF2445" s="8" t="s">
        <v>100</v>
      </c>
      <c r="BG2445" s="7" t="s">
        <v>100</v>
      </c>
      <c r="BH2445" s="7" t="s">
        <v>100</v>
      </c>
      <c r="BI2445" s="7"/>
      <c r="BJ2445" s="4">
        <v>66</v>
      </c>
      <c r="BK2445" s="8">
        <v>8579.72</v>
      </c>
      <c r="BL2445" s="2" t="s">
        <v>8938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6185</v>
      </c>
      <c r="BV2445" s="2" t="s">
        <v>97</v>
      </c>
      <c r="BW2445" s="2" t="s">
        <v>100</v>
      </c>
      <c r="BX2445" s="2" t="s">
        <v>100</v>
      </c>
      <c r="BY2445" s="2" t="s">
        <v>112</v>
      </c>
      <c r="BZ2445" s="2" t="s">
        <v>100</v>
      </c>
    </row>
    <row r="2446">
      <c r="A2446" s="2" t="s">
        <v>8939</v>
      </c>
      <c r="B2446" s="2" t="s">
        <v>7252</v>
      </c>
      <c r="C2446" s="2" t="s">
        <v>88</v>
      </c>
      <c r="D2446" s="2" t="s">
        <v>8817</v>
      </c>
      <c r="E2446" s="2" t="s">
        <v>8818</v>
      </c>
      <c r="F2446" s="2" t="s">
        <v>8924</v>
      </c>
      <c r="G2446" s="2" t="s">
        <v>8925</v>
      </c>
      <c r="H2446" s="2" t="s">
        <v>8926</v>
      </c>
      <c r="I2446" s="2" t="s">
        <v>8927</v>
      </c>
      <c r="J2446" s="2" t="s">
        <v>6103</v>
      </c>
      <c r="K2446" s="2" t="s">
        <v>7351</v>
      </c>
      <c r="L2446" s="3">
        <v>142.6</v>
      </c>
      <c r="M2446" s="3">
        <v>149.73</v>
      </c>
      <c r="N2446" s="3">
        <v>299</v>
      </c>
      <c r="O2446" s="2" t="s">
        <v>97</v>
      </c>
      <c r="P2446" s="2" t="s">
        <v>1265</v>
      </c>
      <c r="Q2446" s="2" t="s">
        <v>99</v>
      </c>
      <c r="R2446" s="2" t="s">
        <v>100</v>
      </c>
      <c r="S2446" s="2" t="s">
        <v>100</v>
      </c>
      <c r="T2446" s="2" t="s">
        <v>100</v>
      </c>
      <c r="U2446" s="2" t="s">
        <v>3531</v>
      </c>
      <c r="V2446" s="2" t="s">
        <v>601</v>
      </c>
      <c r="W2446" s="2" t="s">
        <v>602</v>
      </c>
      <c r="X2446" s="2" t="s">
        <v>104</v>
      </c>
      <c r="Y2446" s="2" t="s">
        <v>7406</v>
      </c>
      <c r="Z2446" s="4">
        <v>132</v>
      </c>
      <c r="AA2446" s="4">
        <f>=ROUNDDOWN(66,0)</f>
      </c>
      <c r="AB2446" s="5">
        <v>2</v>
      </c>
      <c r="AC2446" s="2" t="s">
        <v>100</v>
      </c>
      <c r="AD2446" s="4"/>
      <c r="AE2446" s="4"/>
      <c r="AF2446" s="6">
        <v>74</v>
      </c>
      <c r="AG2446" s="6">
        <v>60</v>
      </c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100</v>
      </c>
      <c r="BD2446" s="8" t="s">
        <v>100</v>
      </c>
      <c r="BE2446" s="4" t="s">
        <v>100</v>
      </c>
      <c r="BF2446" s="8" t="s">
        <v>100</v>
      </c>
      <c r="BG2446" s="7" t="s">
        <v>100</v>
      </c>
      <c r="BH2446" s="7" t="s">
        <v>100</v>
      </c>
      <c r="BI2446" s="7"/>
      <c r="BJ2446" s="4">
        <v>44</v>
      </c>
      <c r="BK2446" s="8">
        <v>6380.77</v>
      </c>
      <c r="BL2446" s="2" t="s">
        <v>8940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147</v>
      </c>
      <c r="BV2446" s="2" t="s">
        <v>97</v>
      </c>
      <c r="BW2446" s="2" t="s">
        <v>100</v>
      </c>
      <c r="BX2446" s="2" t="s">
        <v>100</v>
      </c>
      <c r="BY2446" s="2" t="s">
        <v>112</v>
      </c>
      <c r="BZ2446" s="2" t="s">
        <v>100</v>
      </c>
    </row>
    <row r="2447">
      <c r="A2447" s="2" t="s">
        <v>8941</v>
      </c>
      <c r="B2447" s="2" t="s">
        <v>7252</v>
      </c>
      <c r="C2447" s="2" t="s">
        <v>88</v>
      </c>
      <c r="D2447" s="2" t="s">
        <v>8817</v>
      </c>
      <c r="E2447" s="2" t="s">
        <v>8818</v>
      </c>
      <c r="F2447" s="2" t="s">
        <v>8942</v>
      </c>
      <c r="G2447" s="2" t="s">
        <v>8943</v>
      </c>
      <c r="H2447" s="2" t="s">
        <v>8944</v>
      </c>
      <c r="I2447" s="2" t="s">
        <v>8847</v>
      </c>
      <c r="J2447" s="2" t="s">
        <v>6103</v>
      </c>
      <c r="K2447" s="2" t="s">
        <v>123</v>
      </c>
      <c r="L2447" s="3">
        <v>285.2</v>
      </c>
      <c r="M2447" s="3">
        <v>299.46</v>
      </c>
      <c r="N2447" s="3">
        <v>599</v>
      </c>
      <c r="O2447" s="2" t="s">
        <v>97</v>
      </c>
      <c r="P2447" s="2" t="s">
        <v>182</v>
      </c>
      <c r="Q2447" s="2" t="s">
        <v>99</v>
      </c>
      <c r="R2447" s="2" t="s">
        <v>100</v>
      </c>
      <c r="S2447" s="2" t="s">
        <v>100</v>
      </c>
      <c r="T2447" s="2" t="s">
        <v>100</v>
      </c>
      <c r="U2447" s="2" t="s">
        <v>2104</v>
      </c>
      <c r="V2447" s="2" t="s">
        <v>1752</v>
      </c>
      <c r="W2447" s="2" t="s">
        <v>602</v>
      </c>
      <c r="X2447" s="2" t="s">
        <v>100</v>
      </c>
      <c r="Y2447" s="2" t="s">
        <v>858</v>
      </c>
      <c r="Z2447" s="4">
        <v>160</v>
      </c>
      <c r="AA2447" s="4">
        <f>=ROUNDDOWN(80,0)</f>
      </c>
      <c r="AB2447" s="5">
        <v>2</v>
      </c>
      <c r="AC2447" s="2" t="s">
        <v>100</v>
      </c>
      <c r="AD2447" s="4"/>
      <c r="AE2447" s="4"/>
      <c r="AF2447" s="6">
        <v>66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/>
      <c r="BD2447" s="8"/>
      <c r="BE2447" s="4"/>
      <c r="BF2447" s="8"/>
      <c r="BG2447" s="7"/>
      <c r="BH2447" s="7"/>
      <c r="BI2447" s="7"/>
      <c r="BJ2447" s="4">
        <v>53</v>
      </c>
      <c r="BK2447" s="8">
        <v>16240.59</v>
      </c>
      <c r="BL2447" s="2" t="s">
        <v>8945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6185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8946</v>
      </c>
      <c r="B2448" s="2" t="s">
        <v>7252</v>
      </c>
      <c r="C2448" s="2" t="s">
        <v>88</v>
      </c>
      <c r="D2448" s="2" t="s">
        <v>8817</v>
      </c>
      <c r="E2448" s="2" t="s">
        <v>8818</v>
      </c>
      <c r="F2448" s="2" t="s">
        <v>8947</v>
      </c>
      <c r="G2448" s="2" t="s">
        <v>6947</v>
      </c>
      <c r="H2448" s="2" t="s">
        <v>8948</v>
      </c>
      <c r="I2448" s="2" t="s">
        <v>8949</v>
      </c>
      <c r="J2448" s="2" t="s">
        <v>6103</v>
      </c>
      <c r="K2448" s="2" t="s">
        <v>123</v>
      </c>
      <c r="L2448" s="3">
        <v>263.5</v>
      </c>
      <c r="M2448" s="3">
        <v>276.68</v>
      </c>
      <c r="N2448" s="3">
        <v>549</v>
      </c>
      <c r="O2448" s="2" t="s">
        <v>97</v>
      </c>
      <c r="P2448" s="2" t="s">
        <v>182</v>
      </c>
      <c r="Q2448" s="2" t="s">
        <v>99</v>
      </c>
      <c r="R2448" s="2" t="s">
        <v>100</v>
      </c>
      <c r="S2448" s="2" t="s">
        <v>100</v>
      </c>
      <c r="T2448" s="2" t="s">
        <v>100</v>
      </c>
      <c r="U2448" s="2" t="s">
        <v>2104</v>
      </c>
      <c r="V2448" s="2" t="s">
        <v>1752</v>
      </c>
      <c r="W2448" s="2" t="s">
        <v>1288</v>
      </c>
      <c r="X2448" s="2" t="s">
        <v>100</v>
      </c>
      <c r="Y2448" s="2" t="s">
        <v>7729</v>
      </c>
      <c r="Z2448" s="4">
        <v>116</v>
      </c>
      <c r="AA2448" s="4">
        <f>=ROUNDDOWN(16.5714285714286,0)</f>
      </c>
      <c r="AB2448" s="5">
        <v>7</v>
      </c>
      <c r="AC2448" s="2" t="s">
        <v>8850</v>
      </c>
      <c r="AD2448" s="4">
        <v>100</v>
      </c>
      <c r="AE2448" s="4">
        <v>100</v>
      </c>
      <c r="AF2448" s="6">
        <v>66</v>
      </c>
      <c r="AG2448" s="6">
        <v>49</v>
      </c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/>
      <c r="BD2448" s="8"/>
      <c r="BE2448" s="4"/>
      <c r="BF2448" s="8"/>
      <c r="BG2448" s="7"/>
      <c r="BH2448" s="7"/>
      <c r="BI2448" s="7"/>
      <c r="BJ2448" s="4">
        <v>135</v>
      </c>
      <c r="BK2448" s="8">
        <v>37076.06</v>
      </c>
      <c r="BL2448" s="2" t="s">
        <v>8950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6185</v>
      </c>
      <c r="BV2448" s="2" t="s">
        <v>97</v>
      </c>
      <c r="BW2448" s="2" t="s">
        <v>100</v>
      </c>
      <c r="BX2448" s="2" t="s">
        <v>100</v>
      </c>
      <c r="BY2448" s="2" t="s">
        <v>112</v>
      </c>
      <c r="BZ2448" s="2" t="s">
        <v>100</v>
      </c>
    </row>
    <row r="2449">
      <c r="A2449" s="2" t="s">
        <v>8951</v>
      </c>
      <c r="B2449" s="2" t="s">
        <v>7252</v>
      </c>
      <c r="C2449" s="2" t="s">
        <v>88</v>
      </c>
      <c r="D2449" s="2" t="s">
        <v>8817</v>
      </c>
      <c r="E2449" s="2" t="s">
        <v>8818</v>
      </c>
      <c r="F2449" s="2" t="s">
        <v>8952</v>
      </c>
      <c r="G2449" s="2" t="s">
        <v>8952</v>
      </c>
      <c r="H2449" s="2" t="s">
        <v>8952</v>
      </c>
      <c r="I2449" s="2" t="s">
        <v>8907</v>
      </c>
      <c r="J2449" s="2" t="s">
        <v>6103</v>
      </c>
      <c r="K2449" s="2" t="s">
        <v>123</v>
      </c>
      <c r="L2449" s="3">
        <v>135</v>
      </c>
      <c r="M2449" s="3">
        <v>141.75</v>
      </c>
      <c r="N2449" s="3">
        <v>279</v>
      </c>
      <c r="O2449" s="2" t="s">
        <v>97</v>
      </c>
      <c r="P2449" s="2" t="s">
        <v>8446</v>
      </c>
      <c r="Q2449" s="2" t="s">
        <v>99</v>
      </c>
      <c r="R2449" s="2" t="s">
        <v>100</v>
      </c>
      <c r="S2449" s="2" t="s">
        <v>100</v>
      </c>
      <c r="T2449" s="2" t="s">
        <v>100</v>
      </c>
      <c r="U2449" s="2" t="s">
        <v>3531</v>
      </c>
      <c r="V2449" s="2" t="s">
        <v>1752</v>
      </c>
      <c r="W2449" s="2" t="s">
        <v>405</v>
      </c>
      <c r="X2449" s="2" t="s">
        <v>104</v>
      </c>
      <c r="Y2449" s="2" t="s">
        <v>100</v>
      </c>
      <c r="Z2449" s="4"/>
      <c r="AA2449" s="4">
        <f>=ROUNDDOWN({0},0)</f>
      </c>
      <c r="AB2449" s="5"/>
      <c r="AC2449" s="2" t="s">
        <v>430</v>
      </c>
      <c r="AD2449" s="4">
        <v>100</v>
      </c>
      <c r="AE2449" s="4">
        <v>100</v>
      </c>
      <c r="AF2449" s="6">
        <v>66</v>
      </c>
      <c r="AG2449" s="6"/>
      <c r="AH2449" s="7">
        <v>0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/>
      <c r="BK2449" s="8"/>
      <c r="BL2449" s="2" t="s">
        <v>100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147</v>
      </c>
      <c r="BV2449" s="2" t="s">
        <v>97</v>
      </c>
      <c r="BW2449" s="2" t="s">
        <v>100</v>
      </c>
      <c r="BX2449" s="2" t="s">
        <v>100</v>
      </c>
      <c r="BY2449" s="2" t="s">
        <v>112</v>
      </c>
      <c r="BZ2449" s="2" t="s">
        <v>100</v>
      </c>
    </row>
    <row r="2450">
      <c r="A2450" s="2" t="s">
        <v>8953</v>
      </c>
      <c r="B2450" s="2" t="s">
        <v>7252</v>
      </c>
      <c r="C2450" s="2" t="s">
        <v>88</v>
      </c>
      <c r="D2450" s="2" t="s">
        <v>8817</v>
      </c>
      <c r="E2450" s="2" t="s">
        <v>8818</v>
      </c>
      <c r="F2450" s="2" t="s">
        <v>8954</v>
      </c>
      <c r="G2450" s="2" t="s">
        <v>8955</v>
      </c>
      <c r="H2450" s="2" t="s">
        <v>8956</v>
      </c>
      <c r="I2450" s="2" t="s">
        <v>8957</v>
      </c>
      <c r="J2450" s="2" t="s">
        <v>6103</v>
      </c>
      <c r="K2450" s="2" t="s">
        <v>333</v>
      </c>
      <c r="L2450" s="3">
        <v>256.5</v>
      </c>
      <c r="M2450" s="3">
        <v>269.32</v>
      </c>
      <c r="N2450" s="3">
        <v>549</v>
      </c>
      <c r="O2450" s="2" t="s">
        <v>97</v>
      </c>
      <c r="P2450" s="2" t="s">
        <v>198</v>
      </c>
      <c r="Q2450" s="2" t="s">
        <v>99</v>
      </c>
      <c r="R2450" s="2" t="s">
        <v>100</v>
      </c>
      <c r="S2450" s="2" t="s">
        <v>100</v>
      </c>
      <c r="T2450" s="2" t="s">
        <v>100</v>
      </c>
      <c r="U2450" s="2" t="s">
        <v>2104</v>
      </c>
      <c r="V2450" s="2" t="s">
        <v>1752</v>
      </c>
      <c r="W2450" s="2" t="s">
        <v>602</v>
      </c>
      <c r="X2450" s="2" t="s">
        <v>1190</v>
      </c>
      <c r="Y2450" s="2" t="s">
        <v>8502</v>
      </c>
      <c r="Z2450" s="4">
        <v>89</v>
      </c>
      <c r="AA2450" s="4">
        <f>=ROUNDDOWN(44.5,0)</f>
      </c>
      <c r="AB2450" s="5">
        <v>2</v>
      </c>
      <c r="AC2450" s="2" t="s">
        <v>100</v>
      </c>
      <c r="AD2450" s="4"/>
      <c r="AE2450" s="4"/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/>
      <c r="AW2450" s="8"/>
      <c r="AX2450" s="4"/>
      <c r="AY2450" s="8"/>
      <c r="AZ2450" s="7"/>
      <c r="BA2450" s="7"/>
      <c r="BB2450" s="7"/>
      <c r="BC2450" s="4"/>
      <c r="BD2450" s="8"/>
      <c r="BE2450" s="4"/>
      <c r="BF2450" s="8"/>
      <c r="BG2450" s="7"/>
      <c r="BH2450" s="7"/>
      <c r="BI2450" s="7"/>
      <c r="BJ2450" s="4">
        <v>34</v>
      </c>
      <c r="BK2450" s="8">
        <v>8727.53</v>
      </c>
      <c r="BL2450" s="2" t="s">
        <v>8958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147</v>
      </c>
      <c r="BV2450" s="2" t="s">
        <v>97</v>
      </c>
      <c r="BW2450" s="2" t="s">
        <v>100</v>
      </c>
      <c r="BX2450" s="2" t="s">
        <v>100</v>
      </c>
      <c r="BY2450" s="2" t="s">
        <v>112</v>
      </c>
      <c r="BZ2450" s="2" t="s">
        <v>100</v>
      </c>
    </row>
    <row r="2451">
      <c r="A2451" s="2" t="s">
        <v>8959</v>
      </c>
      <c r="B2451" s="2" t="s">
        <v>7252</v>
      </c>
      <c r="C2451" s="2" t="s">
        <v>88</v>
      </c>
      <c r="D2451" s="2" t="s">
        <v>8817</v>
      </c>
      <c r="E2451" s="2" t="s">
        <v>8818</v>
      </c>
      <c r="F2451" s="2" t="s">
        <v>4189</v>
      </c>
      <c r="G2451" s="2" t="s">
        <v>8960</v>
      </c>
      <c r="H2451" s="2" t="s">
        <v>8961</v>
      </c>
      <c r="I2451" s="2" t="s">
        <v>8894</v>
      </c>
      <c r="J2451" s="2" t="s">
        <v>6103</v>
      </c>
      <c r="K2451" s="2" t="s">
        <v>2367</v>
      </c>
      <c r="L2451" s="3">
        <v>256.5</v>
      </c>
      <c r="M2451" s="3">
        <v>269.32</v>
      </c>
      <c r="N2451" s="3">
        <v>549</v>
      </c>
      <c r="O2451" s="2" t="s">
        <v>229</v>
      </c>
      <c r="P2451" s="2" t="s">
        <v>198</v>
      </c>
      <c r="Q2451" s="2" t="s">
        <v>99</v>
      </c>
      <c r="R2451" s="2" t="s">
        <v>100</v>
      </c>
      <c r="S2451" s="2" t="s">
        <v>100</v>
      </c>
      <c r="T2451" s="2" t="s">
        <v>100</v>
      </c>
      <c r="U2451" s="2" t="s">
        <v>2104</v>
      </c>
      <c r="V2451" s="2" t="s">
        <v>601</v>
      </c>
      <c r="W2451" s="2" t="s">
        <v>104</v>
      </c>
      <c r="X2451" s="2" t="s">
        <v>1288</v>
      </c>
      <c r="Y2451" s="2" t="s">
        <v>8962</v>
      </c>
      <c r="Z2451" s="4">
        <v>186</v>
      </c>
      <c r="AA2451" s="4">
        <f>=ROUNDDOWN(206.666666666667,0)</f>
      </c>
      <c r="AB2451" s="5">
        <v>0.9</v>
      </c>
      <c r="AC2451" s="2" t="s">
        <v>100</v>
      </c>
      <c r="AD2451" s="4"/>
      <c r="AE2451" s="4"/>
      <c r="AF2451" s="6">
        <v>66</v>
      </c>
      <c r="AG2451" s="6">
        <v>49</v>
      </c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/>
      <c r="AW2451" s="8"/>
      <c r="AX2451" s="4"/>
      <c r="AY2451" s="8"/>
      <c r="AZ2451" s="7"/>
      <c r="BA2451" s="7"/>
      <c r="BB2451" s="7"/>
      <c r="BC2451" s="4"/>
      <c r="BD2451" s="8"/>
      <c r="BE2451" s="4"/>
      <c r="BF2451" s="8"/>
      <c r="BG2451" s="7"/>
      <c r="BH2451" s="7"/>
      <c r="BI2451" s="7"/>
      <c r="BJ2451" s="4">
        <v>27</v>
      </c>
      <c r="BK2451" s="8">
        <v>7690.65</v>
      </c>
      <c r="BL2451" s="2" t="s">
        <v>8963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6185</v>
      </c>
      <c r="BV2451" s="2" t="s">
        <v>97</v>
      </c>
      <c r="BW2451" s="2" t="s">
        <v>100</v>
      </c>
      <c r="BX2451" s="2" t="s">
        <v>100</v>
      </c>
      <c r="BY2451" s="2" t="s">
        <v>112</v>
      </c>
      <c r="BZ2451" s="2" t="s">
        <v>100</v>
      </c>
    </row>
    <row r="2452">
      <c r="A2452" s="2" t="s">
        <v>8964</v>
      </c>
      <c r="B2452" s="2" t="s">
        <v>7252</v>
      </c>
      <c r="C2452" s="2" t="s">
        <v>88</v>
      </c>
      <c r="D2452" s="2" t="s">
        <v>8965</v>
      </c>
      <c r="E2452" s="2" t="s">
        <v>8966</v>
      </c>
      <c r="F2452" s="2" t="s">
        <v>8967</v>
      </c>
      <c r="G2452" s="2" t="s">
        <v>8968</v>
      </c>
      <c r="H2452" s="2" t="s">
        <v>8969</v>
      </c>
      <c r="I2452" s="2" t="s">
        <v>8970</v>
      </c>
      <c r="J2452" s="2" t="s">
        <v>6103</v>
      </c>
      <c r="K2452" s="2" t="s">
        <v>197</v>
      </c>
      <c r="L2452" s="3">
        <v>256.5</v>
      </c>
      <c r="M2452" s="3">
        <v>269.32</v>
      </c>
      <c r="N2452" s="3">
        <v>549</v>
      </c>
      <c r="O2452" s="2" t="s">
        <v>97</v>
      </c>
      <c r="P2452" s="2" t="s">
        <v>198</v>
      </c>
      <c r="Q2452" s="2" t="s">
        <v>99</v>
      </c>
      <c r="R2452" s="2" t="s">
        <v>100</v>
      </c>
      <c r="S2452" s="2" t="s">
        <v>8971</v>
      </c>
      <c r="T2452" s="2" t="s">
        <v>100</v>
      </c>
      <c r="U2452" s="2" t="s">
        <v>100</v>
      </c>
      <c r="V2452" s="2" t="s">
        <v>601</v>
      </c>
      <c r="W2452" s="2" t="s">
        <v>104</v>
      </c>
      <c r="X2452" s="2" t="s">
        <v>100</v>
      </c>
      <c r="Y2452" s="2" t="s">
        <v>5442</v>
      </c>
      <c r="Z2452" s="4"/>
      <c r="AA2452" s="4">
        <f>=ROUNDDOWN({0},0)</f>
      </c>
      <c r="AB2452" s="5">
        <v>2</v>
      </c>
      <c r="AC2452" s="2" t="s">
        <v>100</v>
      </c>
      <c r="AD2452" s="4"/>
      <c r="AE2452" s="4"/>
      <c r="AF2452" s="6">
        <v>65</v>
      </c>
      <c r="AG2452" s="6">
        <v>48</v>
      </c>
      <c r="AH2452" s="7">
        <v>0.2788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>
        <v>0</v>
      </c>
      <c r="AP2452" s="4">
        <v>4</v>
      </c>
      <c r="AQ2452" s="8">
        <v>999.6</v>
      </c>
      <c r="AR2452" s="4">
        <v>23</v>
      </c>
      <c r="AS2452" s="8">
        <v>5218.57</v>
      </c>
      <c r="AT2452" s="7">
        <v>-0.8261</v>
      </c>
      <c r="AU2452" s="7">
        <v>-0.8085</v>
      </c>
      <c r="AV2452" s="4">
        <v>4</v>
      </c>
      <c r="AW2452" s="8">
        <v>999.6</v>
      </c>
      <c r="AX2452" s="4">
        <v>23</v>
      </c>
      <c r="AY2452" s="8">
        <v>5218.57</v>
      </c>
      <c r="AZ2452" s="7">
        <v>-0.8261</v>
      </c>
      <c r="BA2452" s="7">
        <v>-0.8085</v>
      </c>
      <c r="BB2452" s="7">
        <v>1</v>
      </c>
      <c r="BC2452" s="4">
        <v>4</v>
      </c>
      <c r="BD2452" s="8">
        <v>999.6</v>
      </c>
      <c r="BE2452" s="4">
        <v>23</v>
      </c>
      <c r="BF2452" s="8">
        <v>5218.57</v>
      </c>
      <c r="BG2452" s="7">
        <v>-0.8261</v>
      </c>
      <c r="BH2452" s="7">
        <v>-0.8085</v>
      </c>
      <c r="BI2452" s="7">
        <v>1</v>
      </c>
      <c r="BJ2452" s="4">
        <v>28</v>
      </c>
      <c r="BK2452" s="8">
        <v>6052.64</v>
      </c>
      <c r="BL2452" s="2" t="s">
        <v>8972</v>
      </c>
      <c r="BM2452" s="7">
        <v>0.1429</v>
      </c>
      <c r="BN2452" s="7">
        <v>0.1652</v>
      </c>
      <c r="BO2452" s="4">
        <v>4</v>
      </c>
      <c r="BP2452" s="8">
        <v>999.6</v>
      </c>
      <c r="BQ2452" s="4">
        <v>23</v>
      </c>
      <c r="BR2452" s="8">
        <v>5218.57</v>
      </c>
      <c r="BS2452" s="7">
        <v>-0.8261</v>
      </c>
      <c r="BT2452" s="7">
        <v>-0.8085</v>
      </c>
      <c r="BU2452" s="2" t="s">
        <v>109</v>
      </c>
      <c r="BV2452" s="2" t="s">
        <v>97</v>
      </c>
      <c r="BW2452" s="2" t="s">
        <v>8172</v>
      </c>
      <c r="BX2452" s="2" t="s">
        <v>8973</v>
      </c>
      <c r="BY2452" s="2" t="s">
        <v>112</v>
      </c>
      <c r="BZ2452" s="2" t="s">
        <v>100</v>
      </c>
    </row>
    <row r="2453">
      <c r="A2453" s="2" t="s">
        <v>8974</v>
      </c>
      <c r="B2453" s="2" t="s">
        <v>7252</v>
      </c>
      <c r="C2453" s="2" t="s">
        <v>88</v>
      </c>
      <c r="D2453" s="2" t="s">
        <v>8965</v>
      </c>
      <c r="E2453" s="2" t="s">
        <v>8966</v>
      </c>
      <c r="F2453" s="2" t="s">
        <v>8975</v>
      </c>
      <c r="G2453" s="2" t="s">
        <v>1200</v>
      </c>
      <c r="H2453" s="2" t="s">
        <v>8976</v>
      </c>
      <c r="I2453" s="2" t="s">
        <v>8977</v>
      </c>
      <c r="J2453" s="2" t="s">
        <v>6103</v>
      </c>
      <c r="K2453" s="2" t="s">
        <v>666</v>
      </c>
      <c r="L2453" s="3">
        <v>275</v>
      </c>
      <c r="M2453" s="3">
        <v>288.75</v>
      </c>
      <c r="N2453" s="3">
        <v>579</v>
      </c>
      <c r="O2453" s="2" t="s">
        <v>229</v>
      </c>
      <c r="P2453" s="2" t="s">
        <v>198</v>
      </c>
      <c r="Q2453" s="2" t="s">
        <v>99</v>
      </c>
      <c r="R2453" s="2" t="s">
        <v>100</v>
      </c>
      <c r="S2453" s="2" t="s">
        <v>8978</v>
      </c>
      <c r="T2453" s="2" t="s">
        <v>100</v>
      </c>
      <c r="U2453" s="2" t="s">
        <v>100</v>
      </c>
      <c r="V2453" s="2" t="s">
        <v>601</v>
      </c>
      <c r="W2453" s="2" t="s">
        <v>104</v>
      </c>
      <c r="X2453" s="2" t="s">
        <v>100</v>
      </c>
      <c r="Y2453" s="2" t="s">
        <v>8979</v>
      </c>
      <c r="Z2453" s="4">
        <v>19</v>
      </c>
      <c r="AA2453" s="4">
        <f>=ROUNDDOWN(63.3333333333333,0)</f>
      </c>
      <c r="AB2453" s="5">
        <v>0.3</v>
      </c>
      <c r="AC2453" s="2" t="s">
        <v>100</v>
      </c>
      <c r="AD2453" s="4"/>
      <c r="AE2453" s="4"/>
      <c r="AF2453" s="6">
        <v>65</v>
      </c>
      <c r="AG2453" s="6">
        <v>48</v>
      </c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>
        <v>0</v>
      </c>
      <c r="AP2453" s="4">
        <v>3</v>
      </c>
      <c r="AQ2453" s="8">
        <v>866.25</v>
      </c>
      <c r="AR2453" s="4">
        <v>5</v>
      </c>
      <c r="AS2453" s="8">
        <v>1443.75</v>
      </c>
      <c r="AT2453" s="7">
        <v>-0.4</v>
      </c>
      <c r="AU2453" s="7">
        <v>-0.4</v>
      </c>
      <c r="AV2453" s="4">
        <v>3</v>
      </c>
      <c r="AW2453" s="8">
        <v>866.25</v>
      </c>
      <c r="AX2453" s="4">
        <v>5</v>
      </c>
      <c r="AY2453" s="8">
        <v>1443.75</v>
      </c>
      <c r="AZ2453" s="7">
        <v>-0.4</v>
      </c>
      <c r="BA2453" s="7">
        <v>-0.4</v>
      </c>
      <c r="BB2453" s="7">
        <v>1</v>
      </c>
      <c r="BC2453" s="4">
        <v>3</v>
      </c>
      <c r="BD2453" s="8">
        <v>866.25</v>
      </c>
      <c r="BE2453" s="4">
        <v>5</v>
      </c>
      <c r="BF2453" s="8">
        <v>1443.75</v>
      </c>
      <c r="BG2453" s="7">
        <v>-0.4</v>
      </c>
      <c r="BH2453" s="7">
        <v>-0.4</v>
      </c>
      <c r="BI2453" s="7">
        <v>1</v>
      </c>
      <c r="BJ2453" s="4">
        <v>30</v>
      </c>
      <c r="BK2453" s="8">
        <v>7492.46</v>
      </c>
      <c r="BL2453" s="2" t="s">
        <v>7794</v>
      </c>
      <c r="BM2453" s="7">
        <v>0.1</v>
      </c>
      <c r="BN2453" s="7">
        <v>0.1156</v>
      </c>
      <c r="BO2453" s="4">
        <v>3</v>
      </c>
      <c r="BP2453" s="8">
        <v>866.25</v>
      </c>
      <c r="BQ2453" s="4">
        <v>5</v>
      </c>
      <c r="BR2453" s="8">
        <v>1443.75</v>
      </c>
      <c r="BS2453" s="7">
        <v>-0.4</v>
      </c>
      <c r="BT2453" s="7">
        <v>-0.4</v>
      </c>
      <c r="BU2453" s="2" t="s">
        <v>109</v>
      </c>
      <c r="BV2453" s="2" t="s">
        <v>97</v>
      </c>
      <c r="BW2453" s="2" t="s">
        <v>7307</v>
      </c>
      <c r="BX2453" s="2" t="s">
        <v>6728</v>
      </c>
      <c r="BY2453" s="2" t="s">
        <v>112</v>
      </c>
      <c r="BZ2453" s="2" t="s">
        <v>100</v>
      </c>
    </row>
    <row r="2454">
      <c r="A2454" s="2" t="s">
        <v>8980</v>
      </c>
      <c r="B2454" s="2" t="s">
        <v>7252</v>
      </c>
      <c r="C2454" s="2" t="s">
        <v>88</v>
      </c>
      <c r="D2454" s="2" t="s">
        <v>8965</v>
      </c>
      <c r="E2454" s="2" t="s">
        <v>8966</v>
      </c>
      <c r="F2454" s="2" t="s">
        <v>2731</v>
      </c>
      <c r="G2454" s="2" t="s">
        <v>8981</v>
      </c>
      <c r="H2454" s="2" t="s">
        <v>8982</v>
      </c>
      <c r="I2454" s="2" t="s">
        <v>8983</v>
      </c>
      <c r="J2454" s="2" t="s">
        <v>6103</v>
      </c>
      <c r="K2454" s="2" t="s">
        <v>123</v>
      </c>
      <c r="L2454" s="3">
        <v>243.68</v>
      </c>
      <c r="M2454" s="3">
        <v>255.86</v>
      </c>
      <c r="N2454" s="3">
        <v>509</v>
      </c>
      <c r="O2454" s="2" t="s">
        <v>97</v>
      </c>
      <c r="P2454" s="2" t="s">
        <v>198</v>
      </c>
      <c r="Q2454" s="2" t="s">
        <v>99</v>
      </c>
      <c r="R2454" s="2" t="s">
        <v>100</v>
      </c>
      <c r="S2454" s="2" t="s">
        <v>100</v>
      </c>
      <c r="T2454" s="2" t="s">
        <v>100</v>
      </c>
      <c r="U2454" s="2" t="s">
        <v>3531</v>
      </c>
      <c r="V2454" s="2" t="s">
        <v>1752</v>
      </c>
      <c r="W2454" s="2" t="s">
        <v>759</v>
      </c>
      <c r="X2454" s="2" t="s">
        <v>100</v>
      </c>
      <c r="Y2454" s="2" t="s">
        <v>7459</v>
      </c>
      <c r="Z2454" s="4">
        <v>23</v>
      </c>
      <c r="AA2454" s="4">
        <f>=ROUNDDOWN(11.5,0)</f>
      </c>
      <c r="AB2454" s="5">
        <v>2</v>
      </c>
      <c r="AC2454" s="2" t="s">
        <v>100</v>
      </c>
      <c r="AD2454" s="4"/>
      <c r="AE2454" s="4"/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/>
      <c r="AW2454" s="8"/>
      <c r="AX2454" s="4"/>
      <c r="AY2454" s="8"/>
      <c r="AZ2454" s="7"/>
      <c r="BA2454" s="7"/>
      <c r="BB2454" s="7"/>
      <c r="BC2454" s="4"/>
      <c r="BD2454" s="8"/>
      <c r="BE2454" s="4"/>
      <c r="BF2454" s="8"/>
      <c r="BG2454" s="7"/>
      <c r="BH2454" s="7"/>
      <c r="BI2454" s="7"/>
      <c r="BJ2454" s="4">
        <v>53</v>
      </c>
      <c r="BK2454" s="8">
        <v>12506.34</v>
      </c>
      <c r="BL2454" s="2" t="s">
        <v>8984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147</v>
      </c>
      <c r="BV2454" s="2" t="s">
        <v>97</v>
      </c>
      <c r="BW2454" s="2" t="s">
        <v>100</v>
      </c>
      <c r="BX2454" s="2" t="s">
        <v>100</v>
      </c>
      <c r="BY2454" s="2" t="s">
        <v>112</v>
      </c>
      <c r="BZ2454" s="2" t="s">
        <v>100</v>
      </c>
    </row>
    <row r="2455">
      <c r="A2455" s="2" t="s">
        <v>8985</v>
      </c>
      <c r="B2455" s="2" t="s">
        <v>7252</v>
      </c>
      <c r="C2455" s="2" t="s">
        <v>88</v>
      </c>
      <c r="D2455" s="2" t="s">
        <v>8965</v>
      </c>
      <c r="E2455" s="2" t="s">
        <v>8966</v>
      </c>
      <c r="F2455" s="2" t="s">
        <v>8986</v>
      </c>
      <c r="G2455" s="2" t="s">
        <v>8987</v>
      </c>
      <c r="H2455" s="2" t="s">
        <v>1185</v>
      </c>
      <c r="I2455" s="2" t="s">
        <v>8988</v>
      </c>
      <c r="J2455" s="2" t="s">
        <v>6103</v>
      </c>
      <c r="K2455" s="2" t="s">
        <v>666</v>
      </c>
      <c r="L2455" s="3">
        <v>285</v>
      </c>
      <c r="M2455" s="3">
        <v>299.25</v>
      </c>
      <c r="N2455" s="3">
        <v>599</v>
      </c>
      <c r="O2455" s="2" t="s">
        <v>550</v>
      </c>
      <c r="P2455" s="2" t="s">
        <v>198</v>
      </c>
      <c r="Q2455" s="2" t="s">
        <v>99</v>
      </c>
      <c r="R2455" s="2" t="s">
        <v>100</v>
      </c>
      <c r="S2455" s="2" t="s">
        <v>8989</v>
      </c>
      <c r="T2455" s="2" t="s">
        <v>100</v>
      </c>
      <c r="U2455" s="2" t="s">
        <v>100</v>
      </c>
      <c r="V2455" s="2" t="s">
        <v>991</v>
      </c>
      <c r="W2455" s="2" t="s">
        <v>602</v>
      </c>
      <c r="X2455" s="2" t="s">
        <v>100</v>
      </c>
      <c r="Y2455" s="2" t="s">
        <v>106</v>
      </c>
      <c r="Z2455" s="4">
        <v>1</v>
      </c>
      <c r="AA2455" s="4">
        <f>=ROUNDDOWN(1.66666666666667,0)</f>
      </c>
      <c r="AB2455" s="5">
        <v>0.6</v>
      </c>
      <c r="AC2455" s="2" t="s">
        <v>100</v>
      </c>
      <c r="AD2455" s="4"/>
      <c r="AE2455" s="4"/>
      <c r="AF2455" s="6">
        <v>65</v>
      </c>
      <c r="AG2455" s="6">
        <v>48</v>
      </c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/>
      <c r="BD2455" s="8"/>
      <c r="BE2455" s="4"/>
      <c r="BF2455" s="8"/>
      <c r="BG2455" s="7"/>
      <c r="BH2455" s="7"/>
      <c r="BI2455" s="7"/>
      <c r="BJ2455" s="4">
        <v>21</v>
      </c>
      <c r="BK2455" s="8">
        <v>4191.43</v>
      </c>
      <c r="BL2455" s="2" t="s">
        <v>8990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109</v>
      </c>
      <c r="BV2455" s="2" t="s">
        <v>97</v>
      </c>
      <c r="BW2455" s="2" t="s">
        <v>8172</v>
      </c>
      <c r="BX2455" s="2" t="s">
        <v>8991</v>
      </c>
      <c r="BY2455" s="2" t="s">
        <v>112</v>
      </c>
      <c r="BZ2455" s="2" t="s">
        <v>100</v>
      </c>
    </row>
    <row r="2456">
      <c r="A2456" s="2" t="s">
        <v>8992</v>
      </c>
      <c r="B2456" s="2" t="s">
        <v>7252</v>
      </c>
      <c r="C2456" s="2" t="s">
        <v>88</v>
      </c>
      <c r="D2456" s="2" t="s">
        <v>8965</v>
      </c>
      <c r="E2456" s="2" t="s">
        <v>8966</v>
      </c>
      <c r="F2456" s="2" t="s">
        <v>342</v>
      </c>
      <c r="G2456" s="2" t="s">
        <v>8993</v>
      </c>
      <c r="H2456" s="2" t="s">
        <v>3299</v>
      </c>
      <c r="I2456" s="2" t="s">
        <v>7738</v>
      </c>
      <c r="J2456" s="2" t="s">
        <v>6103</v>
      </c>
      <c r="K2456" s="2" t="s">
        <v>123</v>
      </c>
      <c r="L2456" s="3">
        <v>227.7</v>
      </c>
      <c r="M2456" s="3">
        <v>239.08</v>
      </c>
      <c r="N2456" s="3">
        <v>479</v>
      </c>
      <c r="O2456" s="2" t="s">
        <v>97</v>
      </c>
      <c r="P2456" s="2" t="s">
        <v>182</v>
      </c>
      <c r="Q2456" s="2" t="s">
        <v>99</v>
      </c>
      <c r="R2456" s="2" t="s">
        <v>100</v>
      </c>
      <c r="S2456" s="2" t="s">
        <v>100</v>
      </c>
      <c r="T2456" s="2" t="s">
        <v>100</v>
      </c>
      <c r="U2456" s="2" t="s">
        <v>3531</v>
      </c>
      <c r="V2456" s="2" t="s">
        <v>906</v>
      </c>
      <c r="W2456" s="2" t="s">
        <v>906</v>
      </c>
      <c r="X2456" s="2" t="s">
        <v>759</v>
      </c>
      <c r="Y2456" s="2" t="s">
        <v>8994</v>
      </c>
      <c r="Z2456" s="4">
        <v>69</v>
      </c>
      <c r="AA2456" s="4">
        <f>=ROUNDDOWN(8.625,0)</f>
      </c>
      <c r="AB2456" s="5">
        <v>8</v>
      </c>
      <c r="AC2456" s="2" t="s">
        <v>2305</v>
      </c>
      <c r="AD2456" s="4">
        <v>100</v>
      </c>
      <c r="AE2456" s="4">
        <v>200</v>
      </c>
      <c r="AF2456" s="6">
        <v>76</v>
      </c>
      <c r="AG2456" s="6"/>
      <c r="AH2456" s="7">
        <v>0.7515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/>
      <c r="AW2456" s="8"/>
      <c r="AX2456" s="4"/>
      <c r="AY2456" s="8"/>
      <c r="AZ2456" s="7"/>
      <c r="BA2456" s="7"/>
      <c r="BB2456" s="7"/>
      <c r="BC2456" s="4"/>
      <c r="BD2456" s="8"/>
      <c r="BE2456" s="4"/>
      <c r="BF2456" s="8"/>
      <c r="BG2456" s="7"/>
      <c r="BH2456" s="7"/>
      <c r="BI2456" s="7"/>
      <c r="BJ2456" s="4">
        <v>128</v>
      </c>
      <c r="BK2456" s="8">
        <v>31222.95</v>
      </c>
      <c r="BL2456" s="2" t="s">
        <v>8995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6185</v>
      </c>
      <c r="BV2456" s="2" t="s">
        <v>97</v>
      </c>
      <c r="BW2456" s="2" t="s">
        <v>100</v>
      </c>
      <c r="BX2456" s="2" t="s">
        <v>100</v>
      </c>
      <c r="BY2456" s="2" t="s">
        <v>112</v>
      </c>
      <c r="BZ2456" s="2" t="s">
        <v>100</v>
      </c>
    </row>
    <row r="2457">
      <c r="A2457" s="2" t="s">
        <v>8996</v>
      </c>
      <c r="B2457" s="2" t="s">
        <v>7252</v>
      </c>
      <c r="C2457" s="2" t="s">
        <v>88</v>
      </c>
      <c r="D2457" s="2" t="s">
        <v>8965</v>
      </c>
      <c r="E2457" s="2" t="s">
        <v>8966</v>
      </c>
      <c r="F2457" s="2" t="s">
        <v>8997</v>
      </c>
      <c r="G2457" s="2" t="s">
        <v>8998</v>
      </c>
      <c r="H2457" s="2" t="s">
        <v>8999</v>
      </c>
      <c r="I2457" s="2" t="s">
        <v>9000</v>
      </c>
      <c r="J2457" s="2" t="s">
        <v>6103</v>
      </c>
      <c r="K2457" s="2" t="s">
        <v>181</v>
      </c>
      <c r="L2457" s="3">
        <v>256.5</v>
      </c>
      <c r="M2457" s="3">
        <v>269.32</v>
      </c>
      <c r="N2457" s="3">
        <v>549</v>
      </c>
      <c r="O2457" s="2" t="s">
        <v>97</v>
      </c>
      <c r="P2457" s="2" t="s">
        <v>198</v>
      </c>
      <c r="Q2457" s="2" t="s">
        <v>99</v>
      </c>
      <c r="R2457" s="2" t="s">
        <v>100</v>
      </c>
      <c r="S2457" s="2" t="s">
        <v>9001</v>
      </c>
      <c r="T2457" s="2" t="s">
        <v>100</v>
      </c>
      <c r="U2457" s="2" t="s">
        <v>100</v>
      </c>
      <c r="V2457" s="2" t="s">
        <v>601</v>
      </c>
      <c r="W2457" s="2" t="s">
        <v>405</v>
      </c>
      <c r="X2457" s="2" t="s">
        <v>100</v>
      </c>
      <c r="Y2457" s="2" t="s">
        <v>106</v>
      </c>
      <c r="Z2457" s="4">
        <v>14</v>
      </c>
      <c r="AA2457" s="4">
        <f>=ROUNDDOWN(2.33333333333333,0)</f>
      </c>
      <c r="AB2457" s="5">
        <v>6</v>
      </c>
      <c r="AC2457" s="2" t="s">
        <v>100</v>
      </c>
      <c r="AD2457" s="4"/>
      <c r="AE2457" s="4"/>
      <c r="AF2457" s="6">
        <v>65</v>
      </c>
      <c r="AG2457" s="6">
        <v>48</v>
      </c>
      <c r="AH2457" s="7">
        <v>0.9394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/>
      <c r="BD2457" s="8"/>
      <c r="BE2457" s="4"/>
      <c r="BF2457" s="8"/>
      <c r="BG2457" s="7"/>
      <c r="BH2457" s="7"/>
      <c r="BI2457" s="7"/>
      <c r="BJ2457" s="4">
        <v>156</v>
      </c>
      <c r="BK2457" s="8">
        <v>38078.49</v>
      </c>
      <c r="BL2457" s="2" t="s">
        <v>9002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109</v>
      </c>
      <c r="BV2457" s="2" t="s">
        <v>97</v>
      </c>
      <c r="BW2457" s="2" t="s">
        <v>3536</v>
      </c>
      <c r="BX2457" s="2" t="s">
        <v>100</v>
      </c>
      <c r="BY2457" s="2" t="s">
        <v>112</v>
      </c>
      <c r="BZ2457" s="2" t="s">
        <v>100</v>
      </c>
    </row>
    <row r="2458">
      <c r="A2458" s="2" t="s">
        <v>9003</v>
      </c>
      <c r="B2458" s="2" t="s">
        <v>7252</v>
      </c>
      <c r="C2458" s="2" t="s">
        <v>88</v>
      </c>
      <c r="D2458" s="2" t="s">
        <v>8965</v>
      </c>
      <c r="E2458" s="2" t="s">
        <v>9004</v>
      </c>
      <c r="F2458" s="2" t="s">
        <v>9005</v>
      </c>
      <c r="G2458" s="2" t="s">
        <v>9006</v>
      </c>
      <c r="H2458" s="2" t="s">
        <v>9007</v>
      </c>
      <c r="I2458" s="2" t="s">
        <v>7738</v>
      </c>
      <c r="J2458" s="2" t="s">
        <v>6103</v>
      </c>
      <c r="K2458" s="2" t="s">
        <v>2367</v>
      </c>
      <c r="L2458" s="3">
        <v>256.5</v>
      </c>
      <c r="M2458" s="3">
        <v>269.32</v>
      </c>
      <c r="N2458" s="3">
        <v>549</v>
      </c>
      <c r="O2458" s="2" t="s">
        <v>97</v>
      </c>
      <c r="P2458" s="2" t="s">
        <v>182</v>
      </c>
      <c r="Q2458" s="2" t="s">
        <v>99</v>
      </c>
      <c r="R2458" s="2" t="s">
        <v>100</v>
      </c>
      <c r="S2458" s="2" t="s">
        <v>9008</v>
      </c>
      <c r="T2458" s="2" t="s">
        <v>100</v>
      </c>
      <c r="U2458" s="2" t="s">
        <v>100</v>
      </c>
      <c r="V2458" s="2" t="s">
        <v>601</v>
      </c>
      <c r="W2458" s="2" t="s">
        <v>6998</v>
      </c>
      <c r="X2458" s="2" t="s">
        <v>100</v>
      </c>
      <c r="Y2458" s="2" t="s">
        <v>9009</v>
      </c>
      <c r="Z2458" s="4">
        <v>44</v>
      </c>
      <c r="AA2458" s="4">
        <f>=ROUNDDOWN(8.8,0)</f>
      </c>
      <c r="AB2458" s="5">
        <v>5</v>
      </c>
      <c r="AC2458" s="2" t="s">
        <v>1328</v>
      </c>
      <c r="AD2458" s="4">
        <v>150</v>
      </c>
      <c r="AE2458" s="4">
        <v>150</v>
      </c>
      <c r="AF2458" s="6">
        <v>66</v>
      </c>
      <c r="AG2458" s="6">
        <v>49</v>
      </c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>
        <v>0</v>
      </c>
      <c r="AP2458" s="4">
        <v>1</v>
      </c>
      <c r="AQ2458" s="8">
        <v>249.9</v>
      </c>
      <c r="AR2458" s="4"/>
      <c r="AS2458" s="8"/>
      <c r="AT2458" s="7"/>
      <c r="AU2458" s="7"/>
      <c r="AV2458" s="4">
        <v>1</v>
      </c>
      <c r="AW2458" s="8">
        <v>249.9</v>
      </c>
      <c r="AX2458" s="4"/>
      <c r="AY2458" s="8"/>
      <c r="AZ2458" s="7"/>
      <c r="BA2458" s="7"/>
      <c r="BB2458" s="7">
        <v>1</v>
      </c>
      <c r="BC2458" s="4">
        <v>2</v>
      </c>
      <c r="BD2458" s="8">
        <v>499.8</v>
      </c>
      <c r="BE2458" s="4">
        <v>1</v>
      </c>
      <c r="BF2458" s="8">
        <v>187.43</v>
      </c>
      <c r="BG2458" s="7">
        <v>1</v>
      </c>
      <c r="BH2458" s="7">
        <v>1.6666</v>
      </c>
      <c r="BI2458" s="7">
        <v>0.5</v>
      </c>
      <c r="BJ2458" s="4">
        <v>113</v>
      </c>
      <c r="BK2458" s="8">
        <v>28842.84</v>
      </c>
      <c r="BL2458" s="2" t="s">
        <v>9010</v>
      </c>
      <c r="BM2458" s="7">
        <v>0.0088</v>
      </c>
      <c r="BN2458" s="7">
        <v>0.0087</v>
      </c>
      <c r="BO2458" s="4">
        <v>1</v>
      </c>
      <c r="BP2458" s="8">
        <v>249.9</v>
      </c>
      <c r="BQ2458" s="4"/>
      <c r="BR2458" s="8"/>
      <c r="BS2458" s="7"/>
      <c r="BT2458" s="7"/>
      <c r="BU2458" s="2" t="s">
        <v>109</v>
      </c>
      <c r="BV2458" s="2" t="s">
        <v>97</v>
      </c>
      <c r="BW2458" s="2" t="s">
        <v>3536</v>
      </c>
      <c r="BX2458" s="2" t="s">
        <v>9011</v>
      </c>
      <c r="BY2458" s="2" t="s">
        <v>112</v>
      </c>
      <c r="BZ2458" s="2" t="s">
        <v>100</v>
      </c>
    </row>
    <row r="2459">
      <c r="A2459" s="2" t="s">
        <v>9012</v>
      </c>
      <c r="B2459" s="2" t="s">
        <v>7252</v>
      </c>
      <c r="C2459" s="2" t="s">
        <v>88</v>
      </c>
      <c r="D2459" s="2" t="s">
        <v>8965</v>
      </c>
      <c r="E2459" s="2" t="s">
        <v>9004</v>
      </c>
      <c r="F2459" s="2" t="s">
        <v>9005</v>
      </c>
      <c r="G2459" s="2" t="s">
        <v>9006</v>
      </c>
      <c r="H2459" s="2" t="s">
        <v>9007</v>
      </c>
      <c r="I2459" s="2" t="s">
        <v>7738</v>
      </c>
      <c r="J2459" s="2" t="s">
        <v>6103</v>
      </c>
      <c r="K2459" s="2" t="s">
        <v>333</v>
      </c>
      <c r="L2459" s="3">
        <v>256.5</v>
      </c>
      <c r="M2459" s="3">
        <v>269.32</v>
      </c>
      <c r="N2459" s="3">
        <v>549</v>
      </c>
      <c r="O2459" s="2" t="s">
        <v>97</v>
      </c>
      <c r="P2459" s="2" t="s">
        <v>143</v>
      </c>
      <c r="Q2459" s="2" t="s">
        <v>99</v>
      </c>
      <c r="R2459" s="2" t="s">
        <v>100</v>
      </c>
      <c r="S2459" s="2" t="s">
        <v>9013</v>
      </c>
      <c r="T2459" s="2" t="s">
        <v>100</v>
      </c>
      <c r="U2459" s="2" t="s">
        <v>100</v>
      </c>
      <c r="V2459" s="2" t="s">
        <v>601</v>
      </c>
      <c r="W2459" s="2" t="s">
        <v>602</v>
      </c>
      <c r="X2459" s="2" t="s">
        <v>100</v>
      </c>
      <c r="Y2459" s="2" t="s">
        <v>106</v>
      </c>
      <c r="Z2459" s="4"/>
      <c r="AA2459" s="4">
        <f>=ROUNDDOWN({0},0)</f>
      </c>
      <c r="AB2459" s="5">
        <v>14</v>
      </c>
      <c r="AC2459" s="2" t="s">
        <v>7266</v>
      </c>
      <c r="AD2459" s="4">
        <v>136</v>
      </c>
      <c r="AE2459" s="4">
        <v>510</v>
      </c>
      <c r="AF2459" s="6">
        <v>66</v>
      </c>
      <c r="AG2459" s="6">
        <v>49</v>
      </c>
      <c r="AH2459" s="7">
        <v>0.9394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>
        <v>0</v>
      </c>
      <c r="AP2459" s="4">
        <v>1</v>
      </c>
      <c r="AQ2459" s="8">
        <v>249.9</v>
      </c>
      <c r="AR2459" s="4">
        <v>1</v>
      </c>
      <c r="AS2459" s="8">
        <v>187.43</v>
      </c>
      <c r="AT2459" s="7"/>
      <c r="AU2459" s="7">
        <v>0.3333</v>
      </c>
      <c r="AV2459" s="4">
        <v>1</v>
      </c>
      <c r="AW2459" s="8">
        <v>249.9</v>
      </c>
      <c r="AX2459" s="4">
        <v>1</v>
      </c>
      <c r="AY2459" s="8">
        <v>187.43</v>
      </c>
      <c r="AZ2459" s="7"/>
      <c r="BA2459" s="7">
        <v>0.3333</v>
      </c>
      <c r="BB2459" s="7">
        <v>1</v>
      </c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>
        <v>0.5</v>
      </c>
      <c r="BJ2459" s="4">
        <v>267</v>
      </c>
      <c r="BK2459" s="8">
        <v>68837.36</v>
      </c>
      <c r="BL2459" s="2" t="s">
        <v>9014</v>
      </c>
      <c r="BM2459" s="7">
        <v>0.0037</v>
      </c>
      <c r="BN2459" s="7">
        <v>0.0036</v>
      </c>
      <c r="BO2459" s="4">
        <v>1</v>
      </c>
      <c r="BP2459" s="8">
        <v>249.9</v>
      </c>
      <c r="BQ2459" s="4">
        <v>1</v>
      </c>
      <c r="BR2459" s="8">
        <v>187.43</v>
      </c>
      <c r="BS2459" s="7"/>
      <c r="BT2459" s="7">
        <v>0.3333</v>
      </c>
      <c r="BU2459" s="2" t="s">
        <v>109</v>
      </c>
      <c r="BV2459" s="2" t="s">
        <v>97</v>
      </c>
      <c r="BW2459" s="2" t="s">
        <v>3536</v>
      </c>
      <c r="BX2459" s="2" t="s">
        <v>9015</v>
      </c>
      <c r="BY2459" s="2" t="s">
        <v>112</v>
      </c>
      <c r="BZ2459" s="2" t="s">
        <v>100</v>
      </c>
    </row>
    <row r="2460">
      <c r="A2460" s="2" t="s">
        <v>9016</v>
      </c>
      <c r="B2460" s="2" t="s">
        <v>7252</v>
      </c>
      <c r="C2460" s="2" t="s">
        <v>88</v>
      </c>
      <c r="D2460" s="2" t="s">
        <v>8965</v>
      </c>
      <c r="E2460" s="2" t="s">
        <v>9004</v>
      </c>
      <c r="F2460" s="2" t="s">
        <v>9017</v>
      </c>
      <c r="G2460" s="2" t="s">
        <v>9018</v>
      </c>
      <c r="H2460" s="2" t="s">
        <v>9019</v>
      </c>
      <c r="I2460" s="2" t="s">
        <v>9020</v>
      </c>
      <c r="J2460" s="2" t="s">
        <v>6103</v>
      </c>
      <c r="K2460" s="2" t="s">
        <v>8678</v>
      </c>
      <c r="L2460" s="3">
        <v>234</v>
      </c>
      <c r="M2460" s="3">
        <v>245.7</v>
      </c>
      <c r="N2460" s="3">
        <v>499</v>
      </c>
      <c r="O2460" s="2" t="s">
        <v>97</v>
      </c>
      <c r="P2460" s="2" t="s">
        <v>143</v>
      </c>
      <c r="Q2460" s="2" t="s">
        <v>99</v>
      </c>
      <c r="R2460" s="2" t="s">
        <v>100</v>
      </c>
      <c r="S2460" s="2" t="s">
        <v>9021</v>
      </c>
      <c r="T2460" s="2" t="s">
        <v>100</v>
      </c>
      <c r="U2460" s="2" t="s">
        <v>3531</v>
      </c>
      <c r="V2460" s="2" t="s">
        <v>601</v>
      </c>
      <c r="W2460" s="2" t="s">
        <v>2195</v>
      </c>
      <c r="X2460" s="2" t="s">
        <v>100</v>
      </c>
      <c r="Y2460" s="2" t="s">
        <v>106</v>
      </c>
      <c r="Z2460" s="4">
        <v>52</v>
      </c>
      <c r="AA2460" s="4">
        <f>=ROUNDDOWN(5.2,0)</f>
      </c>
      <c r="AB2460" s="5">
        <v>10</v>
      </c>
      <c r="AC2460" s="2" t="s">
        <v>1328</v>
      </c>
      <c r="AD2460" s="4">
        <v>144</v>
      </c>
      <c r="AE2460" s="4">
        <v>144</v>
      </c>
      <c r="AF2460" s="6">
        <v>66</v>
      </c>
      <c r="AG2460" s="6">
        <v>49</v>
      </c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>
        <v>0</v>
      </c>
      <c r="AP2460" s="4">
        <v>2</v>
      </c>
      <c r="AQ2460" s="8">
        <v>491.4</v>
      </c>
      <c r="AR2460" s="4"/>
      <c r="AS2460" s="8"/>
      <c r="AT2460" s="7"/>
      <c r="AU2460" s="7"/>
      <c r="AV2460" s="4">
        <v>2</v>
      </c>
      <c r="AW2460" s="8">
        <v>491.4</v>
      </c>
      <c r="AX2460" s="4"/>
      <c r="AY2460" s="8"/>
      <c r="AZ2460" s="7"/>
      <c r="BA2460" s="7"/>
      <c r="BB2460" s="7">
        <v>1</v>
      </c>
      <c r="BC2460" s="4">
        <v>2</v>
      </c>
      <c r="BD2460" s="8">
        <v>491.4</v>
      </c>
      <c r="BE2460" s="4"/>
      <c r="BF2460" s="8"/>
      <c r="BG2460" s="7"/>
      <c r="BH2460" s="7"/>
      <c r="BI2460" s="7">
        <v>1</v>
      </c>
      <c r="BJ2460" s="4">
        <v>347</v>
      </c>
      <c r="BK2460" s="8">
        <v>79659.02</v>
      </c>
      <c r="BL2460" s="2" t="s">
        <v>9022</v>
      </c>
      <c r="BM2460" s="7">
        <v>0.0058</v>
      </c>
      <c r="BN2460" s="7">
        <v>0.0062</v>
      </c>
      <c r="BO2460" s="4">
        <v>2</v>
      </c>
      <c r="BP2460" s="8">
        <v>491.4</v>
      </c>
      <c r="BQ2460" s="4"/>
      <c r="BR2460" s="8"/>
      <c r="BS2460" s="7"/>
      <c r="BT2460" s="7"/>
      <c r="BU2460" s="2" t="s">
        <v>109</v>
      </c>
      <c r="BV2460" s="2" t="s">
        <v>97</v>
      </c>
      <c r="BW2460" s="2" t="s">
        <v>3536</v>
      </c>
      <c r="BX2460" s="2" t="s">
        <v>7497</v>
      </c>
      <c r="BY2460" s="2" t="s">
        <v>112</v>
      </c>
      <c r="BZ2460" s="2" t="s">
        <v>100</v>
      </c>
    </row>
    <row r="2461">
      <c r="A2461" s="2" t="s">
        <v>9023</v>
      </c>
      <c r="B2461" s="2" t="s">
        <v>7252</v>
      </c>
      <c r="C2461" s="2" t="s">
        <v>88</v>
      </c>
      <c r="D2461" s="2" t="s">
        <v>8965</v>
      </c>
      <c r="E2461" s="2" t="s">
        <v>9004</v>
      </c>
      <c r="F2461" s="2" t="s">
        <v>9024</v>
      </c>
      <c r="G2461" s="2" t="s">
        <v>9025</v>
      </c>
      <c r="H2461" s="2" t="s">
        <v>9026</v>
      </c>
      <c r="I2461" s="2" t="s">
        <v>9027</v>
      </c>
      <c r="J2461" s="2" t="s">
        <v>6103</v>
      </c>
      <c r="K2461" s="2" t="s">
        <v>142</v>
      </c>
      <c r="L2461" s="3">
        <v>256.5</v>
      </c>
      <c r="M2461" s="3">
        <v>269.32</v>
      </c>
      <c r="N2461" s="3">
        <v>549</v>
      </c>
      <c r="O2461" s="2" t="s">
        <v>97</v>
      </c>
      <c r="P2461" s="2" t="s">
        <v>124</v>
      </c>
      <c r="Q2461" s="2" t="s">
        <v>99</v>
      </c>
      <c r="R2461" s="2" t="s">
        <v>100</v>
      </c>
      <c r="S2461" s="2" t="s">
        <v>100</v>
      </c>
      <c r="T2461" s="2" t="s">
        <v>100</v>
      </c>
      <c r="U2461" s="2" t="s">
        <v>3531</v>
      </c>
      <c r="V2461" s="2" t="s">
        <v>601</v>
      </c>
      <c r="W2461" s="2" t="s">
        <v>405</v>
      </c>
      <c r="X2461" s="2" t="s">
        <v>100</v>
      </c>
      <c r="Y2461" s="2" t="s">
        <v>9028</v>
      </c>
      <c r="Z2461" s="4">
        <v>429</v>
      </c>
      <c r="AA2461" s="4">
        <f>=ROUNDDOWN(14.3,0)</f>
      </c>
      <c r="AB2461" s="5">
        <v>30</v>
      </c>
      <c r="AC2461" s="2" t="s">
        <v>100</v>
      </c>
      <c r="AD2461" s="4"/>
      <c r="AE2461" s="4"/>
      <c r="AF2461" s="6">
        <v>66</v>
      </c>
      <c r="AG2461" s="6">
        <v>49</v>
      </c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>
        <v>0</v>
      </c>
      <c r="AP2461" s="4">
        <v>1</v>
      </c>
      <c r="AQ2461" s="8">
        <v>249.9</v>
      </c>
      <c r="AR2461" s="4"/>
      <c r="AS2461" s="8"/>
      <c r="AT2461" s="7"/>
      <c r="AU2461" s="7"/>
      <c r="AV2461" s="4">
        <v>1</v>
      </c>
      <c r="AW2461" s="8">
        <v>249.9</v>
      </c>
      <c r="AX2461" s="4"/>
      <c r="AY2461" s="8"/>
      <c r="AZ2461" s="7"/>
      <c r="BA2461" s="7"/>
      <c r="BB2461" s="7">
        <v>1</v>
      </c>
      <c r="BC2461" s="4">
        <v>1</v>
      </c>
      <c r="BD2461" s="8">
        <v>249.9</v>
      </c>
      <c r="BE2461" s="4"/>
      <c r="BF2461" s="8"/>
      <c r="BG2461" s="7"/>
      <c r="BH2461" s="7"/>
      <c r="BI2461" s="7">
        <v>1</v>
      </c>
      <c r="BJ2461" s="4">
        <v>539</v>
      </c>
      <c r="BK2461" s="8">
        <v>130300.61</v>
      </c>
      <c r="BL2461" s="2" t="s">
        <v>9029</v>
      </c>
      <c r="BM2461" s="7">
        <v>0.0019</v>
      </c>
      <c r="BN2461" s="7">
        <v>0.0019</v>
      </c>
      <c r="BO2461" s="4">
        <v>1</v>
      </c>
      <c r="BP2461" s="8">
        <v>249.9</v>
      </c>
      <c r="BQ2461" s="4"/>
      <c r="BR2461" s="8"/>
      <c r="BS2461" s="7"/>
      <c r="BT2461" s="7"/>
      <c r="BU2461" s="2" t="s">
        <v>109</v>
      </c>
      <c r="BV2461" s="2" t="s">
        <v>97</v>
      </c>
      <c r="BW2461" s="2" t="s">
        <v>3536</v>
      </c>
      <c r="BX2461" s="2" t="s">
        <v>9030</v>
      </c>
      <c r="BY2461" s="2" t="s">
        <v>112</v>
      </c>
      <c r="BZ2461" s="2" t="s">
        <v>100</v>
      </c>
    </row>
    <row r="2462">
      <c r="A2462" s="2" t="s">
        <v>9031</v>
      </c>
      <c r="B2462" s="2" t="s">
        <v>7252</v>
      </c>
      <c r="C2462" s="2" t="s">
        <v>88</v>
      </c>
      <c r="D2462" s="2" t="s">
        <v>8965</v>
      </c>
      <c r="E2462" s="2" t="s">
        <v>9004</v>
      </c>
      <c r="F2462" s="2" t="s">
        <v>9032</v>
      </c>
      <c r="G2462" s="2" t="s">
        <v>9033</v>
      </c>
      <c r="H2462" s="2" t="s">
        <v>9034</v>
      </c>
      <c r="I2462" s="2" t="s">
        <v>7738</v>
      </c>
      <c r="J2462" s="2" t="s">
        <v>6103</v>
      </c>
      <c r="K2462" s="2" t="s">
        <v>9035</v>
      </c>
      <c r="L2462" s="3">
        <v>256.5</v>
      </c>
      <c r="M2462" s="3">
        <v>269.32</v>
      </c>
      <c r="N2462" s="3">
        <v>549</v>
      </c>
      <c r="O2462" s="2" t="s">
        <v>97</v>
      </c>
      <c r="P2462" s="2" t="s">
        <v>198</v>
      </c>
      <c r="Q2462" s="2" t="s">
        <v>99</v>
      </c>
      <c r="R2462" s="2" t="s">
        <v>100</v>
      </c>
      <c r="S2462" s="2" t="s">
        <v>9036</v>
      </c>
      <c r="T2462" s="2" t="s">
        <v>100</v>
      </c>
      <c r="U2462" s="2" t="s">
        <v>100</v>
      </c>
      <c r="V2462" s="2" t="s">
        <v>1752</v>
      </c>
      <c r="W2462" s="2" t="s">
        <v>1530</v>
      </c>
      <c r="X2462" s="2" t="s">
        <v>104</v>
      </c>
      <c r="Y2462" s="2" t="s">
        <v>9037</v>
      </c>
      <c r="Z2462" s="4">
        <v>42</v>
      </c>
      <c r="AA2462" s="4">
        <f>=ROUNDDOWN(21,0)</f>
      </c>
      <c r="AB2462" s="5">
        <v>2</v>
      </c>
      <c r="AC2462" s="2" t="s">
        <v>100</v>
      </c>
      <c r="AD2462" s="4"/>
      <c r="AE2462" s="4"/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/>
      <c r="AW2462" s="8"/>
      <c r="AX2462" s="4"/>
      <c r="AY2462" s="8"/>
      <c r="AZ2462" s="7"/>
      <c r="BA2462" s="7"/>
      <c r="BB2462" s="7"/>
      <c r="BC2462" s="4"/>
      <c r="BD2462" s="8"/>
      <c r="BE2462" s="4"/>
      <c r="BF2462" s="8"/>
      <c r="BG2462" s="7"/>
      <c r="BH2462" s="7"/>
      <c r="BI2462" s="7"/>
      <c r="BJ2462" s="4">
        <v>51</v>
      </c>
      <c r="BK2462" s="8">
        <v>12478.05</v>
      </c>
      <c r="BL2462" s="2" t="s">
        <v>9038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6185</v>
      </c>
      <c r="BV2462" s="2" t="s">
        <v>97</v>
      </c>
      <c r="BW2462" s="2" t="s">
        <v>100</v>
      </c>
      <c r="BX2462" s="2" t="s">
        <v>100</v>
      </c>
      <c r="BY2462" s="2" t="s">
        <v>112</v>
      </c>
      <c r="BZ2462" s="2" t="s">
        <v>100</v>
      </c>
    </row>
    <row r="2463">
      <c r="A2463" s="2" t="s">
        <v>9039</v>
      </c>
      <c r="B2463" s="2" t="s">
        <v>7252</v>
      </c>
      <c r="C2463" s="2" t="s">
        <v>88</v>
      </c>
      <c r="D2463" s="2" t="s">
        <v>8965</v>
      </c>
      <c r="E2463" s="2" t="s">
        <v>9004</v>
      </c>
      <c r="F2463" s="2" t="s">
        <v>9040</v>
      </c>
      <c r="G2463" s="2" t="s">
        <v>9041</v>
      </c>
      <c r="H2463" s="2" t="s">
        <v>9042</v>
      </c>
      <c r="I2463" s="2" t="s">
        <v>9043</v>
      </c>
      <c r="J2463" s="2" t="s">
        <v>6103</v>
      </c>
      <c r="K2463" s="2" t="s">
        <v>9044</v>
      </c>
      <c r="L2463" s="3">
        <v>266.53</v>
      </c>
      <c r="M2463" s="3">
        <v>279.86</v>
      </c>
      <c r="N2463" s="3">
        <v>559</v>
      </c>
      <c r="O2463" s="2" t="s">
        <v>229</v>
      </c>
      <c r="P2463" s="2" t="s">
        <v>198</v>
      </c>
      <c r="Q2463" s="2" t="s">
        <v>99</v>
      </c>
      <c r="R2463" s="2" t="s">
        <v>100</v>
      </c>
      <c r="S2463" s="2" t="s">
        <v>100</v>
      </c>
      <c r="T2463" s="2" t="s">
        <v>100</v>
      </c>
      <c r="U2463" s="2" t="s">
        <v>100</v>
      </c>
      <c r="V2463" s="2" t="s">
        <v>601</v>
      </c>
      <c r="W2463" s="2" t="s">
        <v>1190</v>
      </c>
      <c r="X2463" s="2" t="s">
        <v>100</v>
      </c>
      <c r="Y2463" s="2" t="s">
        <v>9028</v>
      </c>
      <c r="Z2463" s="4">
        <v>72</v>
      </c>
      <c r="AA2463" s="4">
        <f>=ROUNDDOWN(65.4545454545455,0)</f>
      </c>
      <c r="AB2463" s="5"/>
      <c r="AC2463" s="2" t="s">
        <v>100</v>
      </c>
      <c r="AD2463" s="4"/>
      <c r="AE2463" s="4"/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/>
      <c r="AW2463" s="8"/>
      <c r="AX2463" s="4"/>
      <c r="AY2463" s="8"/>
      <c r="AZ2463" s="7"/>
      <c r="BA2463" s="7"/>
      <c r="BB2463" s="7"/>
      <c r="BC2463" s="4"/>
      <c r="BD2463" s="8"/>
      <c r="BE2463" s="4"/>
      <c r="BF2463" s="8"/>
      <c r="BG2463" s="7"/>
      <c r="BH2463" s="7"/>
      <c r="BI2463" s="7"/>
      <c r="BJ2463" s="4">
        <v>18</v>
      </c>
      <c r="BK2463" s="8">
        <v>4201.06</v>
      </c>
      <c r="BL2463" s="2" t="s">
        <v>9045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147</v>
      </c>
      <c r="BV2463" s="2" t="s">
        <v>97</v>
      </c>
      <c r="BW2463" s="2" t="s">
        <v>100</v>
      </c>
      <c r="BX2463" s="2" t="s">
        <v>100</v>
      </c>
      <c r="BY2463" s="2" t="s">
        <v>112</v>
      </c>
      <c r="BZ2463" s="2" t="s">
        <v>100</v>
      </c>
    </row>
    <row r="2464">
      <c r="A2464" s="2" t="s">
        <v>9046</v>
      </c>
      <c r="B2464" s="2" t="s">
        <v>7252</v>
      </c>
      <c r="C2464" s="2" t="s">
        <v>88</v>
      </c>
      <c r="D2464" s="2" t="s">
        <v>8965</v>
      </c>
      <c r="E2464" s="2" t="s">
        <v>9004</v>
      </c>
      <c r="F2464" s="2" t="s">
        <v>9047</v>
      </c>
      <c r="G2464" s="2" t="s">
        <v>9048</v>
      </c>
      <c r="H2464" s="2" t="s">
        <v>6801</v>
      </c>
      <c r="I2464" s="2" t="s">
        <v>8966</v>
      </c>
      <c r="J2464" s="2" t="s">
        <v>6103</v>
      </c>
      <c r="K2464" s="2" t="s">
        <v>9049</v>
      </c>
      <c r="L2464" s="3">
        <v>331.5</v>
      </c>
      <c r="M2464" s="3">
        <v>348.08</v>
      </c>
      <c r="N2464" s="3">
        <v>699</v>
      </c>
      <c r="O2464" s="2" t="s">
        <v>550</v>
      </c>
      <c r="P2464" s="2" t="s">
        <v>198</v>
      </c>
      <c r="Q2464" s="2" t="s">
        <v>99</v>
      </c>
      <c r="R2464" s="2" t="s">
        <v>100</v>
      </c>
      <c r="S2464" s="2" t="s">
        <v>9050</v>
      </c>
      <c r="T2464" s="2" t="s">
        <v>100</v>
      </c>
      <c r="U2464" s="2" t="s">
        <v>100</v>
      </c>
      <c r="V2464" s="2" t="s">
        <v>601</v>
      </c>
      <c r="W2464" s="2" t="s">
        <v>405</v>
      </c>
      <c r="X2464" s="2" t="s">
        <v>100</v>
      </c>
      <c r="Y2464" s="2" t="s">
        <v>106</v>
      </c>
      <c r="Z2464" s="4">
        <v>1</v>
      </c>
      <c r="AA2464" s="4">
        <f>=ROUNDDOWN(0.833333333333333,0)</f>
      </c>
      <c r="AB2464" s="5">
        <v>1.2</v>
      </c>
      <c r="AC2464" s="2" t="s">
        <v>100</v>
      </c>
      <c r="AD2464" s="4"/>
      <c r="AE2464" s="4"/>
      <c r="AF2464" s="6">
        <v>65</v>
      </c>
      <c r="AG2464" s="6"/>
      <c r="AH2464" s="7">
        <v>0.8364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>
        <v>0</v>
      </c>
      <c r="AP2464" s="4"/>
      <c r="AQ2464" s="8"/>
      <c r="AR2464" s="4">
        <v>5</v>
      </c>
      <c r="AS2464" s="8">
        <v>1740.4</v>
      </c>
      <c r="AT2464" s="7">
        <v>-1</v>
      </c>
      <c r="AU2464" s="7">
        <v>-1</v>
      </c>
      <c r="AV2464" s="4"/>
      <c r="AW2464" s="8"/>
      <c r="AX2464" s="4">
        <v>5</v>
      </c>
      <c r="AY2464" s="8">
        <v>1740.4</v>
      </c>
      <c r="AZ2464" s="7">
        <v>-1</v>
      </c>
      <c r="BA2464" s="7">
        <v>-1</v>
      </c>
      <c r="BB2464" s="7"/>
      <c r="BC2464" s="4"/>
      <c r="BD2464" s="8"/>
      <c r="BE2464" s="4">
        <v>5</v>
      </c>
      <c r="BF2464" s="8">
        <v>1740.4</v>
      </c>
      <c r="BG2464" s="7">
        <v>-1</v>
      </c>
      <c r="BH2464" s="7">
        <v>-1</v>
      </c>
      <c r="BI2464" s="7"/>
      <c r="BJ2464" s="4">
        <v>24</v>
      </c>
      <c r="BK2464" s="8">
        <v>4681.19</v>
      </c>
      <c r="BL2464" s="2" t="s">
        <v>9051</v>
      </c>
      <c r="BM2464" s="7"/>
      <c r="BN2464" s="7"/>
      <c r="BO2464" s="4"/>
      <c r="BP2464" s="8"/>
      <c r="BQ2464" s="4">
        <v>5</v>
      </c>
      <c r="BR2464" s="8">
        <v>1740.4</v>
      </c>
      <c r="BS2464" s="7">
        <v>-1</v>
      </c>
      <c r="BT2464" s="7">
        <v>-1</v>
      </c>
      <c r="BU2464" s="2" t="s">
        <v>109</v>
      </c>
      <c r="BV2464" s="2" t="s">
        <v>552</v>
      </c>
      <c r="BW2464" s="2" t="s">
        <v>8172</v>
      </c>
      <c r="BX2464" s="2" t="s">
        <v>9052</v>
      </c>
      <c r="BY2464" s="2" t="s">
        <v>112</v>
      </c>
      <c r="BZ2464" s="2" t="s">
        <v>100</v>
      </c>
    </row>
    <row r="2465">
      <c r="A2465" s="2" t="s">
        <v>9053</v>
      </c>
      <c r="B2465" s="2" t="s">
        <v>7252</v>
      </c>
      <c r="C2465" s="2" t="s">
        <v>88</v>
      </c>
      <c r="D2465" s="2" t="s">
        <v>8965</v>
      </c>
      <c r="E2465" s="2" t="s">
        <v>9004</v>
      </c>
      <c r="F2465" s="2" t="s">
        <v>9054</v>
      </c>
      <c r="G2465" s="2" t="s">
        <v>9055</v>
      </c>
      <c r="H2465" s="2" t="s">
        <v>9056</v>
      </c>
      <c r="I2465" s="2" t="s">
        <v>9057</v>
      </c>
      <c r="J2465" s="2" t="s">
        <v>6103</v>
      </c>
      <c r="K2465" s="2" t="s">
        <v>123</v>
      </c>
      <c r="L2465" s="3">
        <v>285</v>
      </c>
      <c r="M2465" s="3">
        <v>299.25</v>
      </c>
      <c r="N2465" s="3">
        <v>599</v>
      </c>
      <c r="O2465" s="2" t="s">
        <v>97</v>
      </c>
      <c r="P2465" s="2" t="s">
        <v>143</v>
      </c>
      <c r="Q2465" s="2" t="s">
        <v>99</v>
      </c>
      <c r="R2465" s="2" t="s">
        <v>100</v>
      </c>
      <c r="S2465" s="2" t="s">
        <v>100</v>
      </c>
      <c r="T2465" s="2" t="s">
        <v>100</v>
      </c>
      <c r="U2465" s="2" t="s">
        <v>3531</v>
      </c>
      <c r="V2465" s="2" t="s">
        <v>1752</v>
      </c>
      <c r="W2465" s="2" t="s">
        <v>602</v>
      </c>
      <c r="X2465" s="2" t="s">
        <v>104</v>
      </c>
      <c r="Y2465" s="2" t="s">
        <v>8106</v>
      </c>
      <c r="Z2465" s="4">
        <v>64</v>
      </c>
      <c r="AA2465" s="4">
        <f>=ROUNDDOWN(2.78260869565217,0)</f>
      </c>
      <c r="AB2465" s="5">
        <v>23</v>
      </c>
      <c r="AC2465" s="2" t="s">
        <v>4093</v>
      </c>
      <c r="AD2465" s="4">
        <v>120</v>
      </c>
      <c r="AE2465" s="4">
        <v>460</v>
      </c>
      <c r="AF2465" s="6">
        <v>66</v>
      </c>
      <c r="AG2465" s="6"/>
      <c r="AH2465" s="7">
        <v>0.903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/>
      <c r="AW2465" s="8"/>
      <c r="AX2465" s="4"/>
      <c r="AY2465" s="8"/>
      <c r="AZ2465" s="7"/>
      <c r="BA2465" s="7"/>
      <c r="BB2465" s="7"/>
      <c r="BC2465" s="4"/>
      <c r="BD2465" s="8"/>
      <c r="BE2465" s="4"/>
      <c r="BF2465" s="8"/>
      <c r="BG2465" s="7"/>
      <c r="BH2465" s="7"/>
      <c r="BI2465" s="7"/>
      <c r="BJ2465" s="4">
        <v>350</v>
      </c>
      <c r="BK2465" s="8">
        <v>103405.8</v>
      </c>
      <c r="BL2465" s="2" t="s">
        <v>9058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6185</v>
      </c>
      <c r="BV2465" s="2" t="s">
        <v>97</v>
      </c>
      <c r="BW2465" s="2" t="s">
        <v>100</v>
      </c>
      <c r="BX2465" s="2" t="s">
        <v>100</v>
      </c>
      <c r="BY2465" s="2" t="s">
        <v>112</v>
      </c>
      <c r="BZ2465" s="2" t="s">
        <v>100</v>
      </c>
    </row>
    <row r="2466">
      <c r="A2466" s="2" t="s">
        <v>9059</v>
      </c>
      <c r="B2466" s="2" t="s">
        <v>7252</v>
      </c>
      <c r="C2466" s="2" t="s">
        <v>88</v>
      </c>
      <c r="D2466" s="2" t="s">
        <v>8965</v>
      </c>
      <c r="E2466" s="2" t="s">
        <v>1608</v>
      </c>
      <c r="F2466" s="2" t="s">
        <v>9060</v>
      </c>
      <c r="G2466" s="2" t="s">
        <v>9061</v>
      </c>
      <c r="H2466" s="2" t="s">
        <v>9062</v>
      </c>
      <c r="I2466" s="2" t="s">
        <v>9063</v>
      </c>
      <c r="J2466" s="2" t="s">
        <v>6103</v>
      </c>
      <c r="K2466" s="2" t="s">
        <v>7165</v>
      </c>
      <c r="L2466" s="3">
        <v>256.5</v>
      </c>
      <c r="M2466" s="3">
        <v>269.32</v>
      </c>
      <c r="N2466" s="3">
        <v>549</v>
      </c>
      <c r="O2466" s="2" t="s">
        <v>550</v>
      </c>
      <c r="P2466" s="2" t="s">
        <v>198</v>
      </c>
      <c r="Q2466" s="2" t="s">
        <v>99</v>
      </c>
      <c r="R2466" s="2" t="s">
        <v>100</v>
      </c>
      <c r="S2466" s="2" t="s">
        <v>9064</v>
      </c>
      <c r="T2466" s="2" t="s">
        <v>100</v>
      </c>
      <c r="U2466" s="2" t="s">
        <v>100</v>
      </c>
      <c r="V2466" s="2" t="s">
        <v>601</v>
      </c>
      <c r="W2466" s="2" t="s">
        <v>2195</v>
      </c>
      <c r="X2466" s="2" t="s">
        <v>100</v>
      </c>
      <c r="Y2466" s="2" t="s">
        <v>106</v>
      </c>
      <c r="Z2466" s="4">
        <v>2</v>
      </c>
      <c r="AA2466" s="4">
        <f>=ROUNDDOWN(1,0)</f>
      </c>
      <c r="AB2466" s="5">
        <v>2</v>
      </c>
      <c r="AC2466" s="2" t="s">
        <v>100</v>
      </c>
      <c r="AD2466" s="4"/>
      <c r="AE2466" s="4"/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>
        <v>0</v>
      </c>
      <c r="AP2466" s="4">
        <v>1</v>
      </c>
      <c r="AQ2466" s="8">
        <v>249.9</v>
      </c>
      <c r="AR2466" s="4"/>
      <c r="AS2466" s="8"/>
      <c r="AT2466" s="7"/>
      <c r="AU2466" s="7"/>
      <c r="AV2466" s="4">
        <v>1</v>
      </c>
      <c r="AW2466" s="8">
        <v>249.9</v>
      </c>
      <c r="AX2466" s="4"/>
      <c r="AY2466" s="8"/>
      <c r="AZ2466" s="7"/>
      <c r="BA2466" s="7"/>
      <c r="BB2466" s="7">
        <v>1</v>
      </c>
      <c r="BC2466" s="4">
        <v>1</v>
      </c>
      <c r="BD2466" s="8">
        <v>249.9</v>
      </c>
      <c r="BE2466" s="4"/>
      <c r="BF2466" s="8"/>
      <c r="BG2466" s="7"/>
      <c r="BH2466" s="7"/>
      <c r="BI2466" s="7">
        <v>1</v>
      </c>
      <c r="BJ2466" s="4">
        <v>59</v>
      </c>
      <c r="BK2466" s="8">
        <v>13324.4</v>
      </c>
      <c r="BL2466" s="2" t="s">
        <v>9065</v>
      </c>
      <c r="BM2466" s="7">
        <v>0.0169</v>
      </c>
      <c r="BN2466" s="7">
        <v>0.0188</v>
      </c>
      <c r="BO2466" s="4">
        <v>1</v>
      </c>
      <c r="BP2466" s="8">
        <v>249.9</v>
      </c>
      <c r="BQ2466" s="4"/>
      <c r="BR2466" s="8"/>
      <c r="BS2466" s="7"/>
      <c r="BT2466" s="7"/>
      <c r="BU2466" s="2" t="s">
        <v>109</v>
      </c>
      <c r="BV2466" s="2" t="s">
        <v>97</v>
      </c>
      <c r="BW2466" s="2" t="s">
        <v>8172</v>
      </c>
      <c r="BX2466" s="2" t="s">
        <v>9066</v>
      </c>
      <c r="BY2466" s="2" t="s">
        <v>112</v>
      </c>
      <c r="BZ2466" s="2" t="s">
        <v>100</v>
      </c>
    </row>
    <row r="2467">
      <c r="A2467" s="2" t="s">
        <v>9067</v>
      </c>
      <c r="B2467" s="2" t="s">
        <v>7252</v>
      </c>
      <c r="C2467" s="2" t="s">
        <v>88</v>
      </c>
      <c r="D2467" s="2" t="s">
        <v>8965</v>
      </c>
      <c r="E2467" s="2" t="s">
        <v>1608</v>
      </c>
      <c r="F2467" s="2" t="s">
        <v>1129</v>
      </c>
      <c r="G2467" s="2" t="s">
        <v>8285</v>
      </c>
      <c r="H2467" s="2" t="s">
        <v>8600</v>
      </c>
      <c r="I2467" s="2" t="s">
        <v>7738</v>
      </c>
      <c r="J2467" s="2" t="s">
        <v>6103</v>
      </c>
      <c r="K2467" s="2" t="s">
        <v>8601</v>
      </c>
      <c r="L2467" s="3">
        <v>198</v>
      </c>
      <c r="M2467" s="3">
        <v>207.9</v>
      </c>
      <c r="N2467" s="3">
        <v>419</v>
      </c>
      <c r="O2467" s="2" t="s">
        <v>229</v>
      </c>
      <c r="P2467" s="2" t="s">
        <v>198</v>
      </c>
      <c r="Q2467" s="2" t="s">
        <v>99</v>
      </c>
      <c r="R2467" s="2" t="s">
        <v>100</v>
      </c>
      <c r="S2467" s="2" t="s">
        <v>9068</v>
      </c>
      <c r="T2467" s="2" t="s">
        <v>100</v>
      </c>
      <c r="U2467" s="2" t="s">
        <v>100</v>
      </c>
      <c r="V2467" s="2" t="s">
        <v>601</v>
      </c>
      <c r="W2467" s="2" t="s">
        <v>6998</v>
      </c>
      <c r="X2467" s="2" t="s">
        <v>100</v>
      </c>
      <c r="Y2467" s="2" t="s">
        <v>106</v>
      </c>
      <c r="Z2467" s="4"/>
      <c r="AA2467" s="4">
        <f>=ROUNDDOWN({0},0)</f>
      </c>
      <c r="AB2467" s="5">
        <v>4.2</v>
      </c>
      <c r="AC2467" s="2" t="s">
        <v>100</v>
      </c>
      <c r="AD2467" s="4"/>
      <c r="AE2467" s="4"/>
      <c r="AF2467" s="6">
        <v>74</v>
      </c>
      <c r="AG2467" s="6"/>
      <c r="AH2467" s="7">
        <v>0.0909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>
        <v>0</v>
      </c>
      <c r="AP2467" s="4"/>
      <c r="AQ2467" s="8"/>
      <c r="AR2467" s="4">
        <v>2</v>
      </c>
      <c r="AS2467" s="8">
        <v>415.8</v>
      </c>
      <c r="AT2467" s="7">
        <v>-1</v>
      </c>
      <c r="AU2467" s="7">
        <v>-1</v>
      </c>
      <c r="AV2467" s="4"/>
      <c r="AW2467" s="8"/>
      <c r="AX2467" s="4">
        <v>2</v>
      </c>
      <c r="AY2467" s="8">
        <v>415.8</v>
      </c>
      <c r="AZ2467" s="7">
        <v>-1</v>
      </c>
      <c r="BA2467" s="7">
        <v>-1</v>
      </c>
      <c r="BB2467" s="7"/>
      <c r="BC2467" s="4"/>
      <c r="BD2467" s="8"/>
      <c r="BE2467" s="4">
        <v>2</v>
      </c>
      <c r="BF2467" s="8">
        <v>415.8</v>
      </c>
      <c r="BG2467" s="7">
        <v>-1</v>
      </c>
      <c r="BH2467" s="7">
        <v>-1</v>
      </c>
      <c r="BI2467" s="7"/>
      <c r="BJ2467" s="4">
        <v>9</v>
      </c>
      <c r="BK2467" s="8">
        <v>1556.79</v>
      </c>
      <c r="BL2467" s="2" t="s">
        <v>9069</v>
      </c>
      <c r="BM2467" s="7"/>
      <c r="BN2467" s="7"/>
      <c r="BO2467" s="4"/>
      <c r="BP2467" s="8"/>
      <c r="BQ2467" s="4">
        <v>2</v>
      </c>
      <c r="BR2467" s="8">
        <v>415.8</v>
      </c>
      <c r="BS2467" s="7">
        <v>-1</v>
      </c>
      <c r="BT2467" s="7">
        <v>-1</v>
      </c>
      <c r="BU2467" s="2" t="s">
        <v>109</v>
      </c>
      <c r="BV2467" s="2" t="s">
        <v>552</v>
      </c>
      <c r="BW2467" s="2" t="s">
        <v>9070</v>
      </c>
      <c r="BX2467" s="2" t="s">
        <v>9071</v>
      </c>
      <c r="BY2467" s="2" t="s">
        <v>112</v>
      </c>
      <c r="BZ2467" s="2" t="s">
        <v>100</v>
      </c>
    </row>
    <row r="2468">
      <c r="A2468" s="2" t="s">
        <v>9072</v>
      </c>
      <c r="B2468" s="2" t="s">
        <v>7252</v>
      </c>
      <c r="C2468" s="2" t="s">
        <v>88</v>
      </c>
      <c r="D2468" s="2" t="s">
        <v>8965</v>
      </c>
      <c r="E2468" s="2" t="s">
        <v>1608</v>
      </c>
      <c r="F2468" s="2" t="s">
        <v>9073</v>
      </c>
      <c r="G2468" s="2" t="s">
        <v>9074</v>
      </c>
      <c r="H2468" s="2" t="s">
        <v>9075</v>
      </c>
      <c r="I2468" s="2" t="s">
        <v>9076</v>
      </c>
      <c r="J2468" s="2" t="s">
        <v>6103</v>
      </c>
      <c r="K2468" s="2" t="s">
        <v>9077</v>
      </c>
      <c r="L2468" s="3">
        <v>267.47</v>
      </c>
      <c r="M2468" s="3">
        <v>280.84</v>
      </c>
      <c r="N2468" s="3">
        <v>559</v>
      </c>
      <c r="O2468" s="2" t="s">
        <v>229</v>
      </c>
      <c r="P2468" s="2" t="s">
        <v>198</v>
      </c>
      <c r="Q2468" s="2" t="s">
        <v>99</v>
      </c>
      <c r="R2468" s="2" t="s">
        <v>100</v>
      </c>
      <c r="S2468" s="2" t="s">
        <v>9078</v>
      </c>
      <c r="T2468" s="2" t="s">
        <v>100</v>
      </c>
      <c r="U2468" s="2" t="s">
        <v>100</v>
      </c>
      <c r="V2468" s="2" t="s">
        <v>601</v>
      </c>
      <c r="W2468" s="2" t="s">
        <v>104</v>
      </c>
      <c r="X2468" s="2" t="s">
        <v>100</v>
      </c>
      <c r="Y2468" s="2" t="s">
        <v>3032</v>
      </c>
      <c r="Z2468" s="4"/>
      <c r="AA2468" s="4">
        <f>=ROUNDDOWN({0},0)</f>
      </c>
      <c r="AB2468" s="5"/>
      <c r="AC2468" s="2" t="s">
        <v>100</v>
      </c>
      <c r="AD2468" s="4"/>
      <c r="AE2468" s="4"/>
      <c r="AF2468" s="6">
        <v>65</v>
      </c>
      <c r="AG2468" s="6"/>
      <c r="AH2468" s="7">
        <v>0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>
        <v>0</v>
      </c>
      <c r="AP2468" s="4"/>
      <c r="AQ2468" s="8"/>
      <c r="AR2468" s="4">
        <v>4</v>
      </c>
      <c r="AS2468" s="8">
        <v>1123.36</v>
      </c>
      <c r="AT2468" s="7">
        <v>-1</v>
      </c>
      <c r="AU2468" s="7">
        <v>-1</v>
      </c>
      <c r="AV2468" s="4"/>
      <c r="AW2468" s="8"/>
      <c r="AX2468" s="4">
        <v>4</v>
      </c>
      <c r="AY2468" s="8">
        <v>1123.36</v>
      </c>
      <c r="AZ2468" s="7">
        <v>-1</v>
      </c>
      <c r="BA2468" s="7">
        <v>-1</v>
      </c>
      <c r="BB2468" s="7"/>
      <c r="BC2468" s="4"/>
      <c r="BD2468" s="8"/>
      <c r="BE2468" s="4">
        <v>4</v>
      </c>
      <c r="BF2468" s="8">
        <v>1123.36</v>
      </c>
      <c r="BG2468" s="7">
        <v>-1</v>
      </c>
      <c r="BH2468" s="7">
        <v>-1</v>
      </c>
      <c r="BI2468" s="7"/>
      <c r="BJ2468" s="4"/>
      <c r="BK2468" s="8"/>
      <c r="BL2468" s="2" t="s">
        <v>9079</v>
      </c>
      <c r="BM2468" s="7"/>
      <c r="BN2468" s="7"/>
      <c r="BO2468" s="4"/>
      <c r="BP2468" s="8"/>
      <c r="BQ2468" s="4">
        <v>4</v>
      </c>
      <c r="BR2468" s="8">
        <v>1123.36</v>
      </c>
      <c r="BS2468" s="7">
        <v>-1</v>
      </c>
      <c r="BT2468" s="7">
        <v>-1</v>
      </c>
      <c r="BU2468" s="2" t="s">
        <v>109</v>
      </c>
      <c r="BV2468" s="2" t="s">
        <v>552</v>
      </c>
      <c r="BW2468" s="2" t="s">
        <v>8172</v>
      </c>
      <c r="BX2468" s="2" t="s">
        <v>908</v>
      </c>
      <c r="BY2468" s="2" t="s">
        <v>112</v>
      </c>
      <c r="BZ2468" s="2" t="s">
        <v>100</v>
      </c>
    </row>
    <row r="2469">
      <c r="A2469" s="2" t="s">
        <v>9080</v>
      </c>
      <c r="B2469" s="2" t="s">
        <v>7252</v>
      </c>
      <c r="C2469" s="2" t="s">
        <v>88</v>
      </c>
      <c r="D2469" s="2" t="s">
        <v>8965</v>
      </c>
      <c r="E2469" s="2" t="s">
        <v>1608</v>
      </c>
      <c r="F2469" s="2" t="s">
        <v>8986</v>
      </c>
      <c r="G2469" s="2" t="s">
        <v>8987</v>
      </c>
      <c r="H2469" s="2" t="s">
        <v>1185</v>
      </c>
      <c r="I2469" s="2" t="s">
        <v>8988</v>
      </c>
      <c r="J2469" s="2" t="s">
        <v>6103</v>
      </c>
      <c r="K2469" s="2" t="s">
        <v>3764</v>
      </c>
      <c r="L2469" s="3">
        <v>285</v>
      </c>
      <c r="M2469" s="3">
        <v>299.25</v>
      </c>
      <c r="N2469" s="3">
        <v>599</v>
      </c>
      <c r="O2469" s="2" t="s">
        <v>229</v>
      </c>
      <c r="P2469" s="2" t="s">
        <v>198</v>
      </c>
      <c r="Q2469" s="2" t="s">
        <v>99</v>
      </c>
      <c r="R2469" s="2" t="s">
        <v>100</v>
      </c>
      <c r="S2469" s="2" t="s">
        <v>9081</v>
      </c>
      <c r="T2469" s="2" t="s">
        <v>100</v>
      </c>
      <c r="U2469" s="2" t="s">
        <v>100</v>
      </c>
      <c r="V2469" s="2" t="s">
        <v>601</v>
      </c>
      <c r="W2469" s="2" t="s">
        <v>602</v>
      </c>
      <c r="X2469" s="2" t="s">
        <v>100</v>
      </c>
      <c r="Y2469" s="2" t="s">
        <v>9082</v>
      </c>
      <c r="Z2469" s="4"/>
      <c r="AA2469" s="4">
        <f>=ROUNDDOWN({0},0)</f>
      </c>
      <c r="AB2469" s="5"/>
      <c r="AC2469" s="2" t="s">
        <v>100</v>
      </c>
      <c r="AD2469" s="4"/>
      <c r="AE2469" s="4"/>
      <c r="AF2469" s="6">
        <v>65</v>
      </c>
      <c r="AG2469" s="6"/>
      <c r="AH2469" s="7">
        <v>0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>
        <v>0</v>
      </c>
      <c r="AP2469" s="4"/>
      <c r="AQ2469" s="8"/>
      <c r="AR2469" s="4">
        <v>2</v>
      </c>
      <c r="AS2469" s="8">
        <v>598.5</v>
      </c>
      <c r="AT2469" s="7">
        <v>-1</v>
      </c>
      <c r="AU2469" s="7">
        <v>-1</v>
      </c>
      <c r="AV2469" s="4"/>
      <c r="AW2469" s="8"/>
      <c r="AX2469" s="4">
        <v>2</v>
      </c>
      <c r="AY2469" s="8">
        <v>598.5</v>
      </c>
      <c r="AZ2469" s="7">
        <v>-1</v>
      </c>
      <c r="BA2469" s="7">
        <v>-1</v>
      </c>
      <c r="BB2469" s="7"/>
      <c r="BC2469" s="4"/>
      <c r="BD2469" s="8"/>
      <c r="BE2469" s="4">
        <v>2</v>
      </c>
      <c r="BF2469" s="8">
        <v>598.5</v>
      </c>
      <c r="BG2469" s="7">
        <v>-1</v>
      </c>
      <c r="BH2469" s="7">
        <v>-1</v>
      </c>
      <c r="BI2469" s="7"/>
      <c r="BJ2469" s="4"/>
      <c r="BK2469" s="8"/>
      <c r="BL2469" s="2" t="s">
        <v>9083</v>
      </c>
      <c r="BM2469" s="7"/>
      <c r="BN2469" s="7"/>
      <c r="BO2469" s="4"/>
      <c r="BP2469" s="8"/>
      <c r="BQ2469" s="4">
        <v>2</v>
      </c>
      <c r="BR2469" s="8">
        <v>598.5</v>
      </c>
      <c r="BS2469" s="7">
        <v>-1</v>
      </c>
      <c r="BT2469" s="7">
        <v>-1</v>
      </c>
      <c r="BU2469" s="2" t="s">
        <v>109</v>
      </c>
      <c r="BV2469" s="2" t="s">
        <v>552</v>
      </c>
      <c r="BW2469" s="2" t="s">
        <v>8172</v>
      </c>
      <c r="BX2469" s="2" t="s">
        <v>9084</v>
      </c>
      <c r="BY2469" s="2" t="s">
        <v>112</v>
      </c>
      <c r="BZ2469" s="2" t="s">
        <v>100</v>
      </c>
    </row>
    <row r="2470">
      <c r="A2470" s="2" t="s">
        <v>9085</v>
      </c>
      <c r="B2470" s="2" t="s">
        <v>7252</v>
      </c>
      <c r="C2470" s="2" t="s">
        <v>88</v>
      </c>
      <c r="D2470" s="2" t="s">
        <v>8965</v>
      </c>
      <c r="E2470" s="2" t="s">
        <v>1608</v>
      </c>
      <c r="F2470" s="2" t="s">
        <v>8967</v>
      </c>
      <c r="G2470" s="2" t="s">
        <v>8968</v>
      </c>
      <c r="H2470" s="2" t="s">
        <v>8969</v>
      </c>
      <c r="I2470" s="2" t="s">
        <v>8970</v>
      </c>
      <c r="J2470" s="2" t="s">
        <v>6103</v>
      </c>
      <c r="K2470" s="2" t="s">
        <v>666</v>
      </c>
      <c r="L2470" s="3">
        <v>256.5</v>
      </c>
      <c r="M2470" s="3">
        <v>269.32</v>
      </c>
      <c r="N2470" s="3">
        <v>549</v>
      </c>
      <c r="O2470" s="2" t="s">
        <v>229</v>
      </c>
      <c r="P2470" s="2" t="s">
        <v>198</v>
      </c>
      <c r="Q2470" s="2" t="s">
        <v>99</v>
      </c>
      <c r="R2470" s="2" t="s">
        <v>100</v>
      </c>
      <c r="S2470" s="2" t="s">
        <v>8971</v>
      </c>
      <c r="T2470" s="2" t="s">
        <v>100</v>
      </c>
      <c r="U2470" s="2" t="s">
        <v>100</v>
      </c>
      <c r="V2470" s="2" t="s">
        <v>601</v>
      </c>
      <c r="W2470" s="2" t="s">
        <v>104</v>
      </c>
      <c r="X2470" s="2" t="s">
        <v>100</v>
      </c>
      <c r="Y2470" s="2" t="s">
        <v>5442</v>
      </c>
      <c r="Z2470" s="4"/>
      <c r="AA2470" s="4">
        <f>=ROUNDDOWN({0},0)</f>
      </c>
      <c r="AB2470" s="5">
        <v>0.1</v>
      </c>
      <c r="AC2470" s="2" t="s">
        <v>100</v>
      </c>
      <c r="AD2470" s="4"/>
      <c r="AE2470" s="4"/>
      <c r="AF2470" s="6">
        <v>65</v>
      </c>
      <c r="AG2470" s="6"/>
      <c r="AH2470" s="7">
        <v>0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>
        <v>0</v>
      </c>
      <c r="AP2470" s="4"/>
      <c r="AQ2470" s="8"/>
      <c r="AR2470" s="4">
        <v>9</v>
      </c>
      <c r="AS2470" s="8">
        <v>2134.15</v>
      </c>
      <c r="AT2470" s="7">
        <v>-1</v>
      </c>
      <c r="AU2470" s="7">
        <v>-1</v>
      </c>
      <c r="AV2470" s="4"/>
      <c r="AW2470" s="8"/>
      <c r="AX2470" s="4">
        <v>9</v>
      </c>
      <c r="AY2470" s="8">
        <v>2134.15</v>
      </c>
      <c r="AZ2470" s="7">
        <v>-1</v>
      </c>
      <c r="BA2470" s="7">
        <v>-1</v>
      </c>
      <c r="BB2470" s="7"/>
      <c r="BC2470" s="4"/>
      <c r="BD2470" s="8"/>
      <c r="BE2470" s="4">
        <v>9</v>
      </c>
      <c r="BF2470" s="8">
        <v>2134.15</v>
      </c>
      <c r="BG2470" s="7">
        <v>-1</v>
      </c>
      <c r="BH2470" s="7">
        <v>-1</v>
      </c>
      <c r="BI2470" s="7"/>
      <c r="BJ2470" s="4"/>
      <c r="BK2470" s="8"/>
      <c r="BL2470" s="2" t="s">
        <v>9086</v>
      </c>
      <c r="BM2470" s="7"/>
      <c r="BN2470" s="7"/>
      <c r="BO2470" s="4"/>
      <c r="BP2470" s="8"/>
      <c r="BQ2470" s="4">
        <v>9</v>
      </c>
      <c r="BR2470" s="8">
        <v>2134.15</v>
      </c>
      <c r="BS2470" s="7">
        <v>-1</v>
      </c>
      <c r="BT2470" s="7">
        <v>-1</v>
      </c>
      <c r="BU2470" s="2" t="s">
        <v>109</v>
      </c>
      <c r="BV2470" s="2" t="s">
        <v>552</v>
      </c>
      <c r="BW2470" s="2" t="s">
        <v>8172</v>
      </c>
      <c r="BX2470" s="2" t="s">
        <v>5668</v>
      </c>
      <c r="BY2470" s="2" t="s">
        <v>112</v>
      </c>
      <c r="BZ2470" s="2" t="s">
        <v>100</v>
      </c>
    </row>
    <row r="2471">
      <c r="A2471" s="2" t="s">
        <v>9087</v>
      </c>
      <c r="B2471" s="2" t="s">
        <v>7252</v>
      </c>
      <c r="C2471" s="2" t="s">
        <v>88</v>
      </c>
      <c r="D2471" s="2" t="s">
        <v>8965</v>
      </c>
      <c r="E2471" s="2" t="s">
        <v>1608</v>
      </c>
      <c r="F2471" s="2" t="s">
        <v>9088</v>
      </c>
      <c r="G2471" s="2" t="s">
        <v>9089</v>
      </c>
      <c r="H2471" s="2" t="s">
        <v>9090</v>
      </c>
      <c r="I2471" s="2" t="s">
        <v>9091</v>
      </c>
      <c r="J2471" s="2" t="s">
        <v>6103</v>
      </c>
      <c r="K2471" s="2" t="s">
        <v>9092</v>
      </c>
      <c r="L2471" s="3">
        <v>256.5</v>
      </c>
      <c r="M2471" s="3">
        <v>269.32</v>
      </c>
      <c r="N2471" s="3">
        <v>549</v>
      </c>
      <c r="O2471" s="2" t="s">
        <v>550</v>
      </c>
      <c r="P2471" s="2" t="s">
        <v>198</v>
      </c>
      <c r="Q2471" s="2" t="s">
        <v>99</v>
      </c>
      <c r="R2471" s="2" t="s">
        <v>100</v>
      </c>
      <c r="S2471" s="2" t="s">
        <v>100</v>
      </c>
      <c r="T2471" s="2" t="s">
        <v>100</v>
      </c>
      <c r="U2471" s="2" t="s">
        <v>3531</v>
      </c>
      <c r="V2471" s="2" t="s">
        <v>1752</v>
      </c>
      <c r="W2471" s="2" t="s">
        <v>602</v>
      </c>
      <c r="X2471" s="2" t="s">
        <v>1190</v>
      </c>
      <c r="Y2471" s="2" t="s">
        <v>8106</v>
      </c>
      <c r="Z2471" s="4">
        <v>1</v>
      </c>
      <c r="AA2471" s="4">
        <f>=ROUNDDOWN(0.5,0)</f>
      </c>
      <c r="AB2471" s="5">
        <v>2</v>
      </c>
      <c r="AC2471" s="2" t="s">
        <v>100</v>
      </c>
      <c r="AD2471" s="4"/>
      <c r="AE2471" s="4"/>
      <c r="AF2471" s="6">
        <v>65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/>
      <c r="BD2471" s="8"/>
      <c r="BE2471" s="4"/>
      <c r="BF2471" s="8"/>
      <c r="BG2471" s="7"/>
      <c r="BH2471" s="7"/>
      <c r="BI2471" s="7"/>
      <c r="BJ2471" s="4"/>
      <c r="BK2471" s="8"/>
      <c r="BL2471" s="2" t="s">
        <v>9093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147</v>
      </c>
      <c r="BV2471" s="2" t="s">
        <v>97</v>
      </c>
      <c r="BW2471" s="2" t="s">
        <v>100</v>
      </c>
      <c r="BX2471" s="2" t="s">
        <v>100</v>
      </c>
      <c r="BY2471" s="2" t="s">
        <v>112</v>
      </c>
      <c r="BZ2471" s="2" t="s">
        <v>100</v>
      </c>
    </row>
    <row r="2472">
      <c r="A2472" s="2" t="s">
        <v>9094</v>
      </c>
      <c r="B2472" s="2" t="s">
        <v>7252</v>
      </c>
      <c r="C2472" s="2" t="s">
        <v>88</v>
      </c>
      <c r="D2472" s="2" t="s">
        <v>9095</v>
      </c>
      <c r="E2472" s="2" t="s">
        <v>8637</v>
      </c>
      <c r="F2472" s="2" t="s">
        <v>5891</v>
      </c>
      <c r="G2472" s="2" t="s">
        <v>9096</v>
      </c>
      <c r="H2472" s="2" t="s">
        <v>9097</v>
      </c>
      <c r="I2472" s="2" t="s">
        <v>9098</v>
      </c>
      <c r="J2472" s="2" t="s">
        <v>6103</v>
      </c>
      <c r="K2472" s="2" t="s">
        <v>333</v>
      </c>
      <c r="L2472" s="3">
        <v>73.6</v>
      </c>
      <c r="M2472" s="3">
        <v>77.28</v>
      </c>
      <c r="N2472" s="3">
        <v>159</v>
      </c>
      <c r="O2472" s="2" t="s">
        <v>97</v>
      </c>
      <c r="P2472" s="2" t="s">
        <v>1265</v>
      </c>
      <c r="Q2472" s="2" t="s">
        <v>99</v>
      </c>
      <c r="R2472" s="2" t="s">
        <v>100</v>
      </c>
      <c r="S2472" s="2" t="s">
        <v>9099</v>
      </c>
      <c r="T2472" s="2" t="s">
        <v>100</v>
      </c>
      <c r="U2472" s="2" t="s">
        <v>100</v>
      </c>
      <c r="V2472" s="2" t="s">
        <v>601</v>
      </c>
      <c r="W2472" s="2" t="s">
        <v>104</v>
      </c>
      <c r="X2472" s="2" t="s">
        <v>602</v>
      </c>
      <c r="Y2472" s="2" t="s">
        <v>106</v>
      </c>
      <c r="Z2472" s="4">
        <v>437</v>
      </c>
      <c r="AA2472" s="4">
        <f>=ROUNDDOWN(109.25,0)</f>
      </c>
      <c r="AB2472" s="5">
        <v>4</v>
      </c>
      <c r="AC2472" s="2" t="s">
        <v>100</v>
      </c>
      <c r="AD2472" s="4"/>
      <c r="AE2472" s="4"/>
      <c r="AF2472" s="6">
        <v>66</v>
      </c>
      <c r="AG2472" s="6">
        <v>49</v>
      </c>
      <c r="AH2472" s="7">
        <v>1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>
        <v>0</v>
      </c>
      <c r="AP2472" s="4">
        <v>6</v>
      </c>
      <c r="AQ2472" s="8">
        <v>463.68</v>
      </c>
      <c r="AR2472" s="4">
        <v>8</v>
      </c>
      <c r="AS2472" s="8">
        <v>586.32</v>
      </c>
      <c r="AT2472" s="7">
        <v>-0.25</v>
      </c>
      <c r="AU2472" s="7">
        <v>-0.2092</v>
      </c>
      <c r="AV2472" s="4">
        <v>6</v>
      </c>
      <c r="AW2472" s="8">
        <v>463.68</v>
      </c>
      <c r="AX2472" s="4">
        <v>8</v>
      </c>
      <c r="AY2472" s="8">
        <v>586.32</v>
      </c>
      <c r="AZ2472" s="7">
        <v>-0.25</v>
      </c>
      <c r="BA2472" s="7">
        <v>-0.2092</v>
      </c>
      <c r="BB2472" s="7">
        <v>1</v>
      </c>
      <c r="BC2472" s="4">
        <v>11</v>
      </c>
      <c r="BD2472" s="8">
        <v>850.08</v>
      </c>
      <c r="BE2472" s="4">
        <v>14</v>
      </c>
      <c r="BF2472" s="8">
        <v>1043.33</v>
      </c>
      <c r="BG2472" s="7">
        <v>-0.2143</v>
      </c>
      <c r="BH2472" s="7">
        <v>-0.1852</v>
      </c>
      <c r="BI2472" s="7">
        <v>0.5455</v>
      </c>
      <c r="BJ2472" s="4">
        <v>107</v>
      </c>
      <c r="BK2472" s="8">
        <v>8589.85</v>
      </c>
      <c r="BL2472" s="2" t="s">
        <v>9100</v>
      </c>
      <c r="BM2472" s="7">
        <v>0.0561</v>
      </c>
      <c r="BN2472" s="7">
        <v>0.054</v>
      </c>
      <c r="BO2472" s="4">
        <v>6</v>
      </c>
      <c r="BP2472" s="8">
        <v>463.68</v>
      </c>
      <c r="BQ2472" s="4">
        <v>8</v>
      </c>
      <c r="BR2472" s="8">
        <v>586.32</v>
      </c>
      <c r="BS2472" s="7">
        <v>-0.25</v>
      </c>
      <c r="BT2472" s="7">
        <v>-0.2092</v>
      </c>
      <c r="BU2472" s="2" t="s">
        <v>109</v>
      </c>
      <c r="BV2472" s="2" t="s">
        <v>97</v>
      </c>
      <c r="BW2472" s="2" t="s">
        <v>7307</v>
      </c>
      <c r="BX2472" s="2" t="s">
        <v>4459</v>
      </c>
      <c r="BY2472" s="2" t="s">
        <v>112</v>
      </c>
      <c r="BZ2472" s="2" t="s">
        <v>100</v>
      </c>
    </row>
    <row r="2473">
      <c r="A2473" s="2" t="s">
        <v>9101</v>
      </c>
      <c r="B2473" s="2" t="s">
        <v>7252</v>
      </c>
      <c r="C2473" s="2" t="s">
        <v>88</v>
      </c>
      <c r="D2473" s="2" t="s">
        <v>9095</v>
      </c>
      <c r="E2473" s="2" t="s">
        <v>8637</v>
      </c>
      <c r="F2473" s="2" t="s">
        <v>5891</v>
      </c>
      <c r="G2473" s="2" t="s">
        <v>9096</v>
      </c>
      <c r="H2473" s="2" t="s">
        <v>9097</v>
      </c>
      <c r="I2473" s="2" t="s">
        <v>9098</v>
      </c>
      <c r="J2473" s="2" t="s">
        <v>6103</v>
      </c>
      <c r="K2473" s="2" t="s">
        <v>9102</v>
      </c>
      <c r="L2473" s="3">
        <v>73.6</v>
      </c>
      <c r="M2473" s="3">
        <v>77.28</v>
      </c>
      <c r="N2473" s="3">
        <v>159</v>
      </c>
      <c r="O2473" s="2" t="s">
        <v>97</v>
      </c>
      <c r="P2473" s="2" t="s">
        <v>198</v>
      </c>
      <c r="Q2473" s="2" t="s">
        <v>99</v>
      </c>
      <c r="R2473" s="2" t="s">
        <v>100</v>
      </c>
      <c r="S2473" s="2" t="s">
        <v>9103</v>
      </c>
      <c r="T2473" s="2" t="s">
        <v>100</v>
      </c>
      <c r="U2473" s="2" t="s">
        <v>100</v>
      </c>
      <c r="V2473" s="2" t="s">
        <v>601</v>
      </c>
      <c r="W2473" s="2" t="s">
        <v>602</v>
      </c>
      <c r="X2473" s="2" t="s">
        <v>100</v>
      </c>
      <c r="Y2473" s="2" t="s">
        <v>697</v>
      </c>
      <c r="Z2473" s="4">
        <v>142</v>
      </c>
      <c r="AA2473" s="4">
        <f>=ROUNDDOWN(17.75,0)</f>
      </c>
      <c r="AB2473" s="5">
        <v>8</v>
      </c>
      <c r="AC2473" s="2" t="s">
        <v>100</v>
      </c>
      <c r="AD2473" s="4"/>
      <c r="AE2473" s="4"/>
      <c r="AF2473" s="6">
        <v>65</v>
      </c>
      <c r="AG2473" s="6">
        <v>48</v>
      </c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>
        <v>0</v>
      </c>
      <c r="AP2473" s="4">
        <v>5</v>
      </c>
      <c r="AQ2473" s="8">
        <v>386.4</v>
      </c>
      <c r="AR2473" s="4">
        <v>5</v>
      </c>
      <c r="AS2473" s="8">
        <v>361.2</v>
      </c>
      <c r="AT2473" s="7"/>
      <c r="AU2473" s="7">
        <v>0.0698</v>
      </c>
      <c r="AV2473" s="4">
        <v>5</v>
      </c>
      <c r="AW2473" s="8">
        <v>386.4</v>
      </c>
      <c r="AX2473" s="4">
        <v>5</v>
      </c>
      <c r="AY2473" s="8">
        <v>361.2</v>
      </c>
      <c r="AZ2473" s="7"/>
      <c r="BA2473" s="7">
        <v>0.0698</v>
      </c>
      <c r="BB2473" s="7">
        <v>1</v>
      </c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>
        <v>0.4545</v>
      </c>
      <c r="BJ2473" s="4">
        <v>116</v>
      </c>
      <c r="BK2473" s="8">
        <v>9229.36</v>
      </c>
      <c r="BL2473" s="2" t="s">
        <v>9104</v>
      </c>
      <c r="BM2473" s="7">
        <v>0.0431</v>
      </c>
      <c r="BN2473" s="7">
        <v>0.0419</v>
      </c>
      <c r="BO2473" s="4">
        <v>5</v>
      </c>
      <c r="BP2473" s="8">
        <v>386.4</v>
      </c>
      <c r="BQ2473" s="4">
        <v>5</v>
      </c>
      <c r="BR2473" s="8">
        <v>361.2</v>
      </c>
      <c r="BS2473" s="7"/>
      <c r="BT2473" s="7">
        <v>0.0698</v>
      </c>
      <c r="BU2473" s="2" t="s">
        <v>109</v>
      </c>
      <c r="BV2473" s="2" t="s">
        <v>97</v>
      </c>
      <c r="BW2473" s="2" t="s">
        <v>7307</v>
      </c>
      <c r="BX2473" s="2" t="s">
        <v>4720</v>
      </c>
      <c r="BY2473" s="2" t="s">
        <v>112</v>
      </c>
      <c r="BZ2473" s="2" t="s">
        <v>100</v>
      </c>
    </row>
    <row r="2474">
      <c r="A2474" s="2" t="s">
        <v>9105</v>
      </c>
      <c r="B2474" s="2" t="s">
        <v>7252</v>
      </c>
      <c r="C2474" s="2" t="s">
        <v>88</v>
      </c>
      <c r="D2474" s="2" t="s">
        <v>9095</v>
      </c>
      <c r="E2474" s="2" t="s">
        <v>8637</v>
      </c>
      <c r="F2474" s="2" t="s">
        <v>5891</v>
      </c>
      <c r="G2474" s="2" t="s">
        <v>9096</v>
      </c>
      <c r="H2474" s="2" t="s">
        <v>9097</v>
      </c>
      <c r="I2474" s="2" t="s">
        <v>9098</v>
      </c>
      <c r="J2474" s="2" t="s">
        <v>6103</v>
      </c>
      <c r="K2474" s="2" t="s">
        <v>6566</v>
      </c>
      <c r="L2474" s="3">
        <v>73.6</v>
      </c>
      <c r="M2474" s="3">
        <v>77.28</v>
      </c>
      <c r="N2474" s="3">
        <v>159</v>
      </c>
      <c r="O2474" s="2" t="s">
        <v>229</v>
      </c>
      <c r="P2474" s="2" t="s">
        <v>198</v>
      </c>
      <c r="Q2474" s="2" t="s">
        <v>99</v>
      </c>
      <c r="R2474" s="2" t="s">
        <v>100</v>
      </c>
      <c r="S2474" s="2" t="s">
        <v>100</v>
      </c>
      <c r="T2474" s="2" t="s">
        <v>100</v>
      </c>
      <c r="U2474" s="2" t="s">
        <v>100</v>
      </c>
      <c r="V2474" s="2" t="s">
        <v>991</v>
      </c>
      <c r="W2474" s="2" t="s">
        <v>602</v>
      </c>
      <c r="X2474" s="2" t="s">
        <v>100</v>
      </c>
      <c r="Y2474" s="2" t="s">
        <v>9106</v>
      </c>
      <c r="Z2474" s="4"/>
      <c r="AA2474" s="4">
        <f>=ROUNDDOWN({0},0)</f>
      </c>
      <c r="AB2474" s="5"/>
      <c r="AC2474" s="2" t="s">
        <v>100</v>
      </c>
      <c r="AD2474" s="4"/>
      <c r="AE2474" s="4"/>
      <c r="AF2474" s="6">
        <v>65</v>
      </c>
      <c r="AG2474" s="6"/>
      <c r="AH2474" s="7">
        <v>0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>
        <v>0</v>
      </c>
      <c r="AP2474" s="4"/>
      <c r="AQ2474" s="8"/>
      <c r="AR2474" s="4">
        <v>1</v>
      </c>
      <c r="AS2474" s="8">
        <v>95.81</v>
      </c>
      <c r="AT2474" s="7">
        <v>-1</v>
      </c>
      <c r="AU2474" s="7">
        <v>-1</v>
      </c>
      <c r="AV2474" s="4"/>
      <c r="AW2474" s="8"/>
      <c r="AX2474" s="4">
        <v>1</v>
      </c>
      <c r="AY2474" s="8">
        <v>95.81</v>
      </c>
      <c r="AZ2474" s="7">
        <v>-1</v>
      </c>
      <c r="BA2474" s="7">
        <v>-1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/>
      <c r="BK2474" s="8"/>
      <c r="BL2474" s="2" t="s">
        <v>9107</v>
      </c>
      <c r="BM2474" s="7"/>
      <c r="BN2474" s="7"/>
      <c r="BO2474" s="4"/>
      <c r="BP2474" s="8"/>
      <c r="BQ2474" s="4">
        <v>1</v>
      </c>
      <c r="BR2474" s="8">
        <v>95.81</v>
      </c>
      <c r="BS2474" s="7">
        <v>-1</v>
      </c>
      <c r="BT2474" s="7">
        <v>-1</v>
      </c>
      <c r="BU2474" s="2" t="s">
        <v>109</v>
      </c>
      <c r="BV2474" s="2" t="s">
        <v>552</v>
      </c>
      <c r="BW2474" s="2" t="s">
        <v>7841</v>
      </c>
      <c r="BX2474" s="2" t="s">
        <v>460</v>
      </c>
      <c r="BY2474" s="2" t="s">
        <v>112</v>
      </c>
      <c r="BZ2474" s="2" t="s">
        <v>100</v>
      </c>
    </row>
    <row r="2475">
      <c r="A2475" s="2" t="s">
        <v>9108</v>
      </c>
      <c r="B2475" s="2" t="s">
        <v>7252</v>
      </c>
      <c r="C2475" s="2" t="s">
        <v>88</v>
      </c>
      <c r="D2475" s="2" t="s">
        <v>9095</v>
      </c>
      <c r="E2475" s="2" t="s">
        <v>8637</v>
      </c>
      <c r="F2475" s="2" t="s">
        <v>9109</v>
      </c>
      <c r="G2475" s="2" t="s">
        <v>9110</v>
      </c>
      <c r="H2475" s="2" t="s">
        <v>9111</v>
      </c>
      <c r="I2475" s="2" t="s">
        <v>9112</v>
      </c>
      <c r="J2475" s="2" t="s">
        <v>6103</v>
      </c>
      <c r="K2475" s="2" t="s">
        <v>1660</v>
      </c>
      <c r="L2475" s="3">
        <v>46.75</v>
      </c>
      <c r="M2475" s="3">
        <v>49.09</v>
      </c>
      <c r="N2475" s="3">
        <v>99</v>
      </c>
      <c r="O2475" s="2" t="s">
        <v>97</v>
      </c>
      <c r="P2475" s="2" t="s">
        <v>1265</v>
      </c>
      <c r="Q2475" s="2" t="s">
        <v>99</v>
      </c>
      <c r="R2475" s="2" t="s">
        <v>100</v>
      </c>
      <c r="S2475" s="2" t="s">
        <v>9113</v>
      </c>
      <c r="T2475" s="2" t="s">
        <v>100</v>
      </c>
      <c r="U2475" s="2" t="s">
        <v>3531</v>
      </c>
      <c r="V2475" s="2" t="s">
        <v>601</v>
      </c>
      <c r="W2475" s="2" t="s">
        <v>104</v>
      </c>
      <c r="X2475" s="2" t="s">
        <v>100</v>
      </c>
      <c r="Y2475" s="2" t="s">
        <v>697</v>
      </c>
      <c r="Z2475" s="4">
        <v>445</v>
      </c>
      <c r="AA2475" s="4">
        <f>=ROUNDDOWN(111.25,0)</f>
      </c>
      <c r="AB2475" s="5">
        <v>4</v>
      </c>
      <c r="AC2475" s="2" t="s">
        <v>100</v>
      </c>
      <c r="AD2475" s="4"/>
      <c r="AE2475" s="4"/>
      <c r="AF2475" s="6">
        <v>66</v>
      </c>
      <c r="AG2475" s="6">
        <v>49</v>
      </c>
      <c r="AH2475" s="7">
        <v>0.8424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>
        <v>0</v>
      </c>
      <c r="AP2475" s="4">
        <v>7</v>
      </c>
      <c r="AQ2475" s="8">
        <v>308.7</v>
      </c>
      <c r="AR2475" s="4">
        <v>13</v>
      </c>
      <c r="AS2475" s="8">
        <v>602.73</v>
      </c>
      <c r="AT2475" s="7">
        <v>-0.4615</v>
      </c>
      <c r="AU2475" s="7">
        <v>-0.4878</v>
      </c>
      <c r="AV2475" s="4">
        <v>7</v>
      </c>
      <c r="AW2475" s="8">
        <v>308.7</v>
      </c>
      <c r="AX2475" s="4">
        <v>13</v>
      </c>
      <c r="AY2475" s="8">
        <v>602.73</v>
      </c>
      <c r="AZ2475" s="7">
        <v>-0.4615</v>
      </c>
      <c r="BA2475" s="7">
        <v>-0.4878</v>
      </c>
      <c r="BB2475" s="7">
        <v>1</v>
      </c>
      <c r="BC2475" s="4">
        <v>7</v>
      </c>
      <c r="BD2475" s="8">
        <v>308.7</v>
      </c>
      <c r="BE2475" s="4">
        <v>13</v>
      </c>
      <c r="BF2475" s="8">
        <v>602.73</v>
      </c>
      <c r="BG2475" s="7">
        <v>-0.4615</v>
      </c>
      <c r="BH2475" s="7">
        <v>-0.4878</v>
      </c>
      <c r="BI2475" s="7">
        <v>1</v>
      </c>
      <c r="BJ2475" s="4">
        <v>105</v>
      </c>
      <c r="BK2475" s="8">
        <v>5529.13</v>
      </c>
      <c r="BL2475" s="2" t="s">
        <v>9114</v>
      </c>
      <c r="BM2475" s="7">
        <v>0.0667</v>
      </c>
      <c r="BN2475" s="7">
        <v>0.0558</v>
      </c>
      <c r="BO2475" s="4">
        <v>7</v>
      </c>
      <c r="BP2475" s="8">
        <v>308.7</v>
      </c>
      <c r="BQ2475" s="4">
        <v>13</v>
      </c>
      <c r="BR2475" s="8">
        <v>602.73</v>
      </c>
      <c r="BS2475" s="7">
        <v>-0.4615</v>
      </c>
      <c r="BT2475" s="7">
        <v>-0.4878</v>
      </c>
      <c r="BU2475" s="2" t="s">
        <v>109</v>
      </c>
      <c r="BV2475" s="2" t="s">
        <v>97</v>
      </c>
      <c r="BW2475" s="2" t="s">
        <v>7307</v>
      </c>
      <c r="BX2475" s="2" t="s">
        <v>6237</v>
      </c>
      <c r="BY2475" s="2" t="s">
        <v>112</v>
      </c>
      <c r="BZ2475" s="2" t="s">
        <v>100</v>
      </c>
    </row>
    <row r="2476">
      <c r="A2476" s="2" t="s">
        <v>9115</v>
      </c>
      <c r="B2476" s="2" t="s">
        <v>7252</v>
      </c>
      <c r="C2476" s="2" t="s">
        <v>88</v>
      </c>
      <c r="D2476" s="2" t="s">
        <v>9095</v>
      </c>
      <c r="E2476" s="2" t="s">
        <v>8637</v>
      </c>
      <c r="F2476" s="2" t="s">
        <v>9116</v>
      </c>
      <c r="G2476" s="2" t="s">
        <v>9117</v>
      </c>
      <c r="H2476" s="2" t="s">
        <v>9118</v>
      </c>
      <c r="I2476" s="2" t="s">
        <v>8667</v>
      </c>
      <c r="J2476" s="2" t="s">
        <v>6103</v>
      </c>
      <c r="K2476" s="2" t="s">
        <v>123</v>
      </c>
      <c r="L2476" s="3">
        <v>131.81</v>
      </c>
      <c r="M2476" s="3">
        <v>138.4</v>
      </c>
      <c r="N2476" s="3">
        <v>279</v>
      </c>
      <c r="O2476" s="2" t="s">
        <v>97</v>
      </c>
      <c r="P2476" s="2" t="s">
        <v>124</v>
      </c>
      <c r="Q2476" s="2" t="s">
        <v>99</v>
      </c>
      <c r="R2476" s="2" t="s">
        <v>100</v>
      </c>
      <c r="S2476" s="2" t="s">
        <v>9119</v>
      </c>
      <c r="T2476" s="2" t="s">
        <v>100</v>
      </c>
      <c r="U2476" s="2" t="s">
        <v>100</v>
      </c>
      <c r="V2476" s="2" t="s">
        <v>601</v>
      </c>
      <c r="W2476" s="2" t="s">
        <v>104</v>
      </c>
      <c r="X2476" s="2" t="s">
        <v>100</v>
      </c>
      <c r="Y2476" s="2" t="s">
        <v>656</v>
      </c>
      <c r="Z2476" s="4">
        <v>701</v>
      </c>
      <c r="AA2476" s="4">
        <f>=ROUNDDOWN(21.90625,0)</f>
      </c>
      <c r="AB2476" s="5">
        <v>32</v>
      </c>
      <c r="AC2476" s="2" t="s">
        <v>9120</v>
      </c>
      <c r="AD2476" s="4">
        <v>400</v>
      </c>
      <c r="AE2476" s="4">
        <v>400</v>
      </c>
      <c r="AF2476" s="6">
        <v>74</v>
      </c>
      <c r="AG2476" s="6">
        <v>60</v>
      </c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>
        <v>0</v>
      </c>
      <c r="AP2476" s="4">
        <v>2</v>
      </c>
      <c r="AQ2476" s="8">
        <v>276.82</v>
      </c>
      <c r="AR2476" s="4">
        <v>3</v>
      </c>
      <c r="AS2476" s="8">
        <v>395.18</v>
      </c>
      <c r="AT2476" s="7">
        <v>-0.3333</v>
      </c>
      <c r="AU2476" s="7">
        <v>-0.2995</v>
      </c>
      <c r="AV2476" s="4">
        <v>2</v>
      </c>
      <c r="AW2476" s="8">
        <v>276.82</v>
      </c>
      <c r="AX2476" s="4">
        <v>3</v>
      </c>
      <c r="AY2476" s="8">
        <v>395.18</v>
      </c>
      <c r="AZ2476" s="7">
        <v>-0.3333</v>
      </c>
      <c r="BA2476" s="7">
        <v>-0.2995</v>
      </c>
      <c r="BB2476" s="7">
        <v>1</v>
      </c>
      <c r="BC2476" s="4">
        <v>2</v>
      </c>
      <c r="BD2476" s="8">
        <v>276.82</v>
      </c>
      <c r="BE2476" s="4">
        <v>3</v>
      </c>
      <c r="BF2476" s="8">
        <v>395.18</v>
      </c>
      <c r="BG2476" s="7">
        <v>-0.3333</v>
      </c>
      <c r="BH2476" s="7">
        <v>-0.2995</v>
      </c>
      <c r="BI2476" s="7">
        <v>1</v>
      </c>
      <c r="BJ2476" s="4">
        <v>694</v>
      </c>
      <c r="BK2476" s="8">
        <v>88157.85</v>
      </c>
      <c r="BL2476" s="2" t="s">
        <v>9121</v>
      </c>
      <c r="BM2476" s="7">
        <v>0.0029</v>
      </c>
      <c r="BN2476" s="7">
        <v>0.0031</v>
      </c>
      <c r="BO2476" s="4">
        <v>2</v>
      </c>
      <c r="BP2476" s="8">
        <v>276.82</v>
      </c>
      <c r="BQ2476" s="4">
        <v>3</v>
      </c>
      <c r="BR2476" s="8">
        <v>395.18</v>
      </c>
      <c r="BS2476" s="7">
        <v>-0.3333</v>
      </c>
      <c r="BT2476" s="7">
        <v>-0.2995</v>
      </c>
      <c r="BU2476" s="2" t="s">
        <v>109</v>
      </c>
      <c r="BV2476" s="2" t="s">
        <v>97</v>
      </c>
      <c r="BW2476" s="2" t="s">
        <v>7307</v>
      </c>
      <c r="BX2476" s="2" t="s">
        <v>553</v>
      </c>
      <c r="BY2476" s="2" t="s">
        <v>112</v>
      </c>
      <c r="BZ2476" s="2" t="s">
        <v>100</v>
      </c>
    </row>
    <row r="2477">
      <c r="A2477" s="2" t="s">
        <v>9122</v>
      </c>
      <c r="B2477" s="2" t="s">
        <v>7252</v>
      </c>
      <c r="C2477" s="2" t="s">
        <v>88</v>
      </c>
      <c r="D2477" s="2" t="s">
        <v>9095</v>
      </c>
      <c r="E2477" s="2" t="s">
        <v>8637</v>
      </c>
      <c r="F2477" s="2" t="s">
        <v>9123</v>
      </c>
      <c r="G2477" s="2" t="s">
        <v>9124</v>
      </c>
      <c r="H2477" s="2" t="s">
        <v>9125</v>
      </c>
      <c r="I2477" s="2" t="s">
        <v>8667</v>
      </c>
      <c r="J2477" s="2" t="s">
        <v>6103</v>
      </c>
      <c r="K2477" s="2" t="s">
        <v>6566</v>
      </c>
      <c r="L2477" s="3">
        <v>133</v>
      </c>
      <c r="M2477" s="3">
        <v>139.65</v>
      </c>
      <c r="N2477" s="3">
        <v>279</v>
      </c>
      <c r="O2477" s="2" t="s">
        <v>97</v>
      </c>
      <c r="P2477" s="2" t="s">
        <v>182</v>
      </c>
      <c r="Q2477" s="2" t="s">
        <v>99</v>
      </c>
      <c r="R2477" s="2" t="s">
        <v>100</v>
      </c>
      <c r="S2477" s="2" t="s">
        <v>9126</v>
      </c>
      <c r="T2477" s="2" t="s">
        <v>100</v>
      </c>
      <c r="U2477" s="2" t="s">
        <v>100</v>
      </c>
      <c r="V2477" s="2" t="s">
        <v>601</v>
      </c>
      <c r="W2477" s="2" t="s">
        <v>104</v>
      </c>
      <c r="X2477" s="2" t="s">
        <v>100</v>
      </c>
      <c r="Y2477" s="2" t="s">
        <v>9127</v>
      </c>
      <c r="Z2477" s="4">
        <v>109</v>
      </c>
      <c r="AA2477" s="4">
        <f>=ROUNDDOWN(21.8,0)</f>
      </c>
      <c r="AB2477" s="5">
        <v>5</v>
      </c>
      <c r="AC2477" s="2" t="s">
        <v>138</v>
      </c>
      <c r="AD2477" s="4">
        <v>100</v>
      </c>
      <c r="AE2477" s="4">
        <v>100</v>
      </c>
      <c r="AF2477" s="6">
        <v>66</v>
      </c>
      <c r="AG2477" s="6">
        <v>49</v>
      </c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>
        <v>0</v>
      </c>
      <c r="AP2477" s="4">
        <v>1</v>
      </c>
      <c r="AQ2477" s="8">
        <v>121.28</v>
      </c>
      <c r="AR2477" s="4">
        <v>3</v>
      </c>
      <c r="AS2477" s="8">
        <v>272.88</v>
      </c>
      <c r="AT2477" s="7">
        <v>-0.6667</v>
      </c>
      <c r="AU2477" s="7">
        <v>-0.5556</v>
      </c>
      <c r="AV2477" s="4">
        <v>1</v>
      </c>
      <c r="AW2477" s="8">
        <v>121.28</v>
      </c>
      <c r="AX2477" s="4">
        <v>3</v>
      </c>
      <c r="AY2477" s="8">
        <v>272.88</v>
      </c>
      <c r="AZ2477" s="7">
        <v>-0.6667</v>
      </c>
      <c r="BA2477" s="7">
        <v>-0.5556</v>
      </c>
      <c r="BB2477" s="7">
        <v>1</v>
      </c>
      <c r="BC2477" s="4">
        <v>1</v>
      </c>
      <c r="BD2477" s="8">
        <v>121.28</v>
      </c>
      <c r="BE2477" s="4">
        <v>3</v>
      </c>
      <c r="BF2477" s="8">
        <v>272.88</v>
      </c>
      <c r="BG2477" s="7">
        <v>-0.6667</v>
      </c>
      <c r="BH2477" s="7">
        <v>-0.5556</v>
      </c>
      <c r="BI2477" s="7">
        <v>1</v>
      </c>
      <c r="BJ2477" s="4">
        <v>111</v>
      </c>
      <c r="BK2477" s="8">
        <v>14040.32</v>
      </c>
      <c r="BL2477" s="2" t="s">
        <v>9128</v>
      </c>
      <c r="BM2477" s="7">
        <v>0.009</v>
      </c>
      <c r="BN2477" s="7">
        <v>0.0086</v>
      </c>
      <c r="BO2477" s="4">
        <v>1</v>
      </c>
      <c r="BP2477" s="8">
        <v>121.28</v>
      </c>
      <c r="BQ2477" s="4">
        <v>3</v>
      </c>
      <c r="BR2477" s="8">
        <v>272.88</v>
      </c>
      <c r="BS2477" s="7">
        <v>-0.6667</v>
      </c>
      <c r="BT2477" s="7">
        <v>-0.5556</v>
      </c>
      <c r="BU2477" s="2" t="s">
        <v>109</v>
      </c>
      <c r="BV2477" s="2" t="s">
        <v>97</v>
      </c>
      <c r="BW2477" s="2" t="s">
        <v>7307</v>
      </c>
      <c r="BX2477" s="2" t="s">
        <v>9129</v>
      </c>
      <c r="BY2477" s="2" t="s">
        <v>112</v>
      </c>
      <c r="BZ2477" s="2" t="s">
        <v>100</v>
      </c>
    </row>
    <row r="2478">
      <c r="A2478" s="2" t="s">
        <v>9130</v>
      </c>
      <c r="B2478" s="2" t="s">
        <v>7252</v>
      </c>
      <c r="C2478" s="2" t="s">
        <v>88</v>
      </c>
      <c r="D2478" s="2" t="s">
        <v>9095</v>
      </c>
      <c r="E2478" s="2" t="s">
        <v>8637</v>
      </c>
      <c r="F2478" s="2" t="s">
        <v>4639</v>
      </c>
      <c r="G2478" s="2" t="s">
        <v>9131</v>
      </c>
      <c r="H2478" s="2" t="s">
        <v>9132</v>
      </c>
      <c r="I2478" s="2" t="s">
        <v>8667</v>
      </c>
      <c r="J2478" s="2" t="s">
        <v>6103</v>
      </c>
      <c r="K2478" s="2" t="s">
        <v>3764</v>
      </c>
      <c r="L2478" s="3">
        <v>61.75</v>
      </c>
      <c r="M2478" s="3">
        <v>64.84</v>
      </c>
      <c r="N2478" s="3">
        <v>129</v>
      </c>
      <c r="O2478" s="2" t="s">
        <v>97</v>
      </c>
      <c r="P2478" s="2" t="s">
        <v>182</v>
      </c>
      <c r="Q2478" s="2" t="s">
        <v>99</v>
      </c>
      <c r="R2478" s="2" t="s">
        <v>100</v>
      </c>
      <c r="S2478" s="2" t="s">
        <v>9133</v>
      </c>
      <c r="T2478" s="2" t="s">
        <v>100</v>
      </c>
      <c r="U2478" s="2" t="s">
        <v>100</v>
      </c>
      <c r="V2478" s="2" t="s">
        <v>601</v>
      </c>
      <c r="W2478" s="2" t="s">
        <v>104</v>
      </c>
      <c r="X2478" s="2" t="s">
        <v>100</v>
      </c>
      <c r="Y2478" s="2" t="s">
        <v>4432</v>
      </c>
      <c r="Z2478" s="4">
        <v>319</v>
      </c>
      <c r="AA2478" s="4">
        <f>=ROUNDDOWN(29,0)</f>
      </c>
      <c r="AB2478" s="5">
        <v>11</v>
      </c>
      <c r="AC2478" s="2" t="s">
        <v>100</v>
      </c>
      <c r="AD2478" s="4"/>
      <c r="AE2478" s="4"/>
      <c r="AF2478" s="6">
        <v>66</v>
      </c>
      <c r="AG2478" s="6">
        <v>49</v>
      </c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>
        <v>0</v>
      </c>
      <c r="AP2478" s="4">
        <v>1</v>
      </c>
      <c r="AQ2478" s="8">
        <v>52.92</v>
      </c>
      <c r="AR2478" s="4"/>
      <c r="AS2478" s="8"/>
      <c r="AT2478" s="7"/>
      <c r="AU2478" s="7"/>
      <c r="AV2478" s="4">
        <v>1</v>
      </c>
      <c r="AW2478" s="8">
        <v>52.92</v>
      </c>
      <c r="AX2478" s="4"/>
      <c r="AY2478" s="8"/>
      <c r="AZ2478" s="7"/>
      <c r="BA2478" s="7"/>
      <c r="BB2478" s="7">
        <v>1</v>
      </c>
      <c r="BC2478" s="4">
        <v>1</v>
      </c>
      <c r="BD2478" s="8">
        <v>52.92</v>
      </c>
      <c r="BE2478" s="4"/>
      <c r="BF2478" s="8"/>
      <c r="BG2478" s="7"/>
      <c r="BH2478" s="7"/>
      <c r="BI2478" s="7">
        <v>1</v>
      </c>
      <c r="BJ2478" s="4">
        <v>279</v>
      </c>
      <c r="BK2478" s="8">
        <v>16712.34</v>
      </c>
      <c r="BL2478" s="2" t="s">
        <v>9134</v>
      </c>
      <c r="BM2478" s="7">
        <v>0.0036</v>
      </c>
      <c r="BN2478" s="7">
        <v>0.0032</v>
      </c>
      <c r="BO2478" s="4">
        <v>1</v>
      </c>
      <c r="BP2478" s="8">
        <v>52.92</v>
      </c>
      <c r="BQ2478" s="4"/>
      <c r="BR2478" s="8"/>
      <c r="BS2478" s="7"/>
      <c r="BT2478" s="7"/>
      <c r="BU2478" s="2" t="s">
        <v>109</v>
      </c>
      <c r="BV2478" s="2" t="s">
        <v>97</v>
      </c>
      <c r="BW2478" s="2" t="s">
        <v>9135</v>
      </c>
      <c r="BX2478" s="2" t="s">
        <v>7805</v>
      </c>
      <c r="BY2478" s="2" t="s">
        <v>112</v>
      </c>
      <c r="BZ2478" s="2" t="s">
        <v>100</v>
      </c>
    </row>
    <row r="2479">
      <c r="A2479" s="2" t="s">
        <v>9136</v>
      </c>
      <c r="B2479" s="2" t="s">
        <v>7252</v>
      </c>
      <c r="C2479" s="2" t="s">
        <v>88</v>
      </c>
      <c r="D2479" s="2" t="s">
        <v>9095</v>
      </c>
      <c r="E2479" s="2" t="s">
        <v>8637</v>
      </c>
      <c r="F2479" s="2" t="s">
        <v>9137</v>
      </c>
      <c r="G2479" s="2" t="s">
        <v>9138</v>
      </c>
      <c r="H2479" s="2" t="s">
        <v>9139</v>
      </c>
      <c r="I2479" s="2" t="s">
        <v>9140</v>
      </c>
      <c r="J2479" s="2" t="s">
        <v>6103</v>
      </c>
      <c r="K2479" s="2" t="s">
        <v>1660</v>
      </c>
      <c r="L2479" s="3">
        <v>90.45</v>
      </c>
      <c r="M2479" s="3">
        <v>94.97</v>
      </c>
      <c r="N2479" s="3">
        <v>189</v>
      </c>
      <c r="O2479" s="2" t="s">
        <v>229</v>
      </c>
      <c r="P2479" s="2" t="s">
        <v>198</v>
      </c>
      <c r="Q2479" s="2" t="s">
        <v>99</v>
      </c>
      <c r="R2479" s="2" t="s">
        <v>100</v>
      </c>
      <c r="S2479" s="2" t="s">
        <v>9141</v>
      </c>
      <c r="T2479" s="2" t="s">
        <v>100</v>
      </c>
      <c r="U2479" s="2" t="s">
        <v>100</v>
      </c>
      <c r="V2479" s="2" t="s">
        <v>601</v>
      </c>
      <c r="W2479" s="2" t="s">
        <v>602</v>
      </c>
      <c r="X2479" s="2" t="s">
        <v>100</v>
      </c>
      <c r="Y2479" s="2" t="s">
        <v>6401</v>
      </c>
      <c r="Z2479" s="4"/>
      <c r="AA2479" s="4">
        <f>=ROUNDDOWN({0},0)</f>
      </c>
      <c r="AB2479" s="5">
        <v>4.4</v>
      </c>
      <c r="AC2479" s="2" t="s">
        <v>100</v>
      </c>
      <c r="AD2479" s="4"/>
      <c r="AE2479" s="4"/>
      <c r="AF2479" s="6">
        <v>65</v>
      </c>
      <c r="AG2479" s="6">
        <v>48</v>
      </c>
      <c r="AH2479" s="7">
        <v>0.4242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>
        <v>0</v>
      </c>
      <c r="AP2479" s="4"/>
      <c r="AQ2479" s="8"/>
      <c r="AR2479" s="4">
        <v>5</v>
      </c>
      <c r="AS2479" s="8">
        <v>474.85</v>
      </c>
      <c r="AT2479" s="7">
        <v>-1</v>
      </c>
      <c r="AU2479" s="7">
        <v>-1</v>
      </c>
      <c r="AV2479" s="4"/>
      <c r="AW2479" s="8"/>
      <c r="AX2479" s="4">
        <v>5</v>
      </c>
      <c r="AY2479" s="8">
        <v>474.85</v>
      </c>
      <c r="AZ2479" s="7">
        <v>-1</v>
      </c>
      <c r="BA2479" s="7">
        <v>-1</v>
      </c>
      <c r="BB2479" s="7"/>
      <c r="BC2479" s="4"/>
      <c r="BD2479" s="8"/>
      <c r="BE2479" s="4">
        <v>5</v>
      </c>
      <c r="BF2479" s="8">
        <v>474.85</v>
      </c>
      <c r="BG2479" s="7">
        <v>-1</v>
      </c>
      <c r="BH2479" s="7">
        <v>-1</v>
      </c>
      <c r="BI2479" s="7"/>
      <c r="BJ2479" s="4">
        <v>44</v>
      </c>
      <c r="BK2479" s="8">
        <v>2678.08</v>
      </c>
      <c r="BL2479" s="2" t="s">
        <v>9142</v>
      </c>
      <c r="BM2479" s="7"/>
      <c r="BN2479" s="7"/>
      <c r="BO2479" s="4"/>
      <c r="BP2479" s="8"/>
      <c r="BQ2479" s="4">
        <v>5</v>
      </c>
      <c r="BR2479" s="8">
        <v>474.85</v>
      </c>
      <c r="BS2479" s="7">
        <v>-1</v>
      </c>
      <c r="BT2479" s="7">
        <v>-1</v>
      </c>
      <c r="BU2479" s="2" t="s">
        <v>109</v>
      </c>
      <c r="BV2479" s="2" t="s">
        <v>552</v>
      </c>
      <c r="BW2479" s="2" t="s">
        <v>7307</v>
      </c>
      <c r="BX2479" s="2" t="s">
        <v>361</v>
      </c>
      <c r="BY2479" s="2" t="s">
        <v>112</v>
      </c>
      <c r="BZ2479" s="2" t="s">
        <v>100</v>
      </c>
    </row>
    <row r="2480">
      <c r="A2480" s="2" t="s">
        <v>9143</v>
      </c>
      <c r="B2480" s="2" t="s">
        <v>7252</v>
      </c>
      <c r="C2480" s="2" t="s">
        <v>88</v>
      </c>
      <c r="D2480" s="2" t="s">
        <v>9095</v>
      </c>
      <c r="E2480" s="2" t="s">
        <v>8637</v>
      </c>
      <c r="F2480" s="2" t="s">
        <v>7816</v>
      </c>
      <c r="G2480" s="2" t="s">
        <v>7817</v>
      </c>
      <c r="H2480" s="2" t="s">
        <v>7818</v>
      </c>
      <c r="I2480" s="2" t="s">
        <v>9144</v>
      </c>
      <c r="J2480" s="2" t="s">
        <v>6103</v>
      </c>
      <c r="K2480" s="2" t="s">
        <v>323</v>
      </c>
      <c r="L2480" s="3">
        <v>78</v>
      </c>
      <c r="M2480" s="3">
        <v>81.9</v>
      </c>
      <c r="N2480" s="3">
        <v>169</v>
      </c>
      <c r="O2480" s="2" t="s">
        <v>550</v>
      </c>
      <c r="P2480" s="2" t="s">
        <v>198</v>
      </c>
      <c r="Q2480" s="2" t="s">
        <v>99</v>
      </c>
      <c r="R2480" s="2" t="s">
        <v>100</v>
      </c>
      <c r="S2480" s="2" t="s">
        <v>9145</v>
      </c>
      <c r="T2480" s="2" t="s">
        <v>100</v>
      </c>
      <c r="U2480" s="2" t="s">
        <v>100</v>
      </c>
      <c r="V2480" s="2" t="s">
        <v>601</v>
      </c>
      <c r="W2480" s="2" t="s">
        <v>6998</v>
      </c>
      <c r="X2480" s="2" t="s">
        <v>100</v>
      </c>
      <c r="Y2480" s="2" t="s">
        <v>106</v>
      </c>
      <c r="Z2480" s="4"/>
      <c r="AA2480" s="4">
        <f>=ROUNDDOWN({0},0)</f>
      </c>
      <c r="AB2480" s="5">
        <v>1</v>
      </c>
      <c r="AC2480" s="2" t="s">
        <v>100</v>
      </c>
      <c r="AD2480" s="4"/>
      <c r="AE2480" s="4"/>
      <c r="AF2480" s="6">
        <v>65</v>
      </c>
      <c r="AG2480" s="6">
        <v>48</v>
      </c>
      <c r="AH2480" s="7">
        <v>0.5758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>
        <v>0</v>
      </c>
      <c r="AP2480" s="4"/>
      <c r="AQ2480" s="8"/>
      <c r="AR2480" s="4">
        <v>4</v>
      </c>
      <c r="AS2480" s="8">
        <v>327.6</v>
      </c>
      <c r="AT2480" s="7">
        <v>-1</v>
      </c>
      <c r="AU2480" s="7">
        <v>-1</v>
      </c>
      <c r="AV2480" s="4"/>
      <c r="AW2480" s="8"/>
      <c r="AX2480" s="4">
        <v>4</v>
      </c>
      <c r="AY2480" s="8">
        <v>327.6</v>
      </c>
      <c r="AZ2480" s="7">
        <v>-1</v>
      </c>
      <c r="BA2480" s="7">
        <v>-1</v>
      </c>
      <c r="BB2480" s="7"/>
      <c r="BC2480" s="4" t="s">
        <v>100</v>
      </c>
      <c r="BD2480" s="8" t="s">
        <v>100</v>
      </c>
      <c r="BE2480" s="4">
        <v>6</v>
      </c>
      <c r="BF2480" s="8">
        <v>567</v>
      </c>
      <c r="BG2480" s="7" t="s">
        <v>100</v>
      </c>
      <c r="BH2480" s="7" t="s">
        <v>100</v>
      </c>
      <c r="BI2480" s="7"/>
      <c r="BJ2480" s="4">
        <v>43</v>
      </c>
      <c r="BK2480" s="8">
        <v>2606.39</v>
      </c>
      <c r="BL2480" s="2" t="s">
        <v>9146</v>
      </c>
      <c r="BM2480" s="7"/>
      <c r="BN2480" s="7"/>
      <c r="BO2480" s="4"/>
      <c r="BP2480" s="8"/>
      <c r="BQ2480" s="4">
        <v>4</v>
      </c>
      <c r="BR2480" s="8">
        <v>327.6</v>
      </c>
      <c r="BS2480" s="7">
        <v>-1</v>
      </c>
      <c r="BT2480" s="7">
        <v>-1</v>
      </c>
      <c r="BU2480" s="2" t="s">
        <v>109</v>
      </c>
      <c r="BV2480" s="2" t="s">
        <v>552</v>
      </c>
      <c r="BW2480" s="2" t="s">
        <v>7307</v>
      </c>
      <c r="BX2480" s="2" t="s">
        <v>4360</v>
      </c>
      <c r="BY2480" s="2" t="s">
        <v>112</v>
      </c>
      <c r="BZ2480" s="2" t="s">
        <v>100</v>
      </c>
    </row>
    <row r="2481">
      <c r="A2481" s="2" t="s">
        <v>9147</v>
      </c>
      <c r="B2481" s="2" t="s">
        <v>7252</v>
      </c>
      <c r="C2481" s="2" t="s">
        <v>88</v>
      </c>
      <c r="D2481" s="2" t="s">
        <v>9095</v>
      </c>
      <c r="E2481" s="2" t="s">
        <v>8637</v>
      </c>
      <c r="F2481" s="2" t="s">
        <v>7816</v>
      </c>
      <c r="G2481" s="2" t="s">
        <v>7817</v>
      </c>
      <c r="H2481" s="2" t="s">
        <v>7818</v>
      </c>
      <c r="I2481" s="2" t="s">
        <v>9148</v>
      </c>
      <c r="J2481" s="2" t="s">
        <v>6103</v>
      </c>
      <c r="K2481" s="2" t="s">
        <v>333</v>
      </c>
      <c r="L2481" s="3">
        <v>114</v>
      </c>
      <c r="M2481" s="3">
        <v>119.7</v>
      </c>
      <c r="N2481" s="3">
        <v>239</v>
      </c>
      <c r="O2481" s="2" t="s">
        <v>229</v>
      </c>
      <c r="P2481" s="2" t="s">
        <v>198</v>
      </c>
      <c r="Q2481" s="2" t="s">
        <v>99</v>
      </c>
      <c r="R2481" s="2" t="s">
        <v>100</v>
      </c>
      <c r="S2481" s="2" t="s">
        <v>9149</v>
      </c>
      <c r="T2481" s="2" t="s">
        <v>100</v>
      </c>
      <c r="U2481" s="2" t="s">
        <v>100</v>
      </c>
      <c r="V2481" s="2" t="s">
        <v>601</v>
      </c>
      <c r="W2481" s="2" t="s">
        <v>6998</v>
      </c>
      <c r="X2481" s="2" t="s">
        <v>100</v>
      </c>
      <c r="Y2481" s="2" t="s">
        <v>106</v>
      </c>
      <c r="Z2481" s="4">
        <v>88</v>
      </c>
      <c r="AA2481" s="4">
        <f>=ROUNDDOWN(440,0)</f>
      </c>
      <c r="AB2481" s="5">
        <v>0.2</v>
      </c>
      <c r="AC2481" s="2" t="s">
        <v>100</v>
      </c>
      <c r="AD2481" s="4"/>
      <c r="AE2481" s="4"/>
      <c r="AF2481" s="6">
        <v>65</v>
      </c>
      <c r="AG2481" s="6">
        <v>48</v>
      </c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>
        <v>0</v>
      </c>
      <c r="AP2481" s="4"/>
      <c r="AQ2481" s="8"/>
      <c r="AR2481" s="4">
        <v>2</v>
      </c>
      <c r="AS2481" s="8">
        <v>239.4</v>
      </c>
      <c r="AT2481" s="7">
        <v>-1</v>
      </c>
      <c r="AU2481" s="7">
        <v>-1</v>
      </c>
      <c r="AV2481" s="4"/>
      <c r="AW2481" s="8"/>
      <c r="AX2481" s="4">
        <v>2</v>
      </c>
      <c r="AY2481" s="8">
        <v>239.4</v>
      </c>
      <c r="AZ2481" s="7">
        <v>-1</v>
      </c>
      <c r="BA2481" s="7">
        <v>-1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15</v>
      </c>
      <c r="BK2481" s="8">
        <v>1630.66</v>
      </c>
      <c r="BL2481" s="2" t="s">
        <v>9150</v>
      </c>
      <c r="BM2481" s="7"/>
      <c r="BN2481" s="7"/>
      <c r="BO2481" s="4"/>
      <c r="BP2481" s="8"/>
      <c r="BQ2481" s="4">
        <v>2</v>
      </c>
      <c r="BR2481" s="8">
        <v>239.4</v>
      </c>
      <c r="BS2481" s="7">
        <v>-1</v>
      </c>
      <c r="BT2481" s="7">
        <v>-1</v>
      </c>
      <c r="BU2481" s="2" t="s">
        <v>109</v>
      </c>
      <c r="BV2481" s="2" t="s">
        <v>97</v>
      </c>
      <c r="BW2481" s="2" t="s">
        <v>7841</v>
      </c>
      <c r="BX2481" s="2" t="s">
        <v>9151</v>
      </c>
      <c r="BY2481" s="2" t="s">
        <v>112</v>
      </c>
      <c r="BZ2481" s="2" t="s">
        <v>100</v>
      </c>
    </row>
    <row r="2482">
      <c r="A2482" s="2" t="s">
        <v>9152</v>
      </c>
      <c r="B2482" s="2" t="s">
        <v>7252</v>
      </c>
      <c r="C2482" s="2" t="s">
        <v>88</v>
      </c>
      <c r="D2482" s="2" t="s">
        <v>9095</v>
      </c>
      <c r="E2482" s="2" t="s">
        <v>8637</v>
      </c>
      <c r="F2482" s="2" t="s">
        <v>9153</v>
      </c>
      <c r="G2482" s="2" t="s">
        <v>9154</v>
      </c>
      <c r="H2482" s="2" t="s">
        <v>9155</v>
      </c>
      <c r="I2482" s="2" t="s">
        <v>8667</v>
      </c>
      <c r="J2482" s="2" t="s">
        <v>6103</v>
      </c>
      <c r="K2482" s="2" t="s">
        <v>142</v>
      </c>
      <c r="L2482" s="3">
        <v>56.16</v>
      </c>
      <c r="M2482" s="3">
        <v>58.97</v>
      </c>
      <c r="N2482" s="3">
        <v>119</v>
      </c>
      <c r="O2482" s="2" t="s">
        <v>97</v>
      </c>
      <c r="P2482" s="2" t="s">
        <v>182</v>
      </c>
      <c r="Q2482" s="2" t="s">
        <v>99</v>
      </c>
      <c r="R2482" s="2" t="s">
        <v>100</v>
      </c>
      <c r="S2482" s="2" t="s">
        <v>9156</v>
      </c>
      <c r="T2482" s="2" t="s">
        <v>100</v>
      </c>
      <c r="U2482" s="2" t="s">
        <v>100</v>
      </c>
      <c r="V2482" s="2" t="s">
        <v>1752</v>
      </c>
      <c r="W2482" s="2" t="s">
        <v>104</v>
      </c>
      <c r="X2482" s="2" t="s">
        <v>312</v>
      </c>
      <c r="Y2482" s="2" t="s">
        <v>9157</v>
      </c>
      <c r="Z2482" s="4">
        <v>191</v>
      </c>
      <c r="AA2482" s="4">
        <f>=ROUNDDOWN(13.6428571428571,0)</f>
      </c>
      <c r="AB2482" s="5">
        <v>14</v>
      </c>
      <c r="AC2482" s="2" t="s">
        <v>4093</v>
      </c>
      <c r="AD2482" s="4">
        <v>130</v>
      </c>
      <c r="AE2482" s="4">
        <v>225</v>
      </c>
      <c r="AF2482" s="6">
        <v>66</v>
      </c>
      <c r="AG2482" s="6">
        <v>49</v>
      </c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>
        <v>0</v>
      </c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/>
      <c r="BD2482" s="8"/>
      <c r="BE2482" s="4"/>
      <c r="BF2482" s="8"/>
      <c r="BG2482" s="7"/>
      <c r="BH2482" s="7"/>
      <c r="BI2482" s="7"/>
      <c r="BJ2482" s="4">
        <v>312</v>
      </c>
      <c r="BK2482" s="8">
        <v>16000.55</v>
      </c>
      <c r="BL2482" s="2" t="s">
        <v>9158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109</v>
      </c>
      <c r="BV2482" s="2" t="s">
        <v>97</v>
      </c>
      <c r="BW2482" s="2" t="s">
        <v>7307</v>
      </c>
      <c r="BX2482" s="2" t="s">
        <v>100</v>
      </c>
      <c r="BY2482" s="2" t="s">
        <v>112</v>
      </c>
      <c r="BZ2482" s="2" t="s">
        <v>100</v>
      </c>
    </row>
    <row r="2483">
      <c r="A2483" s="2" t="s">
        <v>9159</v>
      </c>
      <c r="B2483" s="2" t="s">
        <v>7252</v>
      </c>
      <c r="C2483" s="2" t="s">
        <v>88</v>
      </c>
      <c r="D2483" s="2" t="s">
        <v>9095</v>
      </c>
      <c r="E2483" s="2" t="s">
        <v>8637</v>
      </c>
      <c r="F2483" s="2" t="s">
        <v>9160</v>
      </c>
      <c r="G2483" s="2" t="s">
        <v>9161</v>
      </c>
      <c r="H2483" s="2" t="s">
        <v>9162</v>
      </c>
      <c r="I2483" s="2" t="s">
        <v>8667</v>
      </c>
      <c r="J2483" s="2" t="s">
        <v>6103</v>
      </c>
      <c r="K2483" s="2" t="s">
        <v>2367</v>
      </c>
      <c r="L2483" s="3">
        <v>138.75</v>
      </c>
      <c r="M2483" s="3">
        <v>145.69</v>
      </c>
      <c r="N2483" s="3">
        <v>289</v>
      </c>
      <c r="O2483" s="2" t="s">
        <v>229</v>
      </c>
      <c r="P2483" s="2" t="s">
        <v>198</v>
      </c>
      <c r="Q2483" s="2" t="s">
        <v>99</v>
      </c>
      <c r="R2483" s="2" t="s">
        <v>100</v>
      </c>
      <c r="S2483" s="2" t="s">
        <v>9163</v>
      </c>
      <c r="T2483" s="2" t="s">
        <v>100</v>
      </c>
      <c r="U2483" s="2" t="s">
        <v>100</v>
      </c>
      <c r="V2483" s="2" t="s">
        <v>601</v>
      </c>
      <c r="W2483" s="2" t="s">
        <v>104</v>
      </c>
      <c r="X2483" s="2" t="s">
        <v>100</v>
      </c>
      <c r="Y2483" s="2" t="s">
        <v>7656</v>
      </c>
      <c r="Z2483" s="4"/>
      <c r="AA2483" s="4">
        <f>=ROUNDDOWN({0},0)</f>
      </c>
      <c r="AB2483" s="5">
        <v>3</v>
      </c>
      <c r="AC2483" s="2" t="s">
        <v>100</v>
      </c>
      <c r="AD2483" s="4"/>
      <c r="AE2483" s="4"/>
      <c r="AF2483" s="6">
        <v>74</v>
      </c>
      <c r="AG2483" s="6"/>
      <c r="AH2483" s="7">
        <v>0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>
        <v>0</v>
      </c>
      <c r="AP2483" s="4"/>
      <c r="AQ2483" s="8"/>
      <c r="AR2483" s="4">
        <v>1</v>
      </c>
      <c r="AS2483" s="8">
        <v>145.69</v>
      </c>
      <c r="AT2483" s="7">
        <v>-1</v>
      </c>
      <c r="AU2483" s="7">
        <v>-1</v>
      </c>
      <c r="AV2483" s="4"/>
      <c r="AW2483" s="8"/>
      <c r="AX2483" s="4">
        <v>1</v>
      </c>
      <c r="AY2483" s="8">
        <v>145.69</v>
      </c>
      <c r="AZ2483" s="7">
        <v>-1</v>
      </c>
      <c r="BA2483" s="7">
        <v>-1</v>
      </c>
      <c r="BB2483" s="7"/>
      <c r="BC2483" s="4"/>
      <c r="BD2483" s="8"/>
      <c r="BE2483" s="4">
        <v>1</v>
      </c>
      <c r="BF2483" s="8">
        <v>145.69</v>
      </c>
      <c r="BG2483" s="7">
        <v>-1</v>
      </c>
      <c r="BH2483" s="7">
        <v>-1</v>
      </c>
      <c r="BI2483" s="7"/>
      <c r="BJ2483" s="4"/>
      <c r="BK2483" s="8"/>
      <c r="BL2483" s="2" t="s">
        <v>9164</v>
      </c>
      <c r="BM2483" s="7"/>
      <c r="BN2483" s="7"/>
      <c r="BO2483" s="4"/>
      <c r="BP2483" s="8"/>
      <c r="BQ2483" s="4">
        <v>1</v>
      </c>
      <c r="BR2483" s="8">
        <v>145.69</v>
      </c>
      <c r="BS2483" s="7">
        <v>-1</v>
      </c>
      <c r="BT2483" s="7">
        <v>-1</v>
      </c>
      <c r="BU2483" s="2" t="s">
        <v>109</v>
      </c>
      <c r="BV2483" s="2" t="s">
        <v>552</v>
      </c>
      <c r="BW2483" s="2" t="s">
        <v>7841</v>
      </c>
      <c r="BX2483" s="2" t="s">
        <v>6384</v>
      </c>
      <c r="BY2483" s="2" t="s">
        <v>112</v>
      </c>
      <c r="BZ2483" s="2" t="s">
        <v>100</v>
      </c>
    </row>
    <row r="2484">
      <c r="A2484" s="2" t="s">
        <v>9165</v>
      </c>
      <c r="B2484" s="2" t="s">
        <v>7252</v>
      </c>
      <c r="C2484" s="2" t="s">
        <v>88</v>
      </c>
      <c r="D2484" s="2" t="s">
        <v>9095</v>
      </c>
      <c r="E2484" s="2" t="s">
        <v>8637</v>
      </c>
      <c r="F2484" s="2" t="s">
        <v>9166</v>
      </c>
      <c r="G2484" s="2" t="s">
        <v>9167</v>
      </c>
      <c r="H2484" s="2" t="s">
        <v>1108</v>
      </c>
      <c r="I2484" s="2" t="s">
        <v>8667</v>
      </c>
      <c r="J2484" s="2" t="s">
        <v>6103</v>
      </c>
      <c r="K2484" s="2" t="s">
        <v>9168</v>
      </c>
      <c r="L2484" s="3">
        <v>144</v>
      </c>
      <c r="M2484" s="3">
        <v>151.2</v>
      </c>
      <c r="N2484" s="3">
        <v>299</v>
      </c>
      <c r="O2484" s="2" t="s">
        <v>229</v>
      </c>
      <c r="P2484" s="2" t="s">
        <v>198</v>
      </c>
      <c r="Q2484" s="2" t="s">
        <v>99</v>
      </c>
      <c r="R2484" s="2" t="s">
        <v>100</v>
      </c>
      <c r="S2484" s="2" t="s">
        <v>9169</v>
      </c>
      <c r="T2484" s="2" t="s">
        <v>100</v>
      </c>
      <c r="U2484" s="2" t="s">
        <v>100</v>
      </c>
      <c r="V2484" s="2" t="s">
        <v>601</v>
      </c>
      <c r="W2484" s="2" t="s">
        <v>405</v>
      </c>
      <c r="X2484" s="2" t="s">
        <v>100</v>
      </c>
      <c r="Y2484" s="2" t="s">
        <v>878</v>
      </c>
      <c r="Z2484" s="4"/>
      <c r="AA2484" s="4">
        <f>=ROUNDDOWN({0},0)</f>
      </c>
      <c r="AB2484" s="5"/>
      <c r="AC2484" s="2" t="s">
        <v>100</v>
      </c>
      <c r="AD2484" s="4"/>
      <c r="AE2484" s="4"/>
      <c r="AF2484" s="6">
        <v>65</v>
      </c>
      <c r="AG2484" s="6">
        <v>48</v>
      </c>
      <c r="AH2484" s="7">
        <v>0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>
        <v>0</v>
      </c>
      <c r="AP2484" s="4"/>
      <c r="AQ2484" s="8"/>
      <c r="AR2484" s="4">
        <v>4</v>
      </c>
      <c r="AS2484" s="8">
        <v>604.8</v>
      </c>
      <c r="AT2484" s="7">
        <v>-1</v>
      </c>
      <c r="AU2484" s="7">
        <v>-1</v>
      </c>
      <c r="AV2484" s="4"/>
      <c r="AW2484" s="8"/>
      <c r="AX2484" s="4">
        <v>4</v>
      </c>
      <c r="AY2484" s="8">
        <v>604.8</v>
      </c>
      <c r="AZ2484" s="7">
        <v>-1</v>
      </c>
      <c r="BA2484" s="7">
        <v>-1</v>
      </c>
      <c r="BB2484" s="7"/>
      <c r="BC2484" s="4"/>
      <c r="BD2484" s="8"/>
      <c r="BE2484" s="4">
        <v>4</v>
      </c>
      <c r="BF2484" s="8">
        <v>604.8</v>
      </c>
      <c r="BG2484" s="7">
        <v>-1</v>
      </c>
      <c r="BH2484" s="7">
        <v>-1</v>
      </c>
      <c r="BI2484" s="7"/>
      <c r="BJ2484" s="4"/>
      <c r="BK2484" s="8"/>
      <c r="BL2484" s="2" t="s">
        <v>9170</v>
      </c>
      <c r="BM2484" s="7"/>
      <c r="BN2484" s="7"/>
      <c r="BO2484" s="4"/>
      <c r="BP2484" s="8"/>
      <c r="BQ2484" s="4">
        <v>4</v>
      </c>
      <c r="BR2484" s="8">
        <v>604.8</v>
      </c>
      <c r="BS2484" s="7">
        <v>-1</v>
      </c>
      <c r="BT2484" s="7">
        <v>-1</v>
      </c>
      <c r="BU2484" s="2" t="s">
        <v>109</v>
      </c>
      <c r="BV2484" s="2" t="s">
        <v>552</v>
      </c>
      <c r="BW2484" s="2" t="s">
        <v>7307</v>
      </c>
      <c r="BX2484" s="2" t="s">
        <v>361</v>
      </c>
      <c r="BY2484" s="2" t="s">
        <v>112</v>
      </c>
      <c r="BZ2484" s="2" t="s">
        <v>100</v>
      </c>
    </row>
    <row r="2485">
      <c r="A2485" s="2" t="s">
        <v>9171</v>
      </c>
      <c r="B2485" s="2" t="s">
        <v>7252</v>
      </c>
      <c r="C2485" s="2" t="s">
        <v>88</v>
      </c>
      <c r="D2485" s="2" t="s">
        <v>9095</v>
      </c>
      <c r="E2485" s="2" t="s">
        <v>8637</v>
      </c>
      <c r="F2485" s="2" t="s">
        <v>9172</v>
      </c>
      <c r="G2485" s="2" t="s">
        <v>9173</v>
      </c>
      <c r="H2485" s="2" t="s">
        <v>9174</v>
      </c>
      <c r="I2485" s="2" t="s">
        <v>8667</v>
      </c>
      <c r="J2485" s="2" t="s">
        <v>6103</v>
      </c>
      <c r="K2485" s="2" t="s">
        <v>9175</v>
      </c>
      <c r="L2485" s="3">
        <v>112.5</v>
      </c>
      <c r="M2485" s="3">
        <v>118.12</v>
      </c>
      <c r="N2485" s="3">
        <v>239</v>
      </c>
      <c r="O2485" s="2" t="s">
        <v>229</v>
      </c>
      <c r="P2485" s="2" t="s">
        <v>198</v>
      </c>
      <c r="Q2485" s="2" t="s">
        <v>99</v>
      </c>
      <c r="R2485" s="2" t="s">
        <v>100</v>
      </c>
      <c r="S2485" s="2" t="s">
        <v>9176</v>
      </c>
      <c r="T2485" s="2" t="s">
        <v>100</v>
      </c>
      <c r="U2485" s="2" t="s">
        <v>100</v>
      </c>
      <c r="V2485" s="2" t="s">
        <v>601</v>
      </c>
      <c r="W2485" s="2" t="s">
        <v>104</v>
      </c>
      <c r="X2485" s="2" t="s">
        <v>100</v>
      </c>
      <c r="Y2485" s="2" t="s">
        <v>3032</v>
      </c>
      <c r="Z2485" s="4"/>
      <c r="AA2485" s="4">
        <f>=ROUNDDOWN({0},0)</f>
      </c>
      <c r="AB2485" s="5"/>
      <c r="AC2485" s="2" t="s">
        <v>100</v>
      </c>
      <c r="AD2485" s="4"/>
      <c r="AE2485" s="4"/>
      <c r="AF2485" s="6">
        <v>65</v>
      </c>
      <c r="AG2485" s="6">
        <v>48</v>
      </c>
      <c r="AH2485" s="7">
        <v>0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>
        <v>0</v>
      </c>
      <c r="AP2485" s="4"/>
      <c r="AQ2485" s="8"/>
      <c r="AR2485" s="4">
        <v>2</v>
      </c>
      <c r="AS2485" s="8">
        <v>236.24</v>
      </c>
      <c r="AT2485" s="7">
        <v>-1</v>
      </c>
      <c r="AU2485" s="7">
        <v>-1</v>
      </c>
      <c r="AV2485" s="4"/>
      <c r="AW2485" s="8"/>
      <c r="AX2485" s="4">
        <v>2</v>
      </c>
      <c r="AY2485" s="8">
        <v>236.24</v>
      </c>
      <c r="AZ2485" s="7">
        <v>-1</v>
      </c>
      <c r="BA2485" s="7">
        <v>-1</v>
      </c>
      <c r="BB2485" s="7"/>
      <c r="BC2485" s="4"/>
      <c r="BD2485" s="8"/>
      <c r="BE2485" s="4">
        <v>2</v>
      </c>
      <c r="BF2485" s="8">
        <v>236.24</v>
      </c>
      <c r="BG2485" s="7">
        <v>-1</v>
      </c>
      <c r="BH2485" s="7">
        <v>-1</v>
      </c>
      <c r="BI2485" s="7"/>
      <c r="BJ2485" s="4"/>
      <c r="BK2485" s="8"/>
      <c r="BL2485" s="2" t="s">
        <v>9177</v>
      </c>
      <c r="BM2485" s="7"/>
      <c r="BN2485" s="7"/>
      <c r="BO2485" s="4"/>
      <c r="BP2485" s="8"/>
      <c r="BQ2485" s="4">
        <v>2</v>
      </c>
      <c r="BR2485" s="8">
        <v>236.24</v>
      </c>
      <c r="BS2485" s="7">
        <v>-1</v>
      </c>
      <c r="BT2485" s="7">
        <v>-1</v>
      </c>
      <c r="BU2485" s="2" t="s">
        <v>109</v>
      </c>
      <c r="BV2485" s="2" t="s">
        <v>552</v>
      </c>
      <c r="BW2485" s="2" t="s">
        <v>7307</v>
      </c>
      <c r="BX2485" s="2" t="s">
        <v>3798</v>
      </c>
      <c r="BY2485" s="2" t="s">
        <v>112</v>
      </c>
      <c r="BZ2485" s="2" t="s">
        <v>100</v>
      </c>
    </row>
    <row r="2486">
      <c r="A2486" s="2" t="s">
        <v>9178</v>
      </c>
      <c r="B2486" s="2" t="s">
        <v>7252</v>
      </c>
      <c r="C2486" s="2" t="s">
        <v>88</v>
      </c>
      <c r="D2486" s="2" t="s">
        <v>9095</v>
      </c>
      <c r="E2486" s="2" t="s">
        <v>8667</v>
      </c>
      <c r="F2486" s="2" t="s">
        <v>9179</v>
      </c>
      <c r="G2486" s="2" t="s">
        <v>1816</v>
      </c>
      <c r="H2486" s="2" t="s">
        <v>9180</v>
      </c>
      <c r="I2486" s="2" t="s">
        <v>9181</v>
      </c>
      <c r="J2486" s="2" t="s">
        <v>6103</v>
      </c>
      <c r="K2486" s="2" t="s">
        <v>6566</v>
      </c>
      <c r="L2486" s="3">
        <v>89.78</v>
      </c>
      <c r="M2486" s="3">
        <v>94.27</v>
      </c>
      <c r="N2486" s="3">
        <v>189</v>
      </c>
      <c r="O2486" s="2" t="s">
        <v>97</v>
      </c>
      <c r="P2486" s="2" t="s">
        <v>198</v>
      </c>
      <c r="Q2486" s="2" t="s">
        <v>99</v>
      </c>
      <c r="R2486" s="2" t="s">
        <v>100</v>
      </c>
      <c r="S2486" s="2" t="s">
        <v>100</v>
      </c>
      <c r="T2486" s="2" t="s">
        <v>100</v>
      </c>
      <c r="U2486" s="2" t="s">
        <v>3531</v>
      </c>
      <c r="V2486" s="2" t="s">
        <v>1752</v>
      </c>
      <c r="W2486" s="2" t="s">
        <v>104</v>
      </c>
      <c r="X2486" s="2" t="s">
        <v>1190</v>
      </c>
      <c r="Y2486" s="2" t="s">
        <v>915</v>
      </c>
      <c r="Z2486" s="4">
        <v>65</v>
      </c>
      <c r="AA2486" s="4">
        <f>=ROUNDDOWN(32.5,0)</f>
      </c>
      <c r="AB2486" s="5">
        <v>2</v>
      </c>
      <c r="AC2486" s="2" t="s">
        <v>100</v>
      </c>
      <c r="AD2486" s="4"/>
      <c r="AE2486" s="4"/>
      <c r="AF2486" s="6">
        <v>74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59</v>
      </c>
      <c r="BK2486" s="8">
        <v>5639.07</v>
      </c>
      <c r="BL2486" s="2" t="s">
        <v>9182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6185</v>
      </c>
      <c r="BV2486" s="2" t="s">
        <v>97</v>
      </c>
      <c r="BW2486" s="2" t="s">
        <v>100</v>
      </c>
      <c r="BX2486" s="2" t="s">
        <v>100</v>
      </c>
      <c r="BY2486" s="2" t="s">
        <v>112</v>
      </c>
      <c r="BZ2486" s="2" t="s">
        <v>100</v>
      </c>
    </row>
    <row r="2487">
      <c r="A2487" s="2" t="s">
        <v>9183</v>
      </c>
      <c r="B2487" s="2" t="s">
        <v>7252</v>
      </c>
      <c r="C2487" s="2" t="s">
        <v>88</v>
      </c>
      <c r="D2487" s="2" t="s">
        <v>9184</v>
      </c>
      <c r="E2487" s="2" t="s">
        <v>9185</v>
      </c>
      <c r="F2487" s="2" t="s">
        <v>3649</v>
      </c>
      <c r="G2487" s="2" t="s">
        <v>4243</v>
      </c>
      <c r="H2487" s="2" t="s">
        <v>8577</v>
      </c>
      <c r="I2487" s="2" t="s">
        <v>9186</v>
      </c>
      <c r="J2487" s="2" t="s">
        <v>6103</v>
      </c>
      <c r="K2487" s="2" t="s">
        <v>8578</v>
      </c>
      <c r="L2487" s="3">
        <v>180</v>
      </c>
      <c r="M2487" s="3">
        <v>189</v>
      </c>
      <c r="N2487" s="3">
        <v>379</v>
      </c>
      <c r="O2487" s="2" t="s">
        <v>97</v>
      </c>
      <c r="P2487" s="2" t="s">
        <v>182</v>
      </c>
      <c r="Q2487" s="2" t="s">
        <v>99</v>
      </c>
      <c r="R2487" s="2" t="s">
        <v>100</v>
      </c>
      <c r="S2487" s="2" t="s">
        <v>9187</v>
      </c>
      <c r="T2487" s="2" t="s">
        <v>100</v>
      </c>
      <c r="U2487" s="2" t="s">
        <v>100</v>
      </c>
      <c r="V2487" s="2" t="s">
        <v>601</v>
      </c>
      <c r="W2487" s="2" t="s">
        <v>2195</v>
      </c>
      <c r="X2487" s="2" t="s">
        <v>100</v>
      </c>
      <c r="Y2487" s="2" t="s">
        <v>106</v>
      </c>
      <c r="Z2487" s="4">
        <v>189</v>
      </c>
      <c r="AA2487" s="4">
        <f>=ROUNDDOWN(49.7368421052632,0)</f>
      </c>
      <c r="AB2487" s="5">
        <v>3.8</v>
      </c>
      <c r="AC2487" s="2" t="s">
        <v>100</v>
      </c>
      <c r="AD2487" s="4"/>
      <c r="AE2487" s="4"/>
      <c r="AF2487" s="6">
        <v>74</v>
      </c>
      <c r="AG2487" s="6">
        <v>60</v>
      </c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>
        <v>0</v>
      </c>
      <c r="AP2487" s="4">
        <v>2</v>
      </c>
      <c r="AQ2487" s="8">
        <v>378</v>
      </c>
      <c r="AR2487" s="4">
        <v>2</v>
      </c>
      <c r="AS2487" s="8">
        <v>283.5</v>
      </c>
      <c r="AT2487" s="7"/>
      <c r="AU2487" s="7">
        <v>0.3333</v>
      </c>
      <c r="AV2487" s="4">
        <v>2</v>
      </c>
      <c r="AW2487" s="8">
        <v>378</v>
      </c>
      <c r="AX2487" s="4">
        <v>2</v>
      </c>
      <c r="AY2487" s="8">
        <v>283.5</v>
      </c>
      <c r="AZ2487" s="7"/>
      <c r="BA2487" s="7">
        <v>0.3333</v>
      </c>
      <c r="BB2487" s="7">
        <v>1</v>
      </c>
      <c r="BC2487" s="4">
        <v>2</v>
      </c>
      <c r="BD2487" s="8">
        <v>378</v>
      </c>
      <c r="BE2487" s="4">
        <v>2</v>
      </c>
      <c r="BF2487" s="8">
        <v>283.5</v>
      </c>
      <c r="BG2487" s="7" t="s">
        <v>100</v>
      </c>
      <c r="BH2487" s="7">
        <v>0.3333</v>
      </c>
      <c r="BI2487" s="7">
        <v>1</v>
      </c>
      <c r="BJ2487" s="4">
        <v>292</v>
      </c>
      <c r="BK2487" s="8">
        <v>49055.52</v>
      </c>
      <c r="BL2487" s="2" t="s">
        <v>9188</v>
      </c>
      <c r="BM2487" s="7">
        <v>0.0068</v>
      </c>
      <c r="BN2487" s="7">
        <v>0.0077</v>
      </c>
      <c r="BO2487" s="4">
        <v>2</v>
      </c>
      <c r="BP2487" s="8">
        <v>378</v>
      </c>
      <c r="BQ2487" s="4">
        <v>2</v>
      </c>
      <c r="BR2487" s="8">
        <v>283.5</v>
      </c>
      <c r="BS2487" s="7"/>
      <c r="BT2487" s="7">
        <v>0.3333</v>
      </c>
      <c r="BU2487" s="2" t="s">
        <v>109</v>
      </c>
      <c r="BV2487" s="2" t="s">
        <v>97</v>
      </c>
      <c r="BW2487" s="2" t="s">
        <v>3610</v>
      </c>
      <c r="BX2487" s="2" t="s">
        <v>9189</v>
      </c>
      <c r="BY2487" s="2" t="s">
        <v>112</v>
      </c>
      <c r="BZ2487" s="2" t="s">
        <v>100</v>
      </c>
    </row>
    <row r="2488">
      <c r="A2488" s="2" t="s">
        <v>9190</v>
      </c>
      <c r="B2488" s="2" t="s">
        <v>7252</v>
      </c>
      <c r="C2488" s="2" t="s">
        <v>88</v>
      </c>
      <c r="D2488" s="2" t="s">
        <v>9184</v>
      </c>
      <c r="E2488" s="2" t="s">
        <v>9185</v>
      </c>
      <c r="F2488" s="2" t="s">
        <v>3649</v>
      </c>
      <c r="G2488" s="2" t="s">
        <v>4243</v>
      </c>
      <c r="H2488" s="2" t="s">
        <v>8577</v>
      </c>
      <c r="I2488" s="2" t="s">
        <v>9186</v>
      </c>
      <c r="J2488" s="2" t="s">
        <v>6103</v>
      </c>
      <c r="K2488" s="2" t="s">
        <v>8582</v>
      </c>
      <c r="L2488" s="3">
        <v>180</v>
      </c>
      <c r="M2488" s="3">
        <v>189</v>
      </c>
      <c r="N2488" s="3">
        <v>379</v>
      </c>
      <c r="O2488" s="2" t="s">
        <v>97</v>
      </c>
      <c r="P2488" s="2" t="s">
        <v>182</v>
      </c>
      <c r="Q2488" s="2" t="s">
        <v>99</v>
      </c>
      <c r="R2488" s="2" t="s">
        <v>100</v>
      </c>
      <c r="S2488" s="2" t="s">
        <v>100</v>
      </c>
      <c r="T2488" s="2" t="s">
        <v>100</v>
      </c>
      <c r="U2488" s="2" t="s">
        <v>3531</v>
      </c>
      <c r="V2488" s="2" t="s">
        <v>601</v>
      </c>
      <c r="W2488" s="2" t="s">
        <v>2195</v>
      </c>
      <c r="X2488" s="2" t="s">
        <v>602</v>
      </c>
      <c r="Y2488" s="2" t="s">
        <v>3610</v>
      </c>
      <c r="Z2488" s="4">
        <v>72</v>
      </c>
      <c r="AA2488" s="4">
        <f>=ROUNDDOWN(9,0)</f>
      </c>
      <c r="AB2488" s="5">
        <v>8</v>
      </c>
      <c r="AC2488" s="2" t="s">
        <v>746</v>
      </c>
      <c r="AD2488" s="4">
        <v>180</v>
      </c>
      <c r="AE2488" s="4">
        <v>180</v>
      </c>
      <c r="AF2488" s="6">
        <v>74</v>
      </c>
      <c r="AG2488" s="6">
        <v>60</v>
      </c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/>
      <c r="AW2488" s="8"/>
      <c r="AX2488" s="4"/>
      <c r="AY2488" s="8"/>
      <c r="AZ2488" s="7"/>
      <c r="BA2488" s="7"/>
      <c r="BB2488" s="7"/>
      <c r="BC2488" s="4" t="s">
        <v>100</v>
      </c>
      <c r="BD2488" s="8" t="s">
        <v>100</v>
      </c>
      <c r="BE2488" s="4" t="s">
        <v>100</v>
      </c>
      <c r="BF2488" s="8" t="s">
        <v>100</v>
      </c>
      <c r="BG2488" s="7" t="s">
        <v>100</v>
      </c>
      <c r="BH2488" s="7" t="s">
        <v>100</v>
      </c>
      <c r="BI2488" s="7"/>
      <c r="BJ2488" s="4">
        <v>166</v>
      </c>
      <c r="BK2488" s="8">
        <v>30212.72</v>
      </c>
      <c r="BL2488" s="2" t="s">
        <v>9191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6185</v>
      </c>
      <c r="BV2488" s="2" t="s">
        <v>97</v>
      </c>
      <c r="BW2488" s="2" t="s">
        <v>100</v>
      </c>
      <c r="BX2488" s="2" t="s">
        <v>100</v>
      </c>
      <c r="BY2488" s="2" t="s">
        <v>112</v>
      </c>
      <c r="BZ2488" s="2" t="s">
        <v>100</v>
      </c>
    </row>
    <row r="2489">
      <c r="A2489" s="2" t="s">
        <v>9192</v>
      </c>
      <c r="B2489" s="2" t="s">
        <v>7252</v>
      </c>
      <c r="C2489" s="2" t="s">
        <v>88</v>
      </c>
      <c r="D2489" s="2" t="s">
        <v>9184</v>
      </c>
      <c r="E2489" s="2" t="s">
        <v>9185</v>
      </c>
      <c r="F2489" s="2" t="s">
        <v>9193</v>
      </c>
      <c r="G2489" s="2" t="s">
        <v>9194</v>
      </c>
      <c r="H2489" s="2" t="s">
        <v>9195</v>
      </c>
      <c r="I2489" s="2" t="s">
        <v>9196</v>
      </c>
      <c r="J2489" s="2" t="s">
        <v>6103</v>
      </c>
      <c r="K2489" s="2" t="s">
        <v>333</v>
      </c>
      <c r="L2489" s="3">
        <v>239</v>
      </c>
      <c r="M2489" s="3">
        <v>250.95</v>
      </c>
      <c r="N2489" s="3">
        <v>499</v>
      </c>
      <c r="O2489" s="2" t="s">
        <v>229</v>
      </c>
      <c r="P2489" s="2" t="s">
        <v>198</v>
      </c>
      <c r="Q2489" s="2" t="s">
        <v>99</v>
      </c>
      <c r="R2489" s="2" t="s">
        <v>100</v>
      </c>
      <c r="S2489" s="2" t="s">
        <v>100</v>
      </c>
      <c r="T2489" s="2" t="s">
        <v>100</v>
      </c>
      <c r="U2489" s="2" t="s">
        <v>100</v>
      </c>
      <c r="V2489" s="2" t="s">
        <v>1752</v>
      </c>
      <c r="W2489" s="2" t="s">
        <v>104</v>
      </c>
      <c r="X2489" s="2" t="s">
        <v>6998</v>
      </c>
      <c r="Y2489" s="2" t="s">
        <v>9197</v>
      </c>
      <c r="Z2489" s="4">
        <v>55</v>
      </c>
      <c r="AA2489" s="4">
        <f>=ROUNDDOWN(550,0)</f>
      </c>
      <c r="AB2489" s="5">
        <v>0.1</v>
      </c>
      <c r="AC2489" s="2" t="s">
        <v>100</v>
      </c>
      <c r="AD2489" s="4"/>
      <c r="AE2489" s="4"/>
      <c r="AF2489" s="6">
        <v>65</v>
      </c>
      <c r="AG2489" s="6"/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/>
      <c r="AW2489" s="8"/>
      <c r="AX2489" s="4"/>
      <c r="AY2489" s="8"/>
      <c r="AZ2489" s="7"/>
      <c r="BA2489" s="7"/>
      <c r="BB2489" s="7"/>
      <c r="BC2489" s="4"/>
      <c r="BD2489" s="8"/>
      <c r="BE2489" s="4"/>
      <c r="BF2489" s="8"/>
      <c r="BG2489" s="7"/>
      <c r="BH2489" s="7"/>
      <c r="BI2489" s="7"/>
      <c r="BJ2489" s="4">
        <v>10</v>
      </c>
      <c r="BK2489" s="8">
        <v>2371.72</v>
      </c>
      <c r="BL2489" s="2" t="s">
        <v>9198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147</v>
      </c>
      <c r="BV2489" s="2" t="s">
        <v>97</v>
      </c>
      <c r="BW2489" s="2" t="s">
        <v>100</v>
      </c>
      <c r="BX2489" s="2" t="s">
        <v>100</v>
      </c>
      <c r="BY2489" s="2" t="s">
        <v>112</v>
      </c>
      <c r="BZ2489" s="2" t="s">
        <v>100</v>
      </c>
    </row>
    <row r="2490">
      <c r="A2490" s="2" t="s">
        <v>9199</v>
      </c>
      <c r="B2490" s="2" t="s">
        <v>7252</v>
      </c>
      <c r="C2490" s="2" t="s">
        <v>88</v>
      </c>
      <c r="D2490" s="2" t="s">
        <v>9184</v>
      </c>
      <c r="E2490" s="2" t="s">
        <v>9185</v>
      </c>
      <c r="F2490" s="2" t="s">
        <v>9200</v>
      </c>
      <c r="G2490" s="2" t="s">
        <v>9201</v>
      </c>
      <c r="H2490" s="2" t="s">
        <v>9202</v>
      </c>
      <c r="I2490" s="2" t="s">
        <v>9185</v>
      </c>
      <c r="J2490" s="2" t="s">
        <v>6103</v>
      </c>
      <c r="K2490" s="2" t="s">
        <v>9203</v>
      </c>
      <c r="L2490" s="3">
        <v>225</v>
      </c>
      <c r="M2490" s="3">
        <v>236.25</v>
      </c>
      <c r="N2490" s="3">
        <v>469</v>
      </c>
      <c r="O2490" s="2" t="s">
        <v>229</v>
      </c>
      <c r="P2490" s="2" t="s">
        <v>198</v>
      </c>
      <c r="Q2490" s="2" t="s">
        <v>99</v>
      </c>
      <c r="R2490" s="2" t="s">
        <v>100</v>
      </c>
      <c r="S2490" s="2" t="s">
        <v>100</v>
      </c>
      <c r="T2490" s="2" t="s">
        <v>100</v>
      </c>
      <c r="U2490" s="2" t="s">
        <v>3531</v>
      </c>
      <c r="V2490" s="2" t="s">
        <v>601</v>
      </c>
      <c r="W2490" s="2" t="s">
        <v>6998</v>
      </c>
      <c r="X2490" s="2" t="s">
        <v>100</v>
      </c>
      <c r="Y2490" s="2" t="s">
        <v>8604</v>
      </c>
      <c r="Z2490" s="4">
        <v>8</v>
      </c>
      <c r="AA2490" s="4">
        <f>=ROUNDDOWN(80,0)</f>
      </c>
      <c r="AB2490" s="5">
        <v>0.1</v>
      </c>
      <c r="AC2490" s="2" t="s">
        <v>100</v>
      </c>
      <c r="AD2490" s="4"/>
      <c r="AE2490" s="4"/>
      <c r="AF2490" s="6">
        <v>74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/>
      <c r="AW2490" s="8"/>
      <c r="AX2490" s="4"/>
      <c r="AY2490" s="8"/>
      <c r="AZ2490" s="7"/>
      <c r="BA2490" s="7"/>
      <c r="BB2490" s="7"/>
      <c r="BC2490" s="4"/>
      <c r="BD2490" s="8"/>
      <c r="BE2490" s="4"/>
      <c r="BF2490" s="8"/>
      <c r="BG2490" s="7"/>
      <c r="BH2490" s="7"/>
      <c r="BI2490" s="7"/>
      <c r="BJ2490" s="4">
        <v>12</v>
      </c>
      <c r="BK2490" s="8">
        <v>2044.26</v>
      </c>
      <c r="BL2490" s="2" t="s">
        <v>7682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147</v>
      </c>
      <c r="BV2490" s="2" t="s">
        <v>97</v>
      </c>
      <c r="BW2490" s="2" t="s">
        <v>100</v>
      </c>
      <c r="BX2490" s="2" t="s">
        <v>100</v>
      </c>
      <c r="BY2490" s="2" t="s">
        <v>112</v>
      </c>
      <c r="BZ2490" s="2" t="s">
        <v>100</v>
      </c>
    </row>
    <row r="2491">
      <c r="A2491" s="2" t="s">
        <v>9204</v>
      </c>
      <c r="B2491" s="2" t="s">
        <v>7252</v>
      </c>
      <c r="C2491" s="2" t="s">
        <v>88</v>
      </c>
      <c r="D2491" s="2" t="s">
        <v>9205</v>
      </c>
      <c r="E2491" s="2" t="s">
        <v>9206</v>
      </c>
      <c r="F2491" s="2" t="s">
        <v>7816</v>
      </c>
      <c r="G2491" s="2" t="s">
        <v>7817</v>
      </c>
      <c r="H2491" s="2" t="s">
        <v>7818</v>
      </c>
      <c r="I2491" s="2" t="s">
        <v>9206</v>
      </c>
      <c r="J2491" s="2" t="s">
        <v>6103</v>
      </c>
      <c r="K2491" s="2" t="s">
        <v>333</v>
      </c>
      <c r="L2491" s="3">
        <v>320.51</v>
      </c>
      <c r="M2491" s="3">
        <v>336.54</v>
      </c>
      <c r="N2491" s="3">
        <v>669</v>
      </c>
      <c r="O2491" s="2" t="s">
        <v>229</v>
      </c>
      <c r="P2491" s="2" t="s">
        <v>198</v>
      </c>
      <c r="Q2491" s="2" t="s">
        <v>99</v>
      </c>
      <c r="R2491" s="2" t="s">
        <v>100</v>
      </c>
      <c r="S2491" s="2" t="s">
        <v>9207</v>
      </c>
      <c r="T2491" s="2" t="s">
        <v>100</v>
      </c>
      <c r="U2491" s="2" t="s">
        <v>3531</v>
      </c>
      <c r="V2491" s="2" t="s">
        <v>601</v>
      </c>
      <c r="W2491" s="2" t="s">
        <v>6998</v>
      </c>
      <c r="X2491" s="2" t="s">
        <v>100</v>
      </c>
      <c r="Y2491" s="2" t="s">
        <v>106</v>
      </c>
      <c r="Z2491" s="4">
        <v>342</v>
      </c>
      <c r="AA2491" s="4">
        <f>=ROUNDDOWN(122.142857142857,0)</f>
      </c>
      <c r="AB2491" s="5">
        <v>2.8</v>
      </c>
      <c r="AC2491" s="2" t="s">
        <v>100</v>
      </c>
      <c r="AD2491" s="4"/>
      <c r="AE2491" s="4"/>
      <c r="AF2491" s="6">
        <v>65</v>
      </c>
      <c r="AG2491" s="6">
        <v>48</v>
      </c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>
        <v>0</v>
      </c>
      <c r="AP2491" s="4">
        <v>1</v>
      </c>
      <c r="AQ2491" s="8">
        <v>336.54</v>
      </c>
      <c r="AR2491" s="4">
        <v>2</v>
      </c>
      <c r="AS2491" s="8">
        <v>673.08</v>
      </c>
      <c r="AT2491" s="7">
        <v>-0.5</v>
      </c>
      <c r="AU2491" s="7">
        <v>-0.5</v>
      </c>
      <c r="AV2491" s="4">
        <v>1</v>
      </c>
      <c r="AW2491" s="8">
        <v>336.54</v>
      </c>
      <c r="AX2491" s="4">
        <v>2</v>
      </c>
      <c r="AY2491" s="8">
        <v>673.08</v>
      </c>
      <c r="AZ2491" s="7">
        <v>-0.5</v>
      </c>
      <c r="BA2491" s="7">
        <v>-0.5</v>
      </c>
      <c r="BB2491" s="7">
        <v>1</v>
      </c>
      <c r="BC2491" s="4">
        <v>1</v>
      </c>
      <c r="BD2491" s="8">
        <v>336.54</v>
      </c>
      <c r="BE2491" s="4">
        <v>2</v>
      </c>
      <c r="BF2491" s="8">
        <v>673.08</v>
      </c>
      <c r="BG2491" s="7">
        <v>-0.5</v>
      </c>
      <c r="BH2491" s="7">
        <v>-0.5</v>
      </c>
      <c r="BI2491" s="7">
        <v>1</v>
      </c>
      <c r="BJ2491" s="4">
        <v>37</v>
      </c>
      <c r="BK2491" s="8">
        <v>9303.15</v>
      </c>
      <c r="BL2491" s="2" t="s">
        <v>9208</v>
      </c>
      <c r="BM2491" s="7">
        <v>0.027</v>
      </c>
      <c r="BN2491" s="7">
        <v>0.0362</v>
      </c>
      <c r="BO2491" s="4">
        <v>1</v>
      </c>
      <c r="BP2491" s="8">
        <v>336.54</v>
      </c>
      <c r="BQ2491" s="4">
        <v>2</v>
      </c>
      <c r="BR2491" s="8">
        <v>673.08</v>
      </c>
      <c r="BS2491" s="7">
        <v>-0.5</v>
      </c>
      <c r="BT2491" s="7">
        <v>-0.5</v>
      </c>
      <c r="BU2491" s="2" t="s">
        <v>109</v>
      </c>
      <c r="BV2491" s="2" t="s">
        <v>97</v>
      </c>
      <c r="BW2491" s="2" t="s">
        <v>8172</v>
      </c>
      <c r="BX2491" s="2" t="s">
        <v>5668</v>
      </c>
      <c r="BY2491" s="2" t="s">
        <v>112</v>
      </c>
      <c r="BZ2491" s="2" t="s">
        <v>100</v>
      </c>
    </row>
    <row r="2492">
      <c r="A2492" s="2" t="s">
        <v>9209</v>
      </c>
      <c r="B2492" s="2" t="s">
        <v>7252</v>
      </c>
      <c r="C2492" s="2" t="s">
        <v>88</v>
      </c>
      <c r="D2492" s="2" t="s">
        <v>9205</v>
      </c>
      <c r="E2492" s="2" t="s">
        <v>9206</v>
      </c>
      <c r="F2492" s="2" t="s">
        <v>869</v>
      </c>
      <c r="G2492" s="2" t="s">
        <v>5805</v>
      </c>
      <c r="H2492" s="2" t="s">
        <v>5909</v>
      </c>
      <c r="I2492" s="2" t="s">
        <v>9210</v>
      </c>
      <c r="J2492" s="2" t="s">
        <v>6103</v>
      </c>
      <c r="K2492" s="2" t="s">
        <v>7165</v>
      </c>
      <c r="L2492" s="3">
        <v>255.3</v>
      </c>
      <c r="M2492" s="3">
        <v>268.06</v>
      </c>
      <c r="N2492" s="3">
        <v>529</v>
      </c>
      <c r="O2492" s="2" t="s">
        <v>229</v>
      </c>
      <c r="P2492" s="2" t="s">
        <v>198</v>
      </c>
      <c r="Q2492" s="2" t="s">
        <v>99</v>
      </c>
      <c r="R2492" s="2" t="s">
        <v>100</v>
      </c>
      <c r="S2492" s="2" t="s">
        <v>100</v>
      </c>
      <c r="T2492" s="2" t="s">
        <v>100</v>
      </c>
      <c r="U2492" s="2" t="s">
        <v>3531</v>
      </c>
      <c r="V2492" s="2" t="s">
        <v>601</v>
      </c>
      <c r="W2492" s="2" t="s">
        <v>602</v>
      </c>
      <c r="X2492" s="2" t="s">
        <v>100</v>
      </c>
      <c r="Y2492" s="2" t="s">
        <v>8841</v>
      </c>
      <c r="Z2492" s="4">
        <v>190</v>
      </c>
      <c r="AA2492" s="4">
        <f>=ROUNDDOWN(190,0)</f>
      </c>
      <c r="AB2492" s="5">
        <v>1</v>
      </c>
      <c r="AC2492" s="2" t="s">
        <v>100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/>
      <c r="BD2492" s="8"/>
      <c r="BE2492" s="4"/>
      <c r="BF2492" s="8"/>
      <c r="BG2492" s="7"/>
      <c r="BH2492" s="7"/>
      <c r="BI2492" s="7"/>
      <c r="BJ2492" s="4">
        <v>10</v>
      </c>
      <c r="BK2492" s="8">
        <v>2373.83</v>
      </c>
      <c r="BL2492" s="2" t="s">
        <v>7456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147</v>
      </c>
      <c r="BV2492" s="2" t="s">
        <v>97</v>
      </c>
      <c r="BW2492" s="2" t="s">
        <v>100</v>
      </c>
      <c r="BX2492" s="2" t="s">
        <v>100</v>
      </c>
      <c r="BY2492" s="2" t="s">
        <v>112</v>
      </c>
      <c r="BZ2492" s="2" t="s">
        <v>100</v>
      </c>
    </row>
    <row r="2493">
      <c r="A2493" s="2" t="s">
        <v>9211</v>
      </c>
      <c r="B2493" s="2" t="s">
        <v>7252</v>
      </c>
      <c r="C2493" s="2" t="s">
        <v>88</v>
      </c>
      <c r="D2493" s="2" t="s">
        <v>9205</v>
      </c>
      <c r="E2493" s="2" t="s">
        <v>9206</v>
      </c>
      <c r="F2493" s="2" t="s">
        <v>9212</v>
      </c>
      <c r="G2493" s="2" t="s">
        <v>9213</v>
      </c>
      <c r="H2493" s="2" t="s">
        <v>9214</v>
      </c>
      <c r="I2493" s="2" t="s">
        <v>9210</v>
      </c>
      <c r="J2493" s="2" t="s">
        <v>6103</v>
      </c>
      <c r="K2493" s="2" t="s">
        <v>123</v>
      </c>
      <c r="L2493" s="3">
        <v>260</v>
      </c>
      <c r="M2493" s="3">
        <v>273</v>
      </c>
      <c r="N2493" s="3">
        <v>549</v>
      </c>
      <c r="O2493" s="2" t="s">
        <v>229</v>
      </c>
      <c r="P2493" s="2" t="s">
        <v>198</v>
      </c>
      <c r="Q2493" s="2" t="s">
        <v>99</v>
      </c>
      <c r="R2493" s="2" t="s">
        <v>100</v>
      </c>
      <c r="S2493" s="2" t="s">
        <v>100</v>
      </c>
      <c r="T2493" s="2" t="s">
        <v>100</v>
      </c>
      <c r="U2493" s="2" t="s">
        <v>3531</v>
      </c>
      <c r="V2493" s="2" t="s">
        <v>1752</v>
      </c>
      <c r="W2493" s="2" t="s">
        <v>6998</v>
      </c>
      <c r="X2493" s="2" t="s">
        <v>1288</v>
      </c>
      <c r="Y2493" s="2" t="s">
        <v>2302</v>
      </c>
      <c r="Z2493" s="4"/>
      <c r="AA2493" s="4">
        <f>=ROUNDDOWN({0},0)</f>
      </c>
      <c r="AB2493" s="5">
        <v>0.1</v>
      </c>
      <c r="AC2493" s="2" t="s">
        <v>100</v>
      </c>
      <c r="AD2493" s="4"/>
      <c r="AE2493" s="4"/>
      <c r="AF2493" s="6">
        <v>74</v>
      </c>
      <c r="AG2493" s="6"/>
      <c r="AH2493" s="7">
        <v>0.0121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>
        <v>0</v>
      </c>
      <c r="AP2493" s="4"/>
      <c r="AQ2493" s="8"/>
      <c r="AR2493" s="4">
        <v>13</v>
      </c>
      <c r="AS2493" s="8">
        <v>3549</v>
      </c>
      <c r="AT2493" s="7">
        <v>-1</v>
      </c>
      <c r="AU2493" s="7">
        <v>-1</v>
      </c>
      <c r="AV2493" s="4"/>
      <c r="AW2493" s="8"/>
      <c r="AX2493" s="4">
        <v>13</v>
      </c>
      <c r="AY2493" s="8">
        <v>3549</v>
      </c>
      <c r="AZ2493" s="7">
        <v>-1</v>
      </c>
      <c r="BA2493" s="7">
        <v>-1</v>
      </c>
      <c r="BB2493" s="7"/>
      <c r="BC2493" s="4"/>
      <c r="BD2493" s="8"/>
      <c r="BE2493" s="4">
        <v>13</v>
      </c>
      <c r="BF2493" s="8">
        <v>3549</v>
      </c>
      <c r="BG2493" s="7">
        <v>-1</v>
      </c>
      <c r="BH2493" s="7">
        <v>-1</v>
      </c>
      <c r="BI2493" s="7"/>
      <c r="BJ2493" s="4">
        <v>2</v>
      </c>
      <c r="BK2493" s="8">
        <v>402.73</v>
      </c>
      <c r="BL2493" s="2" t="s">
        <v>9215</v>
      </c>
      <c r="BM2493" s="7"/>
      <c r="BN2493" s="7"/>
      <c r="BO2493" s="4"/>
      <c r="BP2493" s="8"/>
      <c r="BQ2493" s="4">
        <v>13</v>
      </c>
      <c r="BR2493" s="8">
        <v>3549</v>
      </c>
      <c r="BS2493" s="7">
        <v>-1</v>
      </c>
      <c r="BT2493" s="7">
        <v>-1</v>
      </c>
      <c r="BU2493" s="2" t="s">
        <v>109</v>
      </c>
      <c r="BV2493" s="2" t="s">
        <v>552</v>
      </c>
      <c r="BW2493" s="2" t="s">
        <v>9216</v>
      </c>
      <c r="BX2493" s="2" t="s">
        <v>3603</v>
      </c>
      <c r="BY2493" s="2" t="s">
        <v>112</v>
      </c>
      <c r="BZ2493" s="2" t="s">
        <v>100</v>
      </c>
    </row>
    <row r="2494">
      <c r="A2494" s="2" t="s">
        <v>9217</v>
      </c>
      <c r="B2494" s="2" t="s">
        <v>7252</v>
      </c>
      <c r="C2494" s="2" t="s">
        <v>88</v>
      </c>
      <c r="D2494" s="2" t="s">
        <v>9205</v>
      </c>
      <c r="E2494" s="2" t="s">
        <v>9206</v>
      </c>
      <c r="F2494" s="2" t="s">
        <v>9090</v>
      </c>
      <c r="G2494" s="2" t="s">
        <v>9218</v>
      </c>
      <c r="H2494" s="2" t="s">
        <v>8981</v>
      </c>
      <c r="I2494" s="2" t="s">
        <v>9210</v>
      </c>
      <c r="J2494" s="2" t="s">
        <v>6103</v>
      </c>
      <c r="K2494" s="2" t="s">
        <v>9219</v>
      </c>
      <c r="L2494" s="3">
        <v>133.33</v>
      </c>
      <c r="M2494" s="3">
        <v>140</v>
      </c>
      <c r="N2494" s="3">
        <v>279</v>
      </c>
      <c r="O2494" s="2" t="s">
        <v>1148</v>
      </c>
      <c r="P2494" s="2" t="s">
        <v>198</v>
      </c>
      <c r="Q2494" s="2" t="s">
        <v>99</v>
      </c>
      <c r="R2494" s="2" t="s">
        <v>100</v>
      </c>
      <c r="S2494" s="2" t="s">
        <v>9220</v>
      </c>
      <c r="T2494" s="2" t="s">
        <v>100</v>
      </c>
      <c r="U2494" s="2" t="s">
        <v>100</v>
      </c>
      <c r="V2494" s="2" t="s">
        <v>601</v>
      </c>
      <c r="W2494" s="2" t="s">
        <v>6998</v>
      </c>
      <c r="X2494" s="2" t="s">
        <v>100</v>
      </c>
      <c r="Y2494" s="2" t="s">
        <v>5971</v>
      </c>
      <c r="Z2494" s="4"/>
      <c r="AA2494" s="4">
        <f>=ROUNDDOWN({0},0)</f>
      </c>
      <c r="AB2494" s="5"/>
      <c r="AC2494" s="2" t="s">
        <v>100</v>
      </c>
      <c r="AD2494" s="4"/>
      <c r="AE2494" s="4"/>
      <c r="AF2494" s="6"/>
      <c r="AG2494" s="6"/>
      <c r="AH2494" s="7">
        <v>0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>
        <v>0</v>
      </c>
      <c r="AP2494" s="4"/>
      <c r="AQ2494" s="8"/>
      <c r="AR2494" s="4"/>
      <c r="AS2494" s="8"/>
      <c r="AT2494" s="7"/>
      <c r="AU2494" s="7"/>
      <c r="AV2494" s="4"/>
      <c r="AW2494" s="8"/>
      <c r="AX2494" s="4"/>
      <c r="AY2494" s="8"/>
      <c r="AZ2494" s="7"/>
      <c r="BA2494" s="7"/>
      <c r="BB2494" s="7"/>
      <c r="BC2494" s="4"/>
      <c r="BD2494" s="8"/>
      <c r="BE2494" s="4"/>
      <c r="BF2494" s="8"/>
      <c r="BG2494" s="7"/>
      <c r="BH2494" s="7"/>
      <c r="BI2494" s="7"/>
      <c r="BJ2494" s="4"/>
      <c r="BK2494" s="8"/>
      <c r="BL2494" s="2" t="s">
        <v>100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147</v>
      </c>
      <c r="BV2494" s="2" t="s">
        <v>97</v>
      </c>
      <c r="BW2494" s="2" t="s">
        <v>100</v>
      </c>
      <c r="BX2494" s="2" t="s">
        <v>100</v>
      </c>
      <c r="BY2494" s="2" t="s">
        <v>112</v>
      </c>
      <c r="BZ2494" s="2" t="s">
        <v>100</v>
      </c>
    </row>
    <row r="2495">
      <c r="A2495" s="2" t="s">
        <v>9221</v>
      </c>
      <c r="B2495" s="2" t="s">
        <v>7252</v>
      </c>
      <c r="C2495" s="2" t="s">
        <v>88</v>
      </c>
      <c r="D2495" s="2" t="s">
        <v>9205</v>
      </c>
      <c r="E2495" s="2" t="s">
        <v>9206</v>
      </c>
      <c r="F2495" s="2" t="s">
        <v>9222</v>
      </c>
      <c r="G2495" s="2" t="s">
        <v>9223</v>
      </c>
      <c r="H2495" s="2" t="s">
        <v>3299</v>
      </c>
      <c r="I2495" s="2" t="s">
        <v>9224</v>
      </c>
      <c r="J2495" s="2" t="s">
        <v>6103</v>
      </c>
      <c r="K2495" s="2" t="s">
        <v>9225</v>
      </c>
      <c r="L2495" s="3">
        <v>208</v>
      </c>
      <c r="M2495" s="3">
        <v>218.4</v>
      </c>
      <c r="N2495" s="3">
        <v>439</v>
      </c>
      <c r="O2495" s="2" t="s">
        <v>229</v>
      </c>
      <c r="P2495" s="2" t="s">
        <v>198</v>
      </c>
      <c r="Q2495" s="2" t="s">
        <v>99</v>
      </c>
      <c r="R2495" s="2" t="s">
        <v>100</v>
      </c>
      <c r="S2495" s="2" t="s">
        <v>100</v>
      </c>
      <c r="T2495" s="2" t="s">
        <v>100</v>
      </c>
      <c r="U2495" s="2" t="s">
        <v>3531</v>
      </c>
      <c r="V2495" s="2" t="s">
        <v>1752</v>
      </c>
      <c r="W2495" s="2" t="s">
        <v>759</v>
      </c>
      <c r="X2495" s="2" t="s">
        <v>602</v>
      </c>
      <c r="Y2495" s="2" t="s">
        <v>7274</v>
      </c>
      <c r="Z2495" s="4">
        <v>202</v>
      </c>
      <c r="AA2495" s="4">
        <f>=ROUNDDOWN(2020,0)</f>
      </c>
      <c r="AB2495" s="5">
        <v>0.1</v>
      </c>
      <c r="AC2495" s="2" t="s">
        <v>100</v>
      </c>
      <c r="AD2495" s="4"/>
      <c r="AE2495" s="4"/>
      <c r="AF2495" s="6">
        <v>74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>
        <v>0</v>
      </c>
      <c r="AP2495" s="4"/>
      <c r="AQ2495" s="8"/>
      <c r="AR2495" s="4"/>
      <c r="AS2495" s="8"/>
      <c r="AT2495" s="7"/>
      <c r="AU2495" s="7"/>
      <c r="AV2495" s="4"/>
      <c r="AW2495" s="8"/>
      <c r="AX2495" s="4"/>
      <c r="AY2495" s="8"/>
      <c r="AZ2495" s="7"/>
      <c r="BA2495" s="7"/>
      <c r="BB2495" s="7"/>
      <c r="BC2495" s="4"/>
      <c r="BD2495" s="8"/>
      <c r="BE2495" s="4"/>
      <c r="BF2495" s="8"/>
      <c r="BG2495" s="7"/>
      <c r="BH2495" s="7"/>
      <c r="BI2495" s="7"/>
      <c r="BJ2495" s="4">
        <v>4</v>
      </c>
      <c r="BK2495" s="8">
        <v>792.79</v>
      </c>
      <c r="BL2495" s="2" t="s">
        <v>7456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147</v>
      </c>
      <c r="BV2495" s="2" t="s">
        <v>97</v>
      </c>
      <c r="BW2495" s="2" t="s">
        <v>100</v>
      </c>
      <c r="BX2495" s="2" t="s">
        <v>100</v>
      </c>
      <c r="BY2495" s="2" t="s">
        <v>112</v>
      </c>
      <c r="BZ2495" s="2" t="s">
        <v>100</v>
      </c>
    </row>
    <row r="2496">
      <c r="A2496" s="2" t="s">
        <v>9226</v>
      </c>
      <c r="B2496" s="2" t="s">
        <v>7252</v>
      </c>
      <c r="C2496" s="2" t="s">
        <v>88</v>
      </c>
      <c r="D2496" s="2" t="s">
        <v>9205</v>
      </c>
      <c r="E2496" s="2" t="s">
        <v>9206</v>
      </c>
      <c r="F2496" s="2" t="s">
        <v>3649</v>
      </c>
      <c r="G2496" s="2" t="s">
        <v>4243</v>
      </c>
      <c r="H2496" s="2" t="s">
        <v>8577</v>
      </c>
      <c r="I2496" s="2" t="s">
        <v>9206</v>
      </c>
      <c r="J2496" s="2" t="s">
        <v>6103</v>
      </c>
      <c r="K2496" s="2" t="s">
        <v>8578</v>
      </c>
      <c r="L2496" s="3">
        <v>166.32</v>
      </c>
      <c r="M2496" s="3">
        <v>174.64</v>
      </c>
      <c r="N2496" s="3">
        <v>349</v>
      </c>
      <c r="O2496" s="2" t="s">
        <v>97</v>
      </c>
      <c r="P2496" s="2" t="s">
        <v>182</v>
      </c>
      <c r="Q2496" s="2" t="s">
        <v>99</v>
      </c>
      <c r="R2496" s="2" t="s">
        <v>100</v>
      </c>
      <c r="S2496" s="2" t="s">
        <v>9227</v>
      </c>
      <c r="T2496" s="2" t="s">
        <v>100</v>
      </c>
      <c r="U2496" s="2" t="s">
        <v>100</v>
      </c>
      <c r="V2496" s="2" t="s">
        <v>601</v>
      </c>
      <c r="W2496" s="2" t="s">
        <v>2195</v>
      </c>
      <c r="X2496" s="2" t="s">
        <v>100</v>
      </c>
      <c r="Y2496" s="2" t="s">
        <v>106</v>
      </c>
      <c r="Z2496" s="4">
        <v>283</v>
      </c>
      <c r="AA2496" s="4">
        <f>=ROUNDDOWN(31.4444444444444,0)</f>
      </c>
      <c r="AB2496" s="5">
        <v>9</v>
      </c>
      <c r="AC2496" s="2" t="s">
        <v>100</v>
      </c>
      <c r="AD2496" s="4"/>
      <c r="AE2496" s="4"/>
      <c r="AF2496" s="6">
        <v>74</v>
      </c>
      <c r="AG2496" s="6">
        <v>60</v>
      </c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>
        <v>0</v>
      </c>
      <c r="AP2496" s="4"/>
      <c r="AQ2496" s="8"/>
      <c r="AR2496" s="4">
        <v>1</v>
      </c>
      <c r="AS2496" s="8">
        <v>194.04</v>
      </c>
      <c r="AT2496" s="7">
        <v>-1</v>
      </c>
      <c r="AU2496" s="7">
        <v>-1</v>
      </c>
      <c r="AV2496" s="4"/>
      <c r="AW2496" s="8"/>
      <c r="AX2496" s="4">
        <v>1</v>
      </c>
      <c r="AY2496" s="8">
        <v>194.04</v>
      </c>
      <c r="AZ2496" s="7">
        <v>-1</v>
      </c>
      <c r="BA2496" s="7">
        <v>-1</v>
      </c>
      <c r="BB2496" s="7"/>
      <c r="BC2496" s="4"/>
      <c r="BD2496" s="8"/>
      <c r="BE2496" s="4">
        <v>1</v>
      </c>
      <c r="BF2496" s="8">
        <v>194.04</v>
      </c>
      <c r="BG2496" s="7">
        <v>-1</v>
      </c>
      <c r="BH2496" s="7">
        <v>-1</v>
      </c>
      <c r="BI2496" s="7"/>
      <c r="BJ2496" s="4">
        <v>188</v>
      </c>
      <c r="BK2496" s="8">
        <v>28235.46</v>
      </c>
      <c r="BL2496" s="2" t="s">
        <v>9228</v>
      </c>
      <c r="BM2496" s="7"/>
      <c r="BN2496" s="7"/>
      <c r="BO2496" s="4"/>
      <c r="BP2496" s="8"/>
      <c r="BQ2496" s="4">
        <v>1</v>
      </c>
      <c r="BR2496" s="8">
        <v>194.04</v>
      </c>
      <c r="BS2496" s="7">
        <v>-1</v>
      </c>
      <c r="BT2496" s="7">
        <v>-1</v>
      </c>
      <c r="BU2496" s="2" t="s">
        <v>109</v>
      </c>
      <c r="BV2496" s="2" t="s">
        <v>97</v>
      </c>
      <c r="BW2496" s="2" t="s">
        <v>7307</v>
      </c>
      <c r="BX2496" s="2" t="s">
        <v>2026</v>
      </c>
      <c r="BY2496" s="2" t="s">
        <v>112</v>
      </c>
      <c r="BZ2496" s="2" t="s">
        <v>100</v>
      </c>
    </row>
    <row r="2497">
      <c r="A2497" s="2" t="s">
        <v>9229</v>
      </c>
      <c r="B2497" s="2" t="s">
        <v>7252</v>
      </c>
      <c r="C2497" s="2" t="s">
        <v>88</v>
      </c>
      <c r="D2497" s="2" t="s">
        <v>9205</v>
      </c>
      <c r="E2497" s="2" t="s">
        <v>9206</v>
      </c>
      <c r="F2497" s="2" t="s">
        <v>9230</v>
      </c>
      <c r="G2497" s="2" t="s">
        <v>7908</v>
      </c>
      <c r="H2497" s="2" t="s">
        <v>9231</v>
      </c>
      <c r="I2497" s="2" t="s">
        <v>9232</v>
      </c>
      <c r="J2497" s="2" t="s">
        <v>6103</v>
      </c>
      <c r="K2497" s="2" t="s">
        <v>9233</v>
      </c>
      <c r="L2497" s="3">
        <v>175</v>
      </c>
      <c r="M2497" s="3">
        <v>183.75</v>
      </c>
      <c r="N2497" s="3">
        <v>369</v>
      </c>
      <c r="O2497" s="2" t="s">
        <v>229</v>
      </c>
      <c r="P2497" s="2" t="s">
        <v>198</v>
      </c>
      <c r="Q2497" s="2" t="s">
        <v>99</v>
      </c>
      <c r="R2497" s="2" t="s">
        <v>100</v>
      </c>
      <c r="S2497" s="2" t="s">
        <v>9234</v>
      </c>
      <c r="T2497" s="2" t="s">
        <v>100</v>
      </c>
      <c r="U2497" s="2" t="s">
        <v>100</v>
      </c>
      <c r="V2497" s="2" t="s">
        <v>601</v>
      </c>
      <c r="W2497" s="2" t="s">
        <v>405</v>
      </c>
      <c r="X2497" s="2" t="s">
        <v>100</v>
      </c>
      <c r="Y2497" s="2" t="s">
        <v>106</v>
      </c>
      <c r="Z2497" s="4">
        <v>65</v>
      </c>
      <c r="AA2497" s="4">
        <f>=ROUNDDOWN(21.6666666666667,0)</f>
      </c>
      <c r="AB2497" s="5">
        <v>3</v>
      </c>
      <c r="AC2497" s="2" t="s">
        <v>100</v>
      </c>
      <c r="AD2497" s="4"/>
      <c r="AE2497" s="4"/>
      <c r="AF2497" s="6">
        <v>74</v>
      </c>
      <c r="AG2497" s="6">
        <v>60</v>
      </c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100</v>
      </c>
      <c r="BD2497" s="8" t="s">
        <v>100</v>
      </c>
      <c r="BE2497" s="4">
        <v>1</v>
      </c>
      <c r="BF2497" s="8">
        <v>183.75</v>
      </c>
      <c r="BG2497" s="7" t="s">
        <v>100</v>
      </c>
      <c r="BH2497" s="7" t="s">
        <v>100</v>
      </c>
      <c r="BI2497" s="7"/>
      <c r="BJ2497" s="4">
        <v>101</v>
      </c>
      <c r="BK2497" s="8">
        <v>11894.35</v>
      </c>
      <c r="BL2497" s="2" t="s">
        <v>9235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109</v>
      </c>
      <c r="BV2497" s="2" t="s">
        <v>97</v>
      </c>
      <c r="BW2497" s="2" t="s">
        <v>7307</v>
      </c>
      <c r="BX2497" s="2" t="s">
        <v>100</v>
      </c>
      <c r="BY2497" s="2" t="s">
        <v>112</v>
      </c>
      <c r="BZ2497" s="2" t="s">
        <v>100</v>
      </c>
    </row>
    <row r="2498">
      <c r="A2498" s="2" t="s">
        <v>9236</v>
      </c>
      <c r="B2498" s="2" t="s">
        <v>7252</v>
      </c>
      <c r="C2498" s="2" t="s">
        <v>88</v>
      </c>
      <c r="D2498" s="2" t="s">
        <v>9205</v>
      </c>
      <c r="E2498" s="2" t="s">
        <v>9206</v>
      </c>
      <c r="F2498" s="2" t="s">
        <v>9230</v>
      </c>
      <c r="G2498" s="2" t="s">
        <v>7908</v>
      </c>
      <c r="H2498" s="2" t="s">
        <v>9231</v>
      </c>
      <c r="I2498" s="2" t="s">
        <v>9232</v>
      </c>
      <c r="J2498" s="2" t="s">
        <v>6103</v>
      </c>
      <c r="K2498" s="2" t="s">
        <v>9237</v>
      </c>
      <c r="L2498" s="3">
        <v>175</v>
      </c>
      <c r="M2498" s="3">
        <v>183.75</v>
      </c>
      <c r="N2498" s="3">
        <v>369</v>
      </c>
      <c r="O2498" s="2" t="s">
        <v>229</v>
      </c>
      <c r="P2498" s="2" t="s">
        <v>198</v>
      </c>
      <c r="Q2498" s="2" t="s">
        <v>99</v>
      </c>
      <c r="R2498" s="2" t="s">
        <v>100</v>
      </c>
      <c r="S2498" s="2" t="s">
        <v>9238</v>
      </c>
      <c r="T2498" s="2" t="s">
        <v>100</v>
      </c>
      <c r="U2498" s="2" t="s">
        <v>3531</v>
      </c>
      <c r="V2498" s="2" t="s">
        <v>601</v>
      </c>
      <c r="W2498" s="2" t="s">
        <v>104</v>
      </c>
      <c r="X2498" s="2" t="s">
        <v>100</v>
      </c>
      <c r="Y2498" s="2" t="s">
        <v>9239</v>
      </c>
      <c r="Z2498" s="4">
        <v>121</v>
      </c>
      <c r="AA2498" s="4">
        <f>=ROUNDDOWN(36.6666666666667,0)</f>
      </c>
      <c r="AB2498" s="5">
        <v>3.3</v>
      </c>
      <c r="AC2498" s="2" t="s">
        <v>100</v>
      </c>
      <c r="AD2498" s="4"/>
      <c r="AE2498" s="4"/>
      <c r="AF2498" s="6">
        <v>74</v>
      </c>
      <c r="AG2498" s="6">
        <v>60</v>
      </c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>
        <v>0</v>
      </c>
      <c r="AP2498" s="4"/>
      <c r="AQ2498" s="8"/>
      <c r="AR2498" s="4">
        <v>1</v>
      </c>
      <c r="AS2498" s="8">
        <v>183.75</v>
      </c>
      <c r="AT2498" s="7">
        <v>-1</v>
      </c>
      <c r="AU2498" s="7">
        <v>-1</v>
      </c>
      <c r="AV2498" s="4"/>
      <c r="AW2498" s="8"/>
      <c r="AX2498" s="4">
        <v>1</v>
      </c>
      <c r="AY2498" s="8">
        <v>183.75</v>
      </c>
      <c r="AZ2498" s="7">
        <v>-1</v>
      </c>
      <c r="BA2498" s="7">
        <v>-1</v>
      </c>
      <c r="BB2498" s="7"/>
      <c r="BC2498" s="4" t="s">
        <v>100</v>
      </c>
      <c r="BD2498" s="8" t="s">
        <v>100</v>
      </c>
      <c r="BE2498" s="4" t="s">
        <v>100</v>
      </c>
      <c r="BF2498" s="8" t="s">
        <v>100</v>
      </c>
      <c r="BG2498" s="7" t="s">
        <v>100</v>
      </c>
      <c r="BH2498" s="7" t="s">
        <v>100</v>
      </c>
      <c r="BI2498" s="7"/>
      <c r="BJ2498" s="4">
        <v>73</v>
      </c>
      <c r="BK2498" s="8">
        <v>7898.52</v>
      </c>
      <c r="BL2498" s="2" t="s">
        <v>7926</v>
      </c>
      <c r="BM2498" s="7"/>
      <c r="BN2498" s="7"/>
      <c r="BO2498" s="4"/>
      <c r="BP2498" s="8"/>
      <c r="BQ2498" s="4">
        <v>1</v>
      </c>
      <c r="BR2498" s="8">
        <v>183.75</v>
      </c>
      <c r="BS2498" s="7">
        <v>-1</v>
      </c>
      <c r="BT2498" s="7">
        <v>-1</v>
      </c>
      <c r="BU2498" s="2" t="s">
        <v>109</v>
      </c>
      <c r="BV2498" s="2" t="s">
        <v>97</v>
      </c>
      <c r="BW2498" s="2" t="s">
        <v>7307</v>
      </c>
      <c r="BX2498" s="2" t="s">
        <v>4754</v>
      </c>
      <c r="BY2498" s="2" t="s">
        <v>112</v>
      </c>
      <c r="BZ2498" s="2" t="s">
        <v>100</v>
      </c>
    </row>
    <row r="2499">
      <c r="A2499" s="2" t="s">
        <v>9240</v>
      </c>
      <c r="B2499" s="2" t="s">
        <v>7252</v>
      </c>
      <c r="C2499" s="2" t="s">
        <v>88</v>
      </c>
      <c r="D2499" s="2" t="s">
        <v>9205</v>
      </c>
      <c r="E2499" s="2" t="s">
        <v>9206</v>
      </c>
      <c r="F2499" s="2" t="s">
        <v>9241</v>
      </c>
      <c r="G2499" s="2" t="s">
        <v>9242</v>
      </c>
      <c r="H2499" s="2" t="s">
        <v>9243</v>
      </c>
      <c r="I2499" s="2" t="s">
        <v>9244</v>
      </c>
      <c r="J2499" s="2" t="s">
        <v>6103</v>
      </c>
      <c r="K2499" s="2" t="s">
        <v>8622</v>
      </c>
      <c r="L2499" s="3">
        <v>121.43</v>
      </c>
      <c r="M2499" s="3">
        <v>127.5</v>
      </c>
      <c r="N2499" s="3">
        <v>254</v>
      </c>
      <c r="O2499" s="2" t="s">
        <v>1148</v>
      </c>
      <c r="P2499" s="2" t="s">
        <v>198</v>
      </c>
      <c r="Q2499" s="2" t="s">
        <v>99</v>
      </c>
      <c r="R2499" s="2" t="s">
        <v>100</v>
      </c>
      <c r="S2499" s="2" t="s">
        <v>9245</v>
      </c>
      <c r="T2499" s="2" t="s">
        <v>100</v>
      </c>
      <c r="U2499" s="2" t="s">
        <v>100</v>
      </c>
      <c r="V2499" s="2" t="s">
        <v>601</v>
      </c>
      <c r="W2499" s="2" t="s">
        <v>405</v>
      </c>
      <c r="X2499" s="2" t="s">
        <v>100</v>
      </c>
      <c r="Y2499" s="2" t="s">
        <v>106</v>
      </c>
      <c r="Z2499" s="4"/>
      <c r="AA2499" s="4">
        <f>=ROUNDDOWN({0},0)</f>
      </c>
      <c r="AB2499" s="5"/>
      <c r="AC2499" s="2" t="s">
        <v>100</v>
      </c>
      <c r="AD2499" s="4"/>
      <c r="AE2499" s="4"/>
      <c r="AF2499" s="6"/>
      <c r="AG2499" s="6"/>
      <c r="AH2499" s="7">
        <v>0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/>
      <c r="AW2499" s="8"/>
      <c r="AX2499" s="4"/>
      <c r="AY2499" s="8"/>
      <c r="AZ2499" s="7"/>
      <c r="BA2499" s="7"/>
      <c r="BB2499" s="7"/>
      <c r="BC2499" s="4"/>
      <c r="BD2499" s="8"/>
      <c r="BE2499" s="4"/>
      <c r="BF2499" s="8"/>
      <c r="BG2499" s="7"/>
      <c r="BH2499" s="7"/>
      <c r="BI2499" s="7"/>
      <c r="BJ2499" s="4"/>
      <c r="BK2499" s="8"/>
      <c r="BL2499" s="2" t="s">
        <v>100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147</v>
      </c>
      <c r="BV2499" s="2" t="s">
        <v>97</v>
      </c>
      <c r="BW2499" s="2" t="s">
        <v>100</v>
      </c>
      <c r="BX2499" s="2" t="s">
        <v>100</v>
      </c>
      <c r="BY2499" s="2" t="s">
        <v>112</v>
      </c>
      <c r="BZ2499" s="2" t="s">
        <v>100</v>
      </c>
    </row>
    <row r="2500">
      <c r="A2500" s="2" t="s">
        <v>9246</v>
      </c>
      <c r="B2500" s="2" t="s">
        <v>7252</v>
      </c>
      <c r="C2500" s="2" t="s">
        <v>88</v>
      </c>
      <c r="D2500" s="2" t="s">
        <v>9247</v>
      </c>
      <c r="E2500" s="2" t="s">
        <v>9248</v>
      </c>
      <c r="F2500" s="2" t="s">
        <v>9249</v>
      </c>
      <c r="G2500" s="2" t="s">
        <v>9250</v>
      </c>
      <c r="H2500" s="2" t="s">
        <v>9251</v>
      </c>
      <c r="I2500" s="2" t="s">
        <v>9248</v>
      </c>
      <c r="J2500" s="2" t="s">
        <v>6103</v>
      </c>
      <c r="K2500" s="2" t="s">
        <v>9252</v>
      </c>
      <c r="L2500" s="3">
        <v>360</v>
      </c>
      <c r="M2500" s="3">
        <v>378</v>
      </c>
      <c r="N2500" s="3">
        <v>749</v>
      </c>
      <c r="O2500" s="2" t="s">
        <v>97</v>
      </c>
      <c r="P2500" s="2" t="s">
        <v>143</v>
      </c>
      <c r="Q2500" s="2" t="s">
        <v>99</v>
      </c>
      <c r="R2500" s="2" t="s">
        <v>100</v>
      </c>
      <c r="S2500" s="2" t="s">
        <v>9253</v>
      </c>
      <c r="T2500" s="2" t="s">
        <v>100</v>
      </c>
      <c r="U2500" s="2" t="s">
        <v>3531</v>
      </c>
      <c r="V2500" s="2" t="s">
        <v>601</v>
      </c>
      <c r="W2500" s="2" t="s">
        <v>1288</v>
      </c>
      <c r="X2500" s="2" t="s">
        <v>104</v>
      </c>
      <c r="Y2500" s="2" t="s">
        <v>4883</v>
      </c>
      <c r="Z2500" s="4">
        <v>317</v>
      </c>
      <c r="AA2500" s="4">
        <f>=ROUNDDOWN(24.3846153846154,0)</f>
      </c>
      <c r="AB2500" s="5">
        <v>13</v>
      </c>
      <c r="AC2500" s="2" t="s">
        <v>3872</v>
      </c>
      <c r="AD2500" s="4">
        <v>162</v>
      </c>
      <c r="AE2500" s="4">
        <v>162</v>
      </c>
      <c r="AF2500" s="6">
        <v>66</v>
      </c>
      <c r="AG2500" s="6">
        <v>49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>
        <v>0</v>
      </c>
      <c r="AP2500" s="4">
        <v>1</v>
      </c>
      <c r="AQ2500" s="8">
        <v>325.5</v>
      </c>
      <c r="AR2500" s="4">
        <v>20</v>
      </c>
      <c r="AS2500" s="8">
        <v>5284.21</v>
      </c>
      <c r="AT2500" s="7">
        <v>-0.95</v>
      </c>
      <c r="AU2500" s="7">
        <v>-0.9384</v>
      </c>
      <c r="AV2500" s="4">
        <v>1</v>
      </c>
      <c r="AW2500" s="8">
        <v>325.5</v>
      </c>
      <c r="AX2500" s="4">
        <v>20</v>
      </c>
      <c r="AY2500" s="8">
        <v>5284.21</v>
      </c>
      <c r="AZ2500" s="7">
        <v>-0.95</v>
      </c>
      <c r="BA2500" s="7">
        <v>-0.9384</v>
      </c>
      <c r="BB2500" s="7">
        <v>1</v>
      </c>
      <c r="BC2500" s="4">
        <v>1</v>
      </c>
      <c r="BD2500" s="8">
        <v>325.5</v>
      </c>
      <c r="BE2500" s="4">
        <v>20</v>
      </c>
      <c r="BF2500" s="8">
        <v>5284.21</v>
      </c>
      <c r="BG2500" s="7">
        <v>-0.95</v>
      </c>
      <c r="BH2500" s="7">
        <v>-0.9384</v>
      </c>
      <c r="BI2500" s="7">
        <v>1</v>
      </c>
      <c r="BJ2500" s="4">
        <v>269</v>
      </c>
      <c r="BK2500" s="8">
        <v>98604.66</v>
      </c>
      <c r="BL2500" s="2" t="s">
        <v>9254</v>
      </c>
      <c r="BM2500" s="7">
        <v>0.0037</v>
      </c>
      <c r="BN2500" s="7">
        <v>0.0033</v>
      </c>
      <c r="BO2500" s="4">
        <v>1</v>
      </c>
      <c r="BP2500" s="8">
        <v>325.5</v>
      </c>
      <c r="BQ2500" s="4">
        <v>20</v>
      </c>
      <c r="BR2500" s="8">
        <v>5284.21</v>
      </c>
      <c r="BS2500" s="7">
        <v>-0.95</v>
      </c>
      <c r="BT2500" s="7">
        <v>-0.9384</v>
      </c>
      <c r="BU2500" s="2" t="s">
        <v>109</v>
      </c>
      <c r="BV2500" s="2" t="s">
        <v>97</v>
      </c>
      <c r="BW2500" s="2" t="s">
        <v>7307</v>
      </c>
      <c r="BX2500" s="2" t="s">
        <v>1116</v>
      </c>
      <c r="BY2500" s="2" t="s">
        <v>112</v>
      </c>
      <c r="BZ2500" s="2" t="s">
        <v>100</v>
      </c>
    </row>
    <row r="2501">
      <c r="A2501" s="2" t="s">
        <v>9255</v>
      </c>
      <c r="B2501" s="2" t="s">
        <v>7252</v>
      </c>
      <c r="C2501" s="2" t="s">
        <v>88</v>
      </c>
      <c r="D2501" s="2" t="s">
        <v>9247</v>
      </c>
      <c r="E2501" s="2" t="s">
        <v>9248</v>
      </c>
      <c r="F2501" s="2" t="s">
        <v>4243</v>
      </c>
      <c r="G2501" s="2" t="s">
        <v>3906</v>
      </c>
      <c r="H2501" s="2" t="s">
        <v>3648</v>
      </c>
      <c r="I2501" s="2" t="s">
        <v>9256</v>
      </c>
      <c r="J2501" s="2" t="s">
        <v>6103</v>
      </c>
      <c r="K2501" s="2" t="s">
        <v>2031</v>
      </c>
      <c r="L2501" s="3">
        <v>231.88</v>
      </c>
      <c r="M2501" s="3">
        <v>243.47</v>
      </c>
      <c r="N2501" s="3">
        <v>479</v>
      </c>
      <c r="O2501" s="2" t="s">
        <v>229</v>
      </c>
      <c r="P2501" s="2" t="s">
        <v>198</v>
      </c>
      <c r="Q2501" s="2" t="s">
        <v>99</v>
      </c>
      <c r="R2501" s="2" t="s">
        <v>100</v>
      </c>
      <c r="S2501" s="2" t="s">
        <v>9257</v>
      </c>
      <c r="T2501" s="2" t="s">
        <v>100</v>
      </c>
      <c r="U2501" s="2" t="s">
        <v>100</v>
      </c>
      <c r="V2501" s="2" t="s">
        <v>601</v>
      </c>
      <c r="W2501" s="2" t="s">
        <v>104</v>
      </c>
      <c r="X2501" s="2" t="s">
        <v>100</v>
      </c>
      <c r="Y2501" s="2" t="s">
        <v>7513</v>
      </c>
      <c r="Z2501" s="4">
        <v>72</v>
      </c>
      <c r="AA2501" s="4">
        <f>=ROUNDDOWN(24.8275862068965,0)</f>
      </c>
      <c r="AB2501" s="5">
        <v>2.9</v>
      </c>
      <c r="AC2501" s="2" t="s">
        <v>100</v>
      </c>
      <c r="AD2501" s="4"/>
      <c r="AE2501" s="4"/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/>
      <c r="AW2501" s="8"/>
      <c r="AX2501" s="4"/>
      <c r="AY2501" s="8"/>
      <c r="AZ2501" s="7"/>
      <c r="BA2501" s="7"/>
      <c r="BB2501" s="7"/>
      <c r="BC2501" s="4"/>
      <c r="BD2501" s="8"/>
      <c r="BE2501" s="4"/>
      <c r="BF2501" s="8"/>
      <c r="BG2501" s="7"/>
      <c r="BH2501" s="7"/>
      <c r="BI2501" s="7"/>
      <c r="BJ2501" s="4">
        <v>38</v>
      </c>
      <c r="BK2501" s="8">
        <v>6134.15</v>
      </c>
      <c r="BL2501" s="2" t="s">
        <v>9258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147</v>
      </c>
      <c r="BV2501" s="2" t="s">
        <v>97</v>
      </c>
      <c r="BW2501" s="2" t="s">
        <v>100</v>
      </c>
      <c r="BX2501" s="2" t="s">
        <v>100</v>
      </c>
      <c r="BY2501" s="2" t="s">
        <v>112</v>
      </c>
      <c r="BZ2501" s="2" t="s">
        <v>100</v>
      </c>
    </row>
    <row r="2502">
      <c r="A2502" s="2" t="s">
        <v>9259</v>
      </c>
      <c r="B2502" s="2" t="s">
        <v>7252</v>
      </c>
      <c r="C2502" s="2" t="s">
        <v>88</v>
      </c>
      <c r="D2502" s="2" t="s">
        <v>9247</v>
      </c>
      <c r="E2502" s="2" t="s">
        <v>9248</v>
      </c>
      <c r="F2502" s="2" t="s">
        <v>1682</v>
      </c>
      <c r="G2502" s="2" t="s">
        <v>9260</v>
      </c>
      <c r="H2502" s="2" t="s">
        <v>9261</v>
      </c>
      <c r="I2502" s="2" t="s">
        <v>9262</v>
      </c>
      <c r="J2502" s="2" t="s">
        <v>6103</v>
      </c>
      <c r="K2502" s="2" t="s">
        <v>9263</v>
      </c>
      <c r="L2502" s="3">
        <v>161.9</v>
      </c>
      <c r="M2502" s="3">
        <v>170</v>
      </c>
      <c r="N2502" s="3">
        <v>339</v>
      </c>
      <c r="O2502" s="2" t="s">
        <v>550</v>
      </c>
      <c r="P2502" s="2" t="s">
        <v>198</v>
      </c>
      <c r="Q2502" s="2" t="s">
        <v>99</v>
      </c>
      <c r="R2502" s="2" t="s">
        <v>100</v>
      </c>
      <c r="S2502" s="2" t="s">
        <v>9264</v>
      </c>
      <c r="T2502" s="2" t="s">
        <v>100</v>
      </c>
      <c r="U2502" s="2" t="s">
        <v>100</v>
      </c>
      <c r="V2502" s="2" t="s">
        <v>601</v>
      </c>
      <c r="W2502" s="2" t="s">
        <v>405</v>
      </c>
      <c r="X2502" s="2" t="s">
        <v>100</v>
      </c>
      <c r="Y2502" s="2" t="s">
        <v>106</v>
      </c>
      <c r="Z2502" s="4"/>
      <c r="AA2502" s="4">
        <f>=ROUNDDOWN({0},0)</f>
      </c>
      <c r="AB2502" s="5"/>
      <c r="AC2502" s="2" t="s">
        <v>100</v>
      </c>
      <c r="AD2502" s="4"/>
      <c r="AE2502" s="4"/>
      <c r="AF2502" s="6"/>
      <c r="AG2502" s="6"/>
      <c r="AH2502" s="7">
        <v>0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/>
      <c r="AW2502" s="8"/>
      <c r="AX2502" s="4"/>
      <c r="AY2502" s="8"/>
      <c r="AZ2502" s="7"/>
      <c r="BA2502" s="7"/>
      <c r="BB2502" s="7"/>
      <c r="BC2502" s="4"/>
      <c r="BD2502" s="8"/>
      <c r="BE2502" s="4"/>
      <c r="BF2502" s="8"/>
      <c r="BG2502" s="7"/>
      <c r="BH2502" s="7"/>
      <c r="BI2502" s="7"/>
      <c r="BJ2502" s="4"/>
      <c r="BK2502" s="8"/>
      <c r="BL2502" s="2" t="s">
        <v>100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147</v>
      </c>
      <c r="BV2502" s="2" t="s">
        <v>97</v>
      </c>
      <c r="BW2502" s="2" t="s">
        <v>100</v>
      </c>
      <c r="BX2502" s="2" t="s">
        <v>100</v>
      </c>
      <c r="BY2502" s="2" t="s">
        <v>112</v>
      </c>
      <c r="BZ2502" s="2" t="s">
        <v>100</v>
      </c>
    </row>
    <row r="2503">
      <c r="A2503" s="2" t="s">
        <v>9265</v>
      </c>
      <c r="B2503" s="2" t="s">
        <v>7252</v>
      </c>
      <c r="C2503" s="2" t="s">
        <v>88</v>
      </c>
      <c r="D2503" s="2" t="s">
        <v>9266</v>
      </c>
      <c r="E2503" s="2" t="s">
        <v>9267</v>
      </c>
      <c r="F2503" s="2" t="s">
        <v>9268</v>
      </c>
      <c r="G2503" s="2" t="s">
        <v>9269</v>
      </c>
      <c r="H2503" s="2" t="s">
        <v>9270</v>
      </c>
      <c r="I2503" s="2" t="s">
        <v>9271</v>
      </c>
      <c r="J2503" s="2" t="s">
        <v>6103</v>
      </c>
      <c r="K2503" s="2" t="s">
        <v>323</v>
      </c>
      <c r="L2503" s="3">
        <v>430</v>
      </c>
      <c r="M2503" s="3">
        <v>451.5</v>
      </c>
      <c r="N2503" s="3">
        <v>899</v>
      </c>
      <c r="O2503" s="2" t="s">
        <v>97</v>
      </c>
      <c r="P2503" s="2" t="s">
        <v>182</v>
      </c>
      <c r="Q2503" s="2" t="s">
        <v>99</v>
      </c>
      <c r="R2503" s="2" t="s">
        <v>100</v>
      </c>
      <c r="S2503" s="2" t="s">
        <v>100</v>
      </c>
      <c r="T2503" s="2" t="s">
        <v>100</v>
      </c>
      <c r="U2503" s="2" t="s">
        <v>3531</v>
      </c>
      <c r="V2503" s="2" t="s">
        <v>1752</v>
      </c>
      <c r="W2503" s="2" t="s">
        <v>104</v>
      </c>
      <c r="X2503" s="2" t="s">
        <v>1190</v>
      </c>
      <c r="Y2503" s="2" t="s">
        <v>9272</v>
      </c>
      <c r="Z2503" s="4">
        <v>30</v>
      </c>
      <c r="AA2503" s="4">
        <f>=ROUNDDOWN(4.28571428571429,0)</f>
      </c>
      <c r="AB2503" s="5">
        <v>7</v>
      </c>
      <c r="AC2503" s="2" t="s">
        <v>8904</v>
      </c>
      <c r="AD2503" s="4">
        <v>30</v>
      </c>
      <c r="AE2503" s="4">
        <v>100</v>
      </c>
      <c r="AF2503" s="6">
        <v>74</v>
      </c>
      <c r="AG2503" s="6"/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/>
      <c r="AW2503" s="8"/>
      <c r="AX2503" s="4"/>
      <c r="AY2503" s="8"/>
      <c r="AZ2503" s="7"/>
      <c r="BA2503" s="7"/>
      <c r="BB2503" s="7"/>
      <c r="BC2503" s="4"/>
      <c r="BD2503" s="8"/>
      <c r="BE2503" s="4"/>
      <c r="BF2503" s="8"/>
      <c r="BG2503" s="7"/>
      <c r="BH2503" s="7"/>
      <c r="BI2503" s="7"/>
      <c r="BJ2503" s="4">
        <v>103</v>
      </c>
      <c r="BK2503" s="8">
        <v>48606.91</v>
      </c>
      <c r="BL2503" s="2" t="s">
        <v>7682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6185</v>
      </c>
      <c r="BV2503" s="2" t="s">
        <v>97</v>
      </c>
      <c r="BW2503" s="2" t="s">
        <v>100</v>
      </c>
      <c r="BX2503" s="2" t="s">
        <v>100</v>
      </c>
      <c r="BY2503" s="2" t="s">
        <v>112</v>
      </c>
      <c r="BZ2503" s="2" t="s">
        <v>100</v>
      </c>
    </row>
    <row r="2504">
      <c r="A2504" s="2" t="s">
        <v>9273</v>
      </c>
      <c r="B2504" s="2" t="s">
        <v>7252</v>
      </c>
      <c r="C2504" s="2" t="s">
        <v>88</v>
      </c>
      <c r="D2504" s="2" t="s">
        <v>9274</v>
      </c>
      <c r="E2504" s="2" t="s">
        <v>9275</v>
      </c>
      <c r="F2504" s="2" t="s">
        <v>9276</v>
      </c>
      <c r="G2504" s="2" t="s">
        <v>9277</v>
      </c>
      <c r="H2504" s="2" t="s">
        <v>9278</v>
      </c>
      <c r="I2504" s="2" t="s">
        <v>9275</v>
      </c>
      <c r="J2504" s="2" t="s">
        <v>6103</v>
      </c>
      <c r="K2504" s="2" t="s">
        <v>2367</v>
      </c>
      <c r="L2504" s="3">
        <v>475</v>
      </c>
      <c r="M2504" s="3">
        <v>498.75</v>
      </c>
      <c r="N2504" s="3">
        <v>999</v>
      </c>
      <c r="O2504" s="2" t="s">
        <v>97</v>
      </c>
      <c r="P2504" s="2" t="s">
        <v>198</v>
      </c>
      <c r="Q2504" s="2" t="s">
        <v>99</v>
      </c>
      <c r="R2504" s="2" t="s">
        <v>100</v>
      </c>
      <c r="S2504" s="2" t="s">
        <v>9279</v>
      </c>
      <c r="T2504" s="2" t="s">
        <v>100</v>
      </c>
      <c r="U2504" s="2" t="s">
        <v>100</v>
      </c>
      <c r="V2504" s="2" t="s">
        <v>601</v>
      </c>
      <c r="W2504" s="2" t="s">
        <v>104</v>
      </c>
      <c r="X2504" s="2" t="s">
        <v>100</v>
      </c>
      <c r="Y2504" s="2" t="s">
        <v>9280</v>
      </c>
      <c r="Z2504" s="4">
        <v>85</v>
      </c>
      <c r="AA2504" s="4">
        <f>=ROUNDDOWN(283.333333333333,0)</f>
      </c>
      <c r="AB2504" s="5">
        <v>0.3</v>
      </c>
      <c r="AC2504" s="2" t="s">
        <v>100</v>
      </c>
      <c r="AD2504" s="4"/>
      <c r="AE2504" s="4"/>
      <c r="AF2504" s="6">
        <v>65</v>
      </c>
      <c r="AG2504" s="6"/>
      <c r="AH2504" s="7">
        <v>1</v>
      </c>
      <c r="AI2504" s="4"/>
      <c r="AJ2504" s="4">
        <f>=ROUNDDOWN({0},0)</f>
      </c>
      <c r="AK2504" s="5"/>
      <c r="AL2504" s="2" t="s">
        <v>100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/>
      <c r="AW2504" s="8"/>
      <c r="AX2504" s="4"/>
      <c r="AY2504" s="8"/>
      <c r="AZ2504" s="7"/>
      <c r="BA2504" s="7"/>
      <c r="BB2504" s="7"/>
      <c r="BC2504" s="4"/>
      <c r="BD2504" s="8"/>
      <c r="BE2504" s="4"/>
      <c r="BF2504" s="8"/>
      <c r="BG2504" s="7"/>
      <c r="BH2504" s="7"/>
      <c r="BI2504" s="7"/>
      <c r="BJ2504" s="4">
        <v>11</v>
      </c>
      <c r="BK2504" s="8">
        <v>4655.56</v>
      </c>
      <c r="BL2504" s="2" t="s">
        <v>7456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147</v>
      </c>
      <c r="BV2504" s="2" t="s">
        <v>97</v>
      </c>
      <c r="BW2504" s="2" t="s">
        <v>100</v>
      </c>
      <c r="BX2504" s="2" t="s">
        <v>100</v>
      </c>
      <c r="BY2504" s="2" t="s">
        <v>112</v>
      </c>
      <c r="BZ2504" s="2" t="s">
        <v>100</v>
      </c>
    </row>
    <row r="2505">
      <c r="A2505" s="2" t="s">
        <v>9281</v>
      </c>
      <c r="B2505" s="2" t="s">
        <v>7252</v>
      </c>
      <c r="C2505" s="2" t="s">
        <v>88</v>
      </c>
      <c r="D2505" s="2" t="s">
        <v>9274</v>
      </c>
      <c r="E2505" s="2" t="s">
        <v>9275</v>
      </c>
      <c r="F2505" s="2" t="s">
        <v>7713</v>
      </c>
      <c r="G2505" s="2" t="s">
        <v>2798</v>
      </c>
      <c r="H2505" s="2" t="s">
        <v>9282</v>
      </c>
      <c r="I2505" s="2" t="s">
        <v>9275</v>
      </c>
      <c r="J2505" s="2" t="s">
        <v>6103</v>
      </c>
      <c r="K2505" s="2" t="s">
        <v>142</v>
      </c>
      <c r="L2505" s="3">
        <v>475</v>
      </c>
      <c r="M2505" s="3">
        <v>498.75</v>
      </c>
      <c r="N2505" s="3">
        <v>999</v>
      </c>
      <c r="O2505" s="2" t="s">
        <v>97</v>
      </c>
      <c r="P2505" s="2" t="s">
        <v>198</v>
      </c>
      <c r="Q2505" s="2" t="s">
        <v>99</v>
      </c>
      <c r="R2505" s="2" t="s">
        <v>100</v>
      </c>
      <c r="S2505" s="2" t="s">
        <v>9283</v>
      </c>
      <c r="T2505" s="2" t="s">
        <v>100</v>
      </c>
      <c r="U2505" s="2" t="s">
        <v>100</v>
      </c>
      <c r="V2505" s="2" t="s">
        <v>601</v>
      </c>
      <c r="W2505" s="2" t="s">
        <v>104</v>
      </c>
      <c r="X2505" s="2" t="s">
        <v>100</v>
      </c>
      <c r="Y2505" s="2" t="s">
        <v>4647</v>
      </c>
      <c r="Z2505" s="4">
        <v>117</v>
      </c>
      <c r="AA2505" s="4">
        <f>=ROUNDDOWN(117,0)</f>
      </c>
      <c r="AB2505" s="5">
        <v>1</v>
      </c>
      <c r="AC2505" s="2" t="s">
        <v>100</v>
      </c>
      <c r="AD2505" s="4"/>
      <c r="AE2505" s="4"/>
      <c r="AF2505" s="6">
        <v>65</v>
      </c>
      <c r="AG2505" s="6"/>
      <c r="AH2505" s="7">
        <v>1</v>
      </c>
      <c r="AI2505" s="4"/>
      <c r="AJ2505" s="4">
        <f>=ROUNDDOWN({0},0)</f>
      </c>
      <c r="AK2505" s="5"/>
      <c r="AL2505" s="2" t="s">
        <v>100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/>
      <c r="AW2505" s="8"/>
      <c r="AX2505" s="4"/>
      <c r="AY2505" s="8"/>
      <c r="AZ2505" s="7"/>
      <c r="BA2505" s="7"/>
      <c r="BB2505" s="7"/>
      <c r="BC2505" s="4"/>
      <c r="BD2505" s="8"/>
      <c r="BE2505" s="4"/>
      <c r="BF2505" s="8"/>
      <c r="BG2505" s="7"/>
      <c r="BH2505" s="7"/>
      <c r="BI2505" s="7"/>
      <c r="BJ2505" s="4">
        <v>22</v>
      </c>
      <c r="BK2505" s="8">
        <v>10117.96</v>
      </c>
      <c r="BL2505" s="2" t="s">
        <v>9284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147</v>
      </c>
      <c r="BV2505" s="2" t="s">
        <v>97</v>
      </c>
      <c r="BW2505" s="2" t="s">
        <v>100</v>
      </c>
      <c r="BX2505" s="2" t="s">
        <v>100</v>
      </c>
      <c r="BY2505" s="2" t="s">
        <v>112</v>
      </c>
      <c r="BZ2505" s="2" t="s">
        <v>100</v>
      </c>
    </row>
    <row r="2506">
      <c r="A2506" s="2" t="s">
        <v>9285</v>
      </c>
      <c r="B2506" s="2" t="s">
        <v>7252</v>
      </c>
      <c r="C2506" s="2" t="s">
        <v>88</v>
      </c>
      <c r="D2506" s="2" t="s">
        <v>9274</v>
      </c>
      <c r="E2506" s="2" t="s">
        <v>9275</v>
      </c>
      <c r="F2506" s="2" t="s">
        <v>9286</v>
      </c>
      <c r="G2506" s="2" t="s">
        <v>9287</v>
      </c>
      <c r="H2506" s="2" t="s">
        <v>803</v>
      </c>
      <c r="I2506" s="2" t="s">
        <v>9288</v>
      </c>
      <c r="J2506" s="2" t="s">
        <v>6103</v>
      </c>
      <c r="K2506" s="2" t="s">
        <v>2367</v>
      </c>
      <c r="L2506" s="3">
        <v>475</v>
      </c>
      <c r="M2506" s="3">
        <v>498.75</v>
      </c>
      <c r="N2506" s="3">
        <v>999</v>
      </c>
      <c r="O2506" s="2" t="s">
        <v>97</v>
      </c>
      <c r="P2506" s="2" t="s">
        <v>198</v>
      </c>
      <c r="Q2506" s="2" t="s">
        <v>99</v>
      </c>
      <c r="R2506" s="2" t="s">
        <v>100</v>
      </c>
      <c r="S2506" s="2" t="s">
        <v>100</v>
      </c>
      <c r="T2506" s="2" t="s">
        <v>100</v>
      </c>
      <c r="U2506" s="2" t="s">
        <v>3531</v>
      </c>
      <c r="V2506" s="2" t="s">
        <v>601</v>
      </c>
      <c r="W2506" s="2" t="s">
        <v>104</v>
      </c>
      <c r="X2506" s="2" t="s">
        <v>100</v>
      </c>
      <c r="Y2506" s="2" t="s">
        <v>4451</v>
      </c>
      <c r="Z2506" s="4">
        <v>253</v>
      </c>
      <c r="AA2506" s="4">
        <f>=ROUNDDOWN(253,0)</f>
      </c>
      <c r="AB2506" s="5">
        <v>1</v>
      </c>
      <c r="AC2506" s="2" t="s">
        <v>100</v>
      </c>
      <c r="AD2506" s="4"/>
      <c r="AE2506" s="4"/>
      <c r="AF2506" s="6">
        <v>65</v>
      </c>
      <c r="AG2506" s="6"/>
      <c r="AH2506" s="7">
        <v>1</v>
      </c>
      <c r="AI2506" s="4"/>
      <c r="AJ2506" s="4">
        <f>=ROUNDDOWN({0},0)</f>
      </c>
      <c r="AK2506" s="5"/>
      <c r="AL2506" s="2" t="s">
        <v>100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/>
      <c r="AW2506" s="8"/>
      <c r="AX2506" s="4"/>
      <c r="AY2506" s="8"/>
      <c r="AZ2506" s="7"/>
      <c r="BA2506" s="7"/>
      <c r="BB2506" s="7"/>
      <c r="BC2506" s="4"/>
      <c r="BD2506" s="8"/>
      <c r="BE2506" s="4"/>
      <c r="BF2506" s="8"/>
      <c r="BG2506" s="7"/>
      <c r="BH2506" s="7"/>
      <c r="BI2506" s="7"/>
      <c r="BJ2506" s="4">
        <v>9</v>
      </c>
      <c r="BK2506" s="8">
        <v>3829.32</v>
      </c>
      <c r="BL2506" s="2" t="s">
        <v>9289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147</v>
      </c>
      <c r="BV2506" s="2" t="s">
        <v>97</v>
      </c>
      <c r="BW2506" s="2" t="s">
        <v>100</v>
      </c>
      <c r="BX2506" s="2" t="s">
        <v>100</v>
      </c>
      <c r="BY2506" s="2" t="s">
        <v>112</v>
      </c>
      <c r="BZ2506" s="2" t="s">
        <v>100</v>
      </c>
    </row>
    <row r="2507">
      <c r="A2507" s="2" t="s">
        <v>9290</v>
      </c>
      <c r="B2507" s="2" t="s">
        <v>7252</v>
      </c>
      <c r="C2507" s="2" t="s">
        <v>88</v>
      </c>
      <c r="D2507" s="2" t="s">
        <v>9291</v>
      </c>
      <c r="E2507" s="2" t="s">
        <v>9292</v>
      </c>
      <c r="F2507" s="2" t="s">
        <v>1972</v>
      </c>
      <c r="G2507" s="2" t="s">
        <v>9293</v>
      </c>
      <c r="H2507" s="2" t="s">
        <v>1757</v>
      </c>
      <c r="I2507" s="2" t="s">
        <v>9294</v>
      </c>
      <c r="J2507" s="2" t="s">
        <v>6103</v>
      </c>
      <c r="K2507" s="2" t="s">
        <v>635</v>
      </c>
      <c r="L2507" s="3">
        <v>270</v>
      </c>
      <c r="M2507" s="3">
        <v>283.5</v>
      </c>
      <c r="N2507" s="3">
        <v>569</v>
      </c>
      <c r="O2507" s="2" t="s">
        <v>97</v>
      </c>
      <c r="P2507" s="2" t="s">
        <v>1265</v>
      </c>
      <c r="Q2507" s="2" t="s">
        <v>99</v>
      </c>
      <c r="R2507" s="2" t="s">
        <v>100</v>
      </c>
      <c r="S2507" s="2" t="s">
        <v>9295</v>
      </c>
      <c r="T2507" s="2" t="s">
        <v>100</v>
      </c>
      <c r="U2507" s="2" t="s">
        <v>100</v>
      </c>
      <c r="V2507" s="2" t="s">
        <v>1752</v>
      </c>
      <c r="W2507" s="2" t="s">
        <v>104</v>
      </c>
      <c r="X2507" s="2" t="s">
        <v>100</v>
      </c>
      <c r="Y2507" s="2" t="s">
        <v>9296</v>
      </c>
      <c r="Z2507" s="4">
        <v>60</v>
      </c>
      <c r="AA2507" s="4">
        <f>=ROUNDDOWN(20,0)</f>
      </c>
      <c r="AB2507" s="5">
        <v>3</v>
      </c>
      <c r="AC2507" s="2" t="s">
        <v>518</v>
      </c>
      <c r="AD2507" s="4">
        <v>100</v>
      </c>
      <c r="AE2507" s="4">
        <v>100</v>
      </c>
      <c r="AF2507" s="6">
        <v>66</v>
      </c>
      <c r="AG2507" s="6">
        <v>49</v>
      </c>
      <c r="AH2507" s="7">
        <v>1</v>
      </c>
      <c r="AI2507" s="4"/>
      <c r="AJ2507" s="4">
        <f>=ROUNDDOWN({0},0)</f>
      </c>
      <c r="AK2507" s="5"/>
      <c r="AL2507" s="2" t="s">
        <v>100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/>
      <c r="AW2507" s="8"/>
      <c r="AX2507" s="4"/>
      <c r="AY2507" s="8"/>
      <c r="AZ2507" s="7"/>
      <c r="BA2507" s="7"/>
      <c r="BB2507" s="7"/>
      <c r="BC2507" s="4"/>
      <c r="BD2507" s="8"/>
      <c r="BE2507" s="4"/>
      <c r="BF2507" s="8"/>
      <c r="BG2507" s="7"/>
      <c r="BH2507" s="7"/>
      <c r="BI2507" s="7"/>
      <c r="BJ2507" s="4">
        <v>61</v>
      </c>
      <c r="BK2507" s="8">
        <v>16257.72</v>
      </c>
      <c r="BL2507" s="2" t="s">
        <v>9297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6185</v>
      </c>
      <c r="BV2507" s="2" t="s">
        <v>97</v>
      </c>
      <c r="BW2507" s="2" t="s">
        <v>100</v>
      </c>
      <c r="BX2507" s="2" t="s">
        <v>100</v>
      </c>
      <c r="BY2507" s="2" t="s">
        <v>112</v>
      </c>
      <c r="BZ2507" s="2" t="s">
        <v>100</v>
      </c>
    </row>
    <row r="2508">
      <c r="A2508" s="2" t="s">
        <v>9298</v>
      </c>
      <c r="B2508" s="2" t="s">
        <v>7252</v>
      </c>
      <c r="C2508" s="2" t="s">
        <v>88</v>
      </c>
      <c r="D2508" s="2" t="s">
        <v>9299</v>
      </c>
      <c r="E2508" s="2" t="s">
        <v>9300</v>
      </c>
      <c r="F2508" s="2" t="s">
        <v>7816</v>
      </c>
      <c r="G2508" s="2" t="s">
        <v>7817</v>
      </c>
      <c r="H2508" s="2" t="s">
        <v>7818</v>
      </c>
      <c r="I2508" s="2" t="s">
        <v>9301</v>
      </c>
      <c r="J2508" s="2" t="s">
        <v>6103</v>
      </c>
      <c r="K2508" s="2" t="s">
        <v>333</v>
      </c>
      <c r="L2508" s="3">
        <v>319</v>
      </c>
      <c r="M2508" s="3">
        <v>334.95</v>
      </c>
      <c r="N2508" s="3">
        <v>669</v>
      </c>
      <c r="O2508" s="2" t="s">
        <v>229</v>
      </c>
      <c r="P2508" s="2" t="s">
        <v>198</v>
      </c>
      <c r="Q2508" s="2" t="s">
        <v>99</v>
      </c>
      <c r="R2508" s="2" t="s">
        <v>100</v>
      </c>
      <c r="S2508" s="2" t="s">
        <v>9302</v>
      </c>
      <c r="T2508" s="2" t="s">
        <v>100</v>
      </c>
      <c r="U2508" s="2" t="s">
        <v>100</v>
      </c>
      <c r="V2508" s="2" t="s">
        <v>601</v>
      </c>
      <c r="W2508" s="2" t="s">
        <v>6998</v>
      </c>
      <c r="X2508" s="2" t="s">
        <v>100</v>
      </c>
      <c r="Y2508" s="2" t="s">
        <v>106</v>
      </c>
      <c r="Z2508" s="4"/>
      <c r="AA2508" s="4">
        <f>=ROUNDDOWN({0},0)</f>
      </c>
      <c r="AB2508" s="5">
        <v>1.1</v>
      </c>
      <c r="AC2508" s="2" t="s">
        <v>100</v>
      </c>
      <c r="AD2508" s="4"/>
      <c r="AE2508" s="4"/>
      <c r="AF2508" s="6">
        <v>65</v>
      </c>
      <c r="AG2508" s="6">
        <v>48</v>
      </c>
      <c r="AH2508" s="7">
        <v>0.0727</v>
      </c>
      <c r="AI2508" s="4"/>
      <c r="AJ2508" s="4">
        <f>=ROUNDDOWN({0},0)</f>
      </c>
      <c r="AK2508" s="5"/>
      <c r="AL2508" s="2" t="s">
        <v>100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/>
      <c r="AW2508" s="8"/>
      <c r="AX2508" s="4"/>
      <c r="AY2508" s="8"/>
      <c r="AZ2508" s="7"/>
      <c r="BA2508" s="7"/>
      <c r="BB2508" s="7"/>
      <c r="BC2508" s="4"/>
      <c r="BD2508" s="8"/>
      <c r="BE2508" s="4"/>
      <c r="BF2508" s="8"/>
      <c r="BG2508" s="7"/>
      <c r="BH2508" s="7"/>
      <c r="BI2508" s="7"/>
      <c r="BJ2508" s="4">
        <v>3</v>
      </c>
      <c r="BK2508" s="8">
        <v>1034.1</v>
      </c>
      <c r="BL2508" s="2" t="s">
        <v>9303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147</v>
      </c>
      <c r="BV2508" s="2" t="s">
        <v>97</v>
      </c>
      <c r="BW2508" s="2" t="s">
        <v>100</v>
      </c>
      <c r="BX2508" s="2" t="s">
        <v>100</v>
      </c>
      <c r="BY2508" s="2" t="s">
        <v>112</v>
      </c>
      <c r="BZ2508" s="2" t="s">
        <v>100</v>
      </c>
    </row>
    <row r="2509">
      <c r="A2509" s="2" t="s">
        <v>9304</v>
      </c>
      <c r="B2509" s="2" t="s">
        <v>7252</v>
      </c>
      <c r="C2509" s="2" t="s">
        <v>88</v>
      </c>
      <c r="D2509" s="2" t="s">
        <v>9299</v>
      </c>
      <c r="E2509" s="2" t="s">
        <v>9300</v>
      </c>
      <c r="F2509" s="2" t="s">
        <v>9116</v>
      </c>
      <c r="G2509" s="2" t="s">
        <v>9117</v>
      </c>
      <c r="H2509" s="2" t="s">
        <v>9118</v>
      </c>
      <c r="I2509" s="2" t="s">
        <v>9305</v>
      </c>
      <c r="J2509" s="2" t="s">
        <v>9306</v>
      </c>
      <c r="K2509" s="2" t="s">
        <v>9307</v>
      </c>
      <c r="L2509" s="3">
        <v>303.03</v>
      </c>
      <c r="M2509" s="3">
        <v>318.18</v>
      </c>
      <c r="N2509" s="3">
        <v>649</v>
      </c>
      <c r="O2509" s="2" t="s">
        <v>97</v>
      </c>
      <c r="P2509" s="2" t="s">
        <v>182</v>
      </c>
      <c r="Q2509" s="2" t="s">
        <v>99</v>
      </c>
      <c r="R2509" s="2" t="s">
        <v>100</v>
      </c>
      <c r="S2509" s="2" t="s">
        <v>100</v>
      </c>
      <c r="T2509" s="2" t="s">
        <v>100</v>
      </c>
      <c r="U2509" s="2" t="s">
        <v>3531</v>
      </c>
      <c r="V2509" s="2" t="s">
        <v>1752</v>
      </c>
      <c r="W2509" s="2" t="s">
        <v>1288</v>
      </c>
      <c r="X2509" s="2" t="s">
        <v>759</v>
      </c>
      <c r="Y2509" s="2" t="s">
        <v>6740</v>
      </c>
      <c r="Z2509" s="4">
        <v>157</v>
      </c>
      <c r="AA2509" s="4">
        <f>=ROUNDDOWN(15.7,0)</f>
      </c>
      <c r="AB2509" s="5">
        <v>10</v>
      </c>
      <c r="AC2509" s="2" t="s">
        <v>9308</v>
      </c>
      <c r="AD2509" s="4">
        <v>210</v>
      </c>
      <c r="AE2509" s="4">
        <v>210</v>
      </c>
      <c r="AF2509" s="6">
        <v>74</v>
      </c>
      <c r="AG2509" s="6">
        <v>60</v>
      </c>
      <c r="AH2509" s="7">
        <v>1</v>
      </c>
      <c r="AI2509" s="4"/>
      <c r="AJ2509" s="4">
        <f>=ROUNDDOWN({0},0)</f>
      </c>
      <c r="AK2509" s="5"/>
      <c r="AL2509" s="2" t="s">
        <v>100</v>
      </c>
      <c r="AM2509" s="4"/>
      <c r="AN2509" s="4"/>
      <c r="AO2509" s="7">
        <v>0</v>
      </c>
      <c r="AP2509" s="4"/>
      <c r="AQ2509" s="8"/>
      <c r="AR2509" s="4"/>
      <c r="AS2509" s="8"/>
      <c r="AT2509" s="7"/>
      <c r="AU2509" s="7"/>
      <c r="AV2509" s="4"/>
      <c r="AW2509" s="8"/>
      <c r="AX2509" s="4"/>
      <c r="AY2509" s="8"/>
      <c r="AZ2509" s="7"/>
      <c r="BA2509" s="7"/>
      <c r="BB2509" s="7"/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/>
      <c r="BJ2509" s="4">
        <v>214</v>
      </c>
      <c r="BK2509" s="8">
        <v>62505.01</v>
      </c>
      <c r="BL2509" s="2" t="s">
        <v>7456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6185</v>
      </c>
      <c r="BV2509" s="2" t="s">
        <v>97</v>
      </c>
      <c r="BW2509" s="2" t="s">
        <v>100</v>
      </c>
      <c r="BX2509" s="2" t="s">
        <v>100</v>
      </c>
      <c r="BY2509" s="2" t="s">
        <v>112</v>
      </c>
      <c r="BZ2509" s="2" t="s">
        <v>100</v>
      </c>
    </row>
    <row r="2510">
      <c r="A2510" s="2" t="s">
        <v>9309</v>
      </c>
      <c r="B2510" s="2" t="s">
        <v>7252</v>
      </c>
      <c r="C2510" s="2" t="s">
        <v>88</v>
      </c>
      <c r="D2510" s="2" t="s">
        <v>9299</v>
      </c>
      <c r="E2510" s="2" t="s">
        <v>9300</v>
      </c>
      <c r="F2510" s="2" t="s">
        <v>9116</v>
      </c>
      <c r="G2510" s="2" t="s">
        <v>9117</v>
      </c>
      <c r="H2510" s="2" t="s">
        <v>9118</v>
      </c>
      <c r="I2510" s="2" t="s">
        <v>9305</v>
      </c>
      <c r="J2510" s="2" t="s">
        <v>9306</v>
      </c>
      <c r="K2510" s="2" t="s">
        <v>9035</v>
      </c>
      <c r="L2510" s="3">
        <v>303.03</v>
      </c>
      <c r="M2510" s="3">
        <v>318.18</v>
      </c>
      <c r="N2510" s="3">
        <v>649</v>
      </c>
      <c r="O2510" s="2" t="s">
        <v>97</v>
      </c>
      <c r="P2510" s="2" t="s">
        <v>124</v>
      </c>
      <c r="Q2510" s="2" t="s">
        <v>99</v>
      </c>
      <c r="R2510" s="2" t="s">
        <v>100</v>
      </c>
      <c r="S2510" s="2" t="s">
        <v>100</v>
      </c>
      <c r="T2510" s="2" t="s">
        <v>100</v>
      </c>
      <c r="U2510" s="2" t="s">
        <v>3531</v>
      </c>
      <c r="V2510" s="2" t="s">
        <v>1752</v>
      </c>
      <c r="W2510" s="2" t="s">
        <v>1288</v>
      </c>
      <c r="X2510" s="2" t="s">
        <v>759</v>
      </c>
      <c r="Y2510" s="2" t="s">
        <v>9310</v>
      </c>
      <c r="Z2510" s="4">
        <v>361</v>
      </c>
      <c r="AA2510" s="4">
        <f>=ROUNDDOWN(17.1904761904762,0)</f>
      </c>
      <c r="AB2510" s="5">
        <v>21</v>
      </c>
      <c r="AC2510" s="2" t="s">
        <v>9311</v>
      </c>
      <c r="AD2510" s="4">
        <v>197</v>
      </c>
      <c r="AE2510" s="4">
        <v>197</v>
      </c>
      <c r="AF2510" s="6">
        <v>74</v>
      </c>
      <c r="AG2510" s="6">
        <v>60</v>
      </c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>
        <v>0</v>
      </c>
      <c r="AP2510" s="4"/>
      <c r="AQ2510" s="8"/>
      <c r="AR2510" s="4"/>
      <c r="AS2510" s="8"/>
      <c r="AT2510" s="7"/>
      <c r="AU2510" s="7"/>
      <c r="AV2510" s="4"/>
      <c r="AW2510" s="8"/>
      <c r="AX2510" s="4"/>
      <c r="AY2510" s="8"/>
      <c r="AZ2510" s="7"/>
      <c r="BA2510" s="7"/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/>
      <c r="BJ2510" s="4">
        <v>498</v>
      </c>
      <c r="BK2510" s="8">
        <v>152913.81</v>
      </c>
      <c r="BL2510" s="2" t="s">
        <v>9312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6185</v>
      </c>
      <c r="BV2510" s="2" t="s">
        <v>97</v>
      </c>
      <c r="BW2510" s="2" t="s">
        <v>100</v>
      </c>
      <c r="BX2510" s="2" t="s">
        <v>100</v>
      </c>
      <c r="BY2510" s="2" t="s">
        <v>112</v>
      </c>
      <c r="BZ2510" s="2" t="s">
        <v>100</v>
      </c>
    </row>
    <row r="2511">
      <c r="A2511" s="2" t="s">
        <v>9313</v>
      </c>
      <c r="B2511" s="2" t="s">
        <v>7252</v>
      </c>
      <c r="C2511" s="2" t="s">
        <v>88</v>
      </c>
      <c r="D2511" s="2" t="s">
        <v>9299</v>
      </c>
      <c r="E2511" s="2" t="s">
        <v>9300</v>
      </c>
      <c r="F2511" s="2" t="s">
        <v>7318</v>
      </c>
      <c r="G2511" s="2" t="s">
        <v>9314</v>
      </c>
      <c r="H2511" s="2" t="s">
        <v>9315</v>
      </c>
      <c r="I2511" s="2" t="s">
        <v>9316</v>
      </c>
      <c r="J2511" s="2" t="s">
        <v>6103</v>
      </c>
      <c r="K2511" s="2" t="s">
        <v>323</v>
      </c>
      <c r="L2511" s="3">
        <v>380.97</v>
      </c>
      <c r="M2511" s="3">
        <v>400.02</v>
      </c>
      <c r="N2511" s="3">
        <v>799</v>
      </c>
      <c r="O2511" s="2" t="s">
        <v>97</v>
      </c>
      <c r="P2511" s="2" t="s">
        <v>198</v>
      </c>
      <c r="Q2511" s="2" t="s">
        <v>99</v>
      </c>
      <c r="R2511" s="2" t="s">
        <v>100</v>
      </c>
      <c r="S2511" s="2" t="s">
        <v>100</v>
      </c>
      <c r="T2511" s="2" t="s">
        <v>100</v>
      </c>
      <c r="U2511" s="2" t="s">
        <v>100</v>
      </c>
      <c r="V2511" s="2" t="s">
        <v>1752</v>
      </c>
      <c r="W2511" s="2" t="s">
        <v>405</v>
      </c>
      <c r="X2511" s="2" t="s">
        <v>104</v>
      </c>
      <c r="Y2511" s="2" t="s">
        <v>3373</v>
      </c>
      <c r="Z2511" s="4">
        <v>86</v>
      </c>
      <c r="AA2511" s="4">
        <f>=ROUNDDOWN(143.333333333333,0)</f>
      </c>
      <c r="AB2511" s="5">
        <v>0.6</v>
      </c>
      <c r="AC2511" s="2" t="s">
        <v>100</v>
      </c>
      <c r="AD2511" s="4"/>
      <c r="AE2511" s="4"/>
      <c r="AF2511" s="6">
        <v>74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/>
      <c r="AW2511" s="8"/>
      <c r="AX2511" s="4"/>
      <c r="AY2511" s="8"/>
      <c r="AZ2511" s="7"/>
      <c r="BA2511" s="7"/>
      <c r="BB2511" s="7"/>
      <c r="BC2511" s="4"/>
      <c r="BD2511" s="8"/>
      <c r="BE2511" s="4"/>
      <c r="BF2511" s="8"/>
      <c r="BG2511" s="7"/>
      <c r="BH2511" s="7"/>
      <c r="BI2511" s="7"/>
      <c r="BJ2511" s="4">
        <v>4</v>
      </c>
      <c r="BK2511" s="8">
        <v>1733.42</v>
      </c>
      <c r="BL2511" s="2" t="s">
        <v>8635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6185</v>
      </c>
      <c r="BV2511" s="2" t="s">
        <v>97</v>
      </c>
      <c r="BW2511" s="2" t="s">
        <v>100</v>
      </c>
      <c r="BX2511" s="2" t="s">
        <v>100</v>
      </c>
      <c r="BY2511" s="2" t="s">
        <v>112</v>
      </c>
      <c r="BZ2511" s="2" t="s">
        <v>100</v>
      </c>
    </row>
    <row r="2512">
      <c r="A2512" s="2" t="s">
        <v>9317</v>
      </c>
      <c r="B2512" s="2" t="s">
        <v>7252</v>
      </c>
      <c r="C2512" s="2" t="s">
        <v>88</v>
      </c>
      <c r="D2512" s="2" t="s">
        <v>9318</v>
      </c>
      <c r="E2512" s="2" t="s">
        <v>9319</v>
      </c>
      <c r="F2512" s="2" t="s">
        <v>1162</v>
      </c>
      <c r="G2512" s="2" t="s">
        <v>9320</v>
      </c>
      <c r="H2512" s="2" t="s">
        <v>9321</v>
      </c>
      <c r="I2512" s="2" t="s">
        <v>9322</v>
      </c>
      <c r="J2512" s="2" t="s">
        <v>95</v>
      </c>
      <c r="K2512" s="2" t="s">
        <v>2367</v>
      </c>
      <c r="L2512" s="3">
        <v>180.5</v>
      </c>
      <c r="M2512" s="3">
        <v>189.52</v>
      </c>
      <c r="N2512" s="3">
        <v>379</v>
      </c>
      <c r="O2512" s="2" t="s">
        <v>97</v>
      </c>
      <c r="P2512" s="2" t="s">
        <v>143</v>
      </c>
      <c r="Q2512" s="2" t="s">
        <v>99</v>
      </c>
      <c r="R2512" s="2" t="s">
        <v>100</v>
      </c>
      <c r="S2512" s="2" t="s">
        <v>9323</v>
      </c>
      <c r="T2512" s="2" t="s">
        <v>100</v>
      </c>
      <c r="U2512" s="2" t="s">
        <v>3531</v>
      </c>
      <c r="V2512" s="2" t="s">
        <v>601</v>
      </c>
      <c r="W2512" s="2" t="s">
        <v>104</v>
      </c>
      <c r="X2512" s="2" t="s">
        <v>100</v>
      </c>
      <c r="Y2512" s="2" t="s">
        <v>3138</v>
      </c>
      <c r="Z2512" s="4">
        <v>469</v>
      </c>
      <c r="AA2512" s="4">
        <f>=ROUNDDOWN(39.7457627118644,0)</f>
      </c>
      <c r="AB2512" s="5">
        <v>11.8</v>
      </c>
      <c r="AC2512" s="2" t="s">
        <v>659</v>
      </c>
      <c r="AD2512" s="4">
        <v>19</v>
      </c>
      <c r="AE2512" s="4">
        <v>19</v>
      </c>
      <c r="AF2512" s="6">
        <v>66</v>
      </c>
      <c r="AG2512" s="6">
        <v>49</v>
      </c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/>
      <c r="AW2512" s="8"/>
      <c r="AX2512" s="4"/>
      <c r="AY2512" s="8"/>
      <c r="AZ2512" s="7"/>
      <c r="BA2512" s="7"/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/>
      <c r="BJ2512" s="4">
        <v>530</v>
      </c>
      <c r="BK2512" s="8">
        <v>94120.42</v>
      </c>
      <c r="BL2512" s="2" t="s">
        <v>9324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6185</v>
      </c>
      <c r="BV2512" s="2" t="s">
        <v>97</v>
      </c>
      <c r="BW2512" s="2" t="s">
        <v>100</v>
      </c>
      <c r="BX2512" s="2" t="s">
        <v>100</v>
      </c>
      <c r="BY2512" s="2" t="s">
        <v>112</v>
      </c>
      <c r="BZ2512" s="2" t="s">
        <v>100</v>
      </c>
    </row>
    <row r="2513">
      <c r="A2513" s="2" t="s">
        <v>9325</v>
      </c>
      <c r="B2513" s="2" t="s">
        <v>7252</v>
      </c>
      <c r="C2513" s="2" t="s">
        <v>88</v>
      </c>
      <c r="D2513" s="2" t="s">
        <v>9318</v>
      </c>
      <c r="E2513" s="2" t="s">
        <v>9319</v>
      </c>
      <c r="F2513" s="2" t="s">
        <v>1162</v>
      </c>
      <c r="G2513" s="2" t="s">
        <v>9320</v>
      </c>
      <c r="H2513" s="2" t="s">
        <v>9321</v>
      </c>
      <c r="I2513" s="2" t="s">
        <v>9322</v>
      </c>
      <c r="J2513" s="2" t="s">
        <v>95</v>
      </c>
      <c r="K2513" s="2" t="s">
        <v>333</v>
      </c>
      <c r="L2513" s="3">
        <v>180.5</v>
      </c>
      <c r="M2513" s="3">
        <v>189.52</v>
      </c>
      <c r="N2513" s="3">
        <v>379</v>
      </c>
      <c r="O2513" s="2" t="s">
        <v>97</v>
      </c>
      <c r="P2513" s="2" t="s">
        <v>143</v>
      </c>
      <c r="Q2513" s="2" t="s">
        <v>99</v>
      </c>
      <c r="R2513" s="2" t="s">
        <v>100</v>
      </c>
      <c r="S2513" s="2" t="s">
        <v>9326</v>
      </c>
      <c r="T2513" s="2" t="s">
        <v>100</v>
      </c>
      <c r="U2513" s="2" t="s">
        <v>3531</v>
      </c>
      <c r="V2513" s="2" t="s">
        <v>601</v>
      </c>
      <c r="W2513" s="2" t="s">
        <v>104</v>
      </c>
      <c r="X2513" s="2" t="s">
        <v>100</v>
      </c>
      <c r="Y2513" s="2" t="s">
        <v>8188</v>
      </c>
      <c r="Z2513" s="4">
        <v>381</v>
      </c>
      <c r="AA2513" s="4">
        <f>=ROUNDDOWN(40.9677419354839,0)</f>
      </c>
      <c r="AB2513" s="5">
        <v>9.3</v>
      </c>
      <c r="AC2513" s="2" t="s">
        <v>107</v>
      </c>
      <c r="AD2513" s="4">
        <v>78</v>
      </c>
      <c r="AE2513" s="4">
        <v>344</v>
      </c>
      <c r="AF2513" s="6">
        <v>66</v>
      </c>
      <c r="AG2513" s="6">
        <v>49</v>
      </c>
      <c r="AH2513" s="7">
        <v>0.7273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/>
      <c r="AW2513" s="8"/>
      <c r="AX2513" s="4"/>
      <c r="AY2513" s="8"/>
      <c r="AZ2513" s="7"/>
      <c r="BA2513" s="7"/>
      <c r="BB2513" s="7"/>
      <c r="BC2513" s="4" t="s">
        <v>100</v>
      </c>
      <c r="BD2513" s="8" t="s">
        <v>100</v>
      </c>
      <c r="BE2513" s="4" t="s">
        <v>100</v>
      </c>
      <c r="BF2513" s="8" t="s">
        <v>100</v>
      </c>
      <c r="BG2513" s="7" t="s">
        <v>100</v>
      </c>
      <c r="BH2513" s="7" t="s">
        <v>100</v>
      </c>
      <c r="BI2513" s="7"/>
      <c r="BJ2513" s="4">
        <v>411</v>
      </c>
      <c r="BK2513" s="8">
        <v>74545</v>
      </c>
      <c r="BL2513" s="2" t="s">
        <v>9327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6185</v>
      </c>
      <c r="BV2513" s="2" t="s">
        <v>97</v>
      </c>
      <c r="BW2513" s="2" t="s">
        <v>100</v>
      </c>
      <c r="BX2513" s="2" t="s">
        <v>100</v>
      </c>
      <c r="BY2513" s="2" t="s">
        <v>112</v>
      </c>
      <c r="BZ2513" s="2" t="s">
        <v>100</v>
      </c>
    </row>
    <row r="2514">
      <c r="A2514" s="2" t="s">
        <v>9328</v>
      </c>
      <c r="B2514" s="2" t="s">
        <v>7252</v>
      </c>
      <c r="C2514" s="2" t="s">
        <v>88</v>
      </c>
      <c r="D2514" s="2" t="s">
        <v>9318</v>
      </c>
      <c r="E2514" s="2" t="s">
        <v>9319</v>
      </c>
      <c r="F2514" s="2" t="s">
        <v>1162</v>
      </c>
      <c r="G2514" s="2" t="s">
        <v>9320</v>
      </c>
      <c r="H2514" s="2" t="s">
        <v>9321</v>
      </c>
      <c r="I2514" s="2" t="s">
        <v>9322</v>
      </c>
      <c r="J2514" s="2" t="s">
        <v>95</v>
      </c>
      <c r="K2514" s="2" t="s">
        <v>197</v>
      </c>
      <c r="L2514" s="3">
        <v>180.5</v>
      </c>
      <c r="M2514" s="3">
        <v>189.52</v>
      </c>
      <c r="N2514" s="3">
        <v>379</v>
      </c>
      <c r="O2514" s="2" t="s">
        <v>97</v>
      </c>
      <c r="P2514" s="2" t="s">
        <v>182</v>
      </c>
      <c r="Q2514" s="2" t="s">
        <v>99</v>
      </c>
      <c r="R2514" s="2" t="s">
        <v>100</v>
      </c>
      <c r="S2514" s="2" t="s">
        <v>100</v>
      </c>
      <c r="T2514" s="2" t="s">
        <v>100</v>
      </c>
      <c r="U2514" s="2" t="s">
        <v>3531</v>
      </c>
      <c r="V2514" s="2" t="s">
        <v>601</v>
      </c>
      <c r="W2514" s="2" t="s">
        <v>104</v>
      </c>
      <c r="X2514" s="2" t="s">
        <v>100</v>
      </c>
      <c r="Y2514" s="2" t="s">
        <v>9329</v>
      </c>
      <c r="Z2514" s="4"/>
      <c r="AA2514" s="4">
        <f>=ROUNDDOWN({0},0)</f>
      </c>
      <c r="AB2514" s="5">
        <v>6</v>
      </c>
      <c r="AC2514" s="2" t="s">
        <v>659</v>
      </c>
      <c r="AD2514" s="4">
        <v>100</v>
      </c>
      <c r="AE2514" s="4">
        <v>200</v>
      </c>
      <c r="AF2514" s="6">
        <v>66</v>
      </c>
      <c r="AG2514" s="6"/>
      <c r="AH2514" s="7">
        <v>0.9515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/>
      <c r="BJ2514" s="4">
        <v>114</v>
      </c>
      <c r="BK2514" s="8">
        <v>19582.63</v>
      </c>
      <c r="BL2514" s="2" t="s">
        <v>9330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6185</v>
      </c>
      <c r="BV2514" s="2" t="s">
        <v>97</v>
      </c>
      <c r="BW2514" s="2" t="s">
        <v>100</v>
      </c>
      <c r="BX2514" s="2" t="s">
        <v>100</v>
      </c>
      <c r="BY2514" s="2" t="s">
        <v>112</v>
      </c>
      <c r="BZ2514" s="2" t="s">
        <v>100</v>
      </c>
    </row>
    <row r="2515">
      <c r="A2515" s="2" t="s">
        <v>9331</v>
      </c>
      <c r="B2515" s="2" t="s">
        <v>7252</v>
      </c>
      <c r="C2515" s="2" t="s">
        <v>88</v>
      </c>
      <c r="D2515" s="2" t="s">
        <v>9318</v>
      </c>
      <c r="E2515" s="2" t="s">
        <v>9319</v>
      </c>
      <c r="F2515" s="2" t="s">
        <v>9332</v>
      </c>
      <c r="G2515" s="2" t="s">
        <v>9333</v>
      </c>
      <c r="H2515" s="2" t="s">
        <v>9334</v>
      </c>
      <c r="I2515" s="2" t="s">
        <v>9322</v>
      </c>
      <c r="J2515" s="2" t="s">
        <v>95</v>
      </c>
      <c r="K2515" s="2" t="s">
        <v>1412</v>
      </c>
      <c r="L2515" s="3">
        <v>107.14</v>
      </c>
      <c r="M2515" s="3">
        <v>112.5</v>
      </c>
      <c r="N2515" s="3">
        <v>224</v>
      </c>
      <c r="O2515" s="2" t="s">
        <v>1148</v>
      </c>
      <c r="P2515" s="2" t="s">
        <v>198</v>
      </c>
      <c r="Q2515" s="2" t="s">
        <v>99</v>
      </c>
      <c r="R2515" s="2" t="s">
        <v>100</v>
      </c>
      <c r="S2515" s="2" t="s">
        <v>9335</v>
      </c>
      <c r="T2515" s="2" t="s">
        <v>100</v>
      </c>
      <c r="U2515" s="2" t="s">
        <v>100</v>
      </c>
      <c r="V2515" s="2" t="s">
        <v>601</v>
      </c>
      <c r="W2515" s="2" t="s">
        <v>104</v>
      </c>
      <c r="X2515" s="2" t="s">
        <v>100</v>
      </c>
      <c r="Y2515" s="2" t="s">
        <v>6401</v>
      </c>
      <c r="Z2515" s="4"/>
      <c r="AA2515" s="4">
        <f>=ROUNDDOWN({0},0)</f>
      </c>
      <c r="AB2515" s="5"/>
      <c r="AC2515" s="2" t="s">
        <v>100</v>
      </c>
      <c r="AD2515" s="4"/>
      <c r="AE2515" s="4"/>
      <c r="AF2515" s="6"/>
      <c r="AG2515" s="6"/>
      <c r="AH2515" s="7">
        <v>0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/>
      <c r="AW2515" s="8"/>
      <c r="AX2515" s="4"/>
      <c r="AY2515" s="8"/>
      <c r="AZ2515" s="7"/>
      <c r="BA2515" s="7"/>
      <c r="BB2515" s="7"/>
      <c r="BC2515" s="4"/>
      <c r="BD2515" s="8"/>
      <c r="BE2515" s="4"/>
      <c r="BF2515" s="8"/>
      <c r="BG2515" s="7"/>
      <c r="BH2515" s="7"/>
      <c r="BI2515" s="7"/>
      <c r="BJ2515" s="4"/>
      <c r="BK2515" s="8"/>
      <c r="BL2515" s="2" t="s">
        <v>100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147</v>
      </c>
      <c r="BV2515" s="2" t="s">
        <v>97</v>
      </c>
      <c r="BW2515" s="2" t="s">
        <v>100</v>
      </c>
      <c r="BX2515" s="2" t="s">
        <v>100</v>
      </c>
      <c r="BY2515" s="2" t="s">
        <v>112</v>
      </c>
      <c r="BZ2515" s="2" t="s">
        <v>100</v>
      </c>
    </row>
    <row r="2516">
      <c r="A2516" s="2" t="s">
        <v>9336</v>
      </c>
      <c r="B2516" s="2" t="s">
        <v>7252</v>
      </c>
      <c r="C2516" s="2" t="s">
        <v>88</v>
      </c>
      <c r="D2516" s="2" t="s">
        <v>9318</v>
      </c>
      <c r="E2516" s="2" t="s">
        <v>9319</v>
      </c>
      <c r="F2516" s="2" t="s">
        <v>9337</v>
      </c>
      <c r="G2516" s="2" t="s">
        <v>9338</v>
      </c>
      <c r="H2516" s="2" t="s">
        <v>9339</v>
      </c>
      <c r="I2516" s="2" t="s">
        <v>9340</v>
      </c>
      <c r="J2516" s="2" t="s">
        <v>95</v>
      </c>
      <c r="K2516" s="2" t="s">
        <v>7269</v>
      </c>
      <c r="L2516" s="3">
        <v>130</v>
      </c>
      <c r="M2516" s="3">
        <v>136.5</v>
      </c>
      <c r="N2516" s="3">
        <v>269</v>
      </c>
      <c r="O2516" s="2" t="s">
        <v>550</v>
      </c>
      <c r="P2516" s="2" t="s">
        <v>198</v>
      </c>
      <c r="Q2516" s="2" t="s">
        <v>99</v>
      </c>
      <c r="R2516" s="2" t="s">
        <v>100</v>
      </c>
      <c r="S2516" s="2" t="s">
        <v>100</v>
      </c>
      <c r="T2516" s="2" t="s">
        <v>100</v>
      </c>
      <c r="U2516" s="2" t="s">
        <v>3531</v>
      </c>
      <c r="V2516" s="2" t="s">
        <v>1752</v>
      </c>
      <c r="W2516" s="2" t="s">
        <v>104</v>
      </c>
      <c r="X2516" s="2" t="s">
        <v>100</v>
      </c>
      <c r="Y2516" s="2" t="s">
        <v>9341</v>
      </c>
      <c r="Z2516" s="4"/>
      <c r="AA2516" s="4">
        <f>=ROUNDDOWN({0},0)</f>
      </c>
      <c r="AB2516" s="5"/>
      <c r="AC2516" s="2" t="s">
        <v>100</v>
      </c>
      <c r="AD2516" s="4"/>
      <c r="AE2516" s="4"/>
      <c r="AF2516" s="6">
        <v>65</v>
      </c>
      <c r="AG2516" s="6"/>
      <c r="AH2516" s="7">
        <v>0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>
        <v>0</v>
      </c>
      <c r="AP2516" s="4"/>
      <c r="AQ2516" s="8"/>
      <c r="AR2516" s="4">
        <v>5</v>
      </c>
      <c r="AS2516" s="8">
        <v>682.5</v>
      </c>
      <c r="AT2516" s="7">
        <v>-1</v>
      </c>
      <c r="AU2516" s="7">
        <v>-1</v>
      </c>
      <c r="AV2516" s="4"/>
      <c r="AW2516" s="8"/>
      <c r="AX2516" s="4">
        <v>5</v>
      </c>
      <c r="AY2516" s="8">
        <v>682.5</v>
      </c>
      <c r="AZ2516" s="7">
        <v>-1</v>
      </c>
      <c r="BA2516" s="7">
        <v>-1</v>
      </c>
      <c r="BB2516" s="7"/>
      <c r="BC2516" s="4" t="s">
        <v>100</v>
      </c>
      <c r="BD2516" s="8" t="s">
        <v>100</v>
      </c>
      <c r="BE2516" s="4">
        <v>7</v>
      </c>
      <c r="BF2516" s="8">
        <v>955.5</v>
      </c>
      <c r="BG2516" s="7" t="s">
        <v>100</v>
      </c>
      <c r="BH2516" s="7" t="s">
        <v>100</v>
      </c>
      <c r="BI2516" s="7"/>
      <c r="BJ2516" s="4"/>
      <c r="BK2516" s="8"/>
      <c r="BL2516" s="2" t="s">
        <v>9342</v>
      </c>
      <c r="BM2516" s="7"/>
      <c r="BN2516" s="7"/>
      <c r="BO2516" s="4"/>
      <c r="BP2516" s="8"/>
      <c r="BQ2516" s="4">
        <v>5</v>
      </c>
      <c r="BR2516" s="8">
        <v>682.5</v>
      </c>
      <c r="BS2516" s="7">
        <v>-1</v>
      </c>
      <c r="BT2516" s="7">
        <v>-1</v>
      </c>
      <c r="BU2516" s="2" t="s">
        <v>109</v>
      </c>
      <c r="BV2516" s="2" t="s">
        <v>552</v>
      </c>
      <c r="BW2516" s="2" t="s">
        <v>7307</v>
      </c>
      <c r="BX2516" s="2" t="s">
        <v>6156</v>
      </c>
      <c r="BY2516" s="2" t="s">
        <v>112</v>
      </c>
      <c r="BZ2516" s="2" t="s">
        <v>100</v>
      </c>
    </row>
    <row r="2517">
      <c r="A2517" s="2" t="s">
        <v>9343</v>
      </c>
      <c r="B2517" s="2" t="s">
        <v>7252</v>
      </c>
      <c r="C2517" s="2" t="s">
        <v>88</v>
      </c>
      <c r="D2517" s="2" t="s">
        <v>9318</v>
      </c>
      <c r="E2517" s="2" t="s">
        <v>9319</v>
      </c>
      <c r="F2517" s="2" t="s">
        <v>9337</v>
      </c>
      <c r="G2517" s="2" t="s">
        <v>9338</v>
      </c>
      <c r="H2517" s="2" t="s">
        <v>9339</v>
      </c>
      <c r="I2517" s="2" t="s">
        <v>9344</v>
      </c>
      <c r="J2517" s="2" t="s">
        <v>95</v>
      </c>
      <c r="K2517" s="2" t="s">
        <v>333</v>
      </c>
      <c r="L2517" s="3">
        <v>130</v>
      </c>
      <c r="M2517" s="3">
        <v>136.5</v>
      </c>
      <c r="N2517" s="3">
        <v>269</v>
      </c>
      <c r="O2517" s="2" t="s">
        <v>229</v>
      </c>
      <c r="P2517" s="2" t="s">
        <v>198</v>
      </c>
      <c r="Q2517" s="2" t="s">
        <v>99</v>
      </c>
      <c r="R2517" s="2" t="s">
        <v>100</v>
      </c>
      <c r="S2517" s="2" t="s">
        <v>100</v>
      </c>
      <c r="T2517" s="2" t="s">
        <v>100</v>
      </c>
      <c r="U2517" s="2" t="s">
        <v>100</v>
      </c>
      <c r="V2517" s="2" t="s">
        <v>601</v>
      </c>
      <c r="W2517" s="2" t="s">
        <v>104</v>
      </c>
      <c r="X2517" s="2" t="s">
        <v>100</v>
      </c>
      <c r="Y2517" s="2" t="s">
        <v>7443</v>
      </c>
      <c r="Z2517" s="4"/>
      <c r="AA2517" s="4">
        <f>=ROUNDDOWN({0},0)</f>
      </c>
      <c r="AB2517" s="5"/>
      <c r="AC2517" s="2" t="s">
        <v>100</v>
      </c>
      <c r="AD2517" s="4"/>
      <c r="AE2517" s="4"/>
      <c r="AF2517" s="6">
        <v>65</v>
      </c>
      <c r="AG2517" s="6"/>
      <c r="AH2517" s="7">
        <v>0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>
        <v>0</v>
      </c>
      <c r="AP2517" s="4"/>
      <c r="AQ2517" s="8"/>
      <c r="AR2517" s="4">
        <v>2</v>
      </c>
      <c r="AS2517" s="8">
        <v>273</v>
      </c>
      <c r="AT2517" s="7">
        <v>-1</v>
      </c>
      <c r="AU2517" s="7">
        <v>-1</v>
      </c>
      <c r="AV2517" s="4"/>
      <c r="AW2517" s="8"/>
      <c r="AX2517" s="4">
        <v>2</v>
      </c>
      <c r="AY2517" s="8">
        <v>273</v>
      </c>
      <c r="AZ2517" s="7">
        <v>-1</v>
      </c>
      <c r="BA2517" s="7">
        <v>-1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/>
      <c r="BJ2517" s="4"/>
      <c r="BK2517" s="8"/>
      <c r="BL2517" s="2" t="s">
        <v>9345</v>
      </c>
      <c r="BM2517" s="7"/>
      <c r="BN2517" s="7"/>
      <c r="BO2517" s="4"/>
      <c r="BP2517" s="8"/>
      <c r="BQ2517" s="4">
        <v>2</v>
      </c>
      <c r="BR2517" s="8">
        <v>273</v>
      </c>
      <c r="BS2517" s="7">
        <v>-1</v>
      </c>
      <c r="BT2517" s="7">
        <v>-1</v>
      </c>
      <c r="BU2517" s="2" t="s">
        <v>109</v>
      </c>
      <c r="BV2517" s="2" t="s">
        <v>552</v>
      </c>
      <c r="BW2517" s="2" t="s">
        <v>7307</v>
      </c>
      <c r="BX2517" s="2" t="s">
        <v>6545</v>
      </c>
      <c r="BY2517" s="2" t="s">
        <v>112</v>
      </c>
      <c r="BZ2517" s="2" t="s">
        <v>100</v>
      </c>
    </row>
    <row r="2518">
      <c r="A2518" s="2" t="s">
        <v>9346</v>
      </c>
      <c r="B2518" s="2" t="s">
        <v>7252</v>
      </c>
      <c r="C2518" s="2" t="s">
        <v>88</v>
      </c>
      <c r="D2518" s="2" t="s">
        <v>9318</v>
      </c>
      <c r="E2518" s="2" t="s">
        <v>9319</v>
      </c>
      <c r="F2518" s="2" t="s">
        <v>9337</v>
      </c>
      <c r="G2518" s="2" t="s">
        <v>9338</v>
      </c>
      <c r="H2518" s="2" t="s">
        <v>9339</v>
      </c>
      <c r="I2518" s="2" t="s">
        <v>9322</v>
      </c>
      <c r="J2518" s="2" t="s">
        <v>95</v>
      </c>
      <c r="K2518" s="2" t="s">
        <v>123</v>
      </c>
      <c r="L2518" s="3">
        <v>130</v>
      </c>
      <c r="M2518" s="3">
        <v>136.5</v>
      </c>
      <c r="N2518" s="3">
        <v>269</v>
      </c>
      <c r="O2518" s="2" t="s">
        <v>97</v>
      </c>
      <c r="P2518" s="2" t="s">
        <v>182</v>
      </c>
      <c r="Q2518" s="2" t="s">
        <v>99</v>
      </c>
      <c r="R2518" s="2" t="s">
        <v>100</v>
      </c>
      <c r="S2518" s="2" t="s">
        <v>9347</v>
      </c>
      <c r="T2518" s="2" t="s">
        <v>100</v>
      </c>
      <c r="U2518" s="2" t="s">
        <v>100</v>
      </c>
      <c r="V2518" s="2" t="s">
        <v>601</v>
      </c>
      <c r="W2518" s="2" t="s">
        <v>104</v>
      </c>
      <c r="X2518" s="2" t="s">
        <v>100</v>
      </c>
      <c r="Y2518" s="2" t="s">
        <v>3182</v>
      </c>
      <c r="Z2518" s="4">
        <v>256</v>
      </c>
      <c r="AA2518" s="4">
        <f>=ROUNDDOWN(28.4444444444444,0)</f>
      </c>
      <c r="AB2518" s="5">
        <v>9</v>
      </c>
      <c r="AC2518" s="2" t="s">
        <v>659</v>
      </c>
      <c r="AD2518" s="4">
        <v>127</v>
      </c>
      <c r="AE2518" s="4">
        <v>264</v>
      </c>
      <c r="AF2518" s="6">
        <v>66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>
        <v>0</v>
      </c>
      <c r="AP2518" s="4"/>
      <c r="AQ2518" s="8"/>
      <c r="AR2518" s="4"/>
      <c r="AS2518" s="8"/>
      <c r="AT2518" s="7"/>
      <c r="AU2518" s="7"/>
      <c r="AV2518" s="4" t="s">
        <v>100</v>
      </c>
      <c r="AW2518" s="8" t="s">
        <v>100</v>
      </c>
      <c r="AX2518" s="4" t="s">
        <v>100</v>
      </c>
      <c r="AY2518" s="8" t="s">
        <v>100</v>
      </c>
      <c r="AZ2518" s="7" t="s">
        <v>100</v>
      </c>
      <c r="BA2518" s="7" t="s">
        <v>100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/>
      <c r="BJ2518" s="4">
        <v>267</v>
      </c>
      <c r="BK2518" s="8">
        <v>31985.26</v>
      </c>
      <c r="BL2518" s="2" t="s">
        <v>9348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109</v>
      </c>
      <c r="BV2518" s="2" t="s">
        <v>97</v>
      </c>
      <c r="BW2518" s="2" t="s">
        <v>9349</v>
      </c>
      <c r="BX2518" s="2" t="s">
        <v>100</v>
      </c>
      <c r="BY2518" s="2" t="s">
        <v>112</v>
      </c>
      <c r="BZ2518" s="2" t="s">
        <v>100</v>
      </c>
    </row>
    <row r="2519">
      <c r="A2519" s="2" t="s">
        <v>9350</v>
      </c>
      <c r="B2519" s="2" t="s">
        <v>7252</v>
      </c>
      <c r="C2519" s="2" t="s">
        <v>88</v>
      </c>
      <c r="D2519" s="2" t="s">
        <v>9318</v>
      </c>
      <c r="E2519" s="2" t="s">
        <v>9319</v>
      </c>
      <c r="F2519" s="2" t="s">
        <v>9337</v>
      </c>
      <c r="G2519" s="2" t="s">
        <v>9338</v>
      </c>
      <c r="H2519" s="2" t="s">
        <v>9339</v>
      </c>
      <c r="I2519" s="2" t="s">
        <v>9322</v>
      </c>
      <c r="J2519" s="2" t="s">
        <v>114</v>
      </c>
      <c r="K2519" s="2" t="s">
        <v>123</v>
      </c>
      <c r="L2519" s="3">
        <v>148</v>
      </c>
      <c r="M2519" s="3">
        <v>155.4</v>
      </c>
      <c r="N2519" s="3">
        <v>309</v>
      </c>
      <c r="O2519" s="2" t="s">
        <v>97</v>
      </c>
      <c r="P2519" s="2" t="s">
        <v>182</v>
      </c>
      <c r="Q2519" s="2" t="s">
        <v>99</v>
      </c>
      <c r="R2519" s="2" t="s">
        <v>100</v>
      </c>
      <c r="S2519" s="2" t="s">
        <v>9351</v>
      </c>
      <c r="T2519" s="2" t="s">
        <v>100</v>
      </c>
      <c r="U2519" s="2" t="s">
        <v>100</v>
      </c>
      <c r="V2519" s="2" t="s">
        <v>601</v>
      </c>
      <c r="W2519" s="2" t="s">
        <v>104</v>
      </c>
      <c r="X2519" s="2" t="s">
        <v>100</v>
      </c>
      <c r="Y2519" s="2" t="s">
        <v>8188</v>
      </c>
      <c r="Z2519" s="4">
        <v>205</v>
      </c>
      <c r="AA2519" s="4">
        <f>=ROUNDDOWN(20.5,0)</f>
      </c>
      <c r="AB2519" s="5">
        <v>10</v>
      </c>
      <c r="AC2519" s="2" t="s">
        <v>7364</v>
      </c>
      <c r="AD2519" s="4">
        <v>100</v>
      </c>
      <c r="AE2519" s="4">
        <v>100</v>
      </c>
      <c r="AF2519" s="6">
        <v>66</v>
      </c>
      <c r="AG2519" s="6"/>
      <c r="AH2519" s="7">
        <v>0.6606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100</v>
      </c>
      <c r="AW2519" s="8" t="s">
        <v>100</v>
      </c>
      <c r="AX2519" s="4" t="s">
        <v>100</v>
      </c>
      <c r="AY2519" s="8" t="s">
        <v>100</v>
      </c>
      <c r="AZ2519" s="7" t="s">
        <v>100</v>
      </c>
      <c r="BA2519" s="7" t="s">
        <v>100</v>
      </c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/>
      <c r="BJ2519" s="4">
        <v>198</v>
      </c>
      <c r="BK2519" s="8">
        <v>29052.59</v>
      </c>
      <c r="BL2519" s="2" t="s">
        <v>9352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6185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9353</v>
      </c>
      <c r="B2520" s="2" t="s">
        <v>7252</v>
      </c>
      <c r="C2520" s="2" t="s">
        <v>4677</v>
      </c>
      <c r="D2520" s="2" t="s">
        <v>7253</v>
      </c>
      <c r="E2520" s="2" t="s">
        <v>7254</v>
      </c>
      <c r="F2520" s="2" t="s">
        <v>9354</v>
      </c>
      <c r="G2520" s="2" t="s">
        <v>9354</v>
      </c>
      <c r="H2520" s="2" t="s">
        <v>9354</v>
      </c>
      <c r="I2520" s="2" t="s">
        <v>7254</v>
      </c>
      <c r="J2520" s="2" t="s">
        <v>6103</v>
      </c>
      <c r="K2520" s="2" t="s">
        <v>622</v>
      </c>
      <c r="L2520" s="3">
        <v>161.5</v>
      </c>
      <c r="M2520" s="3">
        <v>169.58</v>
      </c>
      <c r="N2520" s="3">
        <v>339</v>
      </c>
      <c r="O2520" s="2" t="s">
        <v>97</v>
      </c>
      <c r="P2520" s="2" t="s">
        <v>124</v>
      </c>
      <c r="Q2520" s="2" t="s">
        <v>99</v>
      </c>
      <c r="R2520" s="2" t="s">
        <v>100</v>
      </c>
      <c r="S2520" s="2" t="s">
        <v>9355</v>
      </c>
      <c r="T2520" s="2" t="s">
        <v>100</v>
      </c>
      <c r="U2520" s="2" t="s">
        <v>3531</v>
      </c>
      <c r="V2520" s="2" t="s">
        <v>601</v>
      </c>
      <c r="W2520" s="2" t="s">
        <v>2195</v>
      </c>
      <c r="X2520" s="2" t="s">
        <v>602</v>
      </c>
      <c r="Y2520" s="2" t="s">
        <v>106</v>
      </c>
      <c r="Z2520" s="4"/>
      <c r="AA2520" s="4">
        <f>=ROUNDDOWN({0},0)</f>
      </c>
      <c r="AB2520" s="5">
        <v>5.5</v>
      </c>
      <c r="AC2520" s="2" t="s">
        <v>130</v>
      </c>
      <c r="AD2520" s="4">
        <v>29</v>
      </c>
      <c r="AE2520" s="4">
        <v>409</v>
      </c>
      <c r="AF2520" s="6">
        <v>74</v>
      </c>
      <c r="AG2520" s="6">
        <v>60</v>
      </c>
      <c r="AH2520" s="7">
        <v>0.9576</v>
      </c>
      <c r="AI2520" s="4"/>
      <c r="AJ2520" s="4">
        <f>=ROUNDDOWN({0},0)</f>
      </c>
      <c r="AK2520" s="5"/>
      <c r="AL2520" s="2" t="s">
        <v>766</v>
      </c>
      <c r="AM2520" s="4">
        <v>100</v>
      </c>
      <c r="AN2520" s="4">
        <v>100</v>
      </c>
      <c r="AO2520" s="7">
        <v>0</v>
      </c>
      <c r="AP2520" s="4">
        <v>48</v>
      </c>
      <c r="AQ2520" s="8">
        <v>6105.12</v>
      </c>
      <c r="AR2520" s="4">
        <v>78</v>
      </c>
      <c r="AS2520" s="8">
        <v>11294.71</v>
      </c>
      <c r="AT2520" s="7">
        <v>-0.3846</v>
      </c>
      <c r="AU2520" s="7">
        <v>-0.4595</v>
      </c>
      <c r="AV2520" s="4">
        <v>48</v>
      </c>
      <c r="AW2520" s="8">
        <v>6105.12</v>
      </c>
      <c r="AX2520" s="4">
        <v>78</v>
      </c>
      <c r="AY2520" s="8">
        <v>11294.71</v>
      </c>
      <c r="AZ2520" s="7">
        <v>-0.3846</v>
      </c>
      <c r="BA2520" s="7">
        <v>-0.4595</v>
      </c>
      <c r="BB2520" s="7">
        <v>1</v>
      </c>
      <c r="BC2520" s="4">
        <v>48</v>
      </c>
      <c r="BD2520" s="8">
        <v>6105.12</v>
      </c>
      <c r="BE2520" s="4">
        <v>78</v>
      </c>
      <c r="BF2520" s="8">
        <v>11294.71</v>
      </c>
      <c r="BG2520" s="7">
        <v>-0.3846</v>
      </c>
      <c r="BH2520" s="7">
        <v>-0.4595</v>
      </c>
      <c r="BI2520" s="7">
        <v>1</v>
      </c>
      <c r="BJ2520" s="4">
        <v>662</v>
      </c>
      <c r="BK2520" s="8">
        <v>93130.49</v>
      </c>
      <c r="BL2520" s="2" t="s">
        <v>9356</v>
      </c>
      <c r="BM2520" s="7">
        <v>0.0725</v>
      </c>
      <c r="BN2520" s="7">
        <v>0.0656</v>
      </c>
      <c r="BO2520" s="4">
        <v>48</v>
      </c>
      <c r="BP2520" s="8">
        <v>6105.12</v>
      </c>
      <c r="BQ2520" s="4">
        <v>78</v>
      </c>
      <c r="BR2520" s="8">
        <v>11294.71</v>
      </c>
      <c r="BS2520" s="7">
        <v>-0.3846</v>
      </c>
      <c r="BT2520" s="7">
        <v>-0.4595</v>
      </c>
      <c r="BU2520" s="2" t="s">
        <v>109</v>
      </c>
      <c r="BV2520" s="2" t="s">
        <v>97</v>
      </c>
      <c r="BW2520" s="2" t="s">
        <v>9357</v>
      </c>
      <c r="BX2520" s="2" t="s">
        <v>9358</v>
      </c>
      <c r="BY2520" s="2" t="s">
        <v>112</v>
      </c>
      <c r="BZ2520" s="2" t="s">
        <v>100</v>
      </c>
    </row>
    <row r="2521">
      <c r="A2521" s="2" t="s">
        <v>9359</v>
      </c>
      <c r="B2521" s="2" t="s">
        <v>7252</v>
      </c>
      <c r="C2521" s="2" t="s">
        <v>4677</v>
      </c>
      <c r="D2521" s="2" t="s">
        <v>7253</v>
      </c>
      <c r="E2521" s="2" t="s">
        <v>7254</v>
      </c>
      <c r="F2521" s="2" t="s">
        <v>9354</v>
      </c>
      <c r="G2521" s="2" t="s">
        <v>9354</v>
      </c>
      <c r="H2521" s="2" t="s">
        <v>9354</v>
      </c>
      <c r="I2521" s="2" t="s">
        <v>7254</v>
      </c>
      <c r="J2521" s="2" t="s">
        <v>6103</v>
      </c>
      <c r="K2521" s="2" t="s">
        <v>2367</v>
      </c>
      <c r="L2521" s="3">
        <v>161.5</v>
      </c>
      <c r="M2521" s="3">
        <v>169.58</v>
      </c>
      <c r="N2521" s="3">
        <v>339</v>
      </c>
      <c r="O2521" s="2" t="s">
        <v>97</v>
      </c>
      <c r="P2521" s="2" t="s">
        <v>182</v>
      </c>
      <c r="Q2521" s="2" t="s">
        <v>99</v>
      </c>
      <c r="R2521" s="2" t="s">
        <v>100</v>
      </c>
      <c r="S2521" s="2" t="s">
        <v>100</v>
      </c>
      <c r="T2521" s="2" t="s">
        <v>100</v>
      </c>
      <c r="U2521" s="2" t="s">
        <v>3531</v>
      </c>
      <c r="V2521" s="2" t="s">
        <v>601</v>
      </c>
      <c r="W2521" s="2" t="s">
        <v>2195</v>
      </c>
      <c r="X2521" s="2" t="s">
        <v>602</v>
      </c>
      <c r="Y2521" s="2" t="s">
        <v>7697</v>
      </c>
      <c r="Z2521" s="4">
        <v>100</v>
      </c>
      <c r="AA2521" s="4">
        <f>=ROUNDDOWN(5.55555555555556,0)</f>
      </c>
      <c r="AB2521" s="5">
        <v>18</v>
      </c>
      <c r="AC2521" s="2" t="s">
        <v>6199</v>
      </c>
      <c r="AD2521" s="4">
        <v>100</v>
      </c>
      <c r="AE2521" s="4">
        <v>342</v>
      </c>
      <c r="AF2521" s="6">
        <v>74</v>
      </c>
      <c r="AG2521" s="6">
        <v>60</v>
      </c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/>
      <c r="BJ2521" s="4">
        <v>370</v>
      </c>
      <c r="BK2521" s="8">
        <v>51735.72</v>
      </c>
      <c r="BL2521" s="2" t="s">
        <v>9360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6185</v>
      </c>
      <c r="BV2521" s="2" t="s">
        <v>97</v>
      </c>
      <c r="BW2521" s="2" t="s">
        <v>100</v>
      </c>
      <c r="BX2521" s="2" t="s">
        <v>100</v>
      </c>
      <c r="BY2521" s="2" t="s">
        <v>112</v>
      </c>
      <c r="BZ2521" s="2" t="s">
        <v>100</v>
      </c>
    </row>
    <row r="2522">
      <c r="A2522" s="2" t="s">
        <v>9361</v>
      </c>
      <c r="B2522" s="2" t="s">
        <v>7252</v>
      </c>
      <c r="C2522" s="2" t="s">
        <v>4677</v>
      </c>
      <c r="D2522" s="2" t="s">
        <v>7253</v>
      </c>
      <c r="E2522" s="2" t="s">
        <v>7254</v>
      </c>
      <c r="F2522" s="2" t="s">
        <v>9354</v>
      </c>
      <c r="G2522" s="2" t="s">
        <v>9354</v>
      </c>
      <c r="H2522" s="2" t="s">
        <v>9354</v>
      </c>
      <c r="I2522" s="2" t="s">
        <v>7254</v>
      </c>
      <c r="J2522" s="2" t="s">
        <v>6103</v>
      </c>
      <c r="K2522" s="2" t="s">
        <v>333</v>
      </c>
      <c r="L2522" s="3">
        <v>161.5</v>
      </c>
      <c r="M2522" s="3">
        <v>169.58</v>
      </c>
      <c r="N2522" s="3">
        <v>339</v>
      </c>
      <c r="O2522" s="2" t="s">
        <v>97</v>
      </c>
      <c r="P2522" s="2" t="s">
        <v>182</v>
      </c>
      <c r="Q2522" s="2" t="s">
        <v>99</v>
      </c>
      <c r="R2522" s="2" t="s">
        <v>100</v>
      </c>
      <c r="S2522" s="2" t="s">
        <v>100</v>
      </c>
      <c r="T2522" s="2" t="s">
        <v>100</v>
      </c>
      <c r="U2522" s="2" t="s">
        <v>3531</v>
      </c>
      <c r="V2522" s="2" t="s">
        <v>601</v>
      </c>
      <c r="W2522" s="2" t="s">
        <v>2195</v>
      </c>
      <c r="X2522" s="2" t="s">
        <v>602</v>
      </c>
      <c r="Y2522" s="2" t="s">
        <v>9362</v>
      </c>
      <c r="Z2522" s="4"/>
      <c r="AA2522" s="4">
        <f>=ROUNDDOWN({0},0)</f>
      </c>
      <c r="AB2522" s="5">
        <v>9</v>
      </c>
      <c r="AC2522" s="2" t="s">
        <v>9363</v>
      </c>
      <c r="AD2522" s="4">
        <v>60</v>
      </c>
      <c r="AE2522" s="4">
        <v>102</v>
      </c>
      <c r="AF2522" s="6">
        <v>74</v>
      </c>
      <c r="AG2522" s="6">
        <v>60</v>
      </c>
      <c r="AH2522" s="7">
        <v>0.9576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/>
      <c r="BJ2522" s="4">
        <v>172</v>
      </c>
      <c r="BK2522" s="8">
        <v>23842.85</v>
      </c>
      <c r="BL2522" s="2" t="s">
        <v>9364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6185</v>
      </c>
      <c r="BV2522" s="2" t="s">
        <v>97</v>
      </c>
      <c r="BW2522" s="2" t="s">
        <v>100</v>
      </c>
      <c r="BX2522" s="2" t="s">
        <v>100</v>
      </c>
      <c r="BY2522" s="2" t="s">
        <v>112</v>
      </c>
      <c r="BZ2522" s="2" t="s">
        <v>100</v>
      </c>
    </row>
    <row r="2523">
      <c r="A2523" s="2" t="s">
        <v>9365</v>
      </c>
      <c r="B2523" s="2" t="s">
        <v>7252</v>
      </c>
      <c r="C2523" s="2" t="s">
        <v>4677</v>
      </c>
      <c r="D2523" s="2" t="s">
        <v>7253</v>
      </c>
      <c r="E2523" s="2" t="s">
        <v>7254</v>
      </c>
      <c r="F2523" s="2" t="s">
        <v>9354</v>
      </c>
      <c r="G2523" s="2" t="s">
        <v>9354</v>
      </c>
      <c r="H2523" s="2" t="s">
        <v>9354</v>
      </c>
      <c r="I2523" s="2" t="s">
        <v>7254</v>
      </c>
      <c r="J2523" s="2" t="s">
        <v>6103</v>
      </c>
      <c r="K2523" s="2" t="s">
        <v>7943</v>
      </c>
      <c r="L2523" s="3">
        <v>161.5</v>
      </c>
      <c r="M2523" s="3">
        <v>169.58</v>
      </c>
      <c r="N2523" s="3">
        <v>339</v>
      </c>
      <c r="O2523" s="2" t="s">
        <v>97</v>
      </c>
      <c r="P2523" s="2" t="s">
        <v>143</v>
      </c>
      <c r="Q2523" s="2" t="s">
        <v>99</v>
      </c>
      <c r="R2523" s="2" t="s">
        <v>100</v>
      </c>
      <c r="S2523" s="2" t="s">
        <v>100</v>
      </c>
      <c r="T2523" s="2" t="s">
        <v>100</v>
      </c>
      <c r="U2523" s="2" t="s">
        <v>3531</v>
      </c>
      <c r="V2523" s="2" t="s">
        <v>601</v>
      </c>
      <c r="W2523" s="2" t="s">
        <v>2195</v>
      </c>
      <c r="X2523" s="2" t="s">
        <v>602</v>
      </c>
      <c r="Y2523" s="2" t="s">
        <v>9366</v>
      </c>
      <c r="Z2523" s="4">
        <v>142</v>
      </c>
      <c r="AA2523" s="4">
        <f>=ROUNDDOWN(17.9746835443038,0)</f>
      </c>
      <c r="AB2523" s="5">
        <v>7.9</v>
      </c>
      <c r="AC2523" s="2" t="s">
        <v>909</v>
      </c>
      <c r="AD2523" s="4">
        <v>100</v>
      </c>
      <c r="AE2523" s="4">
        <v>202</v>
      </c>
      <c r="AF2523" s="6">
        <v>74</v>
      </c>
      <c r="AG2523" s="6">
        <v>60</v>
      </c>
      <c r="AH2523" s="7">
        <v>0.9939</v>
      </c>
      <c r="AI2523" s="4"/>
      <c r="AJ2523" s="4">
        <f>=ROUNDDOWN({0},0)</f>
      </c>
      <c r="AK2523" s="5"/>
      <c r="AL2523" s="2" t="s">
        <v>9367</v>
      </c>
      <c r="AM2523" s="4">
        <v>238</v>
      </c>
      <c r="AN2523" s="4">
        <v>390</v>
      </c>
      <c r="AO2523" s="7">
        <v>0</v>
      </c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/>
      <c r="BJ2523" s="4">
        <v>641</v>
      </c>
      <c r="BK2523" s="8">
        <v>90044.5</v>
      </c>
      <c r="BL2523" s="2" t="s">
        <v>9368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6185</v>
      </c>
      <c r="BV2523" s="2" t="s">
        <v>97</v>
      </c>
      <c r="BW2523" s="2" t="s">
        <v>100</v>
      </c>
      <c r="BX2523" s="2" t="s">
        <v>100</v>
      </c>
      <c r="BY2523" s="2" t="s">
        <v>112</v>
      </c>
      <c r="BZ2523" s="2" t="s">
        <v>100</v>
      </c>
    </row>
    <row r="2524">
      <c r="A2524" s="2" t="s">
        <v>9369</v>
      </c>
      <c r="B2524" s="2" t="s">
        <v>7252</v>
      </c>
      <c r="C2524" s="2" t="s">
        <v>4677</v>
      </c>
      <c r="D2524" s="2" t="s">
        <v>7253</v>
      </c>
      <c r="E2524" s="2" t="s">
        <v>7254</v>
      </c>
      <c r="F2524" s="2" t="s">
        <v>9354</v>
      </c>
      <c r="G2524" s="2" t="s">
        <v>9354</v>
      </c>
      <c r="H2524" s="2" t="s">
        <v>9354</v>
      </c>
      <c r="I2524" s="2" t="s">
        <v>7254</v>
      </c>
      <c r="J2524" s="2" t="s">
        <v>6103</v>
      </c>
      <c r="K2524" s="2" t="s">
        <v>1581</v>
      </c>
      <c r="L2524" s="3">
        <v>161.5</v>
      </c>
      <c r="M2524" s="3">
        <v>169.58</v>
      </c>
      <c r="N2524" s="3">
        <v>339</v>
      </c>
      <c r="O2524" s="2" t="s">
        <v>97</v>
      </c>
      <c r="P2524" s="2" t="s">
        <v>1265</v>
      </c>
      <c r="Q2524" s="2" t="s">
        <v>99</v>
      </c>
      <c r="R2524" s="2" t="s">
        <v>100</v>
      </c>
      <c r="S2524" s="2" t="s">
        <v>100</v>
      </c>
      <c r="T2524" s="2" t="s">
        <v>100</v>
      </c>
      <c r="U2524" s="2" t="s">
        <v>3531</v>
      </c>
      <c r="V2524" s="2" t="s">
        <v>601</v>
      </c>
      <c r="W2524" s="2" t="s">
        <v>2195</v>
      </c>
      <c r="X2524" s="2" t="s">
        <v>602</v>
      </c>
      <c r="Y2524" s="2" t="s">
        <v>7842</v>
      </c>
      <c r="Z2524" s="4">
        <v>24</v>
      </c>
      <c r="AA2524" s="4">
        <f>=ROUNDDOWN(6,0)</f>
      </c>
      <c r="AB2524" s="5">
        <v>4</v>
      </c>
      <c r="AC2524" s="2" t="s">
        <v>9363</v>
      </c>
      <c r="AD2524" s="4">
        <v>100</v>
      </c>
      <c r="AE2524" s="4">
        <v>100</v>
      </c>
      <c r="AF2524" s="6">
        <v>74</v>
      </c>
      <c r="AG2524" s="6"/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/>
      <c r="BJ2524" s="4">
        <v>93</v>
      </c>
      <c r="BK2524" s="8">
        <v>13771.04</v>
      </c>
      <c r="BL2524" s="2" t="s">
        <v>9370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6185</v>
      </c>
      <c r="BV2524" s="2" t="s">
        <v>97</v>
      </c>
      <c r="BW2524" s="2" t="s">
        <v>100</v>
      </c>
      <c r="BX2524" s="2" t="s">
        <v>100</v>
      </c>
      <c r="BY2524" s="2" t="s">
        <v>112</v>
      </c>
      <c r="BZ2524" s="2" t="s">
        <v>100</v>
      </c>
    </row>
    <row r="2525">
      <c r="A2525" s="2" t="s">
        <v>9371</v>
      </c>
      <c r="B2525" s="2" t="s">
        <v>7252</v>
      </c>
      <c r="C2525" s="2" t="s">
        <v>4677</v>
      </c>
      <c r="D2525" s="2" t="s">
        <v>7253</v>
      </c>
      <c r="E2525" s="2" t="s">
        <v>7254</v>
      </c>
      <c r="F2525" s="2" t="s">
        <v>9354</v>
      </c>
      <c r="G2525" s="2" t="s">
        <v>9354</v>
      </c>
      <c r="H2525" s="2" t="s">
        <v>9354</v>
      </c>
      <c r="I2525" s="2" t="s">
        <v>7254</v>
      </c>
      <c r="J2525" s="2" t="s">
        <v>6103</v>
      </c>
      <c r="K2525" s="2" t="s">
        <v>1592</v>
      </c>
      <c r="L2525" s="3">
        <v>161.5</v>
      </c>
      <c r="M2525" s="3">
        <v>169.58</v>
      </c>
      <c r="N2525" s="3">
        <v>339</v>
      </c>
      <c r="O2525" s="2" t="s">
        <v>97</v>
      </c>
      <c r="P2525" s="2" t="s">
        <v>182</v>
      </c>
      <c r="Q2525" s="2" t="s">
        <v>99</v>
      </c>
      <c r="R2525" s="2" t="s">
        <v>100</v>
      </c>
      <c r="S2525" s="2" t="s">
        <v>100</v>
      </c>
      <c r="T2525" s="2" t="s">
        <v>100</v>
      </c>
      <c r="U2525" s="2" t="s">
        <v>3531</v>
      </c>
      <c r="V2525" s="2" t="s">
        <v>601</v>
      </c>
      <c r="W2525" s="2" t="s">
        <v>2195</v>
      </c>
      <c r="X2525" s="2" t="s">
        <v>602</v>
      </c>
      <c r="Y2525" s="2" t="s">
        <v>9362</v>
      </c>
      <c r="Z2525" s="4">
        <v>78</v>
      </c>
      <c r="AA2525" s="4">
        <f>=ROUNDDOWN(7.09090909090909,0)</f>
      </c>
      <c r="AB2525" s="5">
        <v>11</v>
      </c>
      <c r="AC2525" s="2" t="s">
        <v>130</v>
      </c>
      <c r="AD2525" s="4">
        <v>70</v>
      </c>
      <c r="AE2525" s="4">
        <v>230</v>
      </c>
      <c r="AF2525" s="6">
        <v>74</v>
      </c>
      <c r="AG2525" s="6">
        <v>60</v>
      </c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/>
      <c r="AW2525" s="8"/>
      <c r="AX2525" s="4"/>
      <c r="AY2525" s="8"/>
      <c r="AZ2525" s="7"/>
      <c r="BA2525" s="7"/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/>
      <c r="BJ2525" s="4">
        <v>282</v>
      </c>
      <c r="BK2525" s="8">
        <v>39064.36</v>
      </c>
      <c r="BL2525" s="2" t="s">
        <v>9372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6185</v>
      </c>
      <c r="BV2525" s="2" t="s">
        <v>97</v>
      </c>
      <c r="BW2525" s="2" t="s">
        <v>100</v>
      </c>
      <c r="BX2525" s="2" t="s">
        <v>100</v>
      </c>
      <c r="BY2525" s="2" t="s">
        <v>112</v>
      </c>
      <c r="BZ2525" s="2" t="s">
        <v>100</v>
      </c>
    </row>
    <row r="2526">
      <c r="A2526" s="2" t="s">
        <v>9373</v>
      </c>
      <c r="B2526" s="2" t="s">
        <v>7252</v>
      </c>
      <c r="C2526" s="2" t="s">
        <v>4677</v>
      </c>
      <c r="D2526" s="2" t="s">
        <v>7253</v>
      </c>
      <c r="E2526" s="2" t="s">
        <v>7254</v>
      </c>
      <c r="F2526" s="2" t="s">
        <v>9374</v>
      </c>
      <c r="G2526" s="2" t="s">
        <v>9374</v>
      </c>
      <c r="H2526" s="2" t="s">
        <v>9374</v>
      </c>
      <c r="I2526" s="2" t="s">
        <v>7254</v>
      </c>
      <c r="J2526" s="2" t="s">
        <v>6103</v>
      </c>
      <c r="K2526" s="2" t="s">
        <v>1412</v>
      </c>
      <c r="L2526" s="3">
        <v>180.5</v>
      </c>
      <c r="M2526" s="3">
        <v>189.52</v>
      </c>
      <c r="N2526" s="3">
        <v>379</v>
      </c>
      <c r="O2526" s="2" t="s">
        <v>97</v>
      </c>
      <c r="P2526" s="2" t="s">
        <v>182</v>
      </c>
      <c r="Q2526" s="2" t="s">
        <v>99</v>
      </c>
      <c r="R2526" s="2" t="s">
        <v>100</v>
      </c>
      <c r="S2526" s="2" t="s">
        <v>100</v>
      </c>
      <c r="T2526" s="2" t="s">
        <v>100</v>
      </c>
      <c r="U2526" s="2" t="s">
        <v>100</v>
      </c>
      <c r="V2526" s="2" t="s">
        <v>601</v>
      </c>
      <c r="W2526" s="2" t="s">
        <v>2195</v>
      </c>
      <c r="X2526" s="2" t="s">
        <v>100</v>
      </c>
      <c r="Y2526" s="2" t="s">
        <v>4698</v>
      </c>
      <c r="Z2526" s="4">
        <v>369</v>
      </c>
      <c r="AA2526" s="4">
        <f>=ROUNDDOWN(41,0)</f>
      </c>
      <c r="AB2526" s="5">
        <v>9</v>
      </c>
      <c r="AC2526" s="2" t="s">
        <v>100</v>
      </c>
      <c r="AD2526" s="4"/>
      <c r="AE2526" s="4"/>
      <c r="AF2526" s="6">
        <v>74</v>
      </c>
      <c r="AG2526" s="6">
        <v>60</v>
      </c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>
        <v>0</v>
      </c>
      <c r="AP2526" s="4">
        <v>5</v>
      </c>
      <c r="AQ2526" s="8">
        <v>947.65</v>
      </c>
      <c r="AR2526" s="4"/>
      <c r="AS2526" s="8"/>
      <c r="AT2526" s="7"/>
      <c r="AU2526" s="7"/>
      <c r="AV2526" s="4">
        <v>5</v>
      </c>
      <c r="AW2526" s="8">
        <v>947.65</v>
      </c>
      <c r="AX2526" s="4"/>
      <c r="AY2526" s="8"/>
      <c r="AZ2526" s="7"/>
      <c r="BA2526" s="7"/>
      <c r="BB2526" s="7">
        <v>1</v>
      </c>
      <c r="BC2526" s="4">
        <v>17</v>
      </c>
      <c r="BD2526" s="8">
        <v>3222.01</v>
      </c>
      <c r="BE2526" s="4">
        <v>7</v>
      </c>
      <c r="BF2526" s="8">
        <v>1089.81</v>
      </c>
      <c r="BG2526" s="7">
        <v>1.4286</v>
      </c>
      <c r="BH2526" s="7">
        <v>1.9565</v>
      </c>
      <c r="BI2526" s="7">
        <v>0.2941</v>
      </c>
      <c r="BJ2526" s="4">
        <v>274</v>
      </c>
      <c r="BK2526" s="8">
        <v>44967.73</v>
      </c>
      <c r="BL2526" s="2" t="s">
        <v>9375</v>
      </c>
      <c r="BM2526" s="7">
        <v>0.0182</v>
      </c>
      <c r="BN2526" s="7">
        <v>0.0211</v>
      </c>
      <c r="BO2526" s="4">
        <v>5</v>
      </c>
      <c r="BP2526" s="8">
        <v>947.65</v>
      </c>
      <c r="BQ2526" s="4"/>
      <c r="BR2526" s="8"/>
      <c r="BS2526" s="7"/>
      <c r="BT2526" s="7"/>
      <c r="BU2526" s="2" t="s">
        <v>109</v>
      </c>
      <c r="BV2526" s="2" t="s">
        <v>97</v>
      </c>
      <c r="BW2526" s="2" t="s">
        <v>3536</v>
      </c>
      <c r="BX2526" s="2" t="s">
        <v>9376</v>
      </c>
      <c r="BY2526" s="2" t="s">
        <v>112</v>
      </c>
      <c r="BZ2526" s="2" t="s">
        <v>100</v>
      </c>
    </row>
    <row r="2527">
      <c r="A2527" s="2" t="s">
        <v>9377</v>
      </c>
      <c r="B2527" s="2" t="s">
        <v>7252</v>
      </c>
      <c r="C2527" s="2" t="s">
        <v>4677</v>
      </c>
      <c r="D2527" s="2" t="s">
        <v>7253</v>
      </c>
      <c r="E2527" s="2" t="s">
        <v>7254</v>
      </c>
      <c r="F2527" s="2" t="s">
        <v>9374</v>
      </c>
      <c r="G2527" s="2" t="s">
        <v>9374</v>
      </c>
      <c r="H2527" s="2" t="s">
        <v>9374</v>
      </c>
      <c r="I2527" s="2" t="s">
        <v>7254</v>
      </c>
      <c r="J2527" s="2" t="s">
        <v>6103</v>
      </c>
      <c r="K2527" s="2" t="s">
        <v>158</v>
      </c>
      <c r="L2527" s="3">
        <v>180.5</v>
      </c>
      <c r="M2527" s="3">
        <v>189.52</v>
      </c>
      <c r="N2527" s="3">
        <v>379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9378</v>
      </c>
      <c r="T2527" s="2" t="s">
        <v>100</v>
      </c>
      <c r="U2527" s="2" t="s">
        <v>100</v>
      </c>
      <c r="V2527" s="2" t="s">
        <v>601</v>
      </c>
      <c r="W2527" s="2" t="s">
        <v>2195</v>
      </c>
      <c r="X2527" s="2" t="s">
        <v>100</v>
      </c>
      <c r="Y2527" s="2" t="s">
        <v>878</v>
      </c>
      <c r="Z2527" s="4">
        <v>884</v>
      </c>
      <c r="AA2527" s="4">
        <f>=ROUNDDOWN(121.095890410959,0)</f>
      </c>
      <c r="AB2527" s="5">
        <v>7.3</v>
      </c>
      <c r="AC2527" s="2" t="s">
        <v>9379</v>
      </c>
      <c r="AD2527" s="4">
        <v>158</v>
      </c>
      <c r="AE2527" s="4">
        <v>158</v>
      </c>
      <c r="AF2527" s="6">
        <v>74</v>
      </c>
      <c r="AG2527" s="6">
        <v>60</v>
      </c>
      <c r="AH2527" s="7">
        <v>1</v>
      </c>
      <c r="AI2527" s="4"/>
      <c r="AJ2527" s="4">
        <f>=ROUNDDOWN({0},0)</f>
      </c>
      <c r="AK2527" s="5"/>
      <c r="AL2527" s="2" t="s">
        <v>7911</v>
      </c>
      <c r="AM2527" s="4">
        <v>114</v>
      </c>
      <c r="AN2527" s="4">
        <v>168</v>
      </c>
      <c r="AO2527" s="7">
        <v>0</v>
      </c>
      <c r="AP2527" s="4">
        <v>5</v>
      </c>
      <c r="AQ2527" s="8">
        <v>947.65</v>
      </c>
      <c r="AR2527" s="4">
        <v>3</v>
      </c>
      <c r="AS2527" s="8">
        <v>426.45</v>
      </c>
      <c r="AT2527" s="7">
        <v>0.6667</v>
      </c>
      <c r="AU2527" s="7">
        <v>1.2222</v>
      </c>
      <c r="AV2527" s="4">
        <v>5</v>
      </c>
      <c r="AW2527" s="8">
        <v>947.65</v>
      </c>
      <c r="AX2527" s="4">
        <v>3</v>
      </c>
      <c r="AY2527" s="8">
        <v>426.45</v>
      </c>
      <c r="AZ2527" s="7">
        <v>0.6667</v>
      </c>
      <c r="BA2527" s="7">
        <v>1.2222</v>
      </c>
      <c r="BB2527" s="7">
        <v>1</v>
      </c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>
        <v>0.2941</v>
      </c>
      <c r="BJ2527" s="4">
        <v>968</v>
      </c>
      <c r="BK2527" s="8">
        <v>152357.06</v>
      </c>
      <c r="BL2527" s="2" t="s">
        <v>9380</v>
      </c>
      <c r="BM2527" s="7">
        <v>0.0052</v>
      </c>
      <c r="BN2527" s="7">
        <v>0.0062</v>
      </c>
      <c r="BO2527" s="4">
        <v>5</v>
      </c>
      <c r="BP2527" s="8">
        <v>947.65</v>
      </c>
      <c r="BQ2527" s="4">
        <v>3</v>
      </c>
      <c r="BR2527" s="8">
        <v>426.45</v>
      </c>
      <c r="BS2527" s="7">
        <v>0.6667</v>
      </c>
      <c r="BT2527" s="7">
        <v>1.2222</v>
      </c>
      <c r="BU2527" s="2" t="s">
        <v>109</v>
      </c>
      <c r="BV2527" s="2" t="s">
        <v>97</v>
      </c>
      <c r="BW2527" s="2" t="s">
        <v>3536</v>
      </c>
      <c r="BX2527" s="2" t="s">
        <v>4754</v>
      </c>
      <c r="BY2527" s="2" t="s">
        <v>112</v>
      </c>
      <c r="BZ2527" s="2" t="s">
        <v>100</v>
      </c>
    </row>
    <row r="2528">
      <c r="A2528" s="2" t="s">
        <v>9381</v>
      </c>
      <c r="B2528" s="2" t="s">
        <v>7252</v>
      </c>
      <c r="C2528" s="2" t="s">
        <v>4677</v>
      </c>
      <c r="D2528" s="2" t="s">
        <v>7253</v>
      </c>
      <c r="E2528" s="2" t="s">
        <v>7254</v>
      </c>
      <c r="F2528" s="2" t="s">
        <v>9374</v>
      </c>
      <c r="G2528" s="2" t="s">
        <v>9374</v>
      </c>
      <c r="H2528" s="2" t="s">
        <v>9374</v>
      </c>
      <c r="I2528" s="2" t="s">
        <v>7254</v>
      </c>
      <c r="J2528" s="2" t="s">
        <v>6103</v>
      </c>
      <c r="K2528" s="2" t="s">
        <v>2553</v>
      </c>
      <c r="L2528" s="3">
        <v>180.5</v>
      </c>
      <c r="M2528" s="3">
        <v>189.52</v>
      </c>
      <c r="N2528" s="3">
        <v>379</v>
      </c>
      <c r="O2528" s="2" t="s">
        <v>97</v>
      </c>
      <c r="P2528" s="2" t="s">
        <v>143</v>
      </c>
      <c r="Q2528" s="2" t="s">
        <v>99</v>
      </c>
      <c r="R2528" s="2" t="s">
        <v>100</v>
      </c>
      <c r="S2528" s="2" t="s">
        <v>100</v>
      </c>
      <c r="T2528" s="2" t="s">
        <v>100</v>
      </c>
      <c r="U2528" s="2" t="s">
        <v>3531</v>
      </c>
      <c r="V2528" s="2" t="s">
        <v>601</v>
      </c>
      <c r="W2528" s="2" t="s">
        <v>2195</v>
      </c>
      <c r="X2528" s="2" t="s">
        <v>100</v>
      </c>
      <c r="Y2528" s="2" t="s">
        <v>9382</v>
      </c>
      <c r="Z2528" s="4">
        <v>217</v>
      </c>
      <c r="AA2528" s="4">
        <f>=ROUNDDOWN(180.833333333333,0)</f>
      </c>
      <c r="AB2528" s="5">
        <v>1.2</v>
      </c>
      <c r="AC2528" s="2" t="s">
        <v>936</v>
      </c>
      <c r="AD2528" s="4">
        <v>76</v>
      </c>
      <c r="AE2528" s="4">
        <v>196</v>
      </c>
      <c r="AF2528" s="6">
        <v>74</v>
      </c>
      <c r="AG2528" s="6">
        <v>60</v>
      </c>
      <c r="AH2528" s="7">
        <v>0.903</v>
      </c>
      <c r="AI2528" s="4"/>
      <c r="AJ2528" s="4">
        <f>=ROUNDDOWN({0},0)</f>
      </c>
      <c r="AK2528" s="5"/>
      <c r="AL2528" s="2" t="s">
        <v>4093</v>
      </c>
      <c r="AM2528" s="4">
        <v>50</v>
      </c>
      <c r="AN2528" s="4">
        <v>50</v>
      </c>
      <c r="AO2528" s="7">
        <v>0</v>
      </c>
      <c r="AP2528" s="4">
        <v>4</v>
      </c>
      <c r="AQ2528" s="8">
        <v>758.12</v>
      </c>
      <c r="AR2528" s="4">
        <v>3</v>
      </c>
      <c r="AS2528" s="8">
        <v>473.83</v>
      </c>
      <c r="AT2528" s="7">
        <v>0.3333</v>
      </c>
      <c r="AU2528" s="7">
        <v>0.6</v>
      </c>
      <c r="AV2528" s="4">
        <v>4</v>
      </c>
      <c r="AW2528" s="8">
        <v>758.12</v>
      </c>
      <c r="AX2528" s="4">
        <v>3</v>
      </c>
      <c r="AY2528" s="8">
        <v>473.83</v>
      </c>
      <c r="AZ2528" s="7">
        <v>0.3333</v>
      </c>
      <c r="BA2528" s="7">
        <v>0.6</v>
      </c>
      <c r="BB2528" s="7">
        <v>1</v>
      </c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>
        <v>0.2353</v>
      </c>
      <c r="BJ2528" s="4">
        <v>488</v>
      </c>
      <c r="BK2528" s="8">
        <v>78157.04</v>
      </c>
      <c r="BL2528" s="2" t="s">
        <v>9383</v>
      </c>
      <c r="BM2528" s="7">
        <v>0.0082</v>
      </c>
      <c r="BN2528" s="7">
        <v>0.0097</v>
      </c>
      <c r="BO2528" s="4">
        <v>4</v>
      </c>
      <c r="BP2528" s="8">
        <v>758.12</v>
      </c>
      <c r="BQ2528" s="4">
        <v>3</v>
      </c>
      <c r="BR2528" s="8">
        <v>473.83</v>
      </c>
      <c r="BS2528" s="7">
        <v>0.3333</v>
      </c>
      <c r="BT2528" s="7">
        <v>0.6</v>
      </c>
      <c r="BU2528" s="2" t="s">
        <v>109</v>
      </c>
      <c r="BV2528" s="2" t="s">
        <v>97</v>
      </c>
      <c r="BW2528" s="2" t="s">
        <v>3536</v>
      </c>
      <c r="BX2528" s="2" t="s">
        <v>9384</v>
      </c>
      <c r="BY2528" s="2" t="s">
        <v>112</v>
      </c>
      <c r="BZ2528" s="2" t="s">
        <v>100</v>
      </c>
    </row>
    <row r="2529">
      <c r="A2529" s="2" t="s">
        <v>9385</v>
      </c>
      <c r="B2529" s="2" t="s">
        <v>7252</v>
      </c>
      <c r="C2529" s="2" t="s">
        <v>4677</v>
      </c>
      <c r="D2529" s="2" t="s">
        <v>7253</v>
      </c>
      <c r="E2529" s="2" t="s">
        <v>7254</v>
      </c>
      <c r="F2529" s="2" t="s">
        <v>9374</v>
      </c>
      <c r="G2529" s="2" t="s">
        <v>9374</v>
      </c>
      <c r="H2529" s="2" t="s">
        <v>9374</v>
      </c>
      <c r="I2529" s="2" t="s">
        <v>7254</v>
      </c>
      <c r="J2529" s="2" t="s">
        <v>6103</v>
      </c>
      <c r="K2529" s="2" t="s">
        <v>7943</v>
      </c>
      <c r="L2529" s="3">
        <v>180.5</v>
      </c>
      <c r="M2529" s="3">
        <v>189.52</v>
      </c>
      <c r="N2529" s="3">
        <v>379</v>
      </c>
      <c r="O2529" s="2" t="s">
        <v>97</v>
      </c>
      <c r="P2529" s="2" t="s">
        <v>182</v>
      </c>
      <c r="Q2529" s="2" t="s">
        <v>99</v>
      </c>
      <c r="R2529" s="2" t="s">
        <v>100</v>
      </c>
      <c r="S2529" s="2" t="s">
        <v>100</v>
      </c>
      <c r="T2529" s="2" t="s">
        <v>100</v>
      </c>
      <c r="U2529" s="2" t="s">
        <v>3531</v>
      </c>
      <c r="V2529" s="2" t="s">
        <v>601</v>
      </c>
      <c r="W2529" s="2" t="s">
        <v>2195</v>
      </c>
      <c r="X2529" s="2" t="s">
        <v>100</v>
      </c>
      <c r="Y2529" s="2" t="s">
        <v>9386</v>
      </c>
      <c r="Z2529" s="4">
        <v>186</v>
      </c>
      <c r="AA2529" s="4">
        <f>=ROUNDDOWN(68.8888888888889,0)</f>
      </c>
      <c r="AB2529" s="5">
        <v>2.7</v>
      </c>
      <c r="AC2529" s="2" t="s">
        <v>325</v>
      </c>
      <c r="AD2529" s="4">
        <v>22</v>
      </c>
      <c r="AE2529" s="4">
        <v>90</v>
      </c>
      <c r="AF2529" s="6">
        <v>74</v>
      </c>
      <c r="AG2529" s="6">
        <v>60</v>
      </c>
      <c r="AH2529" s="7">
        <v>1</v>
      </c>
      <c r="AI2529" s="4"/>
      <c r="AJ2529" s="4">
        <f>=ROUNDDOWN({0},0)</f>
      </c>
      <c r="AK2529" s="5"/>
      <c r="AL2529" s="2" t="s">
        <v>7911</v>
      </c>
      <c r="AM2529" s="4">
        <v>60</v>
      </c>
      <c r="AN2529" s="4">
        <v>60</v>
      </c>
      <c r="AO2529" s="7">
        <v>0</v>
      </c>
      <c r="AP2529" s="4">
        <v>3</v>
      </c>
      <c r="AQ2529" s="8">
        <v>568.59</v>
      </c>
      <c r="AR2529" s="4"/>
      <c r="AS2529" s="8"/>
      <c r="AT2529" s="7"/>
      <c r="AU2529" s="7"/>
      <c r="AV2529" s="4">
        <v>3</v>
      </c>
      <c r="AW2529" s="8">
        <v>568.59</v>
      </c>
      <c r="AX2529" s="4"/>
      <c r="AY2529" s="8"/>
      <c r="AZ2529" s="7"/>
      <c r="BA2529" s="7"/>
      <c r="BB2529" s="7">
        <v>1</v>
      </c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>
        <v>0.1765</v>
      </c>
      <c r="BJ2529" s="4">
        <v>344</v>
      </c>
      <c r="BK2529" s="8">
        <v>55615.91</v>
      </c>
      <c r="BL2529" s="2" t="s">
        <v>9387</v>
      </c>
      <c r="BM2529" s="7">
        <v>0.0087</v>
      </c>
      <c r="BN2529" s="7">
        <v>0.0102</v>
      </c>
      <c r="BO2529" s="4">
        <v>3</v>
      </c>
      <c r="BP2529" s="8">
        <v>568.59</v>
      </c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3536</v>
      </c>
      <c r="BX2529" s="2" t="s">
        <v>4241</v>
      </c>
      <c r="BY2529" s="2" t="s">
        <v>112</v>
      </c>
      <c r="BZ2529" s="2" t="s">
        <v>100</v>
      </c>
    </row>
    <row r="2530">
      <c r="A2530" s="2" t="s">
        <v>9388</v>
      </c>
      <c r="B2530" s="2" t="s">
        <v>7252</v>
      </c>
      <c r="C2530" s="2" t="s">
        <v>4677</v>
      </c>
      <c r="D2530" s="2" t="s">
        <v>7253</v>
      </c>
      <c r="E2530" s="2" t="s">
        <v>7254</v>
      </c>
      <c r="F2530" s="2" t="s">
        <v>9374</v>
      </c>
      <c r="G2530" s="2" t="s">
        <v>9374</v>
      </c>
      <c r="H2530" s="2" t="s">
        <v>9374</v>
      </c>
      <c r="I2530" s="2" t="s">
        <v>7254</v>
      </c>
      <c r="J2530" s="2" t="s">
        <v>6103</v>
      </c>
      <c r="K2530" s="2" t="s">
        <v>7696</v>
      </c>
      <c r="L2530" s="3">
        <v>180.5</v>
      </c>
      <c r="M2530" s="3">
        <v>189.52</v>
      </c>
      <c r="N2530" s="3">
        <v>379</v>
      </c>
      <c r="O2530" s="2" t="s">
        <v>97</v>
      </c>
      <c r="P2530" s="2" t="s">
        <v>182</v>
      </c>
      <c r="Q2530" s="2" t="s">
        <v>99</v>
      </c>
      <c r="R2530" s="2" t="s">
        <v>100</v>
      </c>
      <c r="S2530" s="2" t="s">
        <v>100</v>
      </c>
      <c r="T2530" s="2" t="s">
        <v>100</v>
      </c>
      <c r="U2530" s="2" t="s">
        <v>3531</v>
      </c>
      <c r="V2530" s="2" t="s">
        <v>601</v>
      </c>
      <c r="W2530" s="2" t="s">
        <v>2195</v>
      </c>
      <c r="X2530" s="2" t="s">
        <v>100</v>
      </c>
      <c r="Y2530" s="2" t="s">
        <v>9389</v>
      </c>
      <c r="Z2530" s="4">
        <v>222</v>
      </c>
      <c r="AA2530" s="4">
        <f>=ROUNDDOWN({0},0)</f>
      </c>
      <c r="AB2530" s="5"/>
      <c r="AC2530" s="2" t="s">
        <v>100</v>
      </c>
      <c r="AD2530" s="4"/>
      <c r="AE2530" s="4"/>
      <c r="AF2530" s="6">
        <v>74</v>
      </c>
      <c r="AG2530" s="6">
        <v>60</v>
      </c>
      <c r="AH2530" s="7">
        <v>0.9152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>
        <v>0</v>
      </c>
      <c r="AP2530" s="4"/>
      <c r="AQ2530" s="8"/>
      <c r="AR2530" s="4"/>
      <c r="AS2530" s="8"/>
      <c r="AT2530" s="7"/>
      <c r="AU2530" s="7"/>
      <c r="AV2530" s="4"/>
      <c r="AW2530" s="8"/>
      <c r="AX2530" s="4"/>
      <c r="AY2530" s="8"/>
      <c r="AZ2530" s="7"/>
      <c r="BA2530" s="7"/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250</v>
      </c>
      <c r="BK2530" s="8">
        <v>39113.44</v>
      </c>
      <c r="BL2530" s="2" t="s">
        <v>9390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3536</v>
      </c>
      <c r="BX2530" s="2" t="s">
        <v>100</v>
      </c>
      <c r="BY2530" s="2" t="s">
        <v>112</v>
      </c>
      <c r="BZ2530" s="2" t="s">
        <v>100</v>
      </c>
    </row>
    <row r="2531">
      <c r="A2531" s="2" t="s">
        <v>9391</v>
      </c>
      <c r="B2531" s="2" t="s">
        <v>7252</v>
      </c>
      <c r="C2531" s="2" t="s">
        <v>4677</v>
      </c>
      <c r="D2531" s="2" t="s">
        <v>7253</v>
      </c>
      <c r="E2531" s="2" t="s">
        <v>7254</v>
      </c>
      <c r="F2531" s="2" t="s">
        <v>9374</v>
      </c>
      <c r="G2531" s="2" t="s">
        <v>9374</v>
      </c>
      <c r="H2531" s="2" t="s">
        <v>9374</v>
      </c>
      <c r="I2531" s="2" t="s">
        <v>7254</v>
      </c>
      <c r="J2531" s="2" t="s">
        <v>6103</v>
      </c>
      <c r="K2531" s="2" t="s">
        <v>9392</v>
      </c>
      <c r="L2531" s="3">
        <v>180.5</v>
      </c>
      <c r="M2531" s="3">
        <v>189.52</v>
      </c>
      <c r="N2531" s="3">
        <v>379</v>
      </c>
      <c r="O2531" s="2" t="s">
        <v>97</v>
      </c>
      <c r="P2531" s="2" t="s">
        <v>182</v>
      </c>
      <c r="Q2531" s="2" t="s">
        <v>99</v>
      </c>
      <c r="R2531" s="2" t="s">
        <v>100</v>
      </c>
      <c r="S2531" s="2" t="s">
        <v>9393</v>
      </c>
      <c r="T2531" s="2" t="s">
        <v>184</v>
      </c>
      <c r="U2531" s="2" t="s">
        <v>100</v>
      </c>
      <c r="V2531" s="2" t="s">
        <v>601</v>
      </c>
      <c r="W2531" s="2" t="s">
        <v>2195</v>
      </c>
      <c r="X2531" s="2" t="s">
        <v>100</v>
      </c>
      <c r="Y2531" s="2" t="s">
        <v>106</v>
      </c>
      <c r="Z2531" s="4">
        <v>380</v>
      </c>
      <c r="AA2531" s="4">
        <f>=ROUNDDOWN(63.3333333333333,0)</f>
      </c>
      <c r="AB2531" s="5">
        <v>6</v>
      </c>
      <c r="AC2531" s="2" t="s">
        <v>100</v>
      </c>
      <c r="AD2531" s="4"/>
      <c r="AE2531" s="4"/>
      <c r="AF2531" s="6">
        <v>74</v>
      </c>
      <c r="AG2531" s="6">
        <v>60</v>
      </c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154</v>
      </c>
      <c r="BK2531" s="8">
        <v>23851.22</v>
      </c>
      <c r="BL2531" s="2" t="s">
        <v>9394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3536</v>
      </c>
      <c r="BX2531" s="2" t="s">
        <v>100</v>
      </c>
      <c r="BY2531" s="2" t="s">
        <v>112</v>
      </c>
      <c r="BZ2531" s="2" t="s">
        <v>100</v>
      </c>
    </row>
    <row r="2532">
      <c r="A2532" s="2" t="s">
        <v>9395</v>
      </c>
      <c r="B2532" s="2" t="s">
        <v>7252</v>
      </c>
      <c r="C2532" s="2" t="s">
        <v>4677</v>
      </c>
      <c r="D2532" s="2" t="s">
        <v>7253</v>
      </c>
      <c r="E2532" s="2" t="s">
        <v>7254</v>
      </c>
      <c r="F2532" s="2" t="s">
        <v>9374</v>
      </c>
      <c r="G2532" s="2" t="s">
        <v>9374</v>
      </c>
      <c r="H2532" s="2" t="s">
        <v>9374</v>
      </c>
      <c r="I2532" s="2" t="s">
        <v>7254</v>
      </c>
      <c r="J2532" s="2" t="s">
        <v>6103</v>
      </c>
      <c r="K2532" s="2" t="s">
        <v>1581</v>
      </c>
      <c r="L2532" s="3">
        <v>180.5</v>
      </c>
      <c r="M2532" s="3">
        <v>189.52</v>
      </c>
      <c r="N2532" s="3">
        <v>379</v>
      </c>
      <c r="O2532" s="2" t="s">
        <v>97</v>
      </c>
      <c r="P2532" s="2" t="s">
        <v>182</v>
      </c>
      <c r="Q2532" s="2" t="s">
        <v>99</v>
      </c>
      <c r="R2532" s="2" t="s">
        <v>100</v>
      </c>
      <c r="S2532" s="2" t="s">
        <v>100</v>
      </c>
      <c r="T2532" s="2" t="s">
        <v>100</v>
      </c>
      <c r="U2532" s="2" t="s">
        <v>3531</v>
      </c>
      <c r="V2532" s="2" t="s">
        <v>601</v>
      </c>
      <c r="W2532" s="2" t="s">
        <v>2195</v>
      </c>
      <c r="X2532" s="2" t="s">
        <v>100</v>
      </c>
      <c r="Y2532" s="2" t="s">
        <v>9396</v>
      </c>
      <c r="Z2532" s="4">
        <v>219</v>
      </c>
      <c r="AA2532" s="4">
        <f>=ROUNDDOWN(60.8333333333333,0)</f>
      </c>
      <c r="AB2532" s="5">
        <v>3.6</v>
      </c>
      <c r="AC2532" s="2" t="s">
        <v>9379</v>
      </c>
      <c r="AD2532" s="4">
        <v>120</v>
      </c>
      <c r="AE2532" s="4">
        <v>120</v>
      </c>
      <c r="AF2532" s="6">
        <v>74</v>
      </c>
      <c r="AG2532" s="6">
        <v>60</v>
      </c>
      <c r="AH2532" s="7">
        <v>1</v>
      </c>
      <c r="AI2532" s="4"/>
      <c r="AJ2532" s="4">
        <f>=ROUNDDOWN({0},0)</f>
      </c>
      <c r="AK2532" s="5"/>
      <c r="AL2532" s="2" t="s">
        <v>4093</v>
      </c>
      <c r="AM2532" s="4">
        <v>70</v>
      </c>
      <c r="AN2532" s="4">
        <v>70</v>
      </c>
      <c r="AO2532" s="7">
        <v>0</v>
      </c>
      <c r="AP2532" s="4"/>
      <c r="AQ2532" s="8"/>
      <c r="AR2532" s="4">
        <v>1</v>
      </c>
      <c r="AS2532" s="8">
        <v>189.53</v>
      </c>
      <c r="AT2532" s="7">
        <v>-1</v>
      </c>
      <c r="AU2532" s="7">
        <v>-1</v>
      </c>
      <c r="AV2532" s="4"/>
      <c r="AW2532" s="8"/>
      <c r="AX2532" s="4">
        <v>1</v>
      </c>
      <c r="AY2532" s="8">
        <v>189.53</v>
      </c>
      <c r="AZ2532" s="7">
        <v>-1</v>
      </c>
      <c r="BA2532" s="7">
        <v>-1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/>
      <c r="BJ2532" s="4">
        <v>465</v>
      </c>
      <c r="BK2532" s="8">
        <v>75925.71</v>
      </c>
      <c r="BL2532" s="2" t="s">
        <v>9397</v>
      </c>
      <c r="BM2532" s="7"/>
      <c r="BN2532" s="7"/>
      <c r="BO2532" s="4"/>
      <c r="BP2532" s="8"/>
      <c r="BQ2532" s="4">
        <v>1</v>
      </c>
      <c r="BR2532" s="8">
        <v>189.53</v>
      </c>
      <c r="BS2532" s="7">
        <v>-1</v>
      </c>
      <c r="BT2532" s="7">
        <v>-1</v>
      </c>
      <c r="BU2532" s="2" t="s">
        <v>109</v>
      </c>
      <c r="BV2532" s="2" t="s">
        <v>97</v>
      </c>
      <c r="BW2532" s="2" t="s">
        <v>3536</v>
      </c>
      <c r="BX2532" s="2" t="s">
        <v>9398</v>
      </c>
      <c r="BY2532" s="2" t="s">
        <v>112</v>
      </c>
      <c r="BZ2532" s="2" t="s">
        <v>100</v>
      </c>
    </row>
    <row r="2533">
      <c r="A2533" s="2" t="s">
        <v>9399</v>
      </c>
      <c r="B2533" s="2" t="s">
        <v>7252</v>
      </c>
      <c r="C2533" s="2" t="s">
        <v>4677</v>
      </c>
      <c r="D2533" s="2" t="s">
        <v>7253</v>
      </c>
      <c r="E2533" s="2" t="s">
        <v>7254</v>
      </c>
      <c r="F2533" s="2" t="s">
        <v>9400</v>
      </c>
      <c r="G2533" s="2" t="s">
        <v>9400</v>
      </c>
      <c r="H2533" s="2" t="s">
        <v>9400</v>
      </c>
      <c r="I2533" s="2" t="s">
        <v>7254</v>
      </c>
      <c r="J2533" s="2" t="s">
        <v>6103</v>
      </c>
      <c r="K2533" s="2" t="s">
        <v>333</v>
      </c>
      <c r="L2533" s="3">
        <v>226.1</v>
      </c>
      <c r="M2533" s="3">
        <v>237.4</v>
      </c>
      <c r="N2533" s="3">
        <v>479</v>
      </c>
      <c r="O2533" s="2" t="s">
        <v>97</v>
      </c>
      <c r="P2533" s="2" t="s">
        <v>1265</v>
      </c>
      <c r="Q2533" s="2" t="s">
        <v>99</v>
      </c>
      <c r="R2533" s="2" t="s">
        <v>100</v>
      </c>
      <c r="S2533" s="2" t="s">
        <v>100</v>
      </c>
      <c r="T2533" s="2" t="s">
        <v>100</v>
      </c>
      <c r="U2533" s="2" t="s">
        <v>100</v>
      </c>
      <c r="V2533" s="2" t="s">
        <v>601</v>
      </c>
      <c r="W2533" s="2" t="s">
        <v>602</v>
      </c>
      <c r="X2533" s="2" t="s">
        <v>100</v>
      </c>
      <c r="Y2533" s="2" t="s">
        <v>1322</v>
      </c>
      <c r="Z2533" s="4">
        <v>60</v>
      </c>
      <c r="AA2533" s="4">
        <f>=ROUNDDOWN(15,0)</f>
      </c>
      <c r="AB2533" s="5">
        <v>4</v>
      </c>
      <c r="AC2533" s="2" t="s">
        <v>766</v>
      </c>
      <c r="AD2533" s="4">
        <v>100</v>
      </c>
      <c r="AE2533" s="4">
        <v>100</v>
      </c>
      <c r="AF2533" s="6">
        <v>66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>
        <v>0</v>
      </c>
      <c r="AP2533" s="4">
        <v>7</v>
      </c>
      <c r="AQ2533" s="8">
        <v>1470</v>
      </c>
      <c r="AR2533" s="4">
        <v>11</v>
      </c>
      <c r="AS2533" s="8">
        <v>2536.91</v>
      </c>
      <c r="AT2533" s="7">
        <v>-0.3636</v>
      </c>
      <c r="AU2533" s="7">
        <v>-0.4206</v>
      </c>
      <c r="AV2533" s="4">
        <v>7</v>
      </c>
      <c r="AW2533" s="8">
        <v>1470</v>
      </c>
      <c r="AX2533" s="4">
        <v>11</v>
      </c>
      <c r="AY2533" s="8">
        <v>2536.91</v>
      </c>
      <c r="AZ2533" s="7">
        <v>-0.3636</v>
      </c>
      <c r="BA2533" s="7">
        <v>-0.4206</v>
      </c>
      <c r="BB2533" s="7">
        <v>1</v>
      </c>
      <c r="BC2533" s="4">
        <v>10</v>
      </c>
      <c r="BD2533" s="8">
        <v>2100</v>
      </c>
      <c r="BE2533" s="4">
        <v>19</v>
      </c>
      <c r="BF2533" s="8">
        <v>4099.31</v>
      </c>
      <c r="BG2533" s="7">
        <v>-0.4737</v>
      </c>
      <c r="BH2533" s="7">
        <v>-0.4877</v>
      </c>
      <c r="BI2533" s="7">
        <v>0.7</v>
      </c>
      <c r="BJ2533" s="4">
        <v>91</v>
      </c>
      <c r="BK2533" s="8">
        <v>20878.95</v>
      </c>
      <c r="BL2533" s="2" t="s">
        <v>9401</v>
      </c>
      <c r="BM2533" s="7">
        <v>0.0769</v>
      </c>
      <c r="BN2533" s="7">
        <v>0.0704</v>
      </c>
      <c r="BO2533" s="4">
        <v>7</v>
      </c>
      <c r="BP2533" s="8">
        <v>1470</v>
      </c>
      <c r="BQ2533" s="4">
        <v>11</v>
      </c>
      <c r="BR2533" s="8">
        <v>2536.91</v>
      </c>
      <c r="BS2533" s="7">
        <v>-0.3636</v>
      </c>
      <c r="BT2533" s="7">
        <v>-0.4206</v>
      </c>
      <c r="BU2533" s="2" t="s">
        <v>109</v>
      </c>
      <c r="BV2533" s="2" t="s">
        <v>97</v>
      </c>
      <c r="BW2533" s="2" t="s">
        <v>8437</v>
      </c>
      <c r="BX2533" s="2" t="s">
        <v>9402</v>
      </c>
      <c r="BY2533" s="2" t="s">
        <v>112</v>
      </c>
      <c r="BZ2533" s="2" t="s">
        <v>100</v>
      </c>
    </row>
    <row r="2534">
      <c r="A2534" s="2" t="s">
        <v>9403</v>
      </c>
      <c r="B2534" s="2" t="s">
        <v>7252</v>
      </c>
      <c r="C2534" s="2" t="s">
        <v>4677</v>
      </c>
      <c r="D2534" s="2" t="s">
        <v>7253</v>
      </c>
      <c r="E2534" s="2" t="s">
        <v>7254</v>
      </c>
      <c r="F2534" s="2" t="s">
        <v>9400</v>
      </c>
      <c r="G2534" s="2" t="s">
        <v>9400</v>
      </c>
      <c r="H2534" s="2" t="s">
        <v>9400</v>
      </c>
      <c r="I2534" s="2" t="s">
        <v>7254</v>
      </c>
      <c r="J2534" s="2" t="s">
        <v>6103</v>
      </c>
      <c r="K2534" s="2" t="s">
        <v>8174</v>
      </c>
      <c r="L2534" s="3">
        <v>226.1</v>
      </c>
      <c r="M2534" s="3">
        <v>237.4</v>
      </c>
      <c r="N2534" s="3">
        <v>479</v>
      </c>
      <c r="O2534" s="2" t="s">
        <v>97</v>
      </c>
      <c r="P2534" s="2" t="s">
        <v>1265</v>
      </c>
      <c r="Q2534" s="2" t="s">
        <v>99</v>
      </c>
      <c r="R2534" s="2" t="s">
        <v>100</v>
      </c>
      <c r="S2534" s="2" t="s">
        <v>9404</v>
      </c>
      <c r="T2534" s="2" t="s">
        <v>100</v>
      </c>
      <c r="U2534" s="2" t="s">
        <v>100</v>
      </c>
      <c r="V2534" s="2" t="s">
        <v>601</v>
      </c>
      <c r="W2534" s="2" t="s">
        <v>602</v>
      </c>
      <c r="X2534" s="2" t="s">
        <v>100</v>
      </c>
      <c r="Y2534" s="2" t="s">
        <v>106</v>
      </c>
      <c r="Z2534" s="4">
        <v>14</v>
      </c>
      <c r="AA2534" s="4">
        <f>=ROUNDDOWN(3.5,0)</f>
      </c>
      <c r="AB2534" s="5">
        <v>4</v>
      </c>
      <c r="AC2534" s="2" t="s">
        <v>2120</v>
      </c>
      <c r="AD2534" s="4">
        <v>100</v>
      </c>
      <c r="AE2534" s="4">
        <v>100</v>
      </c>
      <c r="AF2534" s="6">
        <v>66</v>
      </c>
      <c r="AG2534" s="6"/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>
        <v>0</v>
      </c>
      <c r="AP2534" s="4">
        <v>3</v>
      </c>
      <c r="AQ2534" s="8">
        <v>630</v>
      </c>
      <c r="AR2534" s="4">
        <v>8</v>
      </c>
      <c r="AS2534" s="8">
        <v>1562.4</v>
      </c>
      <c r="AT2534" s="7">
        <v>-0.625</v>
      </c>
      <c r="AU2534" s="7">
        <v>-0.5968</v>
      </c>
      <c r="AV2534" s="4">
        <v>3</v>
      </c>
      <c r="AW2534" s="8">
        <v>630</v>
      </c>
      <c r="AX2534" s="4">
        <v>8</v>
      </c>
      <c r="AY2534" s="8">
        <v>1562.4</v>
      </c>
      <c r="AZ2534" s="7">
        <v>-0.625</v>
      </c>
      <c r="BA2534" s="7">
        <v>-0.5968</v>
      </c>
      <c r="BB2534" s="7">
        <v>1</v>
      </c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>
        <v>0.3</v>
      </c>
      <c r="BJ2534" s="4">
        <v>75</v>
      </c>
      <c r="BK2534" s="8">
        <v>16827.41</v>
      </c>
      <c r="BL2534" s="2" t="s">
        <v>9405</v>
      </c>
      <c r="BM2534" s="7">
        <v>0.04</v>
      </c>
      <c r="BN2534" s="7">
        <v>0.0374</v>
      </c>
      <c r="BO2534" s="4">
        <v>3</v>
      </c>
      <c r="BP2534" s="8">
        <v>630</v>
      </c>
      <c r="BQ2534" s="4">
        <v>8</v>
      </c>
      <c r="BR2534" s="8">
        <v>1562.4</v>
      </c>
      <c r="BS2534" s="7">
        <v>-0.625</v>
      </c>
      <c r="BT2534" s="7">
        <v>-0.5968</v>
      </c>
      <c r="BU2534" s="2" t="s">
        <v>109</v>
      </c>
      <c r="BV2534" s="2" t="s">
        <v>97</v>
      </c>
      <c r="BW2534" s="2" t="s">
        <v>217</v>
      </c>
      <c r="BX2534" s="2" t="s">
        <v>996</v>
      </c>
      <c r="BY2534" s="2" t="s">
        <v>112</v>
      </c>
      <c r="BZ2534" s="2" t="s">
        <v>100</v>
      </c>
    </row>
    <row r="2535">
      <c r="A2535" s="2" t="s">
        <v>9406</v>
      </c>
      <c r="B2535" s="2" t="s">
        <v>7252</v>
      </c>
      <c r="C2535" s="2" t="s">
        <v>4677</v>
      </c>
      <c r="D2535" s="2" t="s">
        <v>7253</v>
      </c>
      <c r="E2535" s="2" t="s">
        <v>7254</v>
      </c>
      <c r="F2535" s="2" t="s">
        <v>9407</v>
      </c>
      <c r="G2535" s="2" t="s">
        <v>9407</v>
      </c>
      <c r="H2535" s="2" t="s">
        <v>100</v>
      </c>
      <c r="I2535" s="2" t="s">
        <v>9408</v>
      </c>
      <c r="J2535" s="2" t="s">
        <v>6103</v>
      </c>
      <c r="K2535" s="2" t="s">
        <v>9409</v>
      </c>
      <c r="L2535" s="3">
        <v>261.25</v>
      </c>
      <c r="M2535" s="3">
        <v>274.31</v>
      </c>
      <c r="N2535" s="3">
        <v>549</v>
      </c>
      <c r="O2535" s="2" t="s">
        <v>97</v>
      </c>
      <c r="P2535" s="2" t="s">
        <v>182</v>
      </c>
      <c r="Q2535" s="2" t="s">
        <v>99</v>
      </c>
      <c r="R2535" s="2" t="s">
        <v>100</v>
      </c>
      <c r="S2535" s="2" t="s">
        <v>9410</v>
      </c>
      <c r="T2535" s="2" t="s">
        <v>100</v>
      </c>
      <c r="U2535" s="2" t="s">
        <v>100</v>
      </c>
      <c r="V2535" s="2" t="s">
        <v>601</v>
      </c>
      <c r="W2535" s="2" t="s">
        <v>759</v>
      </c>
      <c r="X2535" s="2" t="s">
        <v>100</v>
      </c>
      <c r="Y2535" s="2" t="s">
        <v>106</v>
      </c>
      <c r="Z2535" s="4">
        <v>335</v>
      </c>
      <c r="AA2535" s="4">
        <f>=ROUNDDOWN(41.875,0)</f>
      </c>
      <c r="AB2535" s="5">
        <v>8</v>
      </c>
      <c r="AC2535" s="2" t="s">
        <v>100</v>
      </c>
      <c r="AD2535" s="4"/>
      <c r="AE2535" s="4"/>
      <c r="AF2535" s="6">
        <v>66</v>
      </c>
      <c r="AG2535" s="6">
        <v>49</v>
      </c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>
        <v>0</v>
      </c>
      <c r="AP2535" s="4">
        <v>7</v>
      </c>
      <c r="AQ2535" s="8">
        <v>1920.24</v>
      </c>
      <c r="AR2535" s="4">
        <v>29</v>
      </c>
      <c r="AS2535" s="8">
        <v>6829.07</v>
      </c>
      <c r="AT2535" s="7">
        <v>-0.7586</v>
      </c>
      <c r="AU2535" s="7">
        <v>-0.7188</v>
      </c>
      <c r="AV2535" s="4">
        <v>7</v>
      </c>
      <c r="AW2535" s="8">
        <v>1920.24</v>
      </c>
      <c r="AX2535" s="4">
        <v>29</v>
      </c>
      <c r="AY2535" s="8">
        <v>6829.07</v>
      </c>
      <c r="AZ2535" s="7">
        <v>-0.7586</v>
      </c>
      <c r="BA2535" s="7">
        <v>-0.7188</v>
      </c>
      <c r="BB2535" s="7">
        <v>1</v>
      </c>
      <c r="BC2535" s="4">
        <v>7</v>
      </c>
      <c r="BD2535" s="8">
        <v>1920.24</v>
      </c>
      <c r="BE2535" s="4">
        <v>33</v>
      </c>
      <c r="BF2535" s="8">
        <v>7818.03</v>
      </c>
      <c r="BG2535" s="7">
        <v>-0.7879</v>
      </c>
      <c r="BH2535" s="7">
        <v>-0.7544</v>
      </c>
      <c r="BI2535" s="7">
        <v>1</v>
      </c>
      <c r="BJ2535" s="4">
        <v>208</v>
      </c>
      <c r="BK2535" s="8">
        <v>53262.64</v>
      </c>
      <c r="BL2535" s="2" t="s">
        <v>9411</v>
      </c>
      <c r="BM2535" s="7">
        <v>0.0337</v>
      </c>
      <c r="BN2535" s="7">
        <v>0.0361</v>
      </c>
      <c r="BO2535" s="4">
        <v>7</v>
      </c>
      <c r="BP2535" s="8">
        <v>1920.24</v>
      </c>
      <c r="BQ2535" s="4">
        <v>29</v>
      </c>
      <c r="BR2535" s="8">
        <v>6829.07</v>
      </c>
      <c r="BS2535" s="7">
        <v>-0.7586</v>
      </c>
      <c r="BT2535" s="7">
        <v>-0.7188</v>
      </c>
      <c r="BU2535" s="2" t="s">
        <v>109</v>
      </c>
      <c r="BV2535" s="2" t="s">
        <v>97</v>
      </c>
      <c r="BW2535" s="2" t="s">
        <v>8437</v>
      </c>
      <c r="BX2535" s="2" t="s">
        <v>7674</v>
      </c>
      <c r="BY2535" s="2" t="s">
        <v>112</v>
      </c>
      <c r="BZ2535" s="2" t="s">
        <v>100</v>
      </c>
    </row>
    <row r="2536">
      <c r="A2536" s="2" t="s">
        <v>9412</v>
      </c>
      <c r="B2536" s="2" t="s">
        <v>7252</v>
      </c>
      <c r="C2536" s="2" t="s">
        <v>4677</v>
      </c>
      <c r="D2536" s="2" t="s">
        <v>7253</v>
      </c>
      <c r="E2536" s="2" t="s">
        <v>7254</v>
      </c>
      <c r="F2536" s="2" t="s">
        <v>9407</v>
      </c>
      <c r="G2536" s="2" t="s">
        <v>9407</v>
      </c>
      <c r="H2536" s="2" t="s">
        <v>9407</v>
      </c>
      <c r="I2536" s="2" t="s">
        <v>9408</v>
      </c>
      <c r="J2536" s="2" t="s">
        <v>6103</v>
      </c>
      <c r="K2536" s="2" t="s">
        <v>333</v>
      </c>
      <c r="L2536" s="3">
        <v>261.25</v>
      </c>
      <c r="M2536" s="3">
        <v>274.31</v>
      </c>
      <c r="N2536" s="3">
        <v>549</v>
      </c>
      <c r="O2536" s="2" t="s">
        <v>97</v>
      </c>
      <c r="P2536" s="2" t="s">
        <v>198</v>
      </c>
      <c r="Q2536" s="2" t="s">
        <v>99</v>
      </c>
      <c r="R2536" s="2" t="s">
        <v>100</v>
      </c>
      <c r="S2536" s="2" t="s">
        <v>100</v>
      </c>
      <c r="T2536" s="2" t="s">
        <v>100</v>
      </c>
      <c r="U2536" s="2" t="s">
        <v>3531</v>
      </c>
      <c r="V2536" s="2" t="s">
        <v>601</v>
      </c>
      <c r="W2536" s="2" t="s">
        <v>2195</v>
      </c>
      <c r="X2536" s="2" t="s">
        <v>602</v>
      </c>
      <c r="Y2536" s="2" t="s">
        <v>9413</v>
      </c>
      <c r="Z2536" s="4">
        <v>78</v>
      </c>
      <c r="AA2536" s="4">
        <f>=ROUNDDOWN(26,0)</f>
      </c>
      <c r="AB2536" s="5">
        <v>3</v>
      </c>
      <c r="AC2536" s="2" t="s">
        <v>100</v>
      </c>
      <c r="AD2536" s="4"/>
      <c r="AE2536" s="4"/>
      <c r="AF2536" s="6">
        <v>66</v>
      </c>
      <c r="AG2536" s="6">
        <v>49</v>
      </c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>
        <v>0</v>
      </c>
      <c r="AP2536" s="4"/>
      <c r="AQ2536" s="8"/>
      <c r="AR2536" s="4">
        <v>4</v>
      </c>
      <c r="AS2536" s="8">
        <v>988.96</v>
      </c>
      <c r="AT2536" s="7">
        <v>-1</v>
      </c>
      <c r="AU2536" s="7">
        <v>-1</v>
      </c>
      <c r="AV2536" s="4"/>
      <c r="AW2536" s="8"/>
      <c r="AX2536" s="4">
        <v>4</v>
      </c>
      <c r="AY2536" s="8">
        <v>988.96</v>
      </c>
      <c r="AZ2536" s="7">
        <v>-1</v>
      </c>
      <c r="BA2536" s="7">
        <v>-1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66</v>
      </c>
      <c r="BK2536" s="8">
        <v>15406.8</v>
      </c>
      <c r="BL2536" s="2" t="s">
        <v>9414</v>
      </c>
      <c r="BM2536" s="7"/>
      <c r="BN2536" s="7"/>
      <c r="BO2536" s="4"/>
      <c r="BP2536" s="8"/>
      <c r="BQ2536" s="4">
        <v>4</v>
      </c>
      <c r="BR2536" s="8">
        <v>988.96</v>
      </c>
      <c r="BS2536" s="7">
        <v>-1</v>
      </c>
      <c r="BT2536" s="7">
        <v>-1</v>
      </c>
      <c r="BU2536" s="2" t="s">
        <v>109</v>
      </c>
      <c r="BV2536" s="2" t="s">
        <v>97</v>
      </c>
      <c r="BW2536" s="2" t="s">
        <v>7307</v>
      </c>
      <c r="BX2536" s="2" t="s">
        <v>128</v>
      </c>
      <c r="BY2536" s="2" t="s">
        <v>112</v>
      </c>
      <c r="BZ2536" s="2" t="s">
        <v>100</v>
      </c>
    </row>
    <row r="2537">
      <c r="A2537" s="2" t="s">
        <v>9415</v>
      </c>
      <c r="B2537" s="2" t="s">
        <v>7252</v>
      </c>
      <c r="C2537" s="2" t="s">
        <v>4677</v>
      </c>
      <c r="D2537" s="2" t="s">
        <v>7253</v>
      </c>
      <c r="E2537" s="2" t="s">
        <v>7254</v>
      </c>
      <c r="F2537" s="2" t="s">
        <v>9416</v>
      </c>
      <c r="G2537" s="2" t="s">
        <v>9416</v>
      </c>
      <c r="H2537" s="2" t="s">
        <v>100</v>
      </c>
      <c r="I2537" s="2" t="s">
        <v>7254</v>
      </c>
      <c r="J2537" s="2" t="s">
        <v>6103</v>
      </c>
      <c r="K2537" s="2" t="s">
        <v>713</v>
      </c>
      <c r="L2537" s="3">
        <v>161.5</v>
      </c>
      <c r="M2537" s="3">
        <v>169.58</v>
      </c>
      <c r="N2537" s="3">
        <v>339</v>
      </c>
      <c r="O2537" s="2" t="s">
        <v>97</v>
      </c>
      <c r="P2537" s="2" t="s">
        <v>182</v>
      </c>
      <c r="Q2537" s="2" t="s">
        <v>99</v>
      </c>
      <c r="R2537" s="2" t="s">
        <v>100</v>
      </c>
      <c r="S2537" s="2" t="s">
        <v>9417</v>
      </c>
      <c r="T2537" s="2" t="s">
        <v>100</v>
      </c>
      <c r="U2537" s="2" t="s">
        <v>100</v>
      </c>
      <c r="V2537" s="2" t="s">
        <v>601</v>
      </c>
      <c r="W2537" s="2" t="s">
        <v>2195</v>
      </c>
      <c r="X2537" s="2" t="s">
        <v>100</v>
      </c>
      <c r="Y2537" s="2" t="s">
        <v>106</v>
      </c>
      <c r="Z2537" s="4">
        <v>192</v>
      </c>
      <c r="AA2537" s="4">
        <f>=ROUNDDOWN(10.6666666666667,0)</f>
      </c>
      <c r="AB2537" s="5">
        <v>18</v>
      </c>
      <c r="AC2537" s="2" t="s">
        <v>100</v>
      </c>
      <c r="AD2537" s="4"/>
      <c r="AE2537" s="4"/>
      <c r="AF2537" s="6">
        <v>66</v>
      </c>
      <c r="AG2537" s="6">
        <v>49</v>
      </c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>
        <v>0</v>
      </c>
      <c r="AP2537" s="4">
        <v>6</v>
      </c>
      <c r="AQ2537" s="8">
        <v>1017.48</v>
      </c>
      <c r="AR2537" s="4">
        <v>3</v>
      </c>
      <c r="AS2537" s="8">
        <v>453.88</v>
      </c>
      <c r="AT2537" s="7">
        <v>1</v>
      </c>
      <c r="AU2537" s="7">
        <v>1.2417</v>
      </c>
      <c r="AV2537" s="4">
        <v>6</v>
      </c>
      <c r="AW2537" s="8">
        <v>1017.48</v>
      </c>
      <c r="AX2537" s="4">
        <v>3</v>
      </c>
      <c r="AY2537" s="8">
        <v>453.88</v>
      </c>
      <c r="AZ2537" s="7">
        <v>1</v>
      </c>
      <c r="BA2537" s="7">
        <v>1.2417</v>
      </c>
      <c r="BB2537" s="7">
        <v>1</v>
      </c>
      <c r="BC2537" s="4">
        <v>11</v>
      </c>
      <c r="BD2537" s="8">
        <v>1865.38</v>
      </c>
      <c r="BE2537" s="4">
        <v>18</v>
      </c>
      <c r="BF2537" s="8">
        <v>3084.83</v>
      </c>
      <c r="BG2537" s="7">
        <v>-0.3889</v>
      </c>
      <c r="BH2537" s="7">
        <v>-0.3953</v>
      </c>
      <c r="BI2537" s="7">
        <v>0.5455</v>
      </c>
      <c r="BJ2537" s="4">
        <v>226</v>
      </c>
      <c r="BK2537" s="8">
        <v>36425.46</v>
      </c>
      <c r="BL2537" s="2" t="s">
        <v>9418</v>
      </c>
      <c r="BM2537" s="7">
        <v>0.0265</v>
      </c>
      <c r="BN2537" s="7">
        <v>0.0279</v>
      </c>
      <c r="BO2537" s="4">
        <v>6</v>
      </c>
      <c r="BP2537" s="8">
        <v>1017.48</v>
      </c>
      <c r="BQ2537" s="4">
        <v>3</v>
      </c>
      <c r="BR2537" s="8">
        <v>453.88</v>
      </c>
      <c r="BS2537" s="7">
        <v>1</v>
      </c>
      <c r="BT2537" s="7">
        <v>1.2417</v>
      </c>
      <c r="BU2537" s="2" t="s">
        <v>109</v>
      </c>
      <c r="BV2537" s="2" t="s">
        <v>97</v>
      </c>
      <c r="BW2537" s="2" t="s">
        <v>217</v>
      </c>
      <c r="BX2537" s="2" t="s">
        <v>9419</v>
      </c>
      <c r="BY2537" s="2" t="s">
        <v>112</v>
      </c>
      <c r="BZ2537" s="2" t="s">
        <v>100</v>
      </c>
    </row>
    <row r="2538">
      <c r="A2538" s="2" t="s">
        <v>9420</v>
      </c>
      <c r="B2538" s="2" t="s">
        <v>7252</v>
      </c>
      <c r="C2538" s="2" t="s">
        <v>4677</v>
      </c>
      <c r="D2538" s="2" t="s">
        <v>7253</v>
      </c>
      <c r="E2538" s="2" t="s">
        <v>7254</v>
      </c>
      <c r="F2538" s="2" t="s">
        <v>9416</v>
      </c>
      <c r="G2538" s="2" t="s">
        <v>9416</v>
      </c>
      <c r="H2538" s="2" t="s">
        <v>100</v>
      </c>
      <c r="I2538" s="2" t="s">
        <v>7254</v>
      </c>
      <c r="J2538" s="2" t="s">
        <v>6103</v>
      </c>
      <c r="K2538" s="2" t="s">
        <v>1828</v>
      </c>
      <c r="L2538" s="3">
        <v>161.5</v>
      </c>
      <c r="M2538" s="3">
        <v>169.58</v>
      </c>
      <c r="N2538" s="3">
        <v>339</v>
      </c>
      <c r="O2538" s="2" t="s">
        <v>97</v>
      </c>
      <c r="P2538" s="2" t="s">
        <v>182</v>
      </c>
      <c r="Q2538" s="2" t="s">
        <v>99</v>
      </c>
      <c r="R2538" s="2" t="s">
        <v>100</v>
      </c>
      <c r="S2538" s="2" t="s">
        <v>9421</v>
      </c>
      <c r="T2538" s="2" t="s">
        <v>100</v>
      </c>
      <c r="U2538" s="2" t="s">
        <v>100</v>
      </c>
      <c r="V2538" s="2" t="s">
        <v>601</v>
      </c>
      <c r="W2538" s="2" t="s">
        <v>2195</v>
      </c>
      <c r="X2538" s="2" t="s">
        <v>100</v>
      </c>
      <c r="Y2538" s="2" t="s">
        <v>106</v>
      </c>
      <c r="Z2538" s="4">
        <v>231</v>
      </c>
      <c r="AA2538" s="4">
        <f>=ROUNDDOWN(28.875,0)</f>
      </c>
      <c r="AB2538" s="5">
        <v>8</v>
      </c>
      <c r="AC2538" s="2" t="s">
        <v>100</v>
      </c>
      <c r="AD2538" s="4"/>
      <c r="AE2538" s="4"/>
      <c r="AF2538" s="6">
        <v>66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>
        <v>0</v>
      </c>
      <c r="AP2538" s="4">
        <v>5</v>
      </c>
      <c r="AQ2538" s="8">
        <v>847.9</v>
      </c>
      <c r="AR2538" s="4">
        <v>11</v>
      </c>
      <c r="AS2538" s="8">
        <v>1905.26</v>
      </c>
      <c r="AT2538" s="7">
        <v>-0.5455</v>
      </c>
      <c r="AU2538" s="7">
        <v>-0.555</v>
      </c>
      <c r="AV2538" s="4">
        <v>5</v>
      </c>
      <c r="AW2538" s="8">
        <v>847.9</v>
      </c>
      <c r="AX2538" s="4">
        <v>11</v>
      </c>
      <c r="AY2538" s="8">
        <v>1905.26</v>
      </c>
      <c r="AZ2538" s="7">
        <v>-0.5455</v>
      </c>
      <c r="BA2538" s="7">
        <v>-0.555</v>
      </c>
      <c r="BB2538" s="7">
        <v>1</v>
      </c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>
        <v>0.4545</v>
      </c>
      <c r="BJ2538" s="4">
        <v>178</v>
      </c>
      <c r="BK2538" s="8">
        <v>28436.46</v>
      </c>
      <c r="BL2538" s="2" t="s">
        <v>9422</v>
      </c>
      <c r="BM2538" s="7">
        <v>0.0281</v>
      </c>
      <c r="BN2538" s="7">
        <v>0.0298</v>
      </c>
      <c r="BO2538" s="4">
        <v>5</v>
      </c>
      <c r="BP2538" s="8">
        <v>847.9</v>
      </c>
      <c r="BQ2538" s="4">
        <v>11</v>
      </c>
      <c r="BR2538" s="8">
        <v>1905.26</v>
      </c>
      <c r="BS2538" s="7">
        <v>-0.5455</v>
      </c>
      <c r="BT2538" s="7">
        <v>-0.555</v>
      </c>
      <c r="BU2538" s="2" t="s">
        <v>109</v>
      </c>
      <c r="BV2538" s="2" t="s">
        <v>97</v>
      </c>
      <c r="BW2538" s="2" t="s">
        <v>217</v>
      </c>
      <c r="BX2538" s="2" t="s">
        <v>261</v>
      </c>
      <c r="BY2538" s="2" t="s">
        <v>112</v>
      </c>
      <c r="BZ2538" s="2" t="s">
        <v>100</v>
      </c>
    </row>
    <row r="2539">
      <c r="A2539" s="2" t="s">
        <v>9423</v>
      </c>
      <c r="B2539" s="2" t="s">
        <v>7252</v>
      </c>
      <c r="C2539" s="2" t="s">
        <v>4677</v>
      </c>
      <c r="D2539" s="2" t="s">
        <v>7253</v>
      </c>
      <c r="E2539" s="2" t="s">
        <v>7254</v>
      </c>
      <c r="F2539" s="2" t="s">
        <v>9416</v>
      </c>
      <c r="G2539" s="2" t="s">
        <v>9416</v>
      </c>
      <c r="H2539" s="2" t="s">
        <v>9416</v>
      </c>
      <c r="I2539" s="2" t="s">
        <v>7254</v>
      </c>
      <c r="J2539" s="2" t="s">
        <v>6103</v>
      </c>
      <c r="K2539" s="2" t="s">
        <v>9424</v>
      </c>
      <c r="L2539" s="3">
        <v>161.5</v>
      </c>
      <c r="M2539" s="3">
        <v>169.58</v>
      </c>
      <c r="N2539" s="3">
        <v>339</v>
      </c>
      <c r="O2539" s="2" t="s">
        <v>97</v>
      </c>
      <c r="P2539" s="2" t="s">
        <v>182</v>
      </c>
      <c r="Q2539" s="2" t="s">
        <v>99</v>
      </c>
      <c r="R2539" s="2" t="s">
        <v>100</v>
      </c>
      <c r="S2539" s="2" t="s">
        <v>9425</v>
      </c>
      <c r="T2539" s="2" t="s">
        <v>100</v>
      </c>
      <c r="U2539" s="2" t="s">
        <v>100</v>
      </c>
      <c r="V2539" s="2" t="s">
        <v>601</v>
      </c>
      <c r="W2539" s="2" t="s">
        <v>2195</v>
      </c>
      <c r="X2539" s="2" t="s">
        <v>100</v>
      </c>
      <c r="Y2539" s="2" t="s">
        <v>1322</v>
      </c>
      <c r="Z2539" s="4">
        <v>159</v>
      </c>
      <c r="AA2539" s="4">
        <f>=ROUNDDOWN(22.0833333333333,0)</f>
      </c>
      <c r="AB2539" s="5">
        <v>7.2</v>
      </c>
      <c r="AC2539" s="2" t="s">
        <v>533</v>
      </c>
      <c r="AD2539" s="4">
        <v>99</v>
      </c>
      <c r="AE2539" s="4">
        <v>299</v>
      </c>
      <c r="AF2539" s="6">
        <v>66</v>
      </c>
      <c r="AG2539" s="6">
        <v>49</v>
      </c>
      <c r="AH2539" s="7">
        <v>0.9879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>
        <v>0</v>
      </c>
      <c r="AP2539" s="4"/>
      <c r="AQ2539" s="8"/>
      <c r="AR2539" s="4">
        <v>4</v>
      </c>
      <c r="AS2539" s="8">
        <v>725.69</v>
      </c>
      <c r="AT2539" s="7">
        <v>-1</v>
      </c>
      <c r="AU2539" s="7">
        <v>-1</v>
      </c>
      <c r="AV2539" s="4"/>
      <c r="AW2539" s="8"/>
      <c r="AX2539" s="4">
        <v>4</v>
      </c>
      <c r="AY2539" s="8">
        <v>725.69</v>
      </c>
      <c r="AZ2539" s="7">
        <v>-1</v>
      </c>
      <c r="BA2539" s="7">
        <v>-1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/>
      <c r="BJ2539" s="4">
        <v>384</v>
      </c>
      <c r="BK2539" s="8">
        <v>60826.69</v>
      </c>
      <c r="BL2539" s="2" t="s">
        <v>9426</v>
      </c>
      <c r="BM2539" s="7"/>
      <c r="BN2539" s="7"/>
      <c r="BO2539" s="4"/>
      <c r="BP2539" s="8"/>
      <c r="BQ2539" s="4">
        <v>4</v>
      </c>
      <c r="BR2539" s="8">
        <v>725.69</v>
      </c>
      <c r="BS2539" s="7">
        <v>-1</v>
      </c>
      <c r="BT2539" s="7">
        <v>-1</v>
      </c>
      <c r="BU2539" s="2" t="s">
        <v>109</v>
      </c>
      <c r="BV2539" s="2" t="s">
        <v>97</v>
      </c>
      <c r="BW2539" s="2" t="s">
        <v>8437</v>
      </c>
      <c r="BX2539" s="2" t="s">
        <v>9427</v>
      </c>
      <c r="BY2539" s="2" t="s">
        <v>112</v>
      </c>
      <c r="BZ2539" s="2" t="s">
        <v>100</v>
      </c>
    </row>
    <row r="2540">
      <c r="A2540" s="2" t="s">
        <v>9428</v>
      </c>
      <c r="B2540" s="2" t="s">
        <v>7252</v>
      </c>
      <c r="C2540" s="2" t="s">
        <v>4677</v>
      </c>
      <c r="D2540" s="2" t="s">
        <v>7253</v>
      </c>
      <c r="E2540" s="2" t="s">
        <v>7254</v>
      </c>
      <c r="F2540" s="2" t="s">
        <v>9416</v>
      </c>
      <c r="G2540" s="2" t="s">
        <v>9416</v>
      </c>
      <c r="H2540" s="2" t="s">
        <v>9416</v>
      </c>
      <c r="I2540" s="2" t="s">
        <v>7254</v>
      </c>
      <c r="J2540" s="2" t="s">
        <v>6103</v>
      </c>
      <c r="K2540" s="2" t="s">
        <v>7696</v>
      </c>
      <c r="L2540" s="3">
        <v>161.5</v>
      </c>
      <c r="M2540" s="3">
        <v>169.58</v>
      </c>
      <c r="N2540" s="3">
        <v>339</v>
      </c>
      <c r="O2540" s="2" t="s">
        <v>97</v>
      </c>
      <c r="P2540" s="2" t="s">
        <v>182</v>
      </c>
      <c r="Q2540" s="2" t="s">
        <v>99</v>
      </c>
      <c r="R2540" s="2" t="s">
        <v>100</v>
      </c>
      <c r="S2540" s="2" t="s">
        <v>100</v>
      </c>
      <c r="T2540" s="2" t="s">
        <v>100</v>
      </c>
      <c r="U2540" s="2" t="s">
        <v>3531</v>
      </c>
      <c r="V2540" s="2" t="s">
        <v>601</v>
      </c>
      <c r="W2540" s="2" t="s">
        <v>2195</v>
      </c>
      <c r="X2540" s="2" t="s">
        <v>100</v>
      </c>
      <c r="Y2540" s="2" t="s">
        <v>7859</v>
      </c>
      <c r="Z2540" s="4">
        <v>295</v>
      </c>
      <c r="AA2540" s="4">
        <f>=ROUNDDOWN(16.3888888888889,0)</f>
      </c>
      <c r="AB2540" s="5">
        <v>18</v>
      </c>
      <c r="AC2540" s="2" t="s">
        <v>7911</v>
      </c>
      <c r="AD2540" s="4">
        <v>170</v>
      </c>
      <c r="AE2540" s="4">
        <v>170</v>
      </c>
      <c r="AF2540" s="6">
        <v>66</v>
      </c>
      <c r="AG2540" s="6">
        <v>49</v>
      </c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373</v>
      </c>
      <c r="BK2540" s="8">
        <v>58977.34</v>
      </c>
      <c r="BL2540" s="2" t="s">
        <v>9429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6185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9430</v>
      </c>
      <c r="B2541" s="2" t="s">
        <v>7252</v>
      </c>
      <c r="C2541" s="2" t="s">
        <v>4677</v>
      </c>
      <c r="D2541" s="2" t="s">
        <v>7253</v>
      </c>
      <c r="E2541" s="2" t="s">
        <v>7254</v>
      </c>
      <c r="F2541" s="2" t="s">
        <v>9416</v>
      </c>
      <c r="G2541" s="2" t="s">
        <v>9416</v>
      </c>
      <c r="H2541" s="2" t="s">
        <v>9416</v>
      </c>
      <c r="I2541" s="2" t="s">
        <v>7254</v>
      </c>
      <c r="J2541" s="2" t="s">
        <v>6103</v>
      </c>
      <c r="K2541" s="2" t="s">
        <v>310</v>
      </c>
      <c r="L2541" s="3">
        <v>161.5</v>
      </c>
      <c r="M2541" s="3">
        <v>169.58</v>
      </c>
      <c r="N2541" s="3">
        <v>339</v>
      </c>
      <c r="O2541" s="2" t="s">
        <v>97</v>
      </c>
      <c r="P2541" s="2" t="s">
        <v>1265</v>
      </c>
      <c r="Q2541" s="2" t="s">
        <v>99</v>
      </c>
      <c r="R2541" s="2" t="s">
        <v>100</v>
      </c>
      <c r="S2541" s="2" t="s">
        <v>9431</v>
      </c>
      <c r="T2541" s="2" t="s">
        <v>100</v>
      </c>
      <c r="U2541" s="2" t="s">
        <v>100</v>
      </c>
      <c r="V2541" s="2" t="s">
        <v>601</v>
      </c>
      <c r="W2541" s="2" t="s">
        <v>2195</v>
      </c>
      <c r="X2541" s="2" t="s">
        <v>100</v>
      </c>
      <c r="Y2541" s="2" t="s">
        <v>1322</v>
      </c>
      <c r="Z2541" s="4">
        <v>98</v>
      </c>
      <c r="AA2541" s="4">
        <f>=ROUNDDOWN(24.5,0)</f>
      </c>
      <c r="AB2541" s="5">
        <v>4</v>
      </c>
      <c r="AC2541" s="2" t="s">
        <v>100</v>
      </c>
      <c r="AD2541" s="4"/>
      <c r="AE2541" s="4"/>
      <c r="AF2541" s="6">
        <v>66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/>
      <c r="AW2541" s="8"/>
      <c r="AX2541" s="4"/>
      <c r="AY2541" s="8"/>
      <c r="AZ2541" s="7"/>
      <c r="BA2541" s="7"/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>
        <v>95</v>
      </c>
      <c r="BK2541" s="8">
        <v>14408.13</v>
      </c>
      <c r="BL2541" s="2" t="s">
        <v>9432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6185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9433</v>
      </c>
      <c r="B2542" s="2" t="s">
        <v>7252</v>
      </c>
      <c r="C2542" s="2" t="s">
        <v>4677</v>
      </c>
      <c r="D2542" s="2" t="s">
        <v>7253</v>
      </c>
      <c r="E2542" s="2" t="s">
        <v>7254</v>
      </c>
      <c r="F2542" s="2" t="s">
        <v>9434</v>
      </c>
      <c r="G2542" s="2" t="s">
        <v>9434</v>
      </c>
      <c r="H2542" s="2" t="s">
        <v>9434</v>
      </c>
      <c r="I2542" s="2" t="s">
        <v>7313</v>
      </c>
      <c r="J2542" s="2" t="s">
        <v>6103</v>
      </c>
      <c r="K2542" s="2" t="s">
        <v>7696</v>
      </c>
      <c r="L2542" s="3">
        <v>261</v>
      </c>
      <c r="M2542" s="3">
        <v>274.05</v>
      </c>
      <c r="N2542" s="3">
        <v>549</v>
      </c>
      <c r="O2542" s="2" t="s">
        <v>97</v>
      </c>
      <c r="P2542" s="2" t="s">
        <v>182</v>
      </c>
      <c r="Q2542" s="2" t="s">
        <v>99</v>
      </c>
      <c r="R2542" s="2" t="s">
        <v>100</v>
      </c>
      <c r="S2542" s="2" t="s">
        <v>9435</v>
      </c>
      <c r="T2542" s="2" t="s">
        <v>100</v>
      </c>
      <c r="U2542" s="2" t="s">
        <v>100</v>
      </c>
      <c r="V2542" s="2" t="s">
        <v>601</v>
      </c>
      <c r="W2542" s="2" t="s">
        <v>2195</v>
      </c>
      <c r="X2542" s="2" t="s">
        <v>100</v>
      </c>
      <c r="Y2542" s="2" t="s">
        <v>106</v>
      </c>
      <c r="Z2542" s="4">
        <v>203</v>
      </c>
      <c r="AA2542" s="4">
        <f>=ROUNDDOWN(67.6666666666667,0)</f>
      </c>
      <c r="AB2542" s="5">
        <v>3</v>
      </c>
      <c r="AC2542" s="2" t="s">
        <v>3872</v>
      </c>
      <c r="AD2542" s="4">
        <v>42</v>
      </c>
      <c r="AE2542" s="4">
        <v>42</v>
      </c>
      <c r="AF2542" s="6">
        <v>66</v>
      </c>
      <c r="AG2542" s="6">
        <v>49</v>
      </c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>
        <v>0</v>
      </c>
      <c r="AP2542" s="4">
        <v>7</v>
      </c>
      <c r="AQ2542" s="8">
        <v>1820.98</v>
      </c>
      <c r="AR2542" s="4"/>
      <c r="AS2542" s="8"/>
      <c r="AT2542" s="7"/>
      <c r="AU2542" s="7"/>
      <c r="AV2542" s="4">
        <v>7</v>
      </c>
      <c r="AW2542" s="8">
        <v>1820.98</v>
      </c>
      <c r="AX2542" s="4"/>
      <c r="AY2542" s="8"/>
      <c r="AZ2542" s="7"/>
      <c r="BA2542" s="7"/>
      <c r="BB2542" s="7">
        <v>1</v>
      </c>
      <c r="BC2542" s="4">
        <v>7</v>
      </c>
      <c r="BD2542" s="8">
        <v>1820.98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>
        <v>1</v>
      </c>
      <c r="BJ2542" s="4">
        <v>101</v>
      </c>
      <c r="BK2542" s="8">
        <v>24673.27</v>
      </c>
      <c r="BL2542" s="2" t="s">
        <v>9436</v>
      </c>
      <c r="BM2542" s="7">
        <v>0.0693</v>
      </c>
      <c r="BN2542" s="7">
        <v>0.0738</v>
      </c>
      <c r="BO2542" s="4">
        <v>7</v>
      </c>
      <c r="BP2542" s="8">
        <v>1820.98</v>
      </c>
      <c r="BQ2542" s="4"/>
      <c r="BR2542" s="8"/>
      <c r="BS2542" s="7"/>
      <c r="BT2542" s="7"/>
      <c r="BU2542" s="2" t="s">
        <v>109</v>
      </c>
      <c r="BV2542" s="2" t="s">
        <v>97</v>
      </c>
      <c r="BW2542" s="2" t="s">
        <v>3536</v>
      </c>
      <c r="BX2542" s="2" t="s">
        <v>4236</v>
      </c>
      <c r="BY2542" s="2" t="s">
        <v>112</v>
      </c>
      <c r="BZ2542" s="2" t="s">
        <v>100</v>
      </c>
    </row>
    <row r="2543">
      <c r="A2543" s="2" t="s">
        <v>9437</v>
      </c>
      <c r="B2543" s="2" t="s">
        <v>7252</v>
      </c>
      <c r="C2543" s="2" t="s">
        <v>4677</v>
      </c>
      <c r="D2543" s="2" t="s">
        <v>7253</v>
      </c>
      <c r="E2543" s="2" t="s">
        <v>7254</v>
      </c>
      <c r="F2543" s="2" t="s">
        <v>9434</v>
      </c>
      <c r="G2543" s="2" t="s">
        <v>9434</v>
      </c>
      <c r="H2543" s="2" t="s">
        <v>9434</v>
      </c>
      <c r="I2543" s="2" t="s">
        <v>7313</v>
      </c>
      <c r="J2543" s="2" t="s">
        <v>6103</v>
      </c>
      <c r="K2543" s="2" t="s">
        <v>158</v>
      </c>
      <c r="L2543" s="3">
        <v>261</v>
      </c>
      <c r="M2543" s="3">
        <v>274.05</v>
      </c>
      <c r="N2543" s="3">
        <v>549</v>
      </c>
      <c r="O2543" s="2" t="s">
        <v>97</v>
      </c>
      <c r="P2543" s="2" t="s">
        <v>1265</v>
      </c>
      <c r="Q2543" s="2" t="s">
        <v>99</v>
      </c>
      <c r="R2543" s="2" t="s">
        <v>100</v>
      </c>
      <c r="S2543" s="2" t="s">
        <v>9438</v>
      </c>
      <c r="T2543" s="2" t="s">
        <v>100</v>
      </c>
      <c r="U2543" s="2" t="s">
        <v>100</v>
      </c>
      <c r="V2543" s="2" t="s">
        <v>601</v>
      </c>
      <c r="W2543" s="2" t="s">
        <v>2195</v>
      </c>
      <c r="X2543" s="2" t="s">
        <v>100</v>
      </c>
      <c r="Y2543" s="2" t="s">
        <v>704</v>
      </c>
      <c r="Z2543" s="4">
        <v>119</v>
      </c>
      <c r="AA2543" s="4">
        <f>=ROUNDDOWN(59.5,0)</f>
      </c>
      <c r="AB2543" s="5">
        <v>2</v>
      </c>
      <c r="AC2543" s="2" t="s">
        <v>100</v>
      </c>
      <c r="AD2543" s="4"/>
      <c r="AE2543" s="4"/>
      <c r="AF2543" s="6">
        <v>66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/>
      <c r="AW2543" s="8"/>
      <c r="AX2543" s="4"/>
      <c r="AY2543" s="8"/>
      <c r="AZ2543" s="7"/>
      <c r="BA2543" s="7"/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41</v>
      </c>
      <c r="BK2543" s="8">
        <v>9954.39</v>
      </c>
      <c r="BL2543" s="2" t="s">
        <v>9439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6185</v>
      </c>
      <c r="BV2543" s="2" t="s">
        <v>97</v>
      </c>
      <c r="BW2543" s="2" t="s">
        <v>100</v>
      </c>
      <c r="BX2543" s="2" t="s">
        <v>100</v>
      </c>
      <c r="BY2543" s="2" t="s">
        <v>112</v>
      </c>
      <c r="BZ2543" s="2" t="s">
        <v>100</v>
      </c>
    </row>
    <row r="2544">
      <c r="A2544" s="2" t="s">
        <v>9440</v>
      </c>
      <c r="B2544" s="2" t="s">
        <v>7252</v>
      </c>
      <c r="C2544" s="2" t="s">
        <v>4677</v>
      </c>
      <c r="D2544" s="2" t="s">
        <v>7253</v>
      </c>
      <c r="E2544" s="2" t="s">
        <v>7254</v>
      </c>
      <c r="F2544" s="2" t="s">
        <v>9434</v>
      </c>
      <c r="G2544" s="2" t="s">
        <v>9434</v>
      </c>
      <c r="H2544" s="2" t="s">
        <v>9434</v>
      </c>
      <c r="I2544" s="2" t="s">
        <v>7313</v>
      </c>
      <c r="J2544" s="2" t="s">
        <v>6103</v>
      </c>
      <c r="K2544" s="2" t="s">
        <v>310</v>
      </c>
      <c r="L2544" s="3">
        <v>261</v>
      </c>
      <c r="M2544" s="3">
        <v>274.05</v>
      </c>
      <c r="N2544" s="3">
        <v>549</v>
      </c>
      <c r="O2544" s="2" t="s">
        <v>97</v>
      </c>
      <c r="P2544" s="2" t="s">
        <v>1265</v>
      </c>
      <c r="Q2544" s="2" t="s">
        <v>99</v>
      </c>
      <c r="R2544" s="2" t="s">
        <v>100</v>
      </c>
      <c r="S2544" s="2" t="s">
        <v>9441</v>
      </c>
      <c r="T2544" s="2" t="s">
        <v>100</v>
      </c>
      <c r="U2544" s="2" t="s">
        <v>100</v>
      </c>
      <c r="V2544" s="2" t="s">
        <v>601</v>
      </c>
      <c r="W2544" s="2" t="s">
        <v>2195</v>
      </c>
      <c r="X2544" s="2" t="s">
        <v>100</v>
      </c>
      <c r="Y2544" s="2" t="s">
        <v>1322</v>
      </c>
      <c r="Z2544" s="4">
        <v>71</v>
      </c>
      <c r="AA2544" s="4">
        <f>=ROUNDDOWN(23.6666666666667,0)</f>
      </c>
      <c r="AB2544" s="5">
        <v>3</v>
      </c>
      <c r="AC2544" s="2" t="s">
        <v>130</v>
      </c>
      <c r="AD2544" s="4">
        <v>12</v>
      </c>
      <c r="AE2544" s="4">
        <v>100</v>
      </c>
      <c r="AF2544" s="6">
        <v>66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/>
      <c r="AW2544" s="8"/>
      <c r="AX2544" s="4"/>
      <c r="AY2544" s="8"/>
      <c r="AZ2544" s="7"/>
      <c r="BA2544" s="7"/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92</v>
      </c>
      <c r="BK2544" s="8">
        <v>22080.68</v>
      </c>
      <c r="BL2544" s="2" t="s">
        <v>9442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147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9443</v>
      </c>
      <c r="B2545" s="2" t="s">
        <v>7252</v>
      </c>
      <c r="C2545" s="2" t="s">
        <v>4677</v>
      </c>
      <c r="D2545" s="2" t="s">
        <v>7253</v>
      </c>
      <c r="E2545" s="2" t="s">
        <v>7254</v>
      </c>
      <c r="F2545" s="2" t="s">
        <v>9444</v>
      </c>
      <c r="G2545" s="2" t="s">
        <v>9444</v>
      </c>
      <c r="H2545" s="2" t="s">
        <v>9444</v>
      </c>
      <c r="I2545" s="2" t="s">
        <v>7313</v>
      </c>
      <c r="J2545" s="2" t="s">
        <v>6103</v>
      </c>
      <c r="K2545" s="2" t="s">
        <v>7972</v>
      </c>
      <c r="L2545" s="3">
        <v>263.5</v>
      </c>
      <c r="M2545" s="3">
        <v>276.68</v>
      </c>
      <c r="N2545" s="3">
        <v>549</v>
      </c>
      <c r="O2545" s="2" t="s">
        <v>97</v>
      </c>
      <c r="P2545" s="2" t="s">
        <v>182</v>
      </c>
      <c r="Q2545" s="2" t="s">
        <v>99</v>
      </c>
      <c r="R2545" s="2" t="s">
        <v>100</v>
      </c>
      <c r="S2545" s="2" t="s">
        <v>100</v>
      </c>
      <c r="T2545" s="2" t="s">
        <v>100</v>
      </c>
      <c r="U2545" s="2" t="s">
        <v>100</v>
      </c>
      <c r="V2545" s="2" t="s">
        <v>601</v>
      </c>
      <c r="W2545" s="2" t="s">
        <v>2195</v>
      </c>
      <c r="X2545" s="2" t="s">
        <v>100</v>
      </c>
      <c r="Y2545" s="2" t="s">
        <v>9445</v>
      </c>
      <c r="Z2545" s="4">
        <v>24</v>
      </c>
      <c r="AA2545" s="4">
        <f>=ROUNDDOWN(3,0)</f>
      </c>
      <c r="AB2545" s="5">
        <v>8</v>
      </c>
      <c r="AC2545" s="2" t="s">
        <v>4396</v>
      </c>
      <c r="AD2545" s="4">
        <v>100</v>
      </c>
      <c r="AE2545" s="4">
        <v>200</v>
      </c>
      <c r="AF2545" s="6">
        <v>66</v>
      </c>
      <c r="AG2545" s="6"/>
      <c r="AH2545" s="7">
        <v>1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>
        <v>0</v>
      </c>
      <c r="AP2545" s="4">
        <v>7</v>
      </c>
      <c r="AQ2545" s="8">
        <v>1543.5</v>
      </c>
      <c r="AR2545" s="4"/>
      <c r="AS2545" s="8"/>
      <c r="AT2545" s="7"/>
      <c r="AU2545" s="7"/>
      <c r="AV2545" s="4">
        <v>7</v>
      </c>
      <c r="AW2545" s="8">
        <v>1543.5</v>
      </c>
      <c r="AX2545" s="4"/>
      <c r="AY2545" s="8"/>
      <c r="AZ2545" s="7"/>
      <c r="BA2545" s="7"/>
      <c r="BB2545" s="7">
        <v>1</v>
      </c>
      <c r="BC2545" s="4">
        <v>7</v>
      </c>
      <c r="BD2545" s="8">
        <v>1543.5</v>
      </c>
      <c r="BE2545" s="4"/>
      <c r="BF2545" s="8"/>
      <c r="BG2545" s="7"/>
      <c r="BH2545" s="7"/>
      <c r="BI2545" s="7">
        <v>1</v>
      </c>
      <c r="BJ2545" s="4">
        <v>176</v>
      </c>
      <c r="BK2545" s="8">
        <v>42920.84</v>
      </c>
      <c r="BL2545" s="2" t="s">
        <v>9446</v>
      </c>
      <c r="BM2545" s="7">
        <v>0.0398</v>
      </c>
      <c r="BN2545" s="7">
        <v>0.036</v>
      </c>
      <c r="BO2545" s="4">
        <v>7</v>
      </c>
      <c r="BP2545" s="8">
        <v>1543.5</v>
      </c>
      <c r="BQ2545" s="4"/>
      <c r="BR2545" s="8"/>
      <c r="BS2545" s="7"/>
      <c r="BT2545" s="7"/>
      <c r="BU2545" s="2" t="s">
        <v>109</v>
      </c>
      <c r="BV2545" s="2" t="s">
        <v>97</v>
      </c>
      <c r="BW2545" s="2" t="s">
        <v>3536</v>
      </c>
      <c r="BX2545" s="2" t="s">
        <v>4236</v>
      </c>
      <c r="BY2545" s="2" t="s">
        <v>112</v>
      </c>
      <c r="BZ2545" s="2" t="s">
        <v>100</v>
      </c>
    </row>
    <row r="2546">
      <c r="A2546" s="2" t="s">
        <v>9447</v>
      </c>
      <c r="B2546" s="2" t="s">
        <v>7252</v>
      </c>
      <c r="C2546" s="2" t="s">
        <v>4677</v>
      </c>
      <c r="D2546" s="2" t="s">
        <v>7253</v>
      </c>
      <c r="E2546" s="2" t="s">
        <v>7254</v>
      </c>
      <c r="F2546" s="2" t="s">
        <v>9448</v>
      </c>
      <c r="G2546" s="2" t="s">
        <v>9448</v>
      </c>
      <c r="H2546" s="2" t="s">
        <v>9448</v>
      </c>
      <c r="I2546" s="2" t="s">
        <v>7313</v>
      </c>
      <c r="J2546" s="2" t="s">
        <v>6103</v>
      </c>
      <c r="K2546" s="2" t="s">
        <v>9449</v>
      </c>
      <c r="L2546" s="3">
        <v>172</v>
      </c>
      <c r="M2546" s="3">
        <v>180.6</v>
      </c>
      <c r="N2546" s="3">
        <v>359</v>
      </c>
      <c r="O2546" s="2" t="s">
        <v>97</v>
      </c>
      <c r="P2546" s="2" t="s">
        <v>143</v>
      </c>
      <c r="Q2546" s="2" t="s">
        <v>99</v>
      </c>
      <c r="R2546" s="2" t="s">
        <v>100</v>
      </c>
      <c r="S2546" s="2" t="s">
        <v>100</v>
      </c>
      <c r="T2546" s="2" t="s">
        <v>100</v>
      </c>
      <c r="U2546" s="2" t="s">
        <v>3531</v>
      </c>
      <c r="V2546" s="2" t="s">
        <v>601</v>
      </c>
      <c r="W2546" s="2" t="s">
        <v>759</v>
      </c>
      <c r="X2546" s="2" t="s">
        <v>100</v>
      </c>
      <c r="Y2546" s="2" t="s">
        <v>3960</v>
      </c>
      <c r="Z2546" s="4">
        <v>550</v>
      </c>
      <c r="AA2546" s="4">
        <f>=ROUNDDOWN(42.3076923076923,0)</f>
      </c>
      <c r="AB2546" s="5">
        <v>13</v>
      </c>
      <c r="AC2546" s="2" t="s">
        <v>100</v>
      </c>
      <c r="AD2546" s="4"/>
      <c r="AE2546" s="4"/>
      <c r="AF2546" s="6">
        <v>66</v>
      </c>
      <c r="AG2546" s="6"/>
      <c r="AH2546" s="7">
        <v>1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>
        <v>0</v>
      </c>
      <c r="AP2546" s="4">
        <v>6</v>
      </c>
      <c r="AQ2546" s="8">
        <v>1083.6</v>
      </c>
      <c r="AR2546" s="4">
        <v>34</v>
      </c>
      <c r="AS2546" s="8">
        <v>6648.29</v>
      </c>
      <c r="AT2546" s="7">
        <v>-0.8235</v>
      </c>
      <c r="AU2546" s="7">
        <v>-0.837</v>
      </c>
      <c r="AV2546" s="4">
        <v>6</v>
      </c>
      <c r="AW2546" s="8">
        <v>1083.6</v>
      </c>
      <c r="AX2546" s="4">
        <v>34</v>
      </c>
      <c r="AY2546" s="8">
        <v>6648.29</v>
      </c>
      <c r="AZ2546" s="7">
        <v>-0.8235</v>
      </c>
      <c r="BA2546" s="7">
        <v>-0.837</v>
      </c>
      <c r="BB2546" s="7">
        <v>1</v>
      </c>
      <c r="BC2546" s="4">
        <v>6</v>
      </c>
      <c r="BD2546" s="8">
        <v>1083.6</v>
      </c>
      <c r="BE2546" s="4">
        <v>34</v>
      </c>
      <c r="BF2546" s="8">
        <v>6648.29</v>
      </c>
      <c r="BG2546" s="7">
        <v>-0.8235</v>
      </c>
      <c r="BH2546" s="7">
        <v>-0.837</v>
      </c>
      <c r="BI2546" s="7">
        <v>1</v>
      </c>
      <c r="BJ2546" s="4">
        <v>326</v>
      </c>
      <c r="BK2546" s="8">
        <v>57329.35</v>
      </c>
      <c r="BL2546" s="2" t="s">
        <v>9450</v>
      </c>
      <c r="BM2546" s="7">
        <v>0.0184</v>
      </c>
      <c r="BN2546" s="7">
        <v>0.0189</v>
      </c>
      <c r="BO2546" s="4">
        <v>6</v>
      </c>
      <c r="BP2546" s="8">
        <v>1083.6</v>
      </c>
      <c r="BQ2546" s="4">
        <v>34</v>
      </c>
      <c r="BR2546" s="8">
        <v>6648.29</v>
      </c>
      <c r="BS2546" s="7">
        <v>-0.8235</v>
      </c>
      <c r="BT2546" s="7">
        <v>-0.837</v>
      </c>
      <c r="BU2546" s="2" t="s">
        <v>109</v>
      </c>
      <c r="BV2546" s="2" t="s">
        <v>97</v>
      </c>
      <c r="BW2546" s="2" t="s">
        <v>8372</v>
      </c>
      <c r="BX2546" s="2" t="s">
        <v>9427</v>
      </c>
      <c r="BY2546" s="2" t="s">
        <v>112</v>
      </c>
      <c r="BZ2546" s="2" t="s">
        <v>100</v>
      </c>
    </row>
    <row r="2547">
      <c r="A2547" s="2" t="s">
        <v>9451</v>
      </c>
      <c r="B2547" s="2" t="s">
        <v>7252</v>
      </c>
      <c r="C2547" s="2" t="s">
        <v>4677</v>
      </c>
      <c r="D2547" s="2" t="s">
        <v>7253</v>
      </c>
      <c r="E2547" s="2" t="s">
        <v>7254</v>
      </c>
      <c r="F2547" s="2" t="s">
        <v>9452</v>
      </c>
      <c r="G2547" s="2" t="s">
        <v>9452</v>
      </c>
      <c r="H2547" s="2" t="s">
        <v>100</v>
      </c>
      <c r="I2547" s="2" t="s">
        <v>7313</v>
      </c>
      <c r="J2547" s="2" t="s">
        <v>6103</v>
      </c>
      <c r="K2547" s="2" t="s">
        <v>9453</v>
      </c>
      <c r="L2547" s="3">
        <v>225</v>
      </c>
      <c r="M2547" s="3">
        <v>236.25</v>
      </c>
      <c r="N2547" s="3">
        <v>479</v>
      </c>
      <c r="O2547" s="2" t="s">
        <v>97</v>
      </c>
      <c r="P2547" s="2" t="s">
        <v>1265</v>
      </c>
      <c r="Q2547" s="2" t="s">
        <v>99</v>
      </c>
      <c r="R2547" s="2" t="s">
        <v>100</v>
      </c>
      <c r="S2547" s="2" t="s">
        <v>9454</v>
      </c>
      <c r="T2547" s="2" t="s">
        <v>100</v>
      </c>
      <c r="U2547" s="2" t="s">
        <v>100</v>
      </c>
      <c r="V2547" s="2" t="s">
        <v>601</v>
      </c>
      <c r="W2547" s="2" t="s">
        <v>2195</v>
      </c>
      <c r="X2547" s="2" t="s">
        <v>100</v>
      </c>
      <c r="Y2547" s="2" t="s">
        <v>106</v>
      </c>
      <c r="Z2547" s="4">
        <v>118</v>
      </c>
      <c r="AA2547" s="4">
        <f>=ROUNDDOWN(39.3333333333333,0)</f>
      </c>
      <c r="AB2547" s="5">
        <v>3</v>
      </c>
      <c r="AC2547" s="2" t="s">
        <v>100</v>
      </c>
      <c r="AD2547" s="4"/>
      <c r="AE2547" s="4"/>
      <c r="AF2547" s="6">
        <v>66</v>
      </c>
      <c r="AG2547" s="6">
        <v>49</v>
      </c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>
        <v>0</v>
      </c>
      <c r="AP2547" s="4">
        <v>3</v>
      </c>
      <c r="AQ2547" s="8">
        <v>661.53</v>
      </c>
      <c r="AR2547" s="4"/>
      <c r="AS2547" s="8"/>
      <c r="AT2547" s="7"/>
      <c r="AU2547" s="7"/>
      <c r="AV2547" s="4">
        <v>3</v>
      </c>
      <c r="AW2547" s="8">
        <v>661.53</v>
      </c>
      <c r="AX2547" s="4"/>
      <c r="AY2547" s="8"/>
      <c r="AZ2547" s="7"/>
      <c r="BA2547" s="7"/>
      <c r="BB2547" s="7">
        <v>1</v>
      </c>
      <c r="BC2547" s="4">
        <v>3</v>
      </c>
      <c r="BD2547" s="8">
        <v>661.53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>
        <v>1</v>
      </c>
      <c r="BJ2547" s="4">
        <v>58</v>
      </c>
      <c r="BK2547" s="8">
        <v>13194.93</v>
      </c>
      <c r="BL2547" s="2" t="s">
        <v>9455</v>
      </c>
      <c r="BM2547" s="7">
        <v>0.0517</v>
      </c>
      <c r="BN2547" s="7">
        <v>0.0501</v>
      </c>
      <c r="BO2547" s="4">
        <v>3</v>
      </c>
      <c r="BP2547" s="8">
        <v>661.53</v>
      </c>
      <c r="BQ2547" s="4"/>
      <c r="BR2547" s="8"/>
      <c r="BS2547" s="7"/>
      <c r="BT2547" s="7"/>
      <c r="BU2547" s="2" t="s">
        <v>109</v>
      </c>
      <c r="BV2547" s="2" t="s">
        <v>97</v>
      </c>
      <c r="BW2547" s="2" t="s">
        <v>217</v>
      </c>
      <c r="BX2547" s="2" t="s">
        <v>4752</v>
      </c>
      <c r="BY2547" s="2" t="s">
        <v>112</v>
      </c>
      <c r="BZ2547" s="2" t="s">
        <v>100</v>
      </c>
    </row>
    <row r="2548">
      <c r="A2548" s="2" t="s">
        <v>9456</v>
      </c>
      <c r="B2548" s="2" t="s">
        <v>7252</v>
      </c>
      <c r="C2548" s="2" t="s">
        <v>4677</v>
      </c>
      <c r="D2548" s="2" t="s">
        <v>7253</v>
      </c>
      <c r="E2548" s="2" t="s">
        <v>7254</v>
      </c>
      <c r="F2548" s="2" t="s">
        <v>9452</v>
      </c>
      <c r="G2548" s="2" t="s">
        <v>9452</v>
      </c>
      <c r="H2548" s="2" t="s">
        <v>9452</v>
      </c>
      <c r="I2548" s="2" t="s">
        <v>7313</v>
      </c>
      <c r="J2548" s="2" t="s">
        <v>6103</v>
      </c>
      <c r="K2548" s="2" t="s">
        <v>323</v>
      </c>
      <c r="L2548" s="3">
        <v>225</v>
      </c>
      <c r="M2548" s="3">
        <v>236.25</v>
      </c>
      <c r="N2548" s="3">
        <v>479</v>
      </c>
      <c r="O2548" s="2" t="s">
        <v>97</v>
      </c>
      <c r="P2548" s="2" t="s">
        <v>1265</v>
      </c>
      <c r="Q2548" s="2" t="s">
        <v>99</v>
      </c>
      <c r="R2548" s="2" t="s">
        <v>100</v>
      </c>
      <c r="S2548" s="2" t="s">
        <v>9457</v>
      </c>
      <c r="T2548" s="2" t="s">
        <v>100</v>
      </c>
      <c r="U2548" s="2" t="s">
        <v>100</v>
      </c>
      <c r="V2548" s="2" t="s">
        <v>601</v>
      </c>
      <c r="W2548" s="2" t="s">
        <v>6998</v>
      </c>
      <c r="X2548" s="2" t="s">
        <v>100</v>
      </c>
      <c r="Y2548" s="2" t="s">
        <v>8849</v>
      </c>
      <c r="Z2548" s="4">
        <v>104</v>
      </c>
      <c r="AA2548" s="4">
        <f>=ROUNDDOWN(20.8,0)</f>
      </c>
      <c r="AB2548" s="5">
        <v>5</v>
      </c>
      <c r="AC2548" s="2" t="s">
        <v>100</v>
      </c>
      <c r="AD2548" s="4"/>
      <c r="AE2548" s="4"/>
      <c r="AF2548" s="6">
        <v>66</v>
      </c>
      <c r="AG2548" s="6">
        <v>49</v>
      </c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/>
      <c r="AW2548" s="8"/>
      <c r="AX2548" s="4"/>
      <c r="AY2548" s="8"/>
      <c r="AZ2548" s="7"/>
      <c r="BA2548" s="7"/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/>
      <c r="BJ2548" s="4">
        <v>78</v>
      </c>
      <c r="BK2548" s="8">
        <v>15877.2</v>
      </c>
      <c r="BL2548" s="2" t="s">
        <v>9458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6185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9459</v>
      </c>
      <c r="B2549" s="2" t="s">
        <v>7252</v>
      </c>
      <c r="C2549" s="2" t="s">
        <v>4677</v>
      </c>
      <c r="D2549" s="2" t="s">
        <v>7253</v>
      </c>
      <c r="E2549" s="2" t="s">
        <v>7254</v>
      </c>
      <c r="F2549" s="2" t="s">
        <v>9460</v>
      </c>
      <c r="G2549" s="2" t="s">
        <v>9460</v>
      </c>
      <c r="H2549" s="2" t="s">
        <v>9460</v>
      </c>
      <c r="I2549" s="2" t="s">
        <v>7313</v>
      </c>
      <c r="J2549" s="2" t="s">
        <v>6103</v>
      </c>
      <c r="K2549" s="2" t="s">
        <v>333</v>
      </c>
      <c r="L2549" s="3">
        <v>172.98</v>
      </c>
      <c r="M2549" s="3">
        <v>181.63</v>
      </c>
      <c r="N2549" s="3">
        <v>369</v>
      </c>
      <c r="O2549" s="2" t="s">
        <v>97</v>
      </c>
      <c r="P2549" s="2" t="s">
        <v>1265</v>
      </c>
      <c r="Q2549" s="2" t="s">
        <v>99</v>
      </c>
      <c r="R2549" s="2" t="s">
        <v>100</v>
      </c>
      <c r="S2549" s="2" t="s">
        <v>100</v>
      </c>
      <c r="T2549" s="2" t="s">
        <v>100</v>
      </c>
      <c r="U2549" s="2" t="s">
        <v>100</v>
      </c>
      <c r="V2549" s="2" t="s">
        <v>601</v>
      </c>
      <c r="W2549" s="2" t="s">
        <v>2195</v>
      </c>
      <c r="X2549" s="2" t="s">
        <v>100</v>
      </c>
      <c r="Y2549" s="2" t="s">
        <v>8041</v>
      </c>
      <c r="Z2549" s="4">
        <v>102</v>
      </c>
      <c r="AA2549" s="4">
        <f>=ROUNDDOWN(51,0)</f>
      </c>
      <c r="AB2549" s="5">
        <v>2</v>
      </c>
      <c r="AC2549" s="2" t="s">
        <v>100</v>
      </c>
      <c r="AD2549" s="4"/>
      <c r="AE2549" s="4"/>
      <c r="AF2549" s="6">
        <v>66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>
        <v>0</v>
      </c>
      <c r="AP2549" s="4">
        <v>2</v>
      </c>
      <c r="AQ2549" s="8">
        <v>330.76</v>
      </c>
      <c r="AR2549" s="4">
        <v>7</v>
      </c>
      <c r="AS2549" s="8">
        <v>1246.9</v>
      </c>
      <c r="AT2549" s="7">
        <v>-0.7143</v>
      </c>
      <c r="AU2549" s="7">
        <v>-0.7347</v>
      </c>
      <c r="AV2549" s="4">
        <v>2</v>
      </c>
      <c r="AW2549" s="8">
        <v>330.76</v>
      </c>
      <c r="AX2549" s="4">
        <v>7</v>
      </c>
      <c r="AY2549" s="8">
        <v>1246.9</v>
      </c>
      <c r="AZ2549" s="7">
        <v>-0.7143</v>
      </c>
      <c r="BA2549" s="7">
        <v>-0.7347</v>
      </c>
      <c r="BB2549" s="7">
        <v>1</v>
      </c>
      <c r="BC2549" s="4">
        <v>2</v>
      </c>
      <c r="BD2549" s="8">
        <v>330.76</v>
      </c>
      <c r="BE2549" s="4">
        <v>7</v>
      </c>
      <c r="BF2549" s="8">
        <v>1246.9</v>
      </c>
      <c r="BG2549" s="7">
        <v>-0.7143</v>
      </c>
      <c r="BH2549" s="7">
        <v>-0.7347</v>
      </c>
      <c r="BI2549" s="7">
        <v>1</v>
      </c>
      <c r="BJ2549" s="4">
        <v>56</v>
      </c>
      <c r="BK2549" s="8">
        <v>9008.53</v>
      </c>
      <c r="BL2549" s="2" t="s">
        <v>9461</v>
      </c>
      <c r="BM2549" s="7">
        <v>0.0357</v>
      </c>
      <c r="BN2549" s="7">
        <v>0.0367</v>
      </c>
      <c r="BO2549" s="4">
        <v>2</v>
      </c>
      <c r="BP2549" s="8">
        <v>330.76</v>
      </c>
      <c r="BQ2549" s="4">
        <v>7</v>
      </c>
      <c r="BR2549" s="8">
        <v>1246.9</v>
      </c>
      <c r="BS2549" s="7">
        <v>-0.7143</v>
      </c>
      <c r="BT2549" s="7">
        <v>-0.7347</v>
      </c>
      <c r="BU2549" s="2" t="s">
        <v>109</v>
      </c>
      <c r="BV2549" s="2" t="s">
        <v>97</v>
      </c>
      <c r="BW2549" s="2" t="s">
        <v>7382</v>
      </c>
      <c r="BX2549" s="2" t="s">
        <v>9462</v>
      </c>
      <c r="BY2549" s="2" t="s">
        <v>112</v>
      </c>
      <c r="BZ2549" s="2" t="s">
        <v>100</v>
      </c>
    </row>
    <row r="2550">
      <c r="A2550" s="2" t="s">
        <v>9463</v>
      </c>
      <c r="B2550" s="2" t="s">
        <v>7252</v>
      </c>
      <c r="C2550" s="2" t="s">
        <v>4677</v>
      </c>
      <c r="D2550" s="2" t="s">
        <v>7253</v>
      </c>
      <c r="E2550" s="2" t="s">
        <v>7254</v>
      </c>
      <c r="F2550" s="2" t="s">
        <v>9464</v>
      </c>
      <c r="G2550" s="2" t="s">
        <v>9464</v>
      </c>
      <c r="H2550" s="2" t="s">
        <v>9464</v>
      </c>
      <c r="I2550" s="2" t="s">
        <v>7313</v>
      </c>
      <c r="J2550" s="2" t="s">
        <v>6103</v>
      </c>
      <c r="K2550" s="2" t="s">
        <v>333</v>
      </c>
      <c r="L2550" s="3">
        <v>209.95</v>
      </c>
      <c r="M2550" s="3">
        <v>220.45</v>
      </c>
      <c r="N2550" s="3">
        <v>439</v>
      </c>
      <c r="O2550" s="2" t="s">
        <v>97</v>
      </c>
      <c r="P2550" s="2" t="s">
        <v>1265</v>
      </c>
      <c r="Q2550" s="2" t="s">
        <v>99</v>
      </c>
      <c r="R2550" s="2" t="s">
        <v>100</v>
      </c>
      <c r="S2550" s="2" t="s">
        <v>9465</v>
      </c>
      <c r="T2550" s="2" t="s">
        <v>100</v>
      </c>
      <c r="U2550" s="2" t="s">
        <v>3531</v>
      </c>
      <c r="V2550" s="2" t="s">
        <v>601</v>
      </c>
      <c r="W2550" s="2" t="s">
        <v>759</v>
      </c>
      <c r="X2550" s="2" t="s">
        <v>100</v>
      </c>
      <c r="Y2550" s="2" t="s">
        <v>106</v>
      </c>
      <c r="Z2550" s="4">
        <v>69</v>
      </c>
      <c r="AA2550" s="4">
        <f>=ROUNDDOWN(20.2941176470588,0)</f>
      </c>
      <c r="AB2550" s="5">
        <v>3.4</v>
      </c>
      <c r="AC2550" s="2" t="s">
        <v>4396</v>
      </c>
      <c r="AD2550" s="4">
        <v>37</v>
      </c>
      <c r="AE2550" s="4">
        <v>100</v>
      </c>
      <c r="AF2550" s="6">
        <v>66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>
        <v>0</v>
      </c>
      <c r="AP2550" s="4">
        <v>1</v>
      </c>
      <c r="AQ2550" s="8">
        <v>220.45</v>
      </c>
      <c r="AR2550" s="4">
        <v>15</v>
      </c>
      <c r="AS2550" s="8">
        <v>3886.06</v>
      </c>
      <c r="AT2550" s="7">
        <v>-0.9333</v>
      </c>
      <c r="AU2550" s="7">
        <v>-0.9433</v>
      </c>
      <c r="AV2550" s="4">
        <v>1</v>
      </c>
      <c r="AW2550" s="8">
        <v>220.45</v>
      </c>
      <c r="AX2550" s="4">
        <v>15</v>
      </c>
      <c r="AY2550" s="8">
        <v>3886.06</v>
      </c>
      <c r="AZ2550" s="7">
        <v>-0.9333</v>
      </c>
      <c r="BA2550" s="7">
        <v>-0.9433</v>
      </c>
      <c r="BB2550" s="7">
        <v>1</v>
      </c>
      <c r="BC2550" s="4">
        <v>1</v>
      </c>
      <c r="BD2550" s="8">
        <v>220.45</v>
      </c>
      <c r="BE2550" s="4">
        <v>15</v>
      </c>
      <c r="BF2550" s="8">
        <v>3886.06</v>
      </c>
      <c r="BG2550" s="7">
        <v>-0.9333</v>
      </c>
      <c r="BH2550" s="7">
        <v>-0.9433</v>
      </c>
      <c r="BI2550" s="7">
        <v>1</v>
      </c>
      <c r="BJ2550" s="4">
        <v>58</v>
      </c>
      <c r="BK2550" s="8">
        <v>11320.35</v>
      </c>
      <c r="BL2550" s="2" t="s">
        <v>9466</v>
      </c>
      <c r="BM2550" s="7">
        <v>0.0172</v>
      </c>
      <c r="BN2550" s="7">
        <v>0.0195</v>
      </c>
      <c r="BO2550" s="4">
        <v>1</v>
      </c>
      <c r="BP2550" s="8">
        <v>220.45</v>
      </c>
      <c r="BQ2550" s="4">
        <v>15</v>
      </c>
      <c r="BR2550" s="8">
        <v>3886.06</v>
      </c>
      <c r="BS2550" s="7">
        <v>-0.9333</v>
      </c>
      <c r="BT2550" s="7">
        <v>-0.9433</v>
      </c>
      <c r="BU2550" s="2" t="s">
        <v>109</v>
      </c>
      <c r="BV2550" s="2" t="s">
        <v>97</v>
      </c>
      <c r="BW2550" s="2" t="s">
        <v>7674</v>
      </c>
      <c r="BX2550" s="2" t="s">
        <v>9467</v>
      </c>
      <c r="BY2550" s="2" t="s">
        <v>112</v>
      </c>
      <c r="BZ2550" s="2" t="s">
        <v>100</v>
      </c>
    </row>
    <row r="2551">
      <c r="A2551" s="2" t="s">
        <v>9468</v>
      </c>
      <c r="B2551" s="2" t="s">
        <v>7252</v>
      </c>
      <c r="C2551" s="2" t="s">
        <v>4677</v>
      </c>
      <c r="D2551" s="2" t="s">
        <v>7253</v>
      </c>
      <c r="E2551" s="2" t="s">
        <v>7254</v>
      </c>
      <c r="F2551" s="2" t="s">
        <v>9464</v>
      </c>
      <c r="G2551" s="2" t="s">
        <v>9464</v>
      </c>
      <c r="H2551" s="2" t="s">
        <v>9464</v>
      </c>
      <c r="I2551" s="2" t="s">
        <v>7313</v>
      </c>
      <c r="J2551" s="2" t="s">
        <v>6103</v>
      </c>
      <c r="K2551" s="2" t="s">
        <v>197</v>
      </c>
      <c r="L2551" s="3">
        <v>209.95</v>
      </c>
      <c r="M2551" s="3">
        <v>220.45</v>
      </c>
      <c r="N2551" s="3">
        <v>439</v>
      </c>
      <c r="O2551" s="2" t="s">
        <v>229</v>
      </c>
      <c r="P2551" s="2" t="s">
        <v>198</v>
      </c>
      <c r="Q2551" s="2" t="s">
        <v>99</v>
      </c>
      <c r="R2551" s="2" t="s">
        <v>100</v>
      </c>
      <c r="S2551" s="2" t="s">
        <v>100</v>
      </c>
      <c r="T2551" s="2" t="s">
        <v>100</v>
      </c>
      <c r="U2551" s="2" t="s">
        <v>3531</v>
      </c>
      <c r="V2551" s="2" t="s">
        <v>1752</v>
      </c>
      <c r="W2551" s="2" t="s">
        <v>759</v>
      </c>
      <c r="X2551" s="2" t="s">
        <v>100</v>
      </c>
      <c r="Y2551" s="2" t="s">
        <v>4398</v>
      </c>
      <c r="Z2551" s="4">
        <v>85</v>
      </c>
      <c r="AA2551" s="4">
        <f>=ROUNDDOWN(141.666666666667,0)</f>
      </c>
      <c r="AB2551" s="5">
        <v>0.6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/>
      <c r="BJ2551" s="4">
        <v>20</v>
      </c>
      <c r="BK2551" s="8">
        <v>4151.71</v>
      </c>
      <c r="BL2551" s="2" t="s">
        <v>9469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6185</v>
      </c>
      <c r="BV2551" s="2" t="s">
        <v>97</v>
      </c>
      <c r="BW2551" s="2" t="s">
        <v>100</v>
      </c>
      <c r="BX2551" s="2" t="s">
        <v>100</v>
      </c>
      <c r="BY2551" s="2" t="s">
        <v>112</v>
      </c>
      <c r="BZ2551" s="2" t="s">
        <v>100</v>
      </c>
    </row>
    <row r="2552">
      <c r="A2552" s="2" t="s">
        <v>9470</v>
      </c>
      <c r="B2552" s="2" t="s">
        <v>7252</v>
      </c>
      <c r="C2552" s="2" t="s">
        <v>4677</v>
      </c>
      <c r="D2552" s="2" t="s">
        <v>7253</v>
      </c>
      <c r="E2552" s="2" t="s">
        <v>7254</v>
      </c>
      <c r="F2552" s="2" t="s">
        <v>9471</v>
      </c>
      <c r="G2552" s="2" t="s">
        <v>9471</v>
      </c>
      <c r="H2552" s="2" t="s">
        <v>9471</v>
      </c>
      <c r="I2552" s="2" t="s">
        <v>7313</v>
      </c>
      <c r="J2552" s="2" t="s">
        <v>6103</v>
      </c>
      <c r="K2552" s="2" t="s">
        <v>7728</v>
      </c>
      <c r="L2552" s="3">
        <v>200</v>
      </c>
      <c r="M2552" s="3">
        <v>210</v>
      </c>
      <c r="N2552" s="3">
        <v>429</v>
      </c>
      <c r="O2552" s="2" t="s">
        <v>550</v>
      </c>
      <c r="P2552" s="2" t="s">
        <v>198</v>
      </c>
      <c r="Q2552" s="2" t="s">
        <v>99</v>
      </c>
      <c r="R2552" s="2" t="s">
        <v>100</v>
      </c>
      <c r="S2552" s="2" t="s">
        <v>9472</v>
      </c>
      <c r="T2552" s="2" t="s">
        <v>100</v>
      </c>
      <c r="U2552" s="2" t="s">
        <v>100</v>
      </c>
      <c r="V2552" s="2" t="s">
        <v>601</v>
      </c>
      <c r="W2552" s="2" t="s">
        <v>602</v>
      </c>
      <c r="X2552" s="2" t="s">
        <v>100</v>
      </c>
      <c r="Y2552" s="2" t="s">
        <v>3261</v>
      </c>
      <c r="Z2552" s="4"/>
      <c r="AA2552" s="4">
        <f>=ROUNDDOWN({0},0)</f>
      </c>
      <c r="AB2552" s="5">
        <v>1</v>
      </c>
      <c r="AC2552" s="2" t="s">
        <v>100</v>
      </c>
      <c r="AD2552" s="4"/>
      <c r="AE2552" s="4"/>
      <c r="AF2552" s="6">
        <v>65</v>
      </c>
      <c r="AG2552" s="6">
        <v>48</v>
      </c>
      <c r="AH2552" s="7">
        <v>0.9394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>
        <v>0</v>
      </c>
      <c r="AP2552" s="4">
        <v>1</v>
      </c>
      <c r="AQ2552" s="8">
        <v>210</v>
      </c>
      <c r="AR2552" s="4">
        <v>7</v>
      </c>
      <c r="AS2552" s="8">
        <v>1470</v>
      </c>
      <c r="AT2552" s="7">
        <v>-0.8571</v>
      </c>
      <c r="AU2552" s="7">
        <v>-0.8571</v>
      </c>
      <c r="AV2552" s="4">
        <v>1</v>
      </c>
      <c r="AW2552" s="8">
        <v>210</v>
      </c>
      <c r="AX2552" s="4">
        <v>7</v>
      </c>
      <c r="AY2552" s="8">
        <v>1470</v>
      </c>
      <c r="AZ2552" s="7">
        <v>-0.8571</v>
      </c>
      <c r="BA2552" s="7">
        <v>-0.8571</v>
      </c>
      <c r="BB2552" s="7">
        <v>1</v>
      </c>
      <c r="BC2552" s="4">
        <v>1</v>
      </c>
      <c r="BD2552" s="8">
        <v>210</v>
      </c>
      <c r="BE2552" s="4">
        <v>7</v>
      </c>
      <c r="BF2552" s="8">
        <v>1470</v>
      </c>
      <c r="BG2552" s="7">
        <v>-0.8571</v>
      </c>
      <c r="BH2552" s="7">
        <v>-0.8571</v>
      </c>
      <c r="BI2552" s="7">
        <v>1</v>
      </c>
      <c r="BJ2552" s="4">
        <v>39</v>
      </c>
      <c r="BK2552" s="8">
        <v>6811.79</v>
      </c>
      <c r="BL2552" s="2" t="s">
        <v>9473</v>
      </c>
      <c r="BM2552" s="7">
        <v>0.0256</v>
      </c>
      <c r="BN2552" s="7">
        <v>0.0308</v>
      </c>
      <c r="BO2552" s="4">
        <v>1</v>
      </c>
      <c r="BP2552" s="8">
        <v>210</v>
      </c>
      <c r="BQ2552" s="4">
        <v>7</v>
      </c>
      <c r="BR2552" s="8">
        <v>1470</v>
      </c>
      <c r="BS2552" s="7">
        <v>-0.8571</v>
      </c>
      <c r="BT2552" s="7">
        <v>-0.8571</v>
      </c>
      <c r="BU2552" s="2" t="s">
        <v>109</v>
      </c>
      <c r="BV2552" s="2" t="s">
        <v>552</v>
      </c>
      <c r="BW2552" s="2" t="s">
        <v>7382</v>
      </c>
      <c r="BX2552" s="2" t="s">
        <v>9474</v>
      </c>
      <c r="BY2552" s="2" t="s">
        <v>112</v>
      </c>
      <c r="BZ2552" s="2" t="s">
        <v>100</v>
      </c>
    </row>
    <row r="2553">
      <c r="A2553" s="2" t="s">
        <v>9475</v>
      </c>
      <c r="B2553" s="2" t="s">
        <v>7252</v>
      </c>
      <c r="C2553" s="2" t="s">
        <v>4677</v>
      </c>
      <c r="D2553" s="2" t="s">
        <v>7253</v>
      </c>
      <c r="E2553" s="2" t="s">
        <v>7254</v>
      </c>
      <c r="F2553" s="2" t="s">
        <v>9471</v>
      </c>
      <c r="G2553" s="2" t="s">
        <v>9471</v>
      </c>
      <c r="H2553" s="2" t="s">
        <v>9471</v>
      </c>
      <c r="I2553" s="2" t="s">
        <v>7313</v>
      </c>
      <c r="J2553" s="2" t="s">
        <v>6103</v>
      </c>
      <c r="K2553" s="2" t="s">
        <v>9476</v>
      </c>
      <c r="L2553" s="3">
        <v>200</v>
      </c>
      <c r="M2553" s="3">
        <v>210</v>
      </c>
      <c r="N2553" s="3">
        <v>429</v>
      </c>
      <c r="O2553" s="2" t="s">
        <v>550</v>
      </c>
      <c r="P2553" s="2" t="s">
        <v>198</v>
      </c>
      <c r="Q2553" s="2" t="s">
        <v>99</v>
      </c>
      <c r="R2553" s="2" t="s">
        <v>100</v>
      </c>
      <c r="S2553" s="2" t="s">
        <v>100</v>
      </c>
      <c r="T2553" s="2" t="s">
        <v>100</v>
      </c>
      <c r="U2553" s="2" t="s">
        <v>100</v>
      </c>
      <c r="V2553" s="2" t="s">
        <v>601</v>
      </c>
      <c r="W2553" s="2" t="s">
        <v>602</v>
      </c>
      <c r="X2553" s="2" t="s">
        <v>100</v>
      </c>
      <c r="Y2553" s="2" t="s">
        <v>9477</v>
      </c>
      <c r="Z2553" s="4">
        <v>16</v>
      </c>
      <c r="AA2553" s="4">
        <f>=ROUNDDOWN(16,0)</f>
      </c>
      <c r="AB2553" s="5">
        <v>1</v>
      </c>
      <c r="AC2553" s="2" t="s">
        <v>100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100</v>
      </c>
      <c r="BD2553" s="8" t="s">
        <v>100</v>
      </c>
      <c r="BE2553" s="4" t="s">
        <v>100</v>
      </c>
      <c r="BF2553" s="8" t="s">
        <v>100</v>
      </c>
      <c r="BG2553" s="7" t="s">
        <v>100</v>
      </c>
      <c r="BH2553" s="7" t="s">
        <v>100</v>
      </c>
      <c r="BI2553" s="7"/>
      <c r="BJ2553" s="4">
        <v>35</v>
      </c>
      <c r="BK2553" s="8">
        <v>6086.77</v>
      </c>
      <c r="BL2553" s="2" t="s">
        <v>9478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147</v>
      </c>
      <c r="BV2553" s="2" t="s">
        <v>97</v>
      </c>
      <c r="BW2553" s="2" t="s">
        <v>100</v>
      </c>
      <c r="BX2553" s="2" t="s">
        <v>100</v>
      </c>
      <c r="BY2553" s="2" t="s">
        <v>112</v>
      </c>
      <c r="BZ2553" s="2" t="s">
        <v>100</v>
      </c>
    </row>
    <row r="2554">
      <c r="A2554" s="2" t="s">
        <v>9479</v>
      </c>
      <c r="B2554" s="2" t="s">
        <v>7252</v>
      </c>
      <c r="C2554" s="2" t="s">
        <v>4677</v>
      </c>
      <c r="D2554" s="2" t="s">
        <v>7253</v>
      </c>
      <c r="E2554" s="2" t="s">
        <v>7254</v>
      </c>
      <c r="F2554" s="2" t="s">
        <v>9480</v>
      </c>
      <c r="G2554" s="2" t="s">
        <v>9480</v>
      </c>
      <c r="H2554" s="2" t="s">
        <v>9480</v>
      </c>
      <c r="I2554" s="2" t="s">
        <v>7313</v>
      </c>
      <c r="J2554" s="2" t="s">
        <v>6103</v>
      </c>
      <c r="K2554" s="2" t="s">
        <v>333</v>
      </c>
      <c r="L2554" s="3">
        <v>251.75</v>
      </c>
      <c r="M2554" s="3">
        <v>264.34</v>
      </c>
      <c r="N2554" s="3">
        <v>529</v>
      </c>
      <c r="O2554" s="2" t="s">
        <v>97</v>
      </c>
      <c r="P2554" s="2" t="s">
        <v>1265</v>
      </c>
      <c r="Q2554" s="2" t="s">
        <v>99</v>
      </c>
      <c r="R2554" s="2" t="s">
        <v>100</v>
      </c>
      <c r="S2554" s="2" t="s">
        <v>100</v>
      </c>
      <c r="T2554" s="2" t="s">
        <v>100</v>
      </c>
      <c r="U2554" s="2" t="s">
        <v>3531</v>
      </c>
      <c r="V2554" s="2" t="s">
        <v>601</v>
      </c>
      <c r="W2554" s="2" t="s">
        <v>2195</v>
      </c>
      <c r="X2554" s="2" t="s">
        <v>100</v>
      </c>
      <c r="Y2554" s="2" t="s">
        <v>9481</v>
      </c>
      <c r="Z2554" s="4">
        <v>92</v>
      </c>
      <c r="AA2554" s="4">
        <f>=ROUNDDOWN(25.5555555555556,0)</f>
      </c>
      <c r="AB2554" s="5">
        <v>3.6</v>
      </c>
      <c r="AC2554" s="2" t="s">
        <v>100</v>
      </c>
      <c r="AD2554" s="4"/>
      <c r="AE2554" s="4"/>
      <c r="AF2554" s="6">
        <v>66</v>
      </c>
      <c r="AG2554" s="6"/>
      <c r="AH2554" s="7">
        <v>0.9091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>
        <v>84</v>
      </c>
      <c r="BK2554" s="8">
        <v>20145.96</v>
      </c>
      <c r="BL2554" s="2" t="s">
        <v>9482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6185</v>
      </c>
      <c r="BV2554" s="2" t="s">
        <v>97</v>
      </c>
      <c r="BW2554" s="2" t="s">
        <v>100</v>
      </c>
      <c r="BX2554" s="2" t="s">
        <v>100</v>
      </c>
      <c r="BY2554" s="2" t="s">
        <v>112</v>
      </c>
      <c r="BZ2554" s="2" t="s">
        <v>100</v>
      </c>
    </row>
    <row r="2555">
      <c r="A2555" s="2" t="s">
        <v>9483</v>
      </c>
      <c r="B2555" s="2" t="s">
        <v>7252</v>
      </c>
      <c r="C2555" s="2" t="s">
        <v>4677</v>
      </c>
      <c r="D2555" s="2" t="s">
        <v>7253</v>
      </c>
      <c r="E2555" s="2" t="s">
        <v>7254</v>
      </c>
      <c r="F2555" s="2" t="s">
        <v>9480</v>
      </c>
      <c r="G2555" s="2" t="s">
        <v>9480</v>
      </c>
      <c r="H2555" s="2" t="s">
        <v>9480</v>
      </c>
      <c r="I2555" s="2" t="s">
        <v>7568</v>
      </c>
      <c r="J2555" s="2" t="s">
        <v>6103</v>
      </c>
      <c r="K2555" s="2" t="s">
        <v>635</v>
      </c>
      <c r="L2555" s="3">
        <v>251.75</v>
      </c>
      <c r="M2555" s="3">
        <v>264.34</v>
      </c>
      <c r="N2555" s="3">
        <v>529</v>
      </c>
      <c r="O2555" s="2" t="s">
        <v>97</v>
      </c>
      <c r="P2555" s="2" t="s">
        <v>1265</v>
      </c>
      <c r="Q2555" s="2" t="s">
        <v>99</v>
      </c>
      <c r="R2555" s="2" t="s">
        <v>100</v>
      </c>
      <c r="S2555" s="2" t="s">
        <v>100</v>
      </c>
      <c r="T2555" s="2" t="s">
        <v>100</v>
      </c>
      <c r="U2555" s="2" t="s">
        <v>3531</v>
      </c>
      <c r="V2555" s="2" t="s">
        <v>601</v>
      </c>
      <c r="W2555" s="2" t="s">
        <v>602</v>
      </c>
      <c r="X2555" s="2" t="s">
        <v>100</v>
      </c>
      <c r="Y2555" s="2" t="s">
        <v>9484</v>
      </c>
      <c r="Z2555" s="4">
        <v>159</v>
      </c>
      <c r="AA2555" s="4">
        <f>=ROUNDDOWN(79.5,0)</f>
      </c>
      <c r="AB2555" s="5">
        <v>2</v>
      </c>
      <c r="AC2555" s="2" t="s">
        <v>100</v>
      </c>
      <c r="AD2555" s="4"/>
      <c r="AE2555" s="4"/>
      <c r="AF2555" s="6">
        <v>66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>
        <v>42</v>
      </c>
      <c r="BK2555" s="8">
        <v>10070.36</v>
      </c>
      <c r="BL2555" s="2" t="s">
        <v>9485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6185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9486</v>
      </c>
      <c r="B2556" s="2" t="s">
        <v>7252</v>
      </c>
      <c r="C2556" s="2" t="s">
        <v>4677</v>
      </c>
      <c r="D2556" s="2" t="s">
        <v>7253</v>
      </c>
      <c r="E2556" s="2" t="s">
        <v>7254</v>
      </c>
      <c r="F2556" s="2" t="s">
        <v>9487</v>
      </c>
      <c r="G2556" s="2" t="s">
        <v>9487</v>
      </c>
      <c r="H2556" s="2" t="s">
        <v>9487</v>
      </c>
      <c r="I2556" s="2" t="s">
        <v>7313</v>
      </c>
      <c r="J2556" s="2" t="s">
        <v>6103</v>
      </c>
      <c r="K2556" s="2" t="s">
        <v>310</v>
      </c>
      <c r="L2556" s="3">
        <v>174.8</v>
      </c>
      <c r="M2556" s="3">
        <v>183.54</v>
      </c>
      <c r="N2556" s="3">
        <v>369</v>
      </c>
      <c r="O2556" s="2" t="s">
        <v>97</v>
      </c>
      <c r="P2556" s="2" t="s">
        <v>182</v>
      </c>
      <c r="Q2556" s="2" t="s">
        <v>99</v>
      </c>
      <c r="R2556" s="2" t="s">
        <v>100</v>
      </c>
      <c r="S2556" s="2" t="s">
        <v>100</v>
      </c>
      <c r="T2556" s="2" t="s">
        <v>100</v>
      </c>
      <c r="U2556" s="2" t="s">
        <v>3531</v>
      </c>
      <c r="V2556" s="2" t="s">
        <v>601</v>
      </c>
      <c r="W2556" s="2" t="s">
        <v>2195</v>
      </c>
      <c r="X2556" s="2" t="s">
        <v>100</v>
      </c>
      <c r="Y2556" s="2" t="s">
        <v>8962</v>
      </c>
      <c r="Z2556" s="4">
        <v>164</v>
      </c>
      <c r="AA2556" s="4">
        <f>=ROUNDDOWN(23.4285714285714,0)</f>
      </c>
      <c r="AB2556" s="5">
        <v>7</v>
      </c>
      <c r="AC2556" s="2" t="s">
        <v>533</v>
      </c>
      <c r="AD2556" s="4">
        <v>70</v>
      </c>
      <c r="AE2556" s="4">
        <v>70</v>
      </c>
      <c r="AF2556" s="6">
        <v>66</v>
      </c>
      <c r="AG2556" s="6"/>
      <c r="AH2556" s="7">
        <v>0.9758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/>
      <c r="BD2556" s="8"/>
      <c r="BE2556" s="4"/>
      <c r="BF2556" s="8"/>
      <c r="BG2556" s="7"/>
      <c r="BH2556" s="7"/>
      <c r="BI2556" s="7"/>
      <c r="BJ2556" s="4">
        <v>210</v>
      </c>
      <c r="BK2556" s="8">
        <v>32063.76</v>
      </c>
      <c r="BL2556" s="2" t="s">
        <v>9488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3536</v>
      </c>
      <c r="BX2556" s="2" t="s">
        <v>100</v>
      </c>
      <c r="BY2556" s="2" t="s">
        <v>112</v>
      </c>
      <c r="BZ2556" s="2" t="s">
        <v>100</v>
      </c>
    </row>
    <row r="2557">
      <c r="A2557" s="2" t="s">
        <v>9489</v>
      </c>
      <c r="B2557" s="2" t="s">
        <v>7252</v>
      </c>
      <c r="C2557" s="2" t="s">
        <v>4677</v>
      </c>
      <c r="D2557" s="2" t="s">
        <v>7253</v>
      </c>
      <c r="E2557" s="2" t="s">
        <v>7254</v>
      </c>
      <c r="F2557" s="2" t="s">
        <v>9490</v>
      </c>
      <c r="G2557" s="2" t="s">
        <v>9490</v>
      </c>
      <c r="H2557" s="2" t="s">
        <v>100</v>
      </c>
      <c r="I2557" s="2" t="s">
        <v>7313</v>
      </c>
      <c r="J2557" s="2" t="s">
        <v>6103</v>
      </c>
      <c r="K2557" s="2" t="s">
        <v>9263</v>
      </c>
      <c r="L2557" s="3">
        <v>194.75</v>
      </c>
      <c r="M2557" s="3">
        <v>204.49</v>
      </c>
      <c r="N2557" s="3">
        <v>409</v>
      </c>
      <c r="O2557" s="2" t="s">
        <v>97</v>
      </c>
      <c r="P2557" s="2" t="s">
        <v>1265</v>
      </c>
      <c r="Q2557" s="2" t="s">
        <v>99</v>
      </c>
      <c r="R2557" s="2" t="s">
        <v>100</v>
      </c>
      <c r="S2557" s="2" t="s">
        <v>9491</v>
      </c>
      <c r="T2557" s="2" t="s">
        <v>100</v>
      </c>
      <c r="U2557" s="2" t="s">
        <v>100</v>
      </c>
      <c r="V2557" s="2" t="s">
        <v>601</v>
      </c>
      <c r="W2557" s="2" t="s">
        <v>405</v>
      </c>
      <c r="X2557" s="2" t="s">
        <v>100</v>
      </c>
      <c r="Y2557" s="2" t="s">
        <v>106</v>
      </c>
      <c r="Z2557" s="4">
        <v>126</v>
      </c>
      <c r="AA2557" s="4">
        <f>=ROUNDDOWN(42,0)</f>
      </c>
      <c r="AB2557" s="5">
        <v>3</v>
      </c>
      <c r="AC2557" s="2" t="s">
        <v>100</v>
      </c>
      <c r="AD2557" s="4"/>
      <c r="AE2557" s="4"/>
      <c r="AF2557" s="6">
        <v>66</v>
      </c>
      <c r="AG2557" s="6">
        <v>49</v>
      </c>
      <c r="AH2557" s="7">
        <v>0.9939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>
        <v>47</v>
      </c>
      <c r="BK2557" s="8">
        <v>8846.73</v>
      </c>
      <c r="BL2557" s="2" t="s">
        <v>9492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7683</v>
      </c>
      <c r="BV2557" s="2" t="s">
        <v>97</v>
      </c>
      <c r="BW2557" s="2" t="s">
        <v>100</v>
      </c>
      <c r="BX2557" s="2" t="s">
        <v>100</v>
      </c>
      <c r="BY2557" s="2" t="s">
        <v>112</v>
      </c>
      <c r="BZ2557" s="2" t="s">
        <v>100</v>
      </c>
    </row>
    <row r="2558">
      <c r="A2558" s="2" t="s">
        <v>9493</v>
      </c>
      <c r="B2558" s="2" t="s">
        <v>7252</v>
      </c>
      <c r="C2558" s="2" t="s">
        <v>4677</v>
      </c>
      <c r="D2558" s="2" t="s">
        <v>7253</v>
      </c>
      <c r="E2558" s="2" t="s">
        <v>7254</v>
      </c>
      <c r="F2558" s="2" t="s">
        <v>9494</v>
      </c>
      <c r="G2558" s="2" t="s">
        <v>9494</v>
      </c>
      <c r="H2558" s="2" t="s">
        <v>9494</v>
      </c>
      <c r="I2558" s="2" t="s">
        <v>7313</v>
      </c>
      <c r="J2558" s="2" t="s">
        <v>6103</v>
      </c>
      <c r="K2558" s="2" t="s">
        <v>323</v>
      </c>
      <c r="L2558" s="3">
        <v>226.1</v>
      </c>
      <c r="M2558" s="3">
        <v>237.4</v>
      </c>
      <c r="N2558" s="3">
        <v>479</v>
      </c>
      <c r="O2558" s="2" t="s">
        <v>97</v>
      </c>
      <c r="P2558" s="2" t="s">
        <v>182</v>
      </c>
      <c r="Q2558" s="2" t="s">
        <v>99</v>
      </c>
      <c r="R2558" s="2" t="s">
        <v>100</v>
      </c>
      <c r="S2558" s="2" t="s">
        <v>9495</v>
      </c>
      <c r="T2558" s="2" t="s">
        <v>100</v>
      </c>
      <c r="U2558" s="2" t="s">
        <v>100</v>
      </c>
      <c r="V2558" s="2" t="s">
        <v>601</v>
      </c>
      <c r="W2558" s="2" t="s">
        <v>6998</v>
      </c>
      <c r="X2558" s="2" t="s">
        <v>100</v>
      </c>
      <c r="Y2558" s="2" t="s">
        <v>9496</v>
      </c>
      <c r="Z2558" s="4">
        <v>105</v>
      </c>
      <c r="AA2558" s="4">
        <f>=ROUNDDOWN(21,0)</f>
      </c>
      <c r="AB2558" s="5">
        <v>5</v>
      </c>
      <c r="AC2558" s="2" t="s">
        <v>107</v>
      </c>
      <c r="AD2558" s="4">
        <v>92</v>
      </c>
      <c r="AE2558" s="4">
        <v>92</v>
      </c>
      <c r="AF2558" s="6">
        <v>66</v>
      </c>
      <c r="AG2558" s="6"/>
      <c r="AH2558" s="7">
        <v>0.8848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/>
      <c r="AW2558" s="8"/>
      <c r="AX2558" s="4"/>
      <c r="AY2558" s="8"/>
      <c r="AZ2558" s="7"/>
      <c r="BA2558" s="7"/>
      <c r="BB2558" s="7"/>
      <c r="BC2558" s="4"/>
      <c r="BD2558" s="8"/>
      <c r="BE2558" s="4"/>
      <c r="BF2558" s="8"/>
      <c r="BG2558" s="7"/>
      <c r="BH2558" s="7"/>
      <c r="BI2558" s="7"/>
      <c r="BJ2558" s="4">
        <v>103</v>
      </c>
      <c r="BK2558" s="8">
        <v>21480.93</v>
      </c>
      <c r="BL2558" s="2" t="s">
        <v>9497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6185</v>
      </c>
      <c r="BV2558" s="2" t="s">
        <v>97</v>
      </c>
      <c r="BW2558" s="2" t="s">
        <v>100</v>
      </c>
      <c r="BX2558" s="2" t="s">
        <v>100</v>
      </c>
      <c r="BY2558" s="2" t="s">
        <v>112</v>
      </c>
      <c r="BZ2558" s="2" t="s">
        <v>100</v>
      </c>
    </row>
    <row r="2559">
      <c r="A2559" s="2" t="s">
        <v>9498</v>
      </c>
      <c r="B2559" s="2" t="s">
        <v>7252</v>
      </c>
      <c r="C2559" s="2" t="s">
        <v>4677</v>
      </c>
      <c r="D2559" s="2" t="s">
        <v>7253</v>
      </c>
      <c r="E2559" s="2" t="s">
        <v>7254</v>
      </c>
      <c r="F2559" s="2" t="s">
        <v>9499</v>
      </c>
      <c r="G2559" s="2" t="s">
        <v>9499</v>
      </c>
      <c r="H2559" s="2" t="s">
        <v>9499</v>
      </c>
      <c r="I2559" s="2" t="s">
        <v>9500</v>
      </c>
      <c r="J2559" s="2" t="s">
        <v>6103</v>
      </c>
      <c r="K2559" s="2" t="s">
        <v>666</v>
      </c>
      <c r="L2559" s="3">
        <v>189.75</v>
      </c>
      <c r="M2559" s="3">
        <v>199.24</v>
      </c>
      <c r="N2559" s="3">
        <v>399</v>
      </c>
      <c r="O2559" s="2" t="s">
        <v>229</v>
      </c>
      <c r="P2559" s="2" t="s">
        <v>198</v>
      </c>
      <c r="Q2559" s="2" t="s">
        <v>99</v>
      </c>
      <c r="R2559" s="2" t="s">
        <v>100</v>
      </c>
      <c r="S2559" s="2" t="s">
        <v>9501</v>
      </c>
      <c r="T2559" s="2" t="s">
        <v>100</v>
      </c>
      <c r="U2559" s="2" t="s">
        <v>100</v>
      </c>
      <c r="V2559" s="2" t="s">
        <v>601</v>
      </c>
      <c r="W2559" s="2" t="s">
        <v>2195</v>
      </c>
      <c r="X2559" s="2" t="s">
        <v>100</v>
      </c>
      <c r="Y2559" s="2" t="s">
        <v>106</v>
      </c>
      <c r="Z2559" s="4">
        <v>4</v>
      </c>
      <c r="AA2559" s="4">
        <f>=ROUNDDOWN({0},0)</f>
      </c>
      <c r="AB2559" s="5"/>
      <c r="AC2559" s="2" t="s">
        <v>100</v>
      </c>
      <c r="AD2559" s="4"/>
      <c r="AE2559" s="4"/>
      <c r="AF2559" s="6">
        <v>75</v>
      </c>
      <c r="AG2559" s="6">
        <v>66</v>
      </c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>
        <v>0</v>
      </c>
      <c r="AP2559" s="4"/>
      <c r="AQ2559" s="8"/>
      <c r="AR2559" s="4">
        <v>13</v>
      </c>
      <c r="AS2559" s="8">
        <v>2590.12</v>
      </c>
      <c r="AT2559" s="7">
        <v>-1</v>
      </c>
      <c r="AU2559" s="7">
        <v>-1</v>
      </c>
      <c r="AV2559" s="4"/>
      <c r="AW2559" s="8"/>
      <c r="AX2559" s="4">
        <v>13</v>
      </c>
      <c r="AY2559" s="8">
        <v>2590.12</v>
      </c>
      <c r="AZ2559" s="7">
        <v>-1</v>
      </c>
      <c r="BA2559" s="7">
        <v>-1</v>
      </c>
      <c r="BB2559" s="7"/>
      <c r="BC2559" s="4"/>
      <c r="BD2559" s="8"/>
      <c r="BE2559" s="4">
        <v>13</v>
      </c>
      <c r="BF2559" s="8">
        <v>2590.12</v>
      </c>
      <c r="BG2559" s="7">
        <v>-1</v>
      </c>
      <c r="BH2559" s="7">
        <v>-1</v>
      </c>
      <c r="BI2559" s="7"/>
      <c r="BJ2559" s="4"/>
      <c r="BK2559" s="8"/>
      <c r="BL2559" s="2" t="s">
        <v>9502</v>
      </c>
      <c r="BM2559" s="7"/>
      <c r="BN2559" s="7"/>
      <c r="BO2559" s="4"/>
      <c r="BP2559" s="8"/>
      <c r="BQ2559" s="4">
        <v>13</v>
      </c>
      <c r="BR2559" s="8">
        <v>2590.12</v>
      </c>
      <c r="BS2559" s="7">
        <v>-1</v>
      </c>
      <c r="BT2559" s="7">
        <v>-1</v>
      </c>
      <c r="BU2559" s="2" t="s">
        <v>109</v>
      </c>
      <c r="BV2559" s="2" t="s">
        <v>552</v>
      </c>
      <c r="BW2559" s="2" t="s">
        <v>217</v>
      </c>
      <c r="BX2559" s="2" t="s">
        <v>9503</v>
      </c>
      <c r="BY2559" s="2" t="s">
        <v>112</v>
      </c>
      <c r="BZ2559" s="2" t="s">
        <v>100</v>
      </c>
    </row>
    <row r="2560">
      <c r="A2560" s="2" t="s">
        <v>9504</v>
      </c>
      <c r="B2560" s="2" t="s">
        <v>7252</v>
      </c>
      <c r="C2560" s="2" t="s">
        <v>4677</v>
      </c>
      <c r="D2560" s="2" t="s">
        <v>7253</v>
      </c>
      <c r="E2560" s="2" t="s">
        <v>7313</v>
      </c>
      <c r="F2560" s="2" t="s">
        <v>9505</v>
      </c>
      <c r="G2560" s="2" t="s">
        <v>9505</v>
      </c>
      <c r="H2560" s="2" t="s">
        <v>9505</v>
      </c>
      <c r="I2560" s="2" t="s">
        <v>9506</v>
      </c>
      <c r="J2560" s="2" t="s">
        <v>6103</v>
      </c>
      <c r="K2560" s="2" t="s">
        <v>323</v>
      </c>
      <c r="L2560" s="3">
        <v>133.24</v>
      </c>
      <c r="M2560" s="3">
        <v>139.9</v>
      </c>
      <c r="N2560" s="3">
        <v>279</v>
      </c>
      <c r="O2560" s="2" t="s">
        <v>97</v>
      </c>
      <c r="P2560" s="2" t="s">
        <v>1265</v>
      </c>
      <c r="Q2560" s="2" t="s">
        <v>99</v>
      </c>
      <c r="R2560" s="2" t="s">
        <v>100</v>
      </c>
      <c r="S2560" s="2" t="s">
        <v>100</v>
      </c>
      <c r="T2560" s="2" t="s">
        <v>100</v>
      </c>
      <c r="U2560" s="2" t="s">
        <v>3531</v>
      </c>
      <c r="V2560" s="2" t="s">
        <v>1752</v>
      </c>
      <c r="W2560" s="2" t="s">
        <v>759</v>
      </c>
      <c r="X2560" s="2" t="s">
        <v>2195</v>
      </c>
      <c r="Y2560" s="2" t="s">
        <v>7780</v>
      </c>
      <c r="Z2560" s="4">
        <v>93</v>
      </c>
      <c r="AA2560" s="4">
        <f>=ROUNDDOWN(93,0)</f>
      </c>
      <c r="AB2560" s="5">
        <v>1</v>
      </c>
      <c r="AC2560" s="2" t="s">
        <v>100</v>
      </c>
      <c r="AD2560" s="4"/>
      <c r="AE2560" s="4"/>
      <c r="AF2560" s="6">
        <v>69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/>
      <c r="AW2560" s="8"/>
      <c r="AX2560" s="4"/>
      <c r="AY2560" s="8"/>
      <c r="AZ2560" s="7"/>
      <c r="BA2560" s="7"/>
      <c r="BB2560" s="7"/>
      <c r="BC2560" s="4"/>
      <c r="BD2560" s="8"/>
      <c r="BE2560" s="4"/>
      <c r="BF2560" s="8"/>
      <c r="BG2560" s="7"/>
      <c r="BH2560" s="7"/>
      <c r="BI2560" s="7"/>
      <c r="BJ2560" s="4">
        <v>18</v>
      </c>
      <c r="BK2560" s="8">
        <v>2530.34</v>
      </c>
      <c r="BL2560" s="2" t="s">
        <v>9303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6185</v>
      </c>
      <c r="BV2560" s="2" t="s">
        <v>97</v>
      </c>
      <c r="BW2560" s="2" t="s">
        <v>100</v>
      </c>
      <c r="BX2560" s="2" t="s">
        <v>100</v>
      </c>
      <c r="BY2560" s="2" t="s">
        <v>112</v>
      </c>
      <c r="BZ2560" s="2" t="s">
        <v>100</v>
      </c>
    </row>
    <row r="2561">
      <c r="A2561" s="2" t="s">
        <v>9507</v>
      </c>
      <c r="B2561" s="2" t="s">
        <v>7252</v>
      </c>
      <c r="C2561" s="2" t="s">
        <v>4677</v>
      </c>
      <c r="D2561" s="2" t="s">
        <v>7253</v>
      </c>
      <c r="E2561" s="2" t="s">
        <v>7313</v>
      </c>
      <c r="F2561" s="2" t="s">
        <v>9508</v>
      </c>
      <c r="G2561" s="2" t="s">
        <v>9508</v>
      </c>
      <c r="H2561" s="2" t="s">
        <v>9508</v>
      </c>
      <c r="I2561" s="2" t="s">
        <v>9509</v>
      </c>
      <c r="J2561" s="2" t="s">
        <v>6103</v>
      </c>
      <c r="K2561" s="2" t="s">
        <v>333</v>
      </c>
      <c r="L2561" s="3">
        <v>117.04</v>
      </c>
      <c r="M2561" s="3">
        <v>122.89</v>
      </c>
      <c r="N2561" s="3">
        <v>249</v>
      </c>
      <c r="O2561" s="2" t="s">
        <v>97</v>
      </c>
      <c r="P2561" s="2" t="s">
        <v>198</v>
      </c>
      <c r="Q2561" s="2" t="s">
        <v>99</v>
      </c>
      <c r="R2561" s="2" t="s">
        <v>100</v>
      </c>
      <c r="S2561" s="2" t="s">
        <v>100</v>
      </c>
      <c r="T2561" s="2" t="s">
        <v>100</v>
      </c>
      <c r="U2561" s="2" t="s">
        <v>3531</v>
      </c>
      <c r="V2561" s="2" t="s">
        <v>1752</v>
      </c>
      <c r="W2561" s="2" t="s">
        <v>104</v>
      </c>
      <c r="X2561" s="2" t="s">
        <v>100</v>
      </c>
      <c r="Y2561" s="2" t="s">
        <v>9484</v>
      </c>
      <c r="Z2561" s="4">
        <v>1</v>
      </c>
      <c r="AA2561" s="4">
        <f>=ROUNDDOWN(0.333333333333333,0)</f>
      </c>
      <c r="AB2561" s="5">
        <v>3</v>
      </c>
      <c r="AC2561" s="2" t="s">
        <v>100</v>
      </c>
      <c r="AD2561" s="4"/>
      <c r="AE2561" s="4"/>
      <c r="AF2561" s="6">
        <v>66</v>
      </c>
      <c r="AG2561" s="6"/>
      <c r="AH2561" s="7">
        <v>0.9939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/>
      <c r="AW2561" s="8"/>
      <c r="AX2561" s="4"/>
      <c r="AY2561" s="8"/>
      <c r="AZ2561" s="7"/>
      <c r="BA2561" s="7"/>
      <c r="BB2561" s="7"/>
      <c r="BC2561" s="4"/>
      <c r="BD2561" s="8"/>
      <c r="BE2561" s="4"/>
      <c r="BF2561" s="8"/>
      <c r="BG2561" s="7"/>
      <c r="BH2561" s="7"/>
      <c r="BI2561" s="7"/>
      <c r="BJ2561" s="4">
        <v>39</v>
      </c>
      <c r="BK2561" s="8">
        <v>3931.39</v>
      </c>
      <c r="BL2561" s="2" t="s">
        <v>9510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147</v>
      </c>
      <c r="BV2561" s="2" t="s">
        <v>97</v>
      </c>
      <c r="BW2561" s="2" t="s">
        <v>100</v>
      </c>
      <c r="BX2561" s="2" t="s">
        <v>100</v>
      </c>
      <c r="BY2561" s="2" t="s">
        <v>112</v>
      </c>
      <c r="BZ2561" s="2" t="s">
        <v>100</v>
      </c>
    </row>
    <row r="2562">
      <c r="A2562" s="2" t="s">
        <v>9511</v>
      </c>
      <c r="B2562" s="2" t="s">
        <v>7252</v>
      </c>
      <c r="C2562" s="2" t="s">
        <v>4677</v>
      </c>
      <c r="D2562" s="2" t="s">
        <v>7253</v>
      </c>
      <c r="E2562" s="2" t="s">
        <v>7744</v>
      </c>
      <c r="F2562" s="2" t="s">
        <v>1786</v>
      </c>
      <c r="G2562" s="2" t="s">
        <v>1786</v>
      </c>
      <c r="H2562" s="2" t="s">
        <v>1786</v>
      </c>
      <c r="I2562" s="2" t="s">
        <v>9512</v>
      </c>
      <c r="J2562" s="2" t="s">
        <v>6103</v>
      </c>
      <c r="K2562" s="2" t="s">
        <v>123</v>
      </c>
      <c r="L2562" s="3">
        <v>262.38</v>
      </c>
      <c r="M2562" s="3">
        <v>275.5</v>
      </c>
      <c r="N2562" s="3">
        <v>549</v>
      </c>
      <c r="O2562" s="2" t="s">
        <v>229</v>
      </c>
      <c r="P2562" s="2" t="s">
        <v>198</v>
      </c>
      <c r="Q2562" s="2" t="s">
        <v>99</v>
      </c>
      <c r="R2562" s="2" t="s">
        <v>100</v>
      </c>
      <c r="S2562" s="2" t="s">
        <v>100</v>
      </c>
      <c r="T2562" s="2" t="s">
        <v>100</v>
      </c>
      <c r="U2562" s="2" t="s">
        <v>3531</v>
      </c>
      <c r="V2562" s="2" t="s">
        <v>601</v>
      </c>
      <c r="W2562" s="2" t="s">
        <v>602</v>
      </c>
      <c r="X2562" s="2" t="s">
        <v>1530</v>
      </c>
      <c r="Y2562" s="2" t="s">
        <v>2470</v>
      </c>
      <c r="Z2562" s="4">
        <v>120</v>
      </c>
      <c r="AA2562" s="4">
        <f>=ROUNDDOWN(120,0)</f>
      </c>
      <c r="AB2562" s="5">
        <v>1</v>
      </c>
      <c r="AC2562" s="2" t="s">
        <v>100</v>
      </c>
      <c r="AD2562" s="4"/>
      <c r="AE2562" s="4"/>
      <c r="AF2562" s="6">
        <v>76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/>
      <c r="AW2562" s="8"/>
      <c r="AX2562" s="4"/>
      <c r="AY2562" s="8"/>
      <c r="AZ2562" s="7"/>
      <c r="BA2562" s="7"/>
      <c r="BB2562" s="7"/>
      <c r="BC2562" s="4"/>
      <c r="BD2562" s="8"/>
      <c r="BE2562" s="4"/>
      <c r="BF2562" s="8"/>
      <c r="BG2562" s="7"/>
      <c r="BH2562" s="7"/>
      <c r="BI2562" s="7"/>
      <c r="BJ2562" s="4">
        <v>5</v>
      </c>
      <c r="BK2562" s="8">
        <v>1539.77</v>
      </c>
      <c r="BL2562" s="2" t="s">
        <v>9513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6185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9514</v>
      </c>
      <c r="B2563" s="2" t="s">
        <v>7252</v>
      </c>
      <c r="C2563" s="2" t="s">
        <v>4677</v>
      </c>
      <c r="D2563" s="2" t="s">
        <v>7253</v>
      </c>
      <c r="E2563" s="2" t="s">
        <v>7744</v>
      </c>
      <c r="F2563" s="2" t="s">
        <v>9515</v>
      </c>
      <c r="G2563" s="2" t="s">
        <v>9515</v>
      </c>
      <c r="H2563" s="2" t="s">
        <v>9515</v>
      </c>
      <c r="I2563" s="2" t="s">
        <v>9516</v>
      </c>
      <c r="J2563" s="2" t="s">
        <v>6103</v>
      </c>
      <c r="K2563" s="2" t="s">
        <v>323</v>
      </c>
      <c r="L2563" s="3">
        <v>205.2</v>
      </c>
      <c r="M2563" s="3">
        <v>215.46</v>
      </c>
      <c r="N2563" s="3">
        <v>429</v>
      </c>
      <c r="O2563" s="2" t="s">
        <v>97</v>
      </c>
      <c r="P2563" s="2" t="s">
        <v>1265</v>
      </c>
      <c r="Q2563" s="2" t="s">
        <v>99</v>
      </c>
      <c r="R2563" s="2" t="s">
        <v>100</v>
      </c>
      <c r="S2563" s="2" t="s">
        <v>100</v>
      </c>
      <c r="T2563" s="2" t="s">
        <v>100</v>
      </c>
      <c r="U2563" s="2" t="s">
        <v>3531</v>
      </c>
      <c r="V2563" s="2" t="s">
        <v>1752</v>
      </c>
      <c r="W2563" s="2" t="s">
        <v>104</v>
      </c>
      <c r="X2563" s="2" t="s">
        <v>405</v>
      </c>
      <c r="Y2563" s="2" t="s">
        <v>6424</v>
      </c>
      <c r="Z2563" s="4">
        <v>119</v>
      </c>
      <c r="AA2563" s="4">
        <f>=ROUNDDOWN(119,0)</f>
      </c>
      <c r="AB2563" s="5">
        <v>1</v>
      </c>
      <c r="AC2563" s="2" t="s">
        <v>936</v>
      </c>
      <c r="AD2563" s="4">
        <v>100</v>
      </c>
      <c r="AE2563" s="4">
        <v>100</v>
      </c>
      <c r="AF2563" s="6">
        <v>66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/>
      <c r="BD2563" s="8"/>
      <c r="BE2563" s="4"/>
      <c r="BF2563" s="8"/>
      <c r="BG2563" s="7"/>
      <c r="BH2563" s="7"/>
      <c r="BI2563" s="7"/>
      <c r="BJ2563" s="4">
        <v>20</v>
      </c>
      <c r="BK2563" s="8">
        <v>4559.97</v>
      </c>
      <c r="BL2563" s="2" t="s">
        <v>9517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147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9518</v>
      </c>
      <c r="B2564" s="2" t="s">
        <v>7252</v>
      </c>
      <c r="C2564" s="2" t="s">
        <v>4677</v>
      </c>
      <c r="D2564" s="2" t="s">
        <v>7253</v>
      </c>
      <c r="E2564" s="2" t="s">
        <v>7744</v>
      </c>
      <c r="F2564" s="2" t="s">
        <v>1615</v>
      </c>
      <c r="G2564" s="2" t="s">
        <v>1615</v>
      </c>
      <c r="H2564" s="2" t="s">
        <v>1615</v>
      </c>
      <c r="I2564" s="2" t="s">
        <v>9519</v>
      </c>
      <c r="J2564" s="2" t="s">
        <v>6103</v>
      </c>
      <c r="K2564" s="2" t="s">
        <v>1412</v>
      </c>
      <c r="L2564" s="3">
        <v>140.25</v>
      </c>
      <c r="M2564" s="3">
        <v>147.26</v>
      </c>
      <c r="N2564" s="3">
        <v>299</v>
      </c>
      <c r="O2564" s="2" t="s">
        <v>550</v>
      </c>
      <c r="P2564" s="2" t="s">
        <v>198</v>
      </c>
      <c r="Q2564" s="2" t="s">
        <v>99</v>
      </c>
      <c r="R2564" s="2" t="s">
        <v>100</v>
      </c>
      <c r="S2564" s="2" t="s">
        <v>100</v>
      </c>
      <c r="T2564" s="2" t="s">
        <v>100</v>
      </c>
      <c r="U2564" s="2" t="s">
        <v>3531</v>
      </c>
      <c r="V2564" s="2" t="s">
        <v>1752</v>
      </c>
      <c r="W2564" s="2" t="s">
        <v>2195</v>
      </c>
      <c r="X2564" s="2" t="s">
        <v>100</v>
      </c>
      <c r="Y2564" s="2" t="s">
        <v>7761</v>
      </c>
      <c r="Z2564" s="4">
        <v>11</v>
      </c>
      <c r="AA2564" s="4">
        <f>=ROUNDDOWN({0},0)</f>
      </c>
      <c r="AB2564" s="5"/>
      <c r="AC2564" s="2" t="s">
        <v>100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/>
      <c r="AW2564" s="8"/>
      <c r="AX2564" s="4"/>
      <c r="AY2564" s="8"/>
      <c r="AZ2564" s="7"/>
      <c r="BA2564" s="7"/>
      <c r="BB2564" s="7"/>
      <c r="BC2564" s="4"/>
      <c r="BD2564" s="8"/>
      <c r="BE2564" s="4"/>
      <c r="BF2564" s="8"/>
      <c r="BG2564" s="7"/>
      <c r="BH2564" s="7"/>
      <c r="BI2564" s="7"/>
      <c r="BJ2564" s="4">
        <v>17</v>
      </c>
      <c r="BK2564" s="8">
        <v>2448.64</v>
      </c>
      <c r="BL2564" s="2" t="s">
        <v>9520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147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9521</v>
      </c>
      <c r="B2565" s="2" t="s">
        <v>7252</v>
      </c>
      <c r="C2565" s="2" t="s">
        <v>4677</v>
      </c>
      <c r="D2565" s="2" t="s">
        <v>7253</v>
      </c>
      <c r="E2565" s="2" t="s">
        <v>7744</v>
      </c>
      <c r="F2565" s="2" t="s">
        <v>9522</v>
      </c>
      <c r="G2565" s="2" t="s">
        <v>9522</v>
      </c>
      <c r="H2565" s="2" t="s">
        <v>9522</v>
      </c>
      <c r="I2565" s="2" t="s">
        <v>7313</v>
      </c>
      <c r="J2565" s="2" t="s">
        <v>6103</v>
      </c>
      <c r="K2565" s="2" t="s">
        <v>333</v>
      </c>
      <c r="L2565" s="3">
        <v>120</v>
      </c>
      <c r="M2565" s="3">
        <v>126</v>
      </c>
      <c r="N2565" s="3">
        <v>249</v>
      </c>
      <c r="O2565" s="2" t="s">
        <v>229</v>
      </c>
      <c r="P2565" s="2" t="s">
        <v>198</v>
      </c>
      <c r="Q2565" s="2" t="s">
        <v>99</v>
      </c>
      <c r="R2565" s="2" t="s">
        <v>100</v>
      </c>
      <c r="S2565" s="2" t="s">
        <v>100</v>
      </c>
      <c r="T2565" s="2" t="s">
        <v>100</v>
      </c>
      <c r="U2565" s="2" t="s">
        <v>3531</v>
      </c>
      <c r="V2565" s="2" t="s">
        <v>1752</v>
      </c>
      <c r="W2565" s="2" t="s">
        <v>602</v>
      </c>
      <c r="X2565" s="2" t="s">
        <v>100</v>
      </c>
      <c r="Y2565" s="2" t="s">
        <v>8713</v>
      </c>
      <c r="Z2565" s="4">
        <v>131</v>
      </c>
      <c r="AA2565" s="4">
        <f>=ROUNDDOWN(436.666666666667,0)</f>
      </c>
      <c r="AB2565" s="5">
        <v>0.3</v>
      </c>
      <c r="AC2565" s="2" t="s">
        <v>100</v>
      </c>
      <c r="AD2565" s="4"/>
      <c r="AE2565" s="4"/>
      <c r="AF2565" s="6">
        <v>66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/>
      <c r="AW2565" s="8"/>
      <c r="AX2565" s="4"/>
      <c r="AY2565" s="8"/>
      <c r="AZ2565" s="7"/>
      <c r="BA2565" s="7"/>
      <c r="BB2565" s="7"/>
      <c r="BC2565" s="4"/>
      <c r="BD2565" s="8"/>
      <c r="BE2565" s="4"/>
      <c r="BF2565" s="8"/>
      <c r="BG2565" s="7"/>
      <c r="BH2565" s="7"/>
      <c r="BI2565" s="7"/>
      <c r="BJ2565" s="4">
        <v>7</v>
      </c>
      <c r="BK2565" s="8">
        <v>718.2</v>
      </c>
      <c r="BL2565" s="2" t="s">
        <v>9523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147</v>
      </c>
      <c r="BV2565" s="2" t="s">
        <v>97</v>
      </c>
      <c r="BW2565" s="2" t="s">
        <v>100</v>
      </c>
      <c r="BX2565" s="2" t="s">
        <v>100</v>
      </c>
      <c r="BY2565" s="2" t="s">
        <v>112</v>
      </c>
      <c r="BZ2565" s="2" t="s">
        <v>100</v>
      </c>
    </row>
    <row r="2566">
      <c r="A2566" s="2" t="s">
        <v>9524</v>
      </c>
      <c r="B2566" s="2" t="s">
        <v>7252</v>
      </c>
      <c r="C2566" s="2" t="s">
        <v>4677</v>
      </c>
      <c r="D2566" s="2" t="s">
        <v>7253</v>
      </c>
      <c r="E2566" s="2" t="s">
        <v>1608</v>
      </c>
      <c r="F2566" s="2" t="s">
        <v>9400</v>
      </c>
      <c r="G2566" s="2" t="s">
        <v>9400</v>
      </c>
      <c r="H2566" s="2" t="s">
        <v>9400</v>
      </c>
      <c r="I2566" s="2" t="s">
        <v>7254</v>
      </c>
      <c r="J2566" s="2" t="s">
        <v>6103</v>
      </c>
      <c r="K2566" s="2" t="s">
        <v>1581</v>
      </c>
      <c r="L2566" s="3">
        <v>238</v>
      </c>
      <c r="M2566" s="3">
        <v>249.9</v>
      </c>
      <c r="N2566" s="3">
        <v>499</v>
      </c>
      <c r="O2566" s="2" t="s">
        <v>229</v>
      </c>
      <c r="P2566" s="2" t="s">
        <v>198</v>
      </c>
      <c r="Q2566" s="2" t="s">
        <v>99</v>
      </c>
      <c r="R2566" s="2" t="s">
        <v>100</v>
      </c>
      <c r="S2566" s="2" t="s">
        <v>100</v>
      </c>
      <c r="T2566" s="2" t="s">
        <v>100</v>
      </c>
      <c r="U2566" s="2" t="s">
        <v>3531</v>
      </c>
      <c r="V2566" s="2" t="s">
        <v>601</v>
      </c>
      <c r="W2566" s="2" t="s">
        <v>602</v>
      </c>
      <c r="X2566" s="2" t="s">
        <v>2195</v>
      </c>
      <c r="Y2566" s="2" t="s">
        <v>9135</v>
      </c>
      <c r="Z2566" s="4"/>
      <c r="AA2566" s="4">
        <f>=ROUNDDOWN({0},0)</f>
      </c>
      <c r="AB2566" s="5">
        <v>4</v>
      </c>
      <c r="AC2566" s="2" t="s">
        <v>100</v>
      </c>
      <c r="AD2566" s="4"/>
      <c r="AE2566" s="4"/>
      <c r="AF2566" s="6">
        <v>66</v>
      </c>
      <c r="AG2566" s="6"/>
      <c r="AH2566" s="7">
        <v>0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>
        <v>0</v>
      </c>
      <c r="AP2566" s="4"/>
      <c r="AQ2566" s="8"/>
      <c r="AR2566" s="4">
        <v>2</v>
      </c>
      <c r="AS2566" s="8">
        <v>499.8</v>
      </c>
      <c r="AT2566" s="7">
        <v>-1</v>
      </c>
      <c r="AU2566" s="7">
        <v>-1</v>
      </c>
      <c r="AV2566" s="4"/>
      <c r="AW2566" s="8"/>
      <c r="AX2566" s="4">
        <v>2</v>
      </c>
      <c r="AY2566" s="8">
        <v>499.8</v>
      </c>
      <c r="AZ2566" s="7">
        <v>-1</v>
      </c>
      <c r="BA2566" s="7">
        <v>-1</v>
      </c>
      <c r="BB2566" s="7"/>
      <c r="BC2566" s="4"/>
      <c r="BD2566" s="8"/>
      <c r="BE2566" s="4">
        <v>2</v>
      </c>
      <c r="BF2566" s="8">
        <v>499.8</v>
      </c>
      <c r="BG2566" s="7">
        <v>-1</v>
      </c>
      <c r="BH2566" s="7">
        <v>-1</v>
      </c>
      <c r="BI2566" s="7"/>
      <c r="BJ2566" s="4"/>
      <c r="BK2566" s="8"/>
      <c r="BL2566" s="2" t="s">
        <v>9525</v>
      </c>
      <c r="BM2566" s="7"/>
      <c r="BN2566" s="7"/>
      <c r="BO2566" s="4"/>
      <c r="BP2566" s="8"/>
      <c r="BQ2566" s="4">
        <v>2</v>
      </c>
      <c r="BR2566" s="8">
        <v>499.8</v>
      </c>
      <c r="BS2566" s="7">
        <v>-1</v>
      </c>
      <c r="BT2566" s="7">
        <v>-1</v>
      </c>
      <c r="BU2566" s="2" t="s">
        <v>109</v>
      </c>
      <c r="BV2566" s="2" t="s">
        <v>552</v>
      </c>
      <c r="BW2566" s="2" t="s">
        <v>573</v>
      </c>
      <c r="BX2566" s="2" t="s">
        <v>2324</v>
      </c>
      <c r="BY2566" s="2" t="s">
        <v>112</v>
      </c>
      <c r="BZ2566" s="2" t="s">
        <v>100</v>
      </c>
    </row>
    <row r="2567">
      <c r="A2567" s="2" t="s">
        <v>9526</v>
      </c>
      <c r="B2567" s="2" t="s">
        <v>7252</v>
      </c>
      <c r="C2567" s="2" t="s">
        <v>4677</v>
      </c>
      <c r="D2567" s="2" t="s">
        <v>8575</v>
      </c>
      <c r="E2567" s="2" t="s">
        <v>8576</v>
      </c>
      <c r="F2567" s="2" t="s">
        <v>9527</v>
      </c>
      <c r="G2567" s="2" t="s">
        <v>9527</v>
      </c>
      <c r="H2567" s="2" t="s">
        <v>9527</v>
      </c>
      <c r="I2567" s="2" t="s">
        <v>9528</v>
      </c>
      <c r="J2567" s="2" t="s">
        <v>6103</v>
      </c>
      <c r="K2567" s="2" t="s">
        <v>323</v>
      </c>
      <c r="L2567" s="3">
        <v>99.18</v>
      </c>
      <c r="M2567" s="3">
        <v>104.14</v>
      </c>
      <c r="N2567" s="3">
        <v>209</v>
      </c>
      <c r="O2567" s="2" t="s">
        <v>97</v>
      </c>
      <c r="P2567" s="2" t="s">
        <v>124</v>
      </c>
      <c r="Q2567" s="2" t="s">
        <v>99</v>
      </c>
      <c r="R2567" s="2" t="s">
        <v>100</v>
      </c>
      <c r="S2567" s="2" t="s">
        <v>9529</v>
      </c>
      <c r="T2567" s="2" t="s">
        <v>100</v>
      </c>
      <c r="U2567" s="2" t="s">
        <v>100</v>
      </c>
      <c r="V2567" s="2" t="s">
        <v>601</v>
      </c>
      <c r="W2567" s="2" t="s">
        <v>2195</v>
      </c>
      <c r="X2567" s="2" t="s">
        <v>100</v>
      </c>
      <c r="Y2567" s="2" t="s">
        <v>106</v>
      </c>
      <c r="Z2567" s="4">
        <v>1394</v>
      </c>
      <c r="AA2567" s="4">
        <f>=ROUNDDOWN(34,0)</f>
      </c>
      <c r="AB2567" s="5">
        <v>41</v>
      </c>
      <c r="AC2567" s="2" t="s">
        <v>100</v>
      </c>
      <c r="AD2567" s="4"/>
      <c r="AE2567" s="4"/>
      <c r="AF2567" s="6">
        <v>74</v>
      </c>
      <c r="AG2567" s="6">
        <v>60</v>
      </c>
      <c r="AH2567" s="7">
        <v>0.9394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>
        <v>0</v>
      </c>
      <c r="AP2567" s="4">
        <v>16</v>
      </c>
      <c r="AQ2567" s="8">
        <v>1596</v>
      </c>
      <c r="AR2567" s="4">
        <v>15</v>
      </c>
      <c r="AS2567" s="8">
        <v>1377.37</v>
      </c>
      <c r="AT2567" s="7">
        <v>0.0667</v>
      </c>
      <c r="AU2567" s="7">
        <v>0.1587</v>
      </c>
      <c r="AV2567" s="4">
        <v>16</v>
      </c>
      <c r="AW2567" s="8">
        <v>1596</v>
      </c>
      <c r="AX2567" s="4">
        <v>15</v>
      </c>
      <c r="AY2567" s="8">
        <v>1377.37</v>
      </c>
      <c r="AZ2567" s="7">
        <v>0.0667</v>
      </c>
      <c r="BA2567" s="7">
        <v>0.1587</v>
      </c>
      <c r="BB2567" s="7">
        <v>1</v>
      </c>
      <c r="BC2567" s="4">
        <v>21</v>
      </c>
      <c r="BD2567" s="8">
        <v>2094.75</v>
      </c>
      <c r="BE2567" s="4">
        <v>34</v>
      </c>
      <c r="BF2567" s="8">
        <v>3092.36</v>
      </c>
      <c r="BG2567" s="7">
        <v>-0.3824</v>
      </c>
      <c r="BH2567" s="7">
        <v>-0.3226</v>
      </c>
      <c r="BI2567" s="7">
        <v>0.7619</v>
      </c>
      <c r="BJ2567" s="4">
        <v>921</v>
      </c>
      <c r="BK2567" s="8">
        <v>97390.53</v>
      </c>
      <c r="BL2567" s="2" t="s">
        <v>9530</v>
      </c>
      <c r="BM2567" s="7">
        <v>0.0174</v>
      </c>
      <c r="BN2567" s="7">
        <v>0.0164</v>
      </c>
      <c r="BO2567" s="4">
        <v>16</v>
      </c>
      <c r="BP2567" s="8">
        <v>1596</v>
      </c>
      <c r="BQ2567" s="4">
        <v>15</v>
      </c>
      <c r="BR2567" s="8">
        <v>1377.37</v>
      </c>
      <c r="BS2567" s="7">
        <v>0.0667</v>
      </c>
      <c r="BT2567" s="7">
        <v>0.1587</v>
      </c>
      <c r="BU2567" s="2" t="s">
        <v>109</v>
      </c>
      <c r="BV2567" s="2" t="s">
        <v>97</v>
      </c>
      <c r="BW2567" s="2" t="s">
        <v>8172</v>
      </c>
      <c r="BX2567" s="2" t="s">
        <v>4771</v>
      </c>
      <c r="BY2567" s="2" t="s">
        <v>112</v>
      </c>
      <c r="BZ2567" s="2" t="s">
        <v>100</v>
      </c>
    </row>
    <row r="2568">
      <c r="A2568" s="2" t="s">
        <v>9531</v>
      </c>
      <c r="B2568" s="2" t="s">
        <v>7252</v>
      </c>
      <c r="C2568" s="2" t="s">
        <v>4677</v>
      </c>
      <c r="D2568" s="2" t="s">
        <v>8575</v>
      </c>
      <c r="E2568" s="2" t="s">
        <v>8576</v>
      </c>
      <c r="F2568" s="2" t="s">
        <v>9527</v>
      </c>
      <c r="G2568" s="2" t="s">
        <v>9527</v>
      </c>
      <c r="H2568" s="2" t="s">
        <v>9527</v>
      </c>
      <c r="I2568" s="2" t="s">
        <v>9528</v>
      </c>
      <c r="J2568" s="2" t="s">
        <v>6103</v>
      </c>
      <c r="K2568" s="2" t="s">
        <v>9449</v>
      </c>
      <c r="L2568" s="3">
        <v>99.18</v>
      </c>
      <c r="M2568" s="3">
        <v>104.14</v>
      </c>
      <c r="N2568" s="3">
        <v>209</v>
      </c>
      <c r="O2568" s="2" t="s">
        <v>97</v>
      </c>
      <c r="P2568" s="2" t="s">
        <v>143</v>
      </c>
      <c r="Q2568" s="2" t="s">
        <v>99</v>
      </c>
      <c r="R2568" s="2" t="s">
        <v>100</v>
      </c>
      <c r="S2568" s="2" t="s">
        <v>100</v>
      </c>
      <c r="T2568" s="2" t="s">
        <v>100</v>
      </c>
      <c r="U2568" s="2" t="s">
        <v>3531</v>
      </c>
      <c r="V2568" s="2" t="s">
        <v>601</v>
      </c>
      <c r="W2568" s="2" t="s">
        <v>2195</v>
      </c>
      <c r="X2568" s="2" t="s">
        <v>602</v>
      </c>
      <c r="Y2568" s="2" t="s">
        <v>8341</v>
      </c>
      <c r="Z2568" s="4">
        <v>282</v>
      </c>
      <c r="AA2568" s="4">
        <f>=ROUNDDOWN(18.8,0)</f>
      </c>
      <c r="AB2568" s="5">
        <v>15</v>
      </c>
      <c r="AC2568" s="2" t="s">
        <v>145</v>
      </c>
      <c r="AD2568" s="4">
        <v>300</v>
      </c>
      <c r="AE2568" s="4">
        <v>300</v>
      </c>
      <c r="AF2568" s="6">
        <v>74</v>
      </c>
      <c r="AG2568" s="6">
        <v>60</v>
      </c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>
        <v>0</v>
      </c>
      <c r="AP2568" s="4">
        <v>5</v>
      </c>
      <c r="AQ2568" s="8">
        <v>498.75</v>
      </c>
      <c r="AR2568" s="4">
        <v>19</v>
      </c>
      <c r="AS2568" s="8">
        <v>1714.99</v>
      </c>
      <c r="AT2568" s="7">
        <v>-0.7368</v>
      </c>
      <c r="AU2568" s="7">
        <v>-0.7092</v>
      </c>
      <c r="AV2568" s="4">
        <v>5</v>
      </c>
      <c r="AW2568" s="8">
        <v>498.75</v>
      </c>
      <c r="AX2568" s="4">
        <v>19</v>
      </c>
      <c r="AY2568" s="8">
        <v>1714.99</v>
      </c>
      <c r="AZ2568" s="7">
        <v>-0.7368</v>
      </c>
      <c r="BA2568" s="7">
        <v>-0.7092</v>
      </c>
      <c r="BB2568" s="7">
        <v>1</v>
      </c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>
        <v>0.2381</v>
      </c>
      <c r="BJ2568" s="4">
        <v>347</v>
      </c>
      <c r="BK2568" s="8">
        <v>35986.29</v>
      </c>
      <c r="BL2568" s="2" t="s">
        <v>9532</v>
      </c>
      <c r="BM2568" s="7">
        <v>0.0144</v>
      </c>
      <c r="BN2568" s="7">
        <v>0.0139</v>
      </c>
      <c r="BO2568" s="4">
        <v>5</v>
      </c>
      <c r="BP2568" s="8">
        <v>498.75</v>
      </c>
      <c r="BQ2568" s="4">
        <v>19</v>
      </c>
      <c r="BR2568" s="8">
        <v>1714.99</v>
      </c>
      <c r="BS2568" s="7">
        <v>-0.7368</v>
      </c>
      <c r="BT2568" s="7">
        <v>-0.7092</v>
      </c>
      <c r="BU2568" s="2" t="s">
        <v>109</v>
      </c>
      <c r="BV2568" s="2" t="s">
        <v>97</v>
      </c>
      <c r="BW2568" s="2" t="s">
        <v>573</v>
      </c>
      <c r="BX2568" s="2" t="s">
        <v>203</v>
      </c>
      <c r="BY2568" s="2" t="s">
        <v>112</v>
      </c>
      <c r="BZ2568" s="2" t="s">
        <v>100</v>
      </c>
    </row>
    <row r="2569">
      <c r="A2569" s="2" t="s">
        <v>9533</v>
      </c>
      <c r="B2569" s="2" t="s">
        <v>7252</v>
      </c>
      <c r="C2569" s="2" t="s">
        <v>4677</v>
      </c>
      <c r="D2569" s="2" t="s">
        <v>8575</v>
      </c>
      <c r="E2569" s="2" t="s">
        <v>8576</v>
      </c>
      <c r="F2569" s="2" t="s">
        <v>9416</v>
      </c>
      <c r="G2569" s="2" t="s">
        <v>9416</v>
      </c>
      <c r="H2569" s="2" t="s">
        <v>9416</v>
      </c>
      <c r="I2569" s="2" t="s">
        <v>9534</v>
      </c>
      <c r="J2569" s="2" t="s">
        <v>6103</v>
      </c>
      <c r="K2569" s="2" t="s">
        <v>8622</v>
      </c>
      <c r="L2569" s="3">
        <v>237.5</v>
      </c>
      <c r="M2569" s="3">
        <v>249.38</v>
      </c>
      <c r="N2569" s="3">
        <v>499</v>
      </c>
      <c r="O2569" s="2" t="s">
        <v>97</v>
      </c>
      <c r="P2569" s="2" t="s">
        <v>143</v>
      </c>
      <c r="Q2569" s="2" t="s">
        <v>99</v>
      </c>
      <c r="R2569" s="2" t="s">
        <v>100</v>
      </c>
      <c r="S2569" s="2" t="s">
        <v>9535</v>
      </c>
      <c r="T2569" s="2" t="s">
        <v>100</v>
      </c>
      <c r="U2569" s="2" t="s">
        <v>100</v>
      </c>
      <c r="V2569" s="2" t="s">
        <v>601</v>
      </c>
      <c r="W2569" s="2" t="s">
        <v>2195</v>
      </c>
      <c r="X2569" s="2" t="s">
        <v>100</v>
      </c>
      <c r="Y2569" s="2" t="s">
        <v>106</v>
      </c>
      <c r="Z2569" s="4">
        <v>454</v>
      </c>
      <c r="AA2569" s="4">
        <f>=ROUNDDOWN(22.7,0)</f>
      </c>
      <c r="AB2569" s="5">
        <v>20</v>
      </c>
      <c r="AC2569" s="2" t="s">
        <v>130</v>
      </c>
      <c r="AD2569" s="4">
        <v>160</v>
      </c>
      <c r="AE2569" s="4">
        <v>300</v>
      </c>
      <c r="AF2569" s="6">
        <v>66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>
        <v>0</v>
      </c>
      <c r="AP2569" s="4">
        <v>5</v>
      </c>
      <c r="AQ2569" s="8">
        <v>1181.25</v>
      </c>
      <c r="AR2569" s="4">
        <v>8</v>
      </c>
      <c r="AS2569" s="8">
        <v>1903.13</v>
      </c>
      <c r="AT2569" s="7">
        <v>-0.375</v>
      </c>
      <c r="AU2569" s="7">
        <v>-0.3793</v>
      </c>
      <c r="AV2569" s="4">
        <v>5</v>
      </c>
      <c r="AW2569" s="8">
        <v>1181.25</v>
      </c>
      <c r="AX2569" s="4">
        <v>8</v>
      </c>
      <c r="AY2569" s="8">
        <v>1903.13</v>
      </c>
      <c r="AZ2569" s="7">
        <v>-0.375</v>
      </c>
      <c r="BA2569" s="7">
        <v>-0.3793</v>
      </c>
      <c r="BB2569" s="7">
        <v>1</v>
      </c>
      <c r="BC2569" s="4">
        <v>5</v>
      </c>
      <c r="BD2569" s="8">
        <v>1181.25</v>
      </c>
      <c r="BE2569" s="4">
        <v>8</v>
      </c>
      <c r="BF2569" s="8">
        <v>1903.13</v>
      </c>
      <c r="BG2569" s="7">
        <v>-0.375</v>
      </c>
      <c r="BH2569" s="7">
        <v>-0.3793</v>
      </c>
      <c r="BI2569" s="7">
        <v>1</v>
      </c>
      <c r="BJ2569" s="4">
        <v>359</v>
      </c>
      <c r="BK2569" s="8">
        <v>86835.44</v>
      </c>
      <c r="BL2569" s="2" t="s">
        <v>9536</v>
      </c>
      <c r="BM2569" s="7">
        <v>0.0139</v>
      </c>
      <c r="BN2569" s="7">
        <v>0.0136</v>
      </c>
      <c r="BO2569" s="4">
        <v>5</v>
      </c>
      <c r="BP2569" s="8">
        <v>1181.25</v>
      </c>
      <c r="BQ2569" s="4">
        <v>8</v>
      </c>
      <c r="BR2569" s="8">
        <v>1903.13</v>
      </c>
      <c r="BS2569" s="7">
        <v>-0.375</v>
      </c>
      <c r="BT2569" s="7">
        <v>-0.3793</v>
      </c>
      <c r="BU2569" s="2" t="s">
        <v>109</v>
      </c>
      <c r="BV2569" s="2" t="s">
        <v>97</v>
      </c>
      <c r="BW2569" s="2" t="s">
        <v>8172</v>
      </c>
      <c r="BX2569" s="2" t="s">
        <v>3061</v>
      </c>
      <c r="BY2569" s="2" t="s">
        <v>112</v>
      </c>
      <c r="BZ2569" s="2" t="s">
        <v>100</v>
      </c>
    </row>
    <row r="2570">
      <c r="A2570" s="2" t="s">
        <v>9537</v>
      </c>
      <c r="B2570" s="2" t="s">
        <v>7252</v>
      </c>
      <c r="C2570" s="2" t="s">
        <v>4677</v>
      </c>
      <c r="D2570" s="2" t="s">
        <v>8575</v>
      </c>
      <c r="E2570" s="2" t="s">
        <v>8576</v>
      </c>
      <c r="F2570" s="2" t="s">
        <v>9538</v>
      </c>
      <c r="G2570" s="2" t="s">
        <v>9538</v>
      </c>
      <c r="H2570" s="2" t="s">
        <v>9538</v>
      </c>
      <c r="I2570" s="2" t="s">
        <v>8576</v>
      </c>
      <c r="J2570" s="2" t="s">
        <v>6103</v>
      </c>
      <c r="K2570" s="2" t="s">
        <v>323</v>
      </c>
      <c r="L2570" s="3">
        <v>125.54</v>
      </c>
      <c r="M2570" s="3">
        <v>131.82</v>
      </c>
      <c r="N2570" s="3">
        <v>269</v>
      </c>
      <c r="O2570" s="2" t="s">
        <v>97</v>
      </c>
      <c r="P2570" s="2" t="s">
        <v>143</v>
      </c>
      <c r="Q2570" s="2" t="s">
        <v>99</v>
      </c>
      <c r="R2570" s="2" t="s">
        <v>100</v>
      </c>
      <c r="S2570" s="2" t="s">
        <v>9539</v>
      </c>
      <c r="T2570" s="2" t="s">
        <v>100</v>
      </c>
      <c r="U2570" s="2" t="s">
        <v>100</v>
      </c>
      <c r="V2570" s="2" t="s">
        <v>601</v>
      </c>
      <c r="W2570" s="2" t="s">
        <v>6998</v>
      </c>
      <c r="X2570" s="2" t="s">
        <v>100</v>
      </c>
      <c r="Y2570" s="2" t="s">
        <v>9540</v>
      </c>
      <c r="Z2570" s="4">
        <v>346</v>
      </c>
      <c r="AA2570" s="4">
        <f>=ROUNDDOWN(18.2105263157895,0)</f>
      </c>
      <c r="AB2570" s="5">
        <v>19</v>
      </c>
      <c r="AC2570" s="2" t="s">
        <v>7455</v>
      </c>
      <c r="AD2570" s="4">
        <v>140</v>
      </c>
      <c r="AE2570" s="4">
        <v>140</v>
      </c>
      <c r="AF2570" s="6">
        <v>74</v>
      </c>
      <c r="AG2570" s="6">
        <v>60</v>
      </c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>
        <v>0</v>
      </c>
      <c r="AP2570" s="4">
        <v>6</v>
      </c>
      <c r="AQ2570" s="8">
        <v>790.92</v>
      </c>
      <c r="AR2570" s="4">
        <v>6</v>
      </c>
      <c r="AS2570" s="8">
        <v>712.89</v>
      </c>
      <c r="AT2570" s="7"/>
      <c r="AU2570" s="7">
        <v>0.1095</v>
      </c>
      <c r="AV2570" s="4">
        <v>6</v>
      </c>
      <c r="AW2570" s="8">
        <v>790.92</v>
      </c>
      <c r="AX2570" s="4">
        <v>6</v>
      </c>
      <c r="AY2570" s="8">
        <v>712.89</v>
      </c>
      <c r="AZ2570" s="7"/>
      <c r="BA2570" s="7">
        <v>0.1095</v>
      </c>
      <c r="BB2570" s="7">
        <v>1</v>
      </c>
      <c r="BC2570" s="4">
        <v>6</v>
      </c>
      <c r="BD2570" s="8">
        <v>790.92</v>
      </c>
      <c r="BE2570" s="4">
        <v>6</v>
      </c>
      <c r="BF2570" s="8">
        <v>712.89</v>
      </c>
      <c r="BG2570" s="7"/>
      <c r="BH2570" s="7">
        <v>0.1095</v>
      </c>
      <c r="BI2570" s="7">
        <v>1</v>
      </c>
      <c r="BJ2570" s="4">
        <v>424</v>
      </c>
      <c r="BK2570" s="8">
        <v>50852</v>
      </c>
      <c r="BL2570" s="2" t="s">
        <v>9541</v>
      </c>
      <c r="BM2570" s="7">
        <v>0.0142</v>
      </c>
      <c r="BN2570" s="7">
        <v>0.0156</v>
      </c>
      <c r="BO2570" s="4">
        <v>6</v>
      </c>
      <c r="BP2570" s="8">
        <v>790.92</v>
      </c>
      <c r="BQ2570" s="4">
        <v>6</v>
      </c>
      <c r="BR2570" s="8">
        <v>712.89</v>
      </c>
      <c r="BS2570" s="7"/>
      <c r="BT2570" s="7">
        <v>0.1095</v>
      </c>
      <c r="BU2570" s="2" t="s">
        <v>109</v>
      </c>
      <c r="BV2570" s="2" t="s">
        <v>97</v>
      </c>
      <c r="BW2570" s="2" t="s">
        <v>9542</v>
      </c>
      <c r="BX2570" s="2" t="s">
        <v>5256</v>
      </c>
      <c r="BY2570" s="2" t="s">
        <v>112</v>
      </c>
      <c r="BZ2570" s="2" t="s">
        <v>100</v>
      </c>
    </row>
    <row r="2571">
      <c r="A2571" s="2" t="s">
        <v>9543</v>
      </c>
      <c r="B2571" s="2" t="s">
        <v>7252</v>
      </c>
      <c r="C2571" s="2" t="s">
        <v>4677</v>
      </c>
      <c r="D2571" s="2" t="s">
        <v>8575</v>
      </c>
      <c r="E2571" s="2" t="s">
        <v>8576</v>
      </c>
      <c r="F2571" s="2" t="s">
        <v>9544</v>
      </c>
      <c r="G2571" s="2" t="s">
        <v>9544</v>
      </c>
      <c r="H2571" s="2" t="s">
        <v>9544</v>
      </c>
      <c r="I2571" s="2" t="s">
        <v>9545</v>
      </c>
      <c r="J2571" s="2" t="s">
        <v>6103</v>
      </c>
      <c r="K2571" s="2" t="s">
        <v>123</v>
      </c>
      <c r="L2571" s="3">
        <v>189</v>
      </c>
      <c r="M2571" s="3">
        <v>198.45</v>
      </c>
      <c r="N2571" s="3">
        <v>399</v>
      </c>
      <c r="O2571" s="2" t="s">
        <v>97</v>
      </c>
      <c r="P2571" s="2" t="s">
        <v>182</v>
      </c>
      <c r="Q2571" s="2" t="s">
        <v>99</v>
      </c>
      <c r="R2571" s="2" t="s">
        <v>100</v>
      </c>
      <c r="S2571" s="2" t="s">
        <v>100</v>
      </c>
      <c r="T2571" s="2" t="s">
        <v>100</v>
      </c>
      <c r="U2571" s="2" t="s">
        <v>3531</v>
      </c>
      <c r="V2571" s="2" t="s">
        <v>1752</v>
      </c>
      <c r="W2571" s="2" t="s">
        <v>602</v>
      </c>
      <c r="X2571" s="2" t="s">
        <v>100</v>
      </c>
      <c r="Y2571" s="2" t="s">
        <v>7514</v>
      </c>
      <c r="Z2571" s="4">
        <v>25</v>
      </c>
      <c r="AA2571" s="4">
        <f>=ROUNDDOWN(6.25,0)</f>
      </c>
      <c r="AB2571" s="5">
        <v>4</v>
      </c>
      <c r="AC2571" s="2" t="s">
        <v>4093</v>
      </c>
      <c r="AD2571" s="4">
        <v>100</v>
      </c>
      <c r="AE2571" s="4">
        <v>100</v>
      </c>
      <c r="AF2571" s="6">
        <v>66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/>
      <c r="AW2571" s="8"/>
      <c r="AX2571" s="4"/>
      <c r="AY2571" s="8"/>
      <c r="AZ2571" s="7"/>
      <c r="BA2571" s="7"/>
      <c r="BB2571" s="7"/>
      <c r="BC2571" s="4"/>
      <c r="BD2571" s="8"/>
      <c r="BE2571" s="4"/>
      <c r="BF2571" s="8"/>
      <c r="BG2571" s="7"/>
      <c r="BH2571" s="7"/>
      <c r="BI2571" s="7"/>
      <c r="BJ2571" s="4">
        <v>59</v>
      </c>
      <c r="BK2571" s="8">
        <v>12026.93</v>
      </c>
      <c r="BL2571" s="2" t="s">
        <v>8397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6185</v>
      </c>
      <c r="BV2571" s="2" t="s">
        <v>97</v>
      </c>
      <c r="BW2571" s="2" t="s">
        <v>100</v>
      </c>
      <c r="BX2571" s="2" t="s">
        <v>100</v>
      </c>
      <c r="BY2571" s="2" t="s">
        <v>112</v>
      </c>
      <c r="BZ2571" s="2" t="s">
        <v>100</v>
      </c>
    </row>
    <row r="2572">
      <c r="A2572" s="2" t="s">
        <v>9546</v>
      </c>
      <c r="B2572" s="2" t="s">
        <v>7252</v>
      </c>
      <c r="C2572" s="2" t="s">
        <v>4677</v>
      </c>
      <c r="D2572" s="2" t="s">
        <v>8575</v>
      </c>
      <c r="E2572" s="2" t="s">
        <v>8576</v>
      </c>
      <c r="F2572" s="2" t="s">
        <v>9547</v>
      </c>
      <c r="G2572" s="2" t="s">
        <v>9547</v>
      </c>
      <c r="H2572" s="2" t="s">
        <v>9547</v>
      </c>
      <c r="I2572" s="2" t="s">
        <v>9548</v>
      </c>
      <c r="J2572" s="2" t="s">
        <v>6103</v>
      </c>
      <c r="K2572" s="2" t="s">
        <v>9549</v>
      </c>
      <c r="L2572" s="3">
        <v>210</v>
      </c>
      <c r="M2572" s="3">
        <v>220.5</v>
      </c>
      <c r="N2572" s="3">
        <v>449</v>
      </c>
      <c r="O2572" s="2" t="s">
        <v>97</v>
      </c>
      <c r="P2572" s="2" t="s">
        <v>8446</v>
      </c>
      <c r="Q2572" s="2" t="s">
        <v>99</v>
      </c>
      <c r="R2572" s="2" t="s">
        <v>100</v>
      </c>
      <c r="S2572" s="2" t="s">
        <v>100</v>
      </c>
      <c r="T2572" s="2" t="s">
        <v>100</v>
      </c>
      <c r="U2572" s="2" t="s">
        <v>3531</v>
      </c>
      <c r="V2572" s="2" t="s">
        <v>1752</v>
      </c>
      <c r="W2572" s="2" t="s">
        <v>602</v>
      </c>
      <c r="X2572" s="2" t="s">
        <v>759</v>
      </c>
      <c r="Y2572" s="2" t="s">
        <v>9550</v>
      </c>
      <c r="Z2572" s="4"/>
      <c r="AA2572" s="4">
        <f>=ROUNDDOWN({0},0)</f>
      </c>
      <c r="AB2572" s="5"/>
      <c r="AC2572" s="2" t="s">
        <v>356</v>
      </c>
      <c r="AD2572" s="4">
        <v>67</v>
      </c>
      <c r="AE2572" s="4">
        <v>100</v>
      </c>
      <c r="AF2572" s="6">
        <v>74</v>
      </c>
      <c r="AG2572" s="6"/>
      <c r="AH2572" s="7">
        <v>0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/>
      <c r="AW2572" s="8"/>
      <c r="AX2572" s="4"/>
      <c r="AY2572" s="8"/>
      <c r="AZ2572" s="7"/>
      <c r="BA2572" s="7"/>
      <c r="BB2572" s="7"/>
      <c r="BC2572" s="4"/>
      <c r="BD2572" s="8"/>
      <c r="BE2572" s="4"/>
      <c r="BF2572" s="8"/>
      <c r="BG2572" s="7"/>
      <c r="BH2572" s="7"/>
      <c r="BI2572" s="7"/>
      <c r="BJ2572" s="4"/>
      <c r="BK2572" s="8"/>
      <c r="BL2572" s="2" t="s">
        <v>100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147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9551</v>
      </c>
      <c r="B2573" s="2" t="s">
        <v>7252</v>
      </c>
      <c r="C2573" s="2" t="s">
        <v>4677</v>
      </c>
      <c r="D2573" s="2" t="s">
        <v>8575</v>
      </c>
      <c r="E2573" s="2" t="s">
        <v>8576</v>
      </c>
      <c r="F2573" s="2" t="s">
        <v>2312</v>
      </c>
      <c r="G2573" s="2" t="s">
        <v>2312</v>
      </c>
      <c r="H2573" s="2" t="s">
        <v>2312</v>
      </c>
      <c r="I2573" s="2" t="s">
        <v>8576</v>
      </c>
      <c r="J2573" s="2" t="s">
        <v>6103</v>
      </c>
      <c r="K2573" s="2" t="s">
        <v>142</v>
      </c>
      <c r="L2573" s="3">
        <v>194.75</v>
      </c>
      <c r="M2573" s="3">
        <v>204.49</v>
      </c>
      <c r="N2573" s="3">
        <v>409</v>
      </c>
      <c r="O2573" s="2" t="s">
        <v>97</v>
      </c>
      <c r="P2573" s="2" t="s">
        <v>1265</v>
      </c>
      <c r="Q2573" s="2" t="s">
        <v>99</v>
      </c>
      <c r="R2573" s="2" t="s">
        <v>100</v>
      </c>
      <c r="S2573" s="2" t="s">
        <v>100</v>
      </c>
      <c r="T2573" s="2" t="s">
        <v>100</v>
      </c>
      <c r="U2573" s="2" t="s">
        <v>3531</v>
      </c>
      <c r="V2573" s="2" t="s">
        <v>601</v>
      </c>
      <c r="W2573" s="2" t="s">
        <v>2195</v>
      </c>
      <c r="X2573" s="2" t="s">
        <v>602</v>
      </c>
      <c r="Y2573" s="2" t="s">
        <v>9552</v>
      </c>
      <c r="Z2573" s="4">
        <v>165</v>
      </c>
      <c r="AA2573" s="4">
        <f>=ROUNDDOWN(55,0)</f>
      </c>
      <c r="AB2573" s="5">
        <v>3</v>
      </c>
      <c r="AC2573" s="2" t="s">
        <v>100</v>
      </c>
      <c r="AD2573" s="4"/>
      <c r="AE2573" s="4"/>
      <c r="AF2573" s="6">
        <v>74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/>
      <c r="AW2573" s="8"/>
      <c r="AX2573" s="4"/>
      <c r="AY2573" s="8"/>
      <c r="AZ2573" s="7"/>
      <c r="BA2573" s="7"/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/>
      <c r="BJ2573" s="4">
        <v>45</v>
      </c>
      <c r="BK2573" s="8">
        <v>7810.53</v>
      </c>
      <c r="BL2573" s="2" t="s">
        <v>9553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147</v>
      </c>
      <c r="BV2573" s="2" t="s">
        <v>97</v>
      </c>
      <c r="BW2573" s="2" t="s">
        <v>100</v>
      </c>
      <c r="BX2573" s="2" t="s">
        <v>100</v>
      </c>
      <c r="BY2573" s="2" t="s">
        <v>112</v>
      </c>
      <c r="BZ2573" s="2" t="s">
        <v>100</v>
      </c>
    </row>
    <row r="2574">
      <c r="A2574" s="2" t="s">
        <v>9554</v>
      </c>
      <c r="B2574" s="2" t="s">
        <v>7252</v>
      </c>
      <c r="C2574" s="2" t="s">
        <v>4677</v>
      </c>
      <c r="D2574" s="2" t="s">
        <v>8575</v>
      </c>
      <c r="E2574" s="2" t="s">
        <v>8576</v>
      </c>
      <c r="F2574" s="2" t="s">
        <v>2312</v>
      </c>
      <c r="G2574" s="2" t="s">
        <v>2312</v>
      </c>
      <c r="H2574" s="2" t="s">
        <v>100</v>
      </c>
      <c r="I2574" s="2" t="s">
        <v>8576</v>
      </c>
      <c r="J2574" s="2" t="s">
        <v>6103</v>
      </c>
      <c r="K2574" s="2" t="s">
        <v>6566</v>
      </c>
      <c r="L2574" s="3">
        <v>194.75</v>
      </c>
      <c r="M2574" s="3">
        <v>204.49</v>
      </c>
      <c r="N2574" s="3">
        <v>409</v>
      </c>
      <c r="O2574" s="2" t="s">
        <v>97</v>
      </c>
      <c r="P2574" s="2" t="s">
        <v>182</v>
      </c>
      <c r="Q2574" s="2" t="s">
        <v>99</v>
      </c>
      <c r="R2574" s="2" t="s">
        <v>100</v>
      </c>
      <c r="S2574" s="2" t="s">
        <v>9555</v>
      </c>
      <c r="T2574" s="2" t="s">
        <v>100</v>
      </c>
      <c r="U2574" s="2" t="s">
        <v>100</v>
      </c>
      <c r="V2574" s="2" t="s">
        <v>601</v>
      </c>
      <c r="W2574" s="2" t="s">
        <v>2195</v>
      </c>
      <c r="X2574" s="2" t="s">
        <v>100</v>
      </c>
      <c r="Y2574" s="2" t="s">
        <v>106</v>
      </c>
      <c r="Z2574" s="4">
        <v>45</v>
      </c>
      <c r="AA2574" s="4">
        <f>=ROUNDDOWN(7.5,0)</f>
      </c>
      <c r="AB2574" s="5">
        <v>6</v>
      </c>
      <c r="AC2574" s="2" t="s">
        <v>9556</v>
      </c>
      <c r="AD2574" s="4">
        <v>85</v>
      </c>
      <c r="AE2574" s="4">
        <v>200</v>
      </c>
      <c r="AF2574" s="6">
        <v>74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/>
      <c r="AW2574" s="8"/>
      <c r="AX2574" s="4"/>
      <c r="AY2574" s="8"/>
      <c r="AZ2574" s="7"/>
      <c r="BA2574" s="7"/>
      <c r="BB2574" s="7"/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/>
      <c r="BJ2574" s="4">
        <v>144</v>
      </c>
      <c r="BK2574" s="8">
        <v>24626.88</v>
      </c>
      <c r="BL2574" s="2" t="s">
        <v>8616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7683</v>
      </c>
      <c r="BV2574" s="2" t="s">
        <v>97</v>
      </c>
      <c r="BW2574" s="2" t="s">
        <v>100</v>
      </c>
      <c r="BX2574" s="2" t="s">
        <v>100</v>
      </c>
      <c r="BY2574" s="2" t="s">
        <v>112</v>
      </c>
      <c r="BZ2574" s="2" t="s">
        <v>100</v>
      </c>
    </row>
    <row r="2575">
      <c r="A2575" s="2" t="s">
        <v>9557</v>
      </c>
      <c r="B2575" s="2" t="s">
        <v>7252</v>
      </c>
      <c r="C2575" s="2" t="s">
        <v>4677</v>
      </c>
      <c r="D2575" s="2" t="s">
        <v>8575</v>
      </c>
      <c r="E2575" s="2" t="s">
        <v>8576</v>
      </c>
      <c r="F2575" s="2" t="s">
        <v>9558</v>
      </c>
      <c r="G2575" s="2" t="s">
        <v>100</v>
      </c>
      <c r="H2575" s="2" t="s">
        <v>100</v>
      </c>
      <c r="I2575" s="2" t="s">
        <v>8576</v>
      </c>
      <c r="J2575" s="2" t="s">
        <v>6103</v>
      </c>
      <c r="K2575" s="2" t="s">
        <v>666</v>
      </c>
      <c r="L2575" s="3">
        <v>174.56</v>
      </c>
      <c r="M2575" s="3">
        <v>183.29</v>
      </c>
      <c r="N2575" s="3">
        <v>349.99</v>
      </c>
      <c r="O2575" s="2" t="s">
        <v>229</v>
      </c>
      <c r="P2575" s="2" t="s">
        <v>198</v>
      </c>
      <c r="Q2575" s="2" t="s">
        <v>99</v>
      </c>
      <c r="R2575" s="2" t="s">
        <v>100</v>
      </c>
      <c r="S2575" s="2" t="s">
        <v>9559</v>
      </c>
      <c r="T2575" s="2" t="s">
        <v>100</v>
      </c>
      <c r="U2575" s="2" t="s">
        <v>100</v>
      </c>
      <c r="V2575" s="2" t="s">
        <v>601</v>
      </c>
      <c r="W2575" s="2" t="s">
        <v>602</v>
      </c>
      <c r="X2575" s="2" t="s">
        <v>100</v>
      </c>
      <c r="Y2575" s="2" t="s">
        <v>106</v>
      </c>
      <c r="Z2575" s="4"/>
      <c r="AA2575" s="4">
        <f>=ROUNDDOWN({0},0)</f>
      </c>
      <c r="AB2575" s="5"/>
      <c r="AC2575" s="2" t="s">
        <v>100</v>
      </c>
      <c r="AD2575" s="4"/>
      <c r="AE2575" s="4"/>
      <c r="AF2575" s="6">
        <v>65</v>
      </c>
      <c r="AG2575" s="6"/>
      <c r="AH2575" s="7">
        <v>0.5333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/>
      <c r="AW2575" s="8"/>
      <c r="AX2575" s="4"/>
      <c r="AY2575" s="8"/>
      <c r="AZ2575" s="7"/>
      <c r="BA2575" s="7"/>
      <c r="BB2575" s="7"/>
      <c r="BC2575" s="4"/>
      <c r="BD2575" s="8"/>
      <c r="BE2575" s="4"/>
      <c r="BF2575" s="8"/>
      <c r="BG2575" s="7"/>
      <c r="BH2575" s="7"/>
      <c r="BI2575" s="7"/>
      <c r="BJ2575" s="4">
        <v>2</v>
      </c>
      <c r="BK2575" s="8">
        <v>367.5</v>
      </c>
      <c r="BL2575" s="2" t="s">
        <v>8635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147</v>
      </c>
      <c r="BV2575" s="2" t="s">
        <v>97</v>
      </c>
      <c r="BW2575" s="2" t="s">
        <v>100</v>
      </c>
      <c r="BX2575" s="2" t="s">
        <v>100</v>
      </c>
      <c r="BY2575" s="2" t="s">
        <v>112</v>
      </c>
      <c r="BZ2575" s="2" t="s">
        <v>100</v>
      </c>
    </row>
    <row r="2576">
      <c r="A2576" s="2" t="s">
        <v>9560</v>
      </c>
      <c r="B2576" s="2" t="s">
        <v>7252</v>
      </c>
      <c r="C2576" s="2" t="s">
        <v>4677</v>
      </c>
      <c r="D2576" s="2" t="s">
        <v>8575</v>
      </c>
      <c r="E2576" s="2" t="s">
        <v>8576</v>
      </c>
      <c r="F2576" s="2" t="s">
        <v>9561</v>
      </c>
      <c r="G2576" s="2" t="s">
        <v>100</v>
      </c>
      <c r="H2576" s="2" t="s">
        <v>100</v>
      </c>
      <c r="I2576" s="2" t="s">
        <v>9562</v>
      </c>
      <c r="J2576" s="2" t="s">
        <v>6103</v>
      </c>
      <c r="K2576" s="2" t="s">
        <v>8662</v>
      </c>
      <c r="L2576" s="3">
        <v>223.78</v>
      </c>
      <c r="M2576" s="3">
        <v>234.97</v>
      </c>
      <c r="N2576" s="3">
        <v>469</v>
      </c>
      <c r="O2576" s="2" t="s">
        <v>229</v>
      </c>
      <c r="P2576" s="2" t="s">
        <v>198</v>
      </c>
      <c r="Q2576" s="2" t="s">
        <v>99</v>
      </c>
      <c r="R2576" s="2" t="s">
        <v>100</v>
      </c>
      <c r="S2576" s="2" t="s">
        <v>9563</v>
      </c>
      <c r="T2576" s="2" t="s">
        <v>100</v>
      </c>
      <c r="U2576" s="2" t="s">
        <v>100</v>
      </c>
      <c r="V2576" s="2" t="s">
        <v>601</v>
      </c>
      <c r="W2576" s="2" t="s">
        <v>6998</v>
      </c>
      <c r="X2576" s="2" t="s">
        <v>100</v>
      </c>
      <c r="Y2576" s="2" t="s">
        <v>3057</v>
      </c>
      <c r="Z2576" s="4"/>
      <c r="AA2576" s="4">
        <f>=ROUNDDOWN({0},0)</f>
      </c>
      <c r="AB2576" s="5"/>
      <c r="AC2576" s="2" t="s">
        <v>100</v>
      </c>
      <c r="AD2576" s="4"/>
      <c r="AE2576" s="4"/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>
        <v>0</v>
      </c>
      <c r="AP2576" s="4"/>
      <c r="AQ2576" s="8"/>
      <c r="AR2576" s="4">
        <v>2</v>
      </c>
      <c r="AS2576" s="8">
        <v>469.94</v>
      </c>
      <c r="AT2576" s="7">
        <v>-1</v>
      </c>
      <c r="AU2576" s="7">
        <v>-1</v>
      </c>
      <c r="AV2576" s="4"/>
      <c r="AW2576" s="8"/>
      <c r="AX2576" s="4">
        <v>2</v>
      </c>
      <c r="AY2576" s="8">
        <v>469.94</v>
      </c>
      <c r="AZ2576" s="7">
        <v>-1</v>
      </c>
      <c r="BA2576" s="7">
        <v>-1</v>
      </c>
      <c r="BB2576" s="7"/>
      <c r="BC2576" s="4"/>
      <c r="BD2576" s="8"/>
      <c r="BE2576" s="4">
        <v>2</v>
      </c>
      <c r="BF2576" s="8">
        <v>469.94</v>
      </c>
      <c r="BG2576" s="7">
        <v>-1</v>
      </c>
      <c r="BH2576" s="7">
        <v>-1</v>
      </c>
      <c r="BI2576" s="7"/>
      <c r="BJ2576" s="4"/>
      <c r="BK2576" s="8"/>
      <c r="BL2576" s="2" t="s">
        <v>9564</v>
      </c>
      <c r="BM2576" s="7"/>
      <c r="BN2576" s="7"/>
      <c r="BO2576" s="4"/>
      <c r="BP2576" s="8"/>
      <c r="BQ2576" s="4">
        <v>2</v>
      </c>
      <c r="BR2576" s="8">
        <v>469.94</v>
      </c>
      <c r="BS2576" s="7">
        <v>-1</v>
      </c>
      <c r="BT2576" s="7">
        <v>-1</v>
      </c>
      <c r="BU2576" s="2" t="s">
        <v>109</v>
      </c>
      <c r="BV2576" s="2" t="s">
        <v>552</v>
      </c>
      <c r="BW2576" s="2" t="s">
        <v>8172</v>
      </c>
      <c r="BX2576" s="2" t="s">
        <v>7995</v>
      </c>
      <c r="BY2576" s="2" t="s">
        <v>112</v>
      </c>
      <c r="BZ2576" s="2" t="s">
        <v>100</v>
      </c>
    </row>
    <row r="2577">
      <c r="A2577" s="2" t="s">
        <v>9565</v>
      </c>
      <c r="B2577" s="2" t="s">
        <v>7252</v>
      </c>
      <c r="C2577" s="2" t="s">
        <v>4677</v>
      </c>
      <c r="D2577" s="2" t="s">
        <v>8575</v>
      </c>
      <c r="E2577" s="2" t="s">
        <v>8576</v>
      </c>
      <c r="F2577" s="2" t="s">
        <v>9566</v>
      </c>
      <c r="G2577" s="2" t="s">
        <v>100</v>
      </c>
      <c r="H2577" s="2" t="s">
        <v>100</v>
      </c>
      <c r="I2577" s="2" t="s">
        <v>8576</v>
      </c>
      <c r="J2577" s="2" t="s">
        <v>6103</v>
      </c>
      <c r="K2577" s="2" t="s">
        <v>123</v>
      </c>
      <c r="L2577" s="3">
        <v>242</v>
      </c>
      <c r="M2577" s="3">
        <v>254.1</v>
      </c>
      <c r="N2577" s="3">
        <v>509</v>
      </c>
      <c r="O2577" s="2" t="s">
        <v>229</v>
      </c>
      <c r="P2577" s="2" t="s">
        <v>198</v>
      </c>
      <c r="Q2577" s="2" t="s">
        <v>99</v>
      </c>
      <c r="R2577" s="2" t="s">
        <v>100</v>
      </c>
      <c r="S2577" s="2" t="s">
        <v>9567</v>
      </c>
      <c r="T2577" s="2" t="s">
        <v>100</v>
      </c>
      <c r="U2577" s="2" t="s">
        <v>100</v>
      </c>
      <c r="V2577" s="2" t="s">
        <v>601</v>
      </c>
      <c r="W2577" s="2" t="s">
        <v>602</v>
      </c>
      <c r="X2577" s="2" t="s">
        <v>100</v>
      </c>
      <c r="Y2577" s="2" t="s">
        <v>106</v>
      </c>
      <c r="Z2577" s="4"/>
      <c r="AA2577" s="4">
        <f>=ROUNDDOWN({0},0)</f>
      </c>
      <c r="AB2577" s="5"/>
      <c r="AC2577" s="2" t="s">
        <v>100</v>
      </c>
      <c r="AD2577" s="4"/>
      <c r="AE2577" s="4"/>
      <c r="AF2577" s="6">
        <v>75</v>
      </c>
      <c r="AG2577" s="6"/>
      <c r="AH2577" s="7">
        <v>0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>
        <v>0</v>
      </c>
      <c r="AP2577" s="4"/>
      <c r="AQ2577" s="8"/>
      <c r="AR2577" s="4">
        <v>10</v>
      </c>
      <c r="AS2577" s="8">
        <v>2541</v>
      </c>
      <c r="AT2577" s="7">
        <v>-1</v>
      </c>
      <c r="AU2577" s="7">
        <v>-1</v>
      </c>
      <c r="AV2577" s="4"/>
      <c r="AW2577" s="8"/>
      <c r="AX2577" s="4">
        <v>10</v>
      </c>
      <c r="AY2577" s="8">
        <v>2541</v>
      </c>
      <c r="AZ2577" s="7">
        <v>-1</v>
      </c>
      <c r="BA2577" s="7">
        <v>-1</v>
      </c>
      <c r="BB2577" s="7"/>
      <c r="BC2577" s="4"/>
      <c r="BD2577" s="8"/>
      <c r="BE2577" s="4">
        <v>10</v>
      </c>
      <c r="BF2577" s="8">
        <v>2541</v>
      </c>
      <c r="BG2577" s="7">
        <v>-1</v>
      </c>
      <c r="BH2577" s="7">
        <v>-1</v>
      </c>
      <c r="BI2577" s="7"/>
      <c r="BJ2577" s="4"/>
      <c r="BK2577" s="8"/>
      <c r="BL2577" s="2" t="s">
        <v>9568</v>
      </c>
      <c r="BM2577" s="7"/>
      <c r="BN2577" s="7"/>
      <c r="BO2577" s="4"/>
      <c r="BP2577" s="8"/>
      <c r="BQ2577" s="4">
        <v>10</v>
      </c>
      <c r="BR2577" s="8">
        <v>2541</v>
      </c>
      <c r="BS2577" s="7">
        <v>-1</v>
      </c>
      <c r="BT2577" s="7">
        <v>-1</v>
      </c>
      <c r="BU2577" s="2" t="s">
        <v>109</v>
      </c>
      <c r="BV2577" s="2" t="s">
        <v>552</v>
      </c>
      <c r="BW2577" s="2" t="s">
        <v>8172</v>
      </c>
      <c r="BX2577" s="2" t="s">
        <v>9569</v>
      </c>
      <c r="BY2577" s="2" t="s">
        <v>112</v>
      </c>
      <c r="BZ2577" s="2" t="s">
        <v>100</v>
      </c>
    </row>
    <row r="2578">
      <c r="A2578" s="2" t="s">
        <v>9570</v>
      </c>
      <c r="B2578" s="2" t="s">
        <v>7252</v>
      </c>
      <c r="C2578" s="2" t="s">
        <v>4677</v>
      </c>
      <c r="D2578" s="2" t="s">
        <v>8575</v>
      </c>
      <c r="E2578" s="2" t="s">
        <v>8576</v>
      </c>
      <c r="F2578" s="2" t="s">
        <v>9571</v>
      </c>
      <c r="G2578" s="2" t="s">
        <v>9571</v>
      </c>
      <c r="H2578" s="2" t="s">
        <v>9571</v>
      </c>
      <c r="I2578" s="2" t="s">
        <v>8576</v>
      </c>
      <c r="J2578" s="2" t="s">
        <v>6103</v>
      </c>
      <c r="K2578" s="2" t="s">
        <v>8673</v>
      </c>
      <c r="L2578" s="3">
        <v>157.3</v>
      </c>
      <c r="M2578" s="3">
        <v>165.16</v>
      </c>
      <c r="N2578" s="3">
        <v>329</v>
      </c>
      <c r="O2578" s="2" t="s">
        <v>229</v>
      </c>
      <c r="P2578" s="2" t="s">
        <v>198</v>
      </c>
      <c r="Q2578" s="2" t="s">
        <v>99</v>
      </c>
      <c r="R2578" s="2" t="s">
        <v>100</v>
      </c>
      <c r="S2578" s="2" t="s">
        <v>100</v>
      </c>
      <c r="T2578" s="2" t="s">
        <v>100</v>
      </c>
      <c r="U2578" s="2" t="s">
        <v>3531</v>
      </c>
      <c r="V2578" s="2" t="s">
        <v>601</v>
      </c>
      <c r="W2578" s="2" t="s">
        <v>602</v>
      </c>
      <c r="X2578" s="2" t="s">
        <v>104</v>
      </c>
      <c r="Y2578" s="2" t="s">
        <v>9135</v>
      </c>
      <c r="Z2578" s="4">
        <v>72</v>
      </c>
      <c r="AA2578" s="4">
        <f>=ROUNDDOWN(80,0)</f>
      </c>
      <c r="AB2578" s="5">
        <v>0.9</v>
      </c>
      <c r="AC2578" s="2" t="s">
        <v>100</v>
      </c>
      <c r="AD2578" s="4"/>
      <c r="AE2578" s="4"/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>
        <v>0</v>
      </c>
      <c r="AP2578" s="4"/>
      <c r="AQ2578" s="8"/>
      <c r="AR2578" s="4">
        <v>3</v>
      </c>
      <c r="AS2578" s="8">
        <v>495.51</v>
      </c>
      <c r="AT2578" s="7">
        <v>-1</v>
      </c>
      <c r="AU2578" s="7">
        <v>-1</v>
      </c>
      <c r="AV2578" s="4"/>
      <c r="AW2578" s="8"/>
      <c r="AX2578" s="4">
        <v>3</v>
      </c>
      <c r="AY2578" s="8">
        <v>495.51</v>
      </c>
      <c r="AZ2578" s="7">
        <v>-1</v>
      </c>
      <c r="BA2578" s="7">
        <v>-1</v>
      </c>
      <c r="BB2578" s="7"/>
      <c r="BC2578" s="4"/>
      <c r="BD2578" s="8"/>
      <c r="BE2578" s="4">
        <v>3</v>
      </c>
      <c r="BF2578" s="8">
        <v>495.51</v>
      </c>
      <c r="BG2578" s="7">
        <v>-1</v>
      </c>
      <c r="BH2578" s="7">
        <v>-1</v>
      </c>
      <c r="BI2578" s="7"/>
      <c r="BJ2578" s="4">
        <v>17</v>
      </c>
      <c r="BK2578" s="8">
        <v>2037.85</v>
      </c>
      <c r="BL2578" s="2" t="s">
        <v>9572</v>
      </c>
      <c r="BM2578" s="7"/>
      <c r="BN2578" s="7"/>
      <c r="BO2578" s="4"/>
      <c r="BP2578" s="8"/>
      <c r="BQ2578" s="4">
        <v>3</v>
      </c>
      <c r="BR2578" s="8">
        <v>495.51</v>
      </c>
      <c r="BS2578" s="7">
        <v>-1</v>
      </c>
      <c r="BT2578" s="7">
        <v>-1</v>
      </c>
      <c r="BU2578" s="2" t="s">
        <v>109</v>
      </c>
      <c r="BV2578" s="2" t="s">
        <v>97</v>
      </c>
      <c r="BW2578" s="2" t="s">
        <v>7382</v>
      </c>
      <c r="BX2578" s="2" t="s">
        <v>3900</v>
      </c>
      <c r="BY2578" s="2" t="s">
        <v>112</v>
      </c>
      <c r="BZ2578" s="2" t="s">
        <v>100</v>
      </c>
    </row>
    <row r="2579">
      <c r="A2579" s="2" t="s">
        <v>9573</v>
      </c>
      <c r="B2579" s="2" t="s">
        <v>7252</v>
      </c>
      <c r="C2579" s="2" t="s">
        <v>4677</v>
      </c>
      <c r="D2579" s="2" t="s">
        <v>8575</v>
      </c>
      <c r="E2579" s="2" t="s">
        <v>8653</v>
      </c>
      <c r="F2579" s="2" t="s">
        <v>9574</v>
      </c>
      <c r="G2579" s="2" t="s">
        <v>9574</v>
      </c>
      <c r="H2579" s="2" t="s">
        <v>9574</v>
      </c>
      <c r="I2579" s="2" t="s">
        <v>9575</v>
      </c>
      <c r="J2579" s="2" t="s">
        <v>9576</v>
      </c>
      <c r="K2579" s="2" t="s">
        <v>323</v>
      </c>
      <c r="L2579" s="3">
        <v>237.5</v>
      </c>
      <c r="M2579" s="3">
        <v>249.38</v>
      </c>
      <c r="N2579" s="3">
        <v>499</v>
      </c>
      <c r="O2579" s="2" t="s">
        <v>97</v>
      </c>
      <c r="P2579" s="2" t="s">
        <v>143</v>
      </c>
      <c r="Q2579" s="2" t="s">
        <v>99</v>
      </c>
      <c r="R2579" s="2" t="s">
        <v>100</v>
      </c>
      <c r="S2579" s="2" t="s">
        <v>9577</v>
      </c>
      <c r="T2579" s="2" t="s">
        <v>100</v>
      </c>
      <c r="U2579" s="2" t="s">
        <v>3531</v>
      </c>
      <c r="V2579" s="2" t="s">
        <v>601</v>
      </c>
      <c r="W2579" s="2" t="s">
        <v>602</v>
      </c>
      <c r="X2579" s="2" t="s">
        <v>759</v>
      </c>
      <c r="Y2579" s="2" t="s">
        <v>704</v>
      </c>
      <c r="Z2579" s="4">
        <v>321</v>
      </c>
      <c r="AA2579" s="4">
        <f>=ROUNDDOWN(22.9285714285714,0)</f>
      </c>
      <c r="AB2579" s="5">
        <v>14</v>
      </c>
      <c r="AC2579" s="2" t="s">
        <v>9120</v>
      </c>
      <c r="AD2579" s="4">
        <v>150</v>
      </c>
      <c r="AE2579" s="4">
        <v>150</v>
      </c>
      <c r="AF2579" s="6">
        <v>74</v>
      </c>
      <c r="AG2579" s="6">
        <v>60</v>
      </c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>
        <v>0</v>
      </c>
      <c r="AP2579" s="4">
        <v>3</v>
      </c>
      <c r="AQ2579" s="8">
        <v>748.14</v>
      </c>
      <c r="AR2579" s="4">
        <v>10</v>
      </c>
      <c r="AS2579" s="8">
        <v>2159.12</v>
      </c>
      <c r="AT2579" s="7">
        <v>-0.7</v>
      </c>
      <c r="AU2579" s="7">
        <v>-0.6535</v>
      </c>
      <c r="AV2579" s="4">
        <v>3</v>
      </c>
      <c r="AW2579" s="8">
        <v>748.14</v>
      </c>
      <c r="AX2579" s="4">
        <v>10</v>
      </c>
      <c r="AY2579" s="8">
        <v>2159.12</v>
      </c>
      <c r="AZ2579" s="7">
        <v>-0.7</v>
      </c>
      <c r="BA2579" s="7">
        <v>-0.6535</v>
      </c>
      <c r="BB2579" s="7">
        <v>1</v>
      </c>
      <c r="BC2579" s="4">
        <v>3</v>
      </c>
      <c r="BD2579" s="8">
        <v>748.14</v>
      </c>
      <c r="BE2579" s="4">
        <v>10</v>
      </c>
      <c r="BF2579" s="8">
        <v>2159.12</v>
      </c>
      <c r="BG2579" s="7">
        <v>-0.7</v>
      </c>
      <c r="BH2579" s="7">
        <v>-0.6535</v>
      </c>
      <c r="BI2579" s="7">
        <v>1</v>
      </c>
      <c r="BJ2579" s="4">
        <v>335</v>
      </c>
      <c r="BK2579" s="8">
        <v>79056.03</v>
      </c>
      <c r="BL2579" s="2" t="s">
        <v>9578</v>
      </c>
      <c r="BM2579" s="7">
        <v>0.009</v>
      </c>
      <c r="BN2579" s="7">
        <v>0.0095</v>
      </c>
      <c r="BO2579" s="4">
        <v>3</v>
      </c>
      <c r="BP2579" s="8">
        <v>748.14</v>
      </c>
      <c r="BQ2579" s="4">
        <v>10</v>
      </c>
      <c r="BR2579" s="8">
        <v>2159.12</v>
      </c>
      <c r="BS2579" s="7">
        <v>-0.7</v>
      </c>
      <c r="BT2579" s="7">
        <v>-0.6535</v>
      </c>
      <c r="BU2579" s="2" t="s">
        <v>109</v>
      </c>
      <c r="BV2579" s="2" t="s">
        <v>97</v>
      </c>
      <c r="BW2579" s="2" t="s">
        <v>8172</v>
      </c>
      <c r="BX2579" s="2" t="s">
        <v>9579</v>
      </c>
      <c r="BY2579" s="2" t="s">
        <v>112</v>
      </c>
      <c r="BZ2579" s="2" t="s">
        <v>100</v>
      </c>
    </row>
    <row r="2580">
      <c r="A2580" s="2" t="s">
        <v>9580</v>
      </c>
      <c r="B2580" s="2" t="s">
        <v>7252</v>
      </c>
      <c r="C2580" s="2" t="s">
        <v>4677</v>
      </c>
      <c r="D2580" s="2" t="s">
        <v>8575</v>
      </c>
      <c r="E2580" s="2" t="s">
        <v>8653</v>
      </c>
      <c r="F2580" s="2" t="s">
        <v>9574</v>
      </c>
      <c r="G2580" s="2" t="s">
        <v>9574</v>
      </c>
      <c r="H2580" s="2" t="s">
        <v>9574</v>
      </c>
      <c r="I2580" s="2" t="s">
        <v>9581</v>
      </c>
      <c r="J2580" s="2" t="s">
        <v>9582</v>
      </c>
      <c r="K2580" s="2" t="s">
        <v>323</v>
      </c>
      <c r="L2580" s="3">
        <v>218.5</v>
      </c>
      <c r="M2580" s="3">
        <v>229.42</v>
      </c>
      <c r="N2580" s="3">
        <v>459</v>
      </c>
      <c r="O2580" s="2" t="s">
        <v>97</v>
      </c>
      <c r="P2580" s="2" t="s">
        <v>143</v>
      </c>
      <c r="Q2580" s="2" t="s">
        <v>99</v>
      </c>
      <c r="R2580" s="2" t="s">
        <v>100</v>
      </c>
      <c r="S2580" s="2" t="s">
        <v>100</v>
      </c>
      <c r="T2580" s="2" t="s">
        <v>100</v>
      </c>
      <c r="U2580" s="2" t="s">
        <v>3531</v>
      </c>
      <c r="V2580" s="2" t="s">
        <v>1752</v>
      </c>
      <c r="W2580" s="2" t="s">
        <v>602</v>
      </c>
      <c r="X2580" s="2" t="s">
        <v>759</v>
      </c>
      <c r="Y2580" s="2" t="s">
        <v>5521</v>
      </c>
      <c r="Z2580" s="4">
        <v>314</v>
      </c>
      <c r="AA2580" s="4">
        <f>=ROUNDDOWN(22.4285714285714,0)</f>
      </c>
      <c r="AB2580" s="5">
        <v>14</v>
      </c>
      <c r="AC2580" s="2" t="s">
        <v>130</v>
      </c>
      <c r="AD2580" s="4">
        <v>150</v>
      </c>
      <c r="AE2580" s="4">
        <v>300</v>
      </c>
      <c r="AF2580" s="6">
        <v>74</v>
      </c>
      <c r="AG2580" s="6">
        <v>60</v>
      </c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295</v>
      </c>
      <c r="BK2580" s="8">
        <v>68053.32</v>
      </c>
      <c r="BL2580" s="2" t="s">
        <v>9583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6185</v>
      </c>
      <c r="BV2580" s="2" t="s">
        <v>97</v>
      </c>
      <c r="BW2580" s="2" t="s">
        <v>100</v>
      </c>
      <c r="BX2580" s="2" t="s">
        <v>100</v>
      </c>
      <c r="BY2580" s="2" t="s">
        <v>112</v>
      </c>
      <c r="BZ2580" s="2" t="s">
        <v>100</v>
      </c>
    </row>
    <row r="2581">
      <c r="A2581" s="2" t="s">
        <v>9584</v>
      </c>
      <c r="B2581" s="2" t="s">
        <v>7252</v>
      </c>
      <c r="C2581" s="2" t="s">
        <v>4677</v>
      </c>
      <c r="D2581" s="2" t="s">
        <v>8575</v>
      </c>
      <c r="E2581" s="2" t="s">
        <v>8653</v>
      </c>
      <c r="F2581" s="2" t="s">
        <v>9574</v>
      </c>
      <c r="G2581" s="2" t="s">
        <v>9574</v>
      </c>
      <c r="H2581" s="2" t="s">
        <v>9574</v>
      </c>
      <c r="I2581" s="2" t="s">
        <v>9575</v>
      </c>
      <c r="J2581" s="2" t="s">
        <v>9576</v>
      </c>
      <c r="K2581" s="2" t="s">
        <v>123</v>
      </c>
      <c r="L2581" s="3">
        <v>237.5</v>
      </c>
      <c r="M2581" s="3">
        <v>249.38</v>
      </c>
      <c r="N2581" s="3">
        <v>499</v>
      </c>
      <c r="O2581" s="2" t="s">
        <v>97</v>
      </c>
      <c r="P2581" s="2" t="s">
        <v>124</v>
      </c>
      <c r="Q2581" s="2" t="s">
        <v>99</v>
      </c>
      <c r="R2581" s="2" t="s">
        <v>100</v>
      </c>
      <c r="S2581" s="2" t="s">
        <v>100</v>
      </c>
      <c r="T2581" s="2" t="s">
        <v>100</v>
      </c>
      <c r="U2581" s="2" t="s">
        <v>3531</v>
      </c>
      <c r="V2581" s="2" t="s">
        <v>1752</v>
      </c>
      <c r="W2581" s="2" t="s">
        <v>602</v>
      </c>
      <c r="X2581" s="2" t="s">
        <v>759</v>
      </c>
      <c r="Y2581" s="2" t="s">
        <v>6577</v>
      </c>
      <c r="Z2581" s="4">
        <v>965</v>
      </c>
      <c r="AA2581" s="4">
        <f>=ROUNDDOWN(33.2758620689655,0)</f>
      </c>
      <c r="AB2581" s="5">
        <v>29</v>
      </c>
      <c r="AC2581" s="2" t="s">
        <v>100</v>
      </c>
      <c r="AD2581" s="4"/>
      <c r="AE2581" s="4"/>
      <c r="AF2581" s="6">
        <v>74</v>
      </c>
      <c r="AG2581" s="6">
        <v>60</v>
      </c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708</v>
      </c>
      <c r="BK2581" s="8">
        <v>176127.3</v>
      </c>
      <c r="BL2581" s="2" t="s">
        <v>9585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6185</v>
      </c>
      <c r="BV2581" s="2" t="s">
        <v>97</v>
      </c>
      <c r="BW2581" s="2" t="s">
        <v>100</v>
      </c>
      <c r="BX2581" s="2" t="s">
        <v>100</v>
      </c>
      <c r="BY2581" s="2" t="s">
        <v>112</v>
      </c>
      <c r="BZ2581" s="2" t="s">
        <v>100</v>
      </c>
    </row>
    <row r="2582">
      <c r="A2582" s="2" t="s">
        <v>9586</v>
      </c>
      <c r="B2582" s="2" t="s">
        <v>7252</v>
      </c>
      <c r="C2582" s="2" t="s">
        <v>4677</v>
      </c>
      <c r="D2582" s="2" t="s">
        <v>8575</v>
      </c>
      <c r="E2582" s="2" t="s">
        <v>8653</v>
      </c>
      <c r="F2582" s="2" t="s">
        <v>9574</v>
      </c>
      <c r="G2582" s="2" t="s">
        <v>9574</v>
      </c>
      <c r="H2582" s="2" t="s">
        <v>9574</v>
      </c>
      <c r="I2582" s="2" t="s">
        <v>9581</v>
      </c>
      <c r="J2582" s="2" t="s">
        <v>9582</v>
      </c>
      <c r="K2582" s="2" t="s">
        <v>123</v>
      </c>
      <c r="L2582" s="3">
        <v>218.5</v>
      </c>
      <c r="M2582" s="3">
        <v>229.42</v>
      </c>
      <c r="N2582" s="3">
        <v>459</v>
      </c>
      <c r="O2582" s="2" t="s">
        <v>97</v>
      </c>
      <c r="P2582" s="2" t="s">
        <v>1166</v>
      </c>
      <c r="Q2582" s="2" t="s">
        <v>99</v>
      </c>
      <c r="R2582" s="2" t="s">
        <v>100</v>
      </c>
      <c r="S2582" s="2" t="s">
        <v>100</v>
      </c>
      <c r="T2582" s="2" t="s">
        <v>100</v>
      </c>
      <c r="U2582" s="2" t="s">
        <v>3531</v>
      </c>
      <c r="V2582" s="2" t="s">
        <v>1752</v>
      </c>
      <c r="W2582" s="2" t="s">
        <v>602</v>
      </c>
      <c r="X2582" s="2" t="s">
        <v>759</v>
      </c>
      <c r="Y2582" s="2" t="s">
        <v>4609</v>
      </c>
      <c r="Z2582" s="4">
        <v>364</v>
      </c>
      <c r="AA2582" s="4">
        <f>=ROUNDDOWN({0},0)</f>
      </c>
      <c r="AB2582" s="5"/>
      <c r="AC2582" s="2" t="s">
        <v>100</v>
      </c>
      <c r="AD2582" s="4"/>
      <c r="AE2582" s="4"/>
      <c r="AF2582" s="6">
        <v>74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/>
      <c r="BK2582" s="8"/>
      <c r="BL2582" s="2" t="s">
        <v>100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147</v>
      </c>
      <c r="BV2582" s="2" t="s">
        <v>97</v>
      </c>
      <c r="BW2582" s="2" t="s">
        <v>100</v>
      </c>
      <c r="BX2582" s="2" t="s">
        <v>100</v>
      </c>
      <c r="BY2582" s="2" t="s">
        <v>112</v>
      </c>
      <c r="BZ2582" s="2" t="s">
        <v>100</v>
      </c>
    </row>
    <row r="2583">
      <c r="A2583" s="2" t="s">
        <v>9587</v>
      </c>
      <c r="B2583" s="2" t="s">
        <v>7252</v>
      </c>
      <c r="C2583" s="2" t="s">
        <v>4677</v>
      </c>
      <c r="D2583" s="2" t="s">
        <v>8575</v>
      </c>
      <c r="E2583" s="2" t="s">
        <v>8653</v>
      </c>
      <c r="F2583" s="2" t="s">
        <v>9588</v>
      </c>
      <c r="G2583" s="2" t="s">
        <v>9588</v>
      </c>
      <c r="H2583" s="2" t="s">
        <v>9588</v>
      </c>
      <c r="I2583" s="2" t="s">
        <v>9589</v>
      </c>
      <c r="J2583" s="2" t="s">
        <v>6103</v>
      </c>
      <c r="K2583" s="2" t="s">
        <v>323</v>
      </c>
      <c r="L2583" s="3">
        <v>171</v>
      </c>
      <c r="M2583" s="3">
        <v>179.55</v>
      </c>
      <c r="N2583" s="3">
        <v>359</v>
      </c>
      <c r="O2583" s="2" t="s">
        <v>550</v>
      </c>
      <c r="P2583" s="2" t="s">
        <v>198</v>
      </c>
      <c r="Q2583" s="2" t="s">
        <v>99</v>
      </c>
      <c r="R2583" s="2" t="s">
        <v>100</v>
      </c>
      <c r="S2583" s="2" t="s">
        <v>100</v>
      </c>
      <c r="T2583" s="2" t="s">
        <v>100</v>
      </c>
      <c r="U2583" s="2" t="s">
        <v>100</v>
      </c>
      <c r="V2583" s="2" t="s">
        <v>601</v>
      </c>
      <c r="W2583" s="2" t="s">
        <v>6998</v>
      </c>
      <c r="X2583" s="2" t="s">
        <v>602</v>
      </c>
      <c r="Y2583" s="2" t="s">
        <v>9590</v>
      </c>
      <c r="Z2583" s="4"/>
      <c r="AA2583" s="4">
        <f>=ROUNDDOWN({0},0)</f>
      </c>
      <c r="AB2583" s="5">
        <v>3</v>
      </c>
      <c r="AC2583" s="2" t="s">
        <v>100</v>
      </c>
      <c r="AD2583" s="4"/>
      <c r="AE2583" s="4"/>
      <c r="AF2583" s="6">
        <v>74</v>
      </c>
      <c r="AG2583" s="6">
        <v>60</v>
      </c>
      <c r="AH2583" s="7">
        <v>0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>
        <v>0</v>
      </c>
      <c r="AP2583" s="4"/>
      <c r="AQ2583" s="8"/>
      <c r="AR2583" s="4">
        <v>7</v>
      </c>
      <c r="AS2583" s="8">
        <v>1007.46</v>
      </c>
      <c r="AT2583" s="7">
        <v>-1</v>
      </c>
      <c r="AU2583" s="7">
        <v>-1</v>
      </c>
      <c r="AV2583" s="4"/>
      <c r="AW2583" s="8"/>
      <c r="AX2583" s="4">
        <v>7</v>
      </c>
      <c r="AY2583" s="8">
        <v>1007.46</v>
      </c>
      <c r="AZ2583" s="7">
        <v>-1</v>
      </c>
      <c r="BA2583" s="7">
        <v>-1</v>
      </c>
      <c r="BB2583" s="7"/>
      <c r="BC2583" s="4"/>
      <c r="BD2583" s="8"/>
      <c r="BE2583" s="4">
        <v>7</v>
      </c>
      <c r="BF2583" s="8">
        <v>1007.46</v>
      </c>
      <c r="BG2583" s="7">
        <v>-1</v>
      </c>
      <c r="BH2583" s="7">
        <v>-1</v>
      </c>
      <c r="BI2583" s="7"/>
      <c r="BJ2583" s="4"/>
      <c r="BK2583" s="8"/>
      <c r="BL2583" s="2" t="s">
        <v>9591</v>
      </c>
      <c r="BM2583" s="7"/>
      <c r="BN2583" s="7"/>
      <c r="BO2583" s="4"/>
      <c r="BP2583" s="8"/>
      <c r="BQ2583" s="4">
        <v>7</v>
      </c>
      <c r="BR2583" s="8">
        <v>1007.46</v>
      </c>
      <c r="BS2583" s="7">
        <v>-1</v>
      </c>
      <c r="BT2583" s="7">
        <v>-1</v>
      </c>
      <c r="BU2583" s="2" t="s">
        <v>109</v>
      </c>
      <c r="BV2583" s="2" t="s">
        <v>97</v>
      </c>
      <c r="BW2583" s="2" t="s">
        <v>9157</v>
      </c>
      <c r="BX2583" s="2" t="s">
        <v>9592</v>
      </c>
      <c r="BY2583" s="2" t="s">
        <v>112</v>
      </c>
      <c r="BZ2583" s="2" t="s">
        <v>100</v>
      </c>
    </row>
    <row r="2584">
      <c r="A2584" s="2" t="s">
        <v>9593</v>
      </c>
      <c r="B2584" s="2" t="s">
        <v>7252</v>
      </c>
      <c r="C2584" s="2" t="s">
        <v>4677</v>
      </c>
      <c r="D2584" s="2" t="s">
        <v>8575</v>
      </c>
      <c r="E2584" s="2" t="s">
        <v>8653</v>
      </c>
      <c r="F2584" s="2" t="s">
        <v>9594</v>
      </c>
      <c r="G2584" s="2" t="s">
        <v>9594</v>
      </c>
      <c r="H2584" s="2" t="s">
        <v>9594</v>
      </c>
      <c r="I2584" s="2" t="s">
        <v>9595</v>
      </c>
      <c r="J2584" s="2" t="s">
        <v>6103</v>
      </c>
      <c r="K2584" s="2" t="s">
        <v>9596</v>
      </c>
      <c r="L2584" s="3">
        <v>225</v>
      </c>
      <c r="M2584" s="3">
        <v>236.25</v>
      </c>
      <c r="N2584" s="3">
        <v>459</v>
      </c>
      <c r="O2584" s="2" t="s">
        <v>97</v>
      </c>
      <c r="P2584" s="2" t="s">
        <v>8446</v>
      </c>
      <c r="Q2584" s="2" t="s">
        <v>99</v>
      </c>
      <c r="R2584" s="2" t="s">
        <v>100</v>
      </c>
      <c r="S2584" s="2" t="s">
        <v>100</v>
      </c>
      <c r="T2584" s="2" t="s">
        <v>100</v>
      </c>
      <c r="U2584" s="2" t="s">
        <v>3531</v>
      </c>
      <c r="V2584" s="2" t="s">
        <v>1752</v>
      </c>
      <c r="W2584" s="2" t="s">
        <v>602</v>
      </c>
      <c r="X2584" s="2" t="s">
        <v>100</v>
      </c>
      <c r="Y2584" s="2" t="s">
        <v>9550</v>
      </c>
      <c r="Z2584" s="4"/>
      <c r="AA2584" s="4">
        <f>=ROUNDDOWN({0},0)</f>
      </c>
      <c r="AB2584" s="5"/>
      <c r="AC2584" s="2" t="s">
        <v>356</v>
      </c>
      <c r="AD2584" s="4">
        <v>58</v>
      </c>
      <c r="AE2584" s="4">
        <v>100</v>
      </c>
      <c r="AF2584" s="6">
        <v>74</v>
      </c>
      <c r="AG2584" s="6"/>
      <c r="AH2584" s="7">
        <v>0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/>
      <c r="AW2584" s="8"/>
      <c r="AX2584" s="4"/>
      <c r="AY2584" s="8"/>
      <c r="AZ2584" s="7"/>
      <c r="BA2584" s="7"/>
      <c r="BB2584" s="7"/>
      <c r="BC2584" s="4"/>
      <c r="BD2584" s="8"/>
      <c r="BE2584" s="4"/>
      <c r="BF2584" s="8"/>
      <c r="BG2584" s="7"/>
      <c r="BH2584" s="7"/>
      <c r="BI2584" s="7"/>
      <c r="BJ2584" s="4"/>
      <c r="BK2584" s="8"/>
      <c r="BL2584" s="2" t="s">
        <v>100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147</v>
      </c>
      <c r="BV2584" s="2" t="s">
        <v>97</v>
      </c>
      <c r="BW2584" s="2" t="s">
        <v>100</v>
      </c>
      <c r="BX2584" s="2" t="s">
        <v>100</v>
      </c>
      <c r="BY2584" s="2" t="s">
        <v>112</v>
      </c>
      <c r="BZ2584" s="2" t="s">
        <v>100</v>
      </c>
    </row>
    <row r="2585">
      <c r="A2585" s="2" t="s">
        <v>9597</v>
      </c>
      <c r="B2585" s="2" t="s">
        <v>7252</v>
      </c>
      <c r="C2585" s="2" t="s">
        <v>4677</v>
      </c>
      <c r="D2585" s="2" t="s">
        <v>8575</v>
      </c>
      <c r="E2585" s="2" t="s">
        <v>8637</v>
      </c>
      <c r="F2585" s="2" t="s">
        <v>9527</v>
      </c>
      <c r="G2585" s="2" t="s">
        <v>9527</v>
      </c>
      <c r="H2585" s="2" t="s">
        <v>9527</v>
      </c>
      <c r="I2585" s="2" t="s">
        <v>9598</v>
      </c>
      <c r="J2585" s="2" t="s">
        <v>6103</v>
      </c>
      <c r="K2585" s="2" t="s">
        <v>323</v>
      </c>
      <c r="L2585" s="3">
        <v>71.25</v>
      </c>
      <c r="M2585" s="3">
        <v>74.81</v>
      </c>
      <c r="N2585" s="3">
        <v>149</v>
      </c>
      <c r="O2585" s="2" t="s">
        <v>97</v>
      </c>
      <c r="P2585" s="2" t="s">
        <v>124</v>
      </c>
      <c r="Q2585" s="2" t="s">
        <v>99</v>
      </c>
      <c r="R2585" s="2" t="s">
        <v>100</v>
      </c>
      <c r="S2585" s="2" t="s">
        <v>9599</v>
      </c>
      <c r="T2585" s="2" t="s">
        <v>100</v>
      </c>
      <c r="U2585" s="2" t="s">
        <v>100</v>
      </c>
      <c r="V2585" s="2" t="s">
        <v>601</v>
      </c>
      <c r="W2585" s="2" t="s">
        <v>2195</v>
      </c>
      <c r="X2585" s="2" t="s">
        <v>100</v>
      </c>
      <c r="Y2585" s="2" t="s">
        <v>106</v>
      </c>
      <c r="Z2585" s="4">
        <v>1121</v>
      </c>
      <c r="AA2585" s="4">
        <f>=ROUNDDOWN(24.3695652173913,0)</f>
      </c>
      <c r="AB2585" s="5">
        <v>46</v>
      </c>
      <c r="AC2585" s="2" t="s">
        <v>919</v>
      </c>
      <c r="AD2585" s="4">
        <v>100</v>
      </c>
      <c r="AE2585" s="4">
        <v>420</v>
      </c>
      <c r="AF2585" s="6">
        <v>74</v>
      </c>
      <c r="AG2585" s="6">
        <v>60</v>
      </c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>
        <v>0</v>
      </c>
      <c r="AP2585" s="4">
        <v>5</v>
      </c>
      <c r="AQ2585" s="8">
        <v>374.05</v>
      </c>
      <c r="AR2585" s="4">
        <v>22</v>
      </c>
      <c r="AS2585" s="8">
        <v>1460.82</v>
      </c>
      <c r="AT2585" s="7">
        <v>-0.7727</v>
      </c>
      <c r="AU2585" s="7">
        <v>-0.7439</v>
      </c>
      <c r="AV2585" s="4">
        <v>5</v>
      </c>
      <c r="AW2585" s="8">
        <v>374.05</v>
      </c>
      <c r="AX2585" s="4">
        <v>22</v>
      </c>
      <c r="AY2585" s="8">
        <v>1460.82</v>
      </c>
      <c r="AZ2585" s="7">
        <v>-0.7727</v>
      </c>
      <c r="BA2585" s="7">
        <v>-0.7439</v>
      </c>
      <c r="BB2585" s="7">
        <v>1</v>
      </c>
      <c r="BC2585" s="4">
        <v>10</v>
      </c>
      <c r="BD2585" s="8">
        <v>748.1</v>
      </c>
      <c r="BE2585" s="4">
        <v>33</v>
      </c>
      <c r="BF2585" s="8">
        <v>2213.87</v>
      </c>
      <c r="BG2585" s="7">
        <v>-0.697</v>
      </c>
      <c r="BH2585" s="7">
        <v>-0.6621</v>
      </c>
      <c r="BI2585" s="7">
        <v>0.5</v>
      </c>
      <c r="BJ2585" s="4">
        <v>943</v>
      </c>
      <c r="BK2585" s="8">
        <v>74164.69</v>
      </c>
      <c r="BL2585" s="2" t="s">
        <v>9600</v>
      </c>
      <c r="BM2585" s="7">
        <v>0.0053</v>
      </c>
      <c r="BN2585" s="7">
        <v>0.005</v>
      </c>
      <c r="BO2585" s="4">
        <v>5</v>
      </c>
      <c r="BP2585" s="8">
        <v>374.05</v>
      </c>
      <c r="BQ2585" s="4">
        <v>22</v>
      </c>
      <c r="BR2585" s="8">
        <v>1460.82</v>
      </c>
      <c r="BS2585" s="7">
        <v>-0.7727</v>
      </c>
      <c r="BT2585" s="7">
        <v>-0.7439</v>
      </c>
      <c r="BU2585" s="2" t="s">
        <v>109</v>
      </c>
      <c r="BV2585" s="2" t="s">
        <v>97</v>
      </c>
      <c r="BW2585" s="2" t="s">
        <v>8172</v>
      </c>
      <c r="BX2585" s="2" t="s">
        <v>4771</v>
      </c>
      <c r="BY2585" s="2" t="s">
        <v>112</v>
      </c>
      <c r="BZ2585" s="2" t="s">
        <v>100</v>
      </c>
    </row>
    <row r="2586">
      <c r="A2586" s="2" t="s">
        <v>9601</v>
      </c>
      <c r="B2586" s="2" t="s">
        <v>7252</v>
      </c>
      <c r="C2586" s="2" t="s">
        <v>4677</v>
      </c>
      <c r="D2586" s="2" t="s">
        <v>8575</v>
      </c>
      <c r="E2586" s="2" t="s">
        <v>8637</v>
      </c>
      <c r="F2586" s="2" t="s">
        <v>9527</v>
      </c>
      <c r="G2586" s="2" t="s">
        <v>9527</v>
      </c>
      <c r="H2586" s="2" t="s">
        <v>9527</v>
      </c>
      <c r="I2586" s="2" t="s">
        <v>9598</v>
      </c>
      <c r="J2586" s="2" t="s">
        <v>6103</v>
      </c>
      <c r="K2586" s="2" t="s">
        <v>9449</v>
      </c>
      <c r="L2586" s="3">
        <v>71.25</v>
      </c>
      <c r="M2586" s="3">
        <v>74.81</v>
      </c>
      <c r="N2586" s="3">
        <v>149</v>
      </c>
      <c r="O2586" s="2" t="s">
        <v>97</v>
      </c>
      <c r="P2586" s="2" t="s">
        <v>143</v>
      </c>
      <c r="Q2586" s="2" t="s">
        <v>99</v>
      </c>
      <c r="R2586" s="2" t="s">
        <v>100</v>
      </c>
      <c r="S2586" s="2" t="s">
        <v>100</v>
      </c>
      <c r="T2586" s="2" t="s">
        <v>100</v>
      </c>
      <c r="U2586" s="2" t="s">
        <v>3531</v>
      </c>
      <c r="V2586" s="2" t="s">
        <v>601</v>
      </c>
      <c r="W2586" s="2" t="s">
        <v>2195</v>
      </c>
      <c r="X2586" s="2" t="s">
        <v>602</v>
      </c>
      <c r="Y2586" s="2" t="s">
        <v>8341</v>
      </c>
      <c r="Z2586" s="4">
        <v>254</v>
      </c>
      <c r="AA2586" s="4">
        <f>=ROUNDDOWN(13.3684210526316,0)</f>
      </c>
      <c r="AB2586" s="5">
        <v>19</v>
      </c>
      <c r="AC2586" s="2" t="s">
        <v>145</v>
      </c>
      <c r="AD2586" s="4">
        <v>160</v>
      </c>
      <c r="AE2586" s="4">
        <v>360</v>
      </c>
      <c r="AF2586" s="6">
        <v>74</v>
      </c>
      <c r="AG2586" s="6">
        <v>60</v>
      </c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5</v>
      </c>
      <c r="AQ2586" s="8">
        <v>374.05</v>
      </c>
      <c r="AR2586" s="4">
        <v>11</v>
      </c>
      <c r="AS2586" s="8">
        <v>753.05</v>
      </c>
      <c r="AT2586" s="7">
        <v>-0.5455</v>
      </c>
      <c r="AU2586" s="7">
        <v>-0.5033</v>
      </c>
      <c r="AV2586" s="4">
        <v>5</v>
      </c>
      <c r="AW2586" s="8">
        <v>374.05</v>
      </c>
      <c r="AX2586" s="4">
        <v>11</v>
      </c>
      <c r="AY2586" s="8">
        <v>753.05</v>
      </c>
      <c r="AZ2586" s="7">
        <v>-0.5455</v>
      </c>
      <c r="BA2586" s="7">
        <v>-0.5033</v>
      </c>
      <c r="BB2586" s="7">
        <v>1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0.5</v>
      </c>
      <c r="BJ2586" s="4">
        <v>431</v>
      </c>
      <c r="BK2586" s="8">
        <v>33178.13</v>
      </c>
      <c r="BL2586" s="2" t="s">
        <v>9602</v>
      </c>
      <c r="BM2586" s="7">
        <v>0.0116</v>
      </c>
      <c r="BN2586" s="7">
        <v>0.0113</v>
      </c>
      <c r="BO2586" s="4">
        <v>5</v>
      </c>
      <c r="BP2586" s="8">
        <v>374.05</v>
      </c>
      <c r="BQ2586" s="4">
        <v>11</v>
      </c>
      <c r="BR2586" s="8">
        <v>753.05</v>
      </c>
      <c r="BS2586" s="7">
        <v>-0.5455</v>
      </c>
      <c r="BT2586" s="7">
        <v>-0.5033</v>
      </c>
      <c r="BU2586" s="2" t="s">
        <v>109</v>
      </c>
      <c r="BV2586" s="2" t="s">
        <v>97</v>
      </c>
      <c r="BW2586" s="2" t="s">
        <v>573</v>
      </c>
      <c r="BX2586" s="2" t="s">
        <v>8115</v>
      </c>
      <c r="BY2586" s="2" t="s">
        <v>112</v>
      </c>
      <c r="BZ2586" s="2" t="s">
        <v>100</v>
      </c>
    </row>
    <row r="2587">
      <c r="A2587" s="2" t="s">
        <v>9603</v>
      </c>
      <c r="B2587" s="2" t="s">
        <v>7252</v>
      </c>
      <c r="C2587" s="2" t="s">
        <v>4677</v>
      </c>
      <c r="D2587" s="2" t="s">
        <v>8575</v>
      </c>
      <c r="E2587" s="2" t="s">
        <v>8637</v>
      </c>
      <c r="F2587" s="2" t="s">
        <v>9558</v>
      </c>
      <c r="G2587" s="2" t="s">
        <v>100</v>
      </c>
      <c r="H2587" s="2" t="s">
        <v>100</v>
      </c>
      <c r="I2587" s="2" t="s">
        <v>8637</v>
      </c>
      <c r="J2587" s="2" t="s">
        <v>6103</v>
      </c>
      <c r="K2587" s="2" t="s">
        <v>666</v>
      </c>
      <c r="L2587" s="3">
        <v>99.75</v>
      </c>
      <c r="M2587" s="3">
        <v>104.74</v>
      </c>
      <c r="N2587" s="3">
        <v>199.99</v>
      </c>
      <c r="O2587" s="2" t="s">
        <v>229</v>
      </c>
      <c r="P2587" s="2" t="s">
        <v>198</v>
      </c>
      <c r="Q2587" s="2" t="s">
        <v>99</v>
      </c>
      <c r="R2587" s="2" t="s">
        <v>100</v>
      </c>
      <c r="S2587" s="2" t="s">
        <v>9559</v>
      </c>
      <c r="T2587" s="2" t="s">
        <v>100</v>
      </c>
      <c r="U2587" s="2" t="s">
        <v>100</v>
      </c>
      <c r="V2587" s="2" t="s">
        <v>601</v>
      </c>
      <c r="W2587" s="2" t="s">
        <v>602</v>
      </c>
      <c r="X2587" s="2" t="s">
        <v>100</v>
      </c>
      <c r="Y2587" s="2" t="s">
        <v>106</v>
      </c>
      <c r="Z2587" s="4">
        <v>76</v>
      </c>
      <c r="AA2587" s="4">
        <f>=ROUNDDOWN(84.4444444444444,0)</f>
      </c>
      <c r="AB2587" s="5">
        <v>0.9</v>
      </c>
      <c r="AC2587" s="2" t="s">
        <v>100</v>
      </c>
      <c r="AD2587" s="4"/>
      <c r="AE2587" s="4"/>
      <c r="AF2587" s="6">
        <v>65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/>
      <c r="AW2587" s="8"/>
      <c r="AX2587" s="4"/>
      <c r="AY2587" s="8"/>
      <c r="AZ2587" s="7"/>
      <c r="BA2587" s="7"/>
      <c r="BB2587" s="7"/>
      <c r="BC2587" s="4"/>
      <c r="BD2587" s="8"/>
      <c r="BE2587" s="4"/>
      <c r="BF2587" s="8"/>
      <c r="BG2587" s="7"/>
      <c r="BH2587" s="7"/>
      <c r="BI2587" s="7"/>
      <c r="BJ2587" s="4">
        <v>16</v>
      </c>
      <c r="BK2587" s="8">
        <v>1218.21</v>
      </c>
      <c r="BL2587" s="2" t="s">
        <v>7456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147</v>
      </c>
      <c r="BV2587" s="2" t="s">
        <v>97</v>
      </c>
      <c r="BW2587" s="2" t="s">
        <v>100</v>
      </c>
      <c r="BX2587" s="2" t="s">
        <v>100</v>
      </c>
      <c r="BY2587" s="2" t="s">
        <v>112</v>
      </c>
      <c r="BZ2587" s="2" t="s">
        <v>100</v>
      </c>
    </row>
    <row r="2588">
      <c r="A2588" s="2" t="s">
        <v>9604</v>
      </c>
      <c r="B2588" s="2" t="s">
        <v>7252</v>
      </c>
      <c r="C2588" s="2" t="s">
        <v>4677</v>
      </c>
      <c r="D2588" s="2" t="s">
        <v>8575</v>
      </c>
      <c r="E2588" s="2" t="s">
        <v>9605</v>
      </c>
      <c r="F2588" s="2" t="s">
        <v>9606</v>
      </c>
      <c r="G2588" s="2" t="s">
        <v>9606</v>
      </c>
      <c r="H2588" s="2" t="s">
        <v>9606</v>
      </c>
      <c r="I2588" s="2" t="s">
        <v>9607</v>
      </c>
      <c r="J2588" s="2" t="s">
        <v>6103</v>
      </c>
      <c r="K2588" s="2" t="s">
        <v>9608</v>
      </c>
      <c r="L2588" s="3">
        <v>190</v>
      </c>
      <c r="M2588" s="3">
        <v>199.5</v>
      </c>
      <c r="N2588" s="3">
        <v>399</v>
      </c>
      <c r="O2588" s="2" t="s">
        <v>550</v>
      </c>
      <c r="P2588" s="2" t="s">
        <v>198</v>
      </c>
      <c r="Q2588" s="2" t="s">
        <v>99</v>
      </c>
      <c r="R2588" s="2" t="s">
        <v>100</v>
      </c>
      <c r="S2588" s="2" t="s">
        <v>100</v>
      </c>
      <c r="T2588" s="2" t="s">
        <v>100</v>
      </c>
      <c r="U2588" s="2" t="s">
        <v>100</v>
      </c>
      <c r="V2588" s="2" t="s">
        <v>1752</v>
      </c>
      <c r="W2588" s="2" t="s">
        <v>6998</v>
      </c>
      <c r="X2588" s="2" t="s">
        <v>100</v>
      </c>
      <c r="Y2588" s="2" t="s">
        <v>2429</v>
      </c>
      <c r="Z2588" s="4"/>
      <c r="AA2588" s="4">
        <f>=ROUNDDOWN({0},0)</f>
      </c>
      <c r="AB2588" s="5"/>
      <c r="AC2588" s="2" t="s">
        <v>100</v>
      </c>
      <c r="AD2588" s="4"/>
      <c r="AE2588" s="4"/>
      <c r="AF2588" s="6">
        <v>74</v>
      </c>
      <c r="AG2588" s="6"/>
      <c r="AH2588" s="7">
        <v>0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>
        <v>0</v>
      </c>
      <c r="AP2588" s="4"/>
      <c r="AQ2588" s="8"/>
      <c r="AR2588" s="4">
        <v>9</v>
      </c>
      <c r="AS2588" s="8">
        <v>1795.5</v>
      </c>
      <c r="AT2588" s="7">
        <v>-1</v>
      </c>
      <c r="AU2588" s="7">
        <v>-1</v>
      </c>
      <c r="AV2588" s="4"/>
      <c r="AW2588" s="8"/>
      <c r="AX2588" s="4">
        <v>9</v>
      </c>
      <c r="AY2588" s="8">
        <v>1795.5</v>
      </c>
      <c r="AZ2588" s="7">
        <v>-1</v>
      </c>
      <c r="BA2588" s="7">
        <v>-1</v>
      </c>
      <c r="BB2588" s="7"/>
      <c r="BC2588" s="4"/>
      <c r="BD2588" s="8"/>
      <c r="BE2588" s="4">
        <v>9</v>
      </c>
      <c r="BF2588" s="8">
        <v>1795.5</v>
      </c>
      <c r="BG2588" s="7">
        <v>-1</v>
      </c>
      <c r="BH2588" s="7">
        <v>-1</v>
      </c>
      <c r="BI2588" s="7"/>
      <c r="BJ2588" s="4"/>
      <c r="BK2588" s="8"/>
      <c r="BL2588" s="2" t="s">
        <v>9609</v>
      </c>
      <c r="BM2588" s="7"/>
      <c r="BN2588" s="7"/>
      <c r="BO2588" s="4"/>
      <c r="BP2588" s="8"/>
      <c r="BQ2588" s="4">
        <v>9</v>
      </c>
      <c r="BR2588" s="8">
        <v>1795.5</v>
      </c>
      <c r="BS2588" s="7">
        <v>-1</v>
      </c>
      <c r="BT2588" s="7">
        <v>-1</v>
      </c>
      <c r="BU2588" s="2" t="s">
        <v>109</v>
      </c>
      <c r="BV2588" s="2" t="s">
        <v>552</v>
      </c>
      <c r="BW2588" s="2" t="s">
        <v>7307</v>
      </c>
      <c r="BX2588" s="2" t="s">
        <v>5308</v>
      </c>
      <c r="BY2588" s="2" t="s">
        <v>112</v>
      </c>
      <c r="BZ2588" s="2" t="s">
        <v>100</v>
      </c>
    </row>
    <row r="2589">
      <c r="A2589" s="2" t="s">
        <v>9610</v>
      </c>
      <c r="B2589" s="2" t="s">
        <v>7252</v>
      </c>
      <c r="C2589" s="2" t="s">
        <v>4677</v>
      </c>
      <c r="D2589" s="2" t="s">
        <v>8575</v>
      </c>
      <c r="E2589" s="2" t="s">
        <v>8676</v>
      </c>
      <c r="F2589" s="2" t="s">
        <v>9594</v>
      </c>
      <c r="G2589" s="2" t="s">
        <v>9594</v>
      </c>
      <c r="H2589" s="2" t="s">
        <v>9594</v>
      </c>
      <c r="I2589" s="2" t="s">
        <v>9611</v>
      </c>
      <c r="J2589" s="2" t="s">
        <v>6103</v>
      </c>
      <c r="K2589" s="2" t="s">
        <v>9596</v>
      </c>
      <c r="L2589" s="3">
        <v>244.7</v>
      </c>
      <c r="M2589" s="3">
        <v>256.94</v>
      </c>
      <c r="N2589" s="3">
        <v>499</v>
      </c>
      <c r="O2589" s="2" t="s">
        <v>97</v>
      </c>
      <c r="P2589" s="2" t="s">
        <v>8446</v>
      </c>
      <c r="Q2589" s="2" t="s">
        <v>99</v>
      </c>
      <c r="R2589" s="2" t="s">
        <v>100</v>
      </c>
      <c r="S2589" s="2" t="s">
        <v>100</v>
      </c>
      <c r="T2589" s="2" t="s">
        <v>100</v>
      </c>
      <c r="U2589" s="2" t="s">
        <v>3531</v>
      </c>
      <c r="V2589" s="2" t="s">
        <v>1752</v>
      </c>
      <c r="W2589" s="2" t="s">
        <v>602</v>
      </c>
      <c r="X2589" s="2" t="s">
        <v>100</v>
      </c>
      <c r="Y2589" s="2" t="s">
        <v>9550</v>
      </c>
      <c r="Z2589" s="4"/>
      <c r="AA2589" s="4">
        <f>=ROUNDDOWN({0},0)</f>
      </c>
      <c r="AB2589" s="5"/>
      <c r="AC2589" s="2" t="s">
        <v>356</v>
      </c>
      <c r="AD2589" s="4">
        <v>58</v>
      </c>
      <c r="AE2589" s="4">
        <v>100</v>
      </c>
      <c r="AF2589" s="6">
        <v>74</v>
      </c>
      <c r="AG2589" s="6"/>
      <c r="AH2589" s="7">
        <v>0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/>
      <c r="AW2589" s="8"/>
      <c r="AX2589" s="4"/>
      <c r="AY2589" s="8"/>
      <c r="AZ2589" s="7"/>
      <c r="BA2589" s="7"/>
      <c r="BB2589" s="7"/>
      <c r="BC2589" s="4"/>
      <c r="BD2589" s="8"/>
      <c r="BE2589" s="4"/>
      <c r="BF2589" s="8"/>
      <c r="BG2589" s="7"/>
      <c r="BH2589" s="7"/>
      <c r="BI2589" s="7"/>
      <c r="BJ2589" s="4"/>
      <c r="BK2589" s="8"/>
      <c r="BL2589" s="2" t="s">
        <v>100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147</v>
      </c>
      <c r="BV2589" s="2" t="s">
        <v>97</v>
      </c>
      <c r="BW2589" s="2" t="s">
        <v>100</v>
      </c>
      <c r="BX2589" s="2" t="s">
        <v>100</v>
      </c>
      <c r="BY2589" s="2" t="s">
        <v>112</v>
      </c>
      <c r="BZ2589" s="2" t="s">
        <v>100</v>
      </c>
    </row>
    <row r="2590">
      <c r="A2590" s="2" t="s">
        <v>9612</v>
      </c>
      <c r="B2590" s="2" t="s">
        <v>7252</v>
      </c>
      <c r="C2590" s="2" t="s">
        <v>4677</v>
      </c>
      <c r="D2590" s="2" t="s">
        <v>8575</v>
      </c>
      <c r="E2590" s="2" t="s">
        <v>8676</v>
      </c>
      <c r="F2590" s="2" t="s">
        <v>9613</v>
      </c>
      <c r="G2590" s="2" t="s">
        <v>9613</v>
      </c>
      <c r="H2590" s="2" t="s">
        <v>9613</v>
      </c>
      <c r="I2590" s="2" t="s">
        <v>9614</v>
      </c>
      <c r="J2590" s="2" t="s">
        <v>6103</v>
      </c>
      <c r="K2590" s="2" t="s">
        <v>123</v>
      </c>
      <c r="L2590" s="3">
        <v>165</v>
      </c>
      <c r="M2590" s="3">
        <v>173.25</v>
      </c>
      <c r="N2590" s="3">
        <v>349</v>
      </c>
      <c r="O2590" s="2" t="s">
        <v>97</v>
      </c>
      <c r="P2590" s="2" t="s">
        <v>1166</v>
      </c>
      <c r="Q2590" s="2" t="s">
        <v>99</v>
      </c>
      <c r="R2590" s="2" t="s">
        <v>100</v>
      </c>
      <c r="S2590" s="2" t="s">
        <v>100</v>
      </c>
      <c r="T2590" s="2" t="s">
        <v>100</v>
      </c>
      <c r="U2590" s="2" t="s">
        <v>3531</v>
      </c>
      <c r="V2590" s="2" t="s">
        <v>1752</v>
      </c>
      <c r="W2590" s="2" t="s">
        <v>602</v>
      </c>
      <c r="X2590" s="2" t="s">
        <v>759</v>
      </c>
      <c r="Y2590" s="2" t="s">
        <v>9615</v>
      </c>
      <c r="Z2590" s="4">
        <v>79</v>
      </c>
      <c r="AA2590" s="4">
        <f>=ROUNDDOWN(20.2564102564103,0)</f>
      </c>
      <c r="AB2590" s="5">
        <v>3.9</v>
      </c>
      <c r="AC2590" s="2" t="s">
        <v>100</v>
      </c>
      <c r="AD2590" s="4"/>
      <c r="AE2590" s="4"/>
      <c r="AF2590" s="6">
        <v>69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/>
      <c r="AW2590" s="8"/>
      <c r="AX2590" s="4"/>
      <c r="AY2590" s="8"/>
      <c r="AZ2590" s="7"/>
      <c r="BA2590" s="7"/>
      <c r="BB2590" s="7"/>
      <c r="BC2590" s="4"/>
      <c r="BD2590" s="8"/>
      <c r="BE2590" s="4"/>
      <c r="BF2590" s="8"/>
      <c r="BG2590" s="7"/>
      <c r="BH2590" s="7"/>
      <c r="BI2590" s="7"/>
      <c r="BJ2590" s="4">
        <v>20</v>
      </c>
      <c r="BK2590" s="8">
        <v>3800.03</v>
      </c>
      <c r="BL2590" s="2" t="s">
        <v>9616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147</v>
      </c>
      <c r="BV2590" s="2" t="s">
        <v>97</v>
      </c>
      <c r="BW2590" s="2" t="s">
        <v>100</v>
      </c>
      <c r="BX2590" s="2" t="s">
        <v>100</v>
      </c>
      <c r="BY2590" s="2" t="s">
        <v>112</v>
      </c>
      <c r="BZ2590" s="2" t="s">
        <v>100</v>
      </c>
    </row>
    <row r="2591">
      <c r="A2591" s="2" t="s">
        <v>9617</v>
      </c>
      <c r="B2591" s="2" t="s">
        <v>7252</v>
      </c>
      <c r="C2591" s="2" t="s">
        <v>4677</v>
      </c>
      <c r="D2591" s="2" t="s">
        <v>8817</v>
      </c>
      <c r="E2591" s="2" t="s">
        <v>8818</v>
      </c>
      <c r="F2591" s="2" t="s">
        <v>9618</v>
      </c>
      <c r="G2591" s="2" t="s">
        <v>9618</v>
      </c>
      <c r="H2591" s="2" t="s">
        <v>9618</v>
      </c>
      <c r="I2591" s="2" t="s">
        <v>8854</v>
      </c>
      <c r="J2591" s="2" t="s">
        <v>6103</v>
      </c>
      <c r="K2591" s="2" t="s">
        <v>333</v>
      </c>
      <c r="L2591" s="3">
        <v>195</v>
      </c>
      <c r="M2591" s="3">
        <v>204.75</v>
      </c>
      <c r="N2591" s="3">
        <v>409</v>
      </c>
      <c r="O2591" s="2" t="s">
        <v>97</v>
      </c>
      <c r="P2591" s="2" t="s">
        <v>1265</v>
      </c>
      <c r="Q2591" s="2" t="s">
        <v>99</v>
      </c>
      <c r="R2591" s="2" t="s">
        <v>100</v>
      </c>
      <c r="S2591" s="2" t="s">
        <v>9619</v>
      </c>
      <c r="T2591" s="2" t="s">
        <v>100</v>
      </c>
      <c r="U2591" s="2" t="s">
        <v>100</v>
      </c>
      <c r="V2591" s="2" t="s">
        <v>601</v>
      </c>
      <c r="W2591" s="2" t="s">
        <v>6998</v>
      </c>
      <c r="X2591" s="2" t="s">
        <v>100</v>
      </c>
      <c r="Y2591" s="2" t="s">
        <v>106</v>
      </c>
      <c r="Z2591" s="4">
        <v>67</v>
      </c>
      <c r="AA2591" s="4">
        <f>=ROUNDDOWN(33.5,0)</f>
      </c>
      <c r="AB2591" s="5">
        <v>2</v>
      </c>
      <c r="AC2591" s="2" t="s">
        <v>589</v>
      </c>
      <c r="AD2591" s="4">
        <v>50</v>
      </c>
      <c r="AE2591" s="4">
        <v>50</v>
      </c>
      <c r="AF2591" s="6">
        <v>76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>
        <v>0</v>
      </c>
      <c r="AP2591" s="4">
        <v>7</v>
      </c>
      <c r="AQ2591" s="8">
        <v>1396.5</v>
      </c>
      <c r="AR2591" s="4"/>
      <c r="AS2591" s="8"/>
      <c r="AT2591" s="7"/>
      <c r="AU2591" s="7"/>
      <c r="AV2591" s="4">
        <v>7</v>
      </c>
      <c r="AW2591" s="8">
        <v>1396.5</v>
      </c>
      <c r="AX2591" s="4"/>
      <c r="AY2591" s="8"/>
      <c r="AZ2591" s="7"/>
      <c r="BA2591" s="7"/>
      <c r="BB2591" s="7">
        <v>1</v>
      </c>
      <c r="BC2591" s="4">
        <v>7</v>
      </c>
      <c r="BD2591" s="8">
        <v>1396.5</v>
      </c>
      <c r="BE2591" s="4"/>
      <c r="BF2591" s="8"/>
      <c r="BG2591" s="7"/>
      <c r="BH2591" s="7"/>
      <c r="BI2591" s="7">
        <v>1</v>
      </c>
      <c r="BJ2591" s="4">
        <v>32</v>
      </c>
      <c r="BK2591" s="8">
        <v>5543.54</v>
      </c>
      <c r="BL2591" s="2" t="s">
        <v>9620</v>
      </c>
      <c r="BM2591" s="7">
        <v>0.2188</v>
      </c>
      <c r="BN2591" s="7">
        <v>0.2519</v>
      </c>
      <c r="BO2591" s="4">
        <v>7</v>
      </c>
      <c r="BP2591" s="8">
        <v>1396.5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7311</v>
      </c>
      <c r="BX2591" s="2" t="s">
        <v>5756</v>
      </c>
      <c r="BY2591" s="2" t="s">
        <v>112</v>
      </c>
      <c r="BZ2591" s="2" t="s">
        <v>100</v>
      </c>
    </row>
    <row r="2592">
      <c r="A2592" s="2" t="s">
        <v>9621</v>
      </c>
      <c r="B2592" s="2" t="s">
        <v>7252</v>
      </c>
      <c r="C2592" s="2" t="s">
        <v>4677</v>
      </c>
      <c r="D2592" s="2" t="s">
        <v>8817</v>
      </c>
      <c r="E2592" s="2" t="s">
        <v>8818</v>
      </c>
      <c r="F2592" s="2" t="s">
        <v>9452</v>
      </c>
      <c r="G2592" s="2" t="s">
        <v>9452</v>
      </c>
      <c r="H2592" s="2" t="s">
        <v>9452</v>
      </c>
      <c r="I2592" s="2" t="s">
        <v>8854</v>
      </c>
      <c r="J2592" s="2" t="s">
        <v>6103</v>
      </c>
      <c r="K2592" s="2" t="s">
        <v>7696</v>
      </c>
      <c r="L2592" s="3">
        <v>193.5</v>
      </c>
      <c r="M2592" s="3">
        <v>203.18</v>
      </c>
      <c r="N2592" s="3">
        <v>399</v>
      </c>
      <c r="O2592" s="2" t="s">
        <v>97</v>
      </c>
      <c r="P2592" s="2" t="s">
        <v>182</v>
      </c>
      <c r="Q2592" s="2" t="s">
        <v>99</v>
      </c>
      <c r="R2592" s="2" t="s">
        <v>100</v>
      </c>
      <c r="S2592" s="2" t="s">
        <v>9622</v>
      </c>
      <c r="T2592" s="2" t="s">
        <v>100</v>
      </c>
      <c r="U2592" s="2" t="s">
        <v>100</v>
      </c>
      <c r="V2592" s="2" t="s">
        <v>601</v>
      </c>
      <c r="W2592" s="2" t="s">
        <v>6998</v>
      </c>
      <c r="X2592" s="2" t="s">
        <v>100</v>
      </c>
      <c r="Y2592" s="2" t="s">
        <v>9623</v>
      </c>
      <c r="Z2592" s="4">
        <v>85</v>
      </c>
      <c r="AA2592" s="4">
        <f>=ROUNDDOWN(8.5,0)</f>
      </c>
      <c r="AB2592" s="5">
        <v>10</v>
      </c>
      <c r="AC2592" s="2" t="s">
        <v>130</v>
      </c>
      <c r="AD2592" s="4">
        <v>20</v>
      </c>
      <c r="AE2592" s="4">
        <v>250</v>
      </c>
      <c r="AF2592" s="6">
        <v>66</v>
      </c>
      <c r="AG2592" s="6"/>
      <c r="AH2592" s="7">
        <v>0.9879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>
        <v>0</v>
      </c>
      <c r="AP2592" s="4">
        <v>4</v>
      </c>
      <c r="AQ2592" s="8">
        <v>812.72</v>
      </c>
      <c r="AR2592" s="4">
        <v>9</v>
      </c>
      <c r="AS2592" s="8">
        <v>1371.51</v>
      </c>
      <c r="AT2592" s="7">
        <v>-0.5556</v>
      </c>
      <c r="AU2592" s="7">
        <v>-0.4074</v>
      </c>
      <c r="AV2592" s="4">
        <v>4</v>
      </c>
      <c r="AW2592" s="8">
        <v>812.72</v>
      </c>
      <c r="AX2592" s="4">
        <v>9</v>
      </c>
      <c r="AY2592" s="8">
        <v>1371.51</v>
      </c>
      <c r="AZ2592" s="7">
        <v>-0.5556</v>
      </c>
      <c r="BA2592" s="7">
        <v>-0.4074</v>
      </c>
      <c r="BB2592" s="7">
        <v>1</v>
      </c>
      <c r="BC2592" s="4">
        <v>4</v>
      </c>
      <c r="BD2592" s="8">
        <v>812.72</v>
      </c>
      <c r="BE2592" s="4">
        <v>9</v>
      </c>
      <c r="BF2592" s="8">
        <v>1371.51</v>
      </c>
      <c r="BG2592" s="7">
        <v>-0.5556</v>
      </c>
      <c r="BH2592" s="7">
        <v>-0.4074</v>
      </c>
      <c r="BI2592" s="7">
        <v>1</v>
      </c>
      <c r="BJ2592" s="4">
        <v>249</v>
      </c>
      <c r="BK2592" s="8">
        <v>47388.71</v>
      </c>
      <c r="BL2592" s="2" t="s">
        <v>9624</v>
      </c>
      <c r="BM2592" s="7">
        <v>0.0161</v>
      </c>
      <c r="BN2592" s="7">
        <v>0.0172</v>
      </c>
      <c r="BO2592" s="4">
        <v>4</v>
      </c>
      <c r="BP2592" s="8">
        <v>812.72</v>
      </c>
      <c r="BQ2592" s="4">
        <v>9</v>
      </c>
      <c r="BR2592" s="8">
        <v>1371.51</v>
      </c>
      <c r="BS2592" s="7">
        <v>-0.5556</v>
      </c>
      <c r="BT2592" s="7">
        <v>-0.4074</v>
      </c>
      <c r="BU2592" s="2" t="s">
        <v>109</v>
      </c>
      <c r="BV2592" s="2" t="s">
        <v>97</v>
      </c>
      <c r="BW2592" s="2" t="s">
        <v>9625</v>
      </c>
      <c r="BX2592" s="2" t="s">
        <v>9626</v>
      </c>
      <c r="BY2592" s="2" t="s">
        <v>112</v>
      </c>
      <c r="BZ2592" s="2" t="s">
        <v>100</v>
      </c>
    </row>
    <row r="2593">
      <c r="A2593" s="2" t="s">
        <v>9627</v>
      </c>
      <c r="B2593" s="2" t="s">
        <v>7252</v>
      </c>
      <c r="C2593" s="2" t="s">
        <v>4677</v>
      </c>
      <c r="D2593" s="2" t="s">
        <v>8817</v>
      </c>
      <c r="E2593" s="2" t="s">
        <v>8818</v>
      </c>
      <c r="F2593" s="2" t="s">
        <v>9452</v>
      </c>
      <c r="G2593" s="2" t="s">
        <v>9452</v>
      </c>
      <c r="H2593" s="2" t="s">
        <v>9452</v>
      </c>
      <c r="I2593" s="2" t="s">
        <v>8854</v>
      </c>
      <c r="J2593" s="2" t="s">
        <v>6103</v>
      </c>
      <c r="K2593" s="2" t="s">
        <v>158</v>
      </c>
      <c r="L2593" s="3">
        <v>193.5</v>
      </c>
      <c r="M2593" s="3">
        <v>203.18</v>
      </c>
      <c r="N2593" s="3">
        <v>399</v>
      </c>
      <c r="O2593" s="2" t="s">
        <v>97</v>
      </c>
      <c r="P2593" s="2" t="s">
        <v>182</v>
      </c>
      <c r="Q2593" s="2" t="s">
        <v>99</v>
      </c>
      <c r="R2593" s="2" t="s">
        <v>100</v>
      </c>
      <c r="S2593" s="2" t="s">
        <v>9628</v>
      </c>
      <c r="T2593" s="2" t="s">
        <v>100</v>
      </c>
      <c r="U2593" s="2" t="s">
        <v>100</v>
      </c>
      <c r="V2593" s="2" t="s">
        <v>601</v>
      </c>
      <c r="W2593" s="2" t="s">
        <v>2195</v>
      </c>
      <c r="X2593" s="2" t="s">
        <v>100</v>
      </c>
      <c r="Y2593" s="2" t="s">
        <v>106</v>
      </c>
      <c r="Z2593" s="4">
        <v>304</v>
      </c>
      <c r="AA2593" s="4">
        <f>=ROUNDDOWN(27.6363636363636,0)</f>
      </c>
      <c r="AB2593" s="5">
        <v>11</v>
      </c>
      <c r="AC2593" s="2" t="s">
        <v>100</v>
      </c>
      <c r="AD2593" s="4"/>
      <c r="AE2593" s="4"/>
      <c r="AF2593" s="6">
        <v>66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/>
      <c r="BJ2593" s="4">
        <v>229</v>
      </c>
      <c r="BK2593" s="8">
        <v>44139.84</v>
      </c>
      <c r="BL2593" s="2" t="s">
        <v>9629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7841</v>
      </c>
      <c r="BX2593" s="2" t="s">
        <v>100</v>
      </c>
      <c r="BY2593" s="2" t="s">
        <v>112</v>
      </c>
      <c r="BZ2593" s="2" t="s">
        <v>100</v>
      </c>
    </row>
    <row r="2594">
      <c r="A2594" s="2" t="s">
        <v>9630</v>
      </c>
      <c r="B2594" s="2" t="s">
        <v>7252</v>
      </c>
      <c r="C2594" s="2" t="s">
        <v>4677</v>
      </c>
      <c r="D2594" s="2" t="s">
        <v>8817</v>
      </c>
      <c r="E2594" s="2" t="s">
        <v>8818</v>
      </c>
      <c r="F2594" s="2" t="s">
        <v>9448</v>
      </c>
      <c r="G2594" s="2" t="s">
        <v>9448</v>
      </c>
      <c r="H2594" s="2" t="s">
        <v>9448</v>
      </c>
      <c r="I2594" s="2" t="s">
        <v>9631</v>
      </c>
      <c r="J2594" s="2" t="s">
        <v>6103</v>
      </c>
      <c r="K2594" s="2" t="s">
        <v>9449</v>
      </c>
      <c r="L2594" s="3">
        <v>203</v>
      </c>
      <c r="M2594" s="3">
        <v>213.15</v>
      </c>
      <c r="N2594" s="3">
        <v>429</v>
      </c>
      <c r="O2594" s="2" t="s">
        <v>97</v>
      </c>
      <c r="P2594" s="2" t="s">
        <v>124</v>
      </c>
      <c r="Q2594" s="2" t="s">
        <v>99</v>
      </c>
      <c r="R2594" s="2" t="s">
        <v>100</v>
      </c>
      <c r="S2594" s="2" t="s">
        <v>100</v>
      </c>
      <c r="T2594" s="2" t="s">
        <v>100</v>
      </c>
      <c r="U2594" s="2" t="s">
        <v>2104</v>
      </c>
      <c r="V2594" s="2" t="s">
        <v>601</v>
      </c>
      <c r="W2594" s="2" t="s">
        <v>759</v>
      </c>
      <c r="X2594" s="2" t="s">
        <v>100</v>
      </c>
      <c r="Y2594" s="2" t="s">
        <v>3960</v>
      </c>
      <c r="Z2594" s="4">
        <v>509</v>
      </c>
      <c r="AA2594" s="4">
        <f>=ROUNDDOWN(74.8529411764706,0)</f>
      </c>
      <c r="AB2594" s="5">
        <v>6.8</v>
      </c>
      <c r="AC2594" s="2" t="s">
        <v>533</v>
      </c>
      <c r="AD2594" s="4">
        <v>154</v>
      </c>
      <c r="AE2594" s="4">
        <v>154</v>
      </c>
      <c r="AF2594" s="6">
        <v>66</v>
      </c>
      <c r="AG2594" s="6">
        <v>49</v>
      </c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>
        <v>0</v>
      </c>
      <c r="AP2594" s="4">
        <v>3</v>
      </c>
      <c r="AQ2594" s="8">
        <v>639.42</v>
      </c>
      <c r="AR2594" s="4">
        <v>5</v>
      </c>
      <c r="AS2594" s="8">
        <v>1121.8</v>
      </c>
      <c r="AT2594" s="7">
        <v>-0.4</v>
      </c>
      <c r="AU2594" s="7">
        <v>-0.43</v>
      </c>
      <c r="AV2594" s="4">
        <v>3</v>
      </c>
      <c r="AW2594" s="8">
        <v>639.42</v>
      </c>
      <c r="AX2594" s="4">
        <v>5</v>
      </c>
      <c r="AY2594" s="8">
        <v>1121.8</v>
      </c>
      <c r="AZ2594" s="7">
        <v>-0.4</v>
      </c>
      <c r="BA2594" s="7">
        <v>-0.43</v>
      </c>
      <c r="BB2594" s="7">
        <v>1</v>
      </c>
      <c r="BC2594" s="4">
        <v>3</v>
      </c>
      <c r="BD2594" s="8">
        <v>639.42</v>
      </c>
      <c r="BE2594" s="4">
        <v>5</v>
      </c>
      <c r="BF2594" s="8">
        <v>1121.8</v>
      </c>
      <c r="BG2594" s="7">
        <v>-0.4</v>
      </c>
      <c r="BH2594" s="7">
        <v>-0.43</v>
      </c>
      <c r="BI2594" s="7">
        <v>1</v>
      </c>
      <c r="BJ2594" s="4">
        <v>713</v>
      </c>
      <c r="BK2594" s="8">
        <v>136612.28</v>
      </c>
      <c r="BL2594" s="2" t="s">
        <v>9632</v>
      </c>
      <c r="BM2594" s="7">
        <v>0.0042</v>
      </c>
      <c r="BN2594" s="7">
        <v>0.0047</v>
      </c>
      <c r="BO2594" s="4">
        <v>3</v>
      </c>
      <c r="BP2594" s="8">
        <v>639.42</v>
      </c>
      <c r="BQ2594" s="4">
        <v>5</v>
      </c>
      <c r="BR2594" s="8">
        <v>1121.8</v>
      </c>
      <c r="BS2594" s="7">
        <v>-0.4</v>
      </c>
      <c r="BT2594" s="7">
        <v>-0.43</v>
      </c>
      <c r="BU2594" s="2" t="s">
        <v>109</v>
      </c>
      <c r="BV2594" s="2" t="s">
        <v>97</v>
      </c>
      <c r="BW2594" s="2" t="s">
        <v>7841</v>
      </c>
      <c r="BX2594" s="2" t="s">
        <v>2750</v>
      </c>
      <c r="BY2594" s="2" t="s">
        <v>112</v>
      </c>
      <c r="BZ2594" s="2" t="s">
        <v>100</v>
      </c>
    </row>
    <row r="2595">
      <c r="A2595" s="2" t="s">
        <v>9633</v>
      </c>
      <c r="B2595" s="2" t="s">
        <v>7252</v>
      </c>
      <c r="C2595" s="2" t="s">
        <v>4677</v>
      </c>
      <c r="D2595" s="2" t="s">
        <v>8817</v>
      </c>
      <c r="E2595" s="2" t="s">
        <v>8818</v>
      </c>
      <c r="F2595" s="2" t="s">
        <v>9448</v>
      </c>
      <c r="G2595" s="2" t="s">
        <v>9448</v>
      </c>
      <c r="H2595" s="2" t="s">
        <v>9448</v>
      </c>
      <c r="I2595" s="2" t="s">
        <v>9631</v>
      </c>
      <c r="J2595" s="2" t="s">
        <v>6103</v>
      </c>
      <c r="K2595" s="2" t="s">
        <v>323</v>
      </c>
      <c r="L2595" s="3">
        <v>203</v>
      </c>
      <c r="M2595" s="3">
        <v>213.15</v>
      </c>
      <c r="N2595" s="3">
        <v>429</v>
      </c>
      <c r="O2595" s="2" t="s">
        <v>97</v>
      </c>
      <c r="P2595" s="2" t="s">
        <v>182</v>
      </c>
      <c r="Q2595" s="2" t="s">
        <v>99</v>
      </c>
      <c r="R2595" s="2" t="s">
        <v>100</v>
      </c>
      <c r="S2595" s="2" t="s">
        <v>100</v>
      </c>
      <c r="T2595" s="2" t="s">
        <v>100</v>
      </c>
      <c r="U2595" s="2" t="s">
        <v>2104</v>
      </c>
      <c r="V2595" s="2" t="s">
        <v>1752</v>
      </c>
      <c r="W2595" s="2" t="s">
        <v>759</v>
      </c>
      <c r="X2595" s="2" t="s">
        <v>602</v>
      </c>
      <c r="Y2595" s="2" t="s">
        <v>2064</v>
      </c>
      <c r="Z2595" s="4">
        <v>218</v>
      </c>
      <c r="AA2595" s="4">
        <f>=ROUNDDOWN(21.8,0)</f>
      </c>
      <c r="AB2595" s="5">
        <v>10</v>
      </c>
      <c r="AC2595" s="2" t="s">
        <v>9634</v>
      </c>
      <c r="AD2595" s="4">
        <v>100</v>
      </c>
      <c r="AE2595" s="4">
        <v>100</v>
      </c>
      <c r="AF2595" s="6">
        <v>66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/>
      <c r="BJ2595" s="4">
        <v>205</v>
      </c>
      <c r="BK2595" s="8">
        <v>38666.68</v>
      </c>
      <c r="BL2595" s="2" t="s">
        <v>9635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6185</v>
      </c>
      <c r="BV2595" s="2" t="s">
        <v>97</v>
      </c>
      <c r="BW2595" s="2" t="s">
        <v>100</v>
      </c>
      <c r="BX2595" s="2" t="s">
        <v>100</v>
      </c>
      <c r="BY2595" s="2" t="s">
        <v>112</v>
      </c>
      <c r="BZ2595" s="2" t="s">
        <v>100</v>
      </c>
    </row>
    <row r="2596">
      <c r="A2596" s="2" t="s">
        <v>9636</v>
      </c>
      <c r="B2596" s="2" t="s">
        <v>7252</v>
      </c>
      <c r="C2596" s="2" t="s">
        <v>4677</v>
      </c>
      <c r="D2596" s="2" t="s">
        <v>8817</v>
      </c>
      <c r="E2596" s="2" t="s">
        <v>8818</v>
      </c>
      <c r="F2596" s="2" t="s">
        <v>9637</v>
      </c>
      <c r="G2596" s="2" t="s">
        <v>9637</v>
      </c>
      <c r="H2596" s="2" t="s">
        <v>9637</v>
      </c>
      <c r="I2596" s="2" t="s">
        <v>9638</v>
      </c>
      <c r="J2596" s="2" t="s">
        <v>6103</v>
      </c>
      <c r="K2596" s="2" t="s">
        <v>6591</v>
      </c>
      <c r="L2596" s="3">
        <v>164.59</v>
      </c>
      <c r="M2596" s="3">
        <v>172.82</v>
      </c>
      <c r="N2596" s="3">
        <v>349</v>
      </c>
      <c r="O2596" s="2" t="s">
        <v>97</v>
      </c>
      <c r="P2596" s="2" t="s">
        <v>182</v>
      </c>
      <c r="Q2596" s="2" t="s">
        <v>99</v>
      </c>
      <c r="R2596" s="2" t="s">
        <v>100</v>
      </c>
      <c r="S2596" s="2" t="s">
        <v>100</v>
      </c>
      <c r="T2596" s="2" t="s">
        <v>100</v>
      </c>
      <c r="U2596" s="2" t="s">
        <v>100</v>
      </c>
      <c r="V2596" s="2" t="s">
        <v>601</v>
      </c>
      <c r="W2596" s="2" t="s">
        <v>6998</v>
      </c>
      <c r="X2596" s="2" t="s">
        <v>602</v>
      </c>
      <c r="Y2596" s="2" t="s">
        <v>2463</v>
      </c>
      <c r="Z2596" s="4">
        <v>108</v>
      </c>
      <c r="AA2596" s="4">
        <f>=ROUNDDOWN(36,0)</f>
      </c>
      <c r="AB2596" s="5">
        <v>3</v>
      </c>
      <c r="AC2596" s="2" t="s">
        <v>356</v>
      </c>
      <c r="AD2596" s="4">
        <v>100</v>
      </c>
      <c r="AE2596" s="4">
        <v>100</v>
      </c>
      <c r="AF2596" s="6">
        <v>74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>
        <v>0</v>
      </c>
      <c r="AP2596" s="4">
        <v>3</v>
      </c>
      <c r="AQ2596" s="8">
        <v>518.46</v>
      </c>
      <c r="AR2596" s="4">
        <v>1</v>
      </c>
      <c r="AS2596" s="8">
        <v>129.62</v>
      </c>
      <c r="AT2596" s="7">
        <v>2</v>
      </c>
      <c r="AU2596" s="7">
        <v>2.9998</v>
      </c>
      <c r="AV2596" s="4">
        <v>3</v>
      </c>
      <c r="AW2596" s="8">
        <v>518.46</v>
      </c>
      <c r="AX2596" s="4">
        <v>1</v>
      </c>
      <c r="AY2596" s="8">
        <v>129.62</v>
      </c>
      <c r="AZ2596" s="7">
        <v>2</v>
      </c>
      <c r="BA2596" s="7">
        <v>2.9998</v>
      </c>
      <c r="BB2596" s="7">
        <v>1</v>
      </c>
      <c r="BC2596" s="4">
        <v>3</v>
      </c>
      <c r="BD2596" s="8">
        <v>518.46</v>
      </c>
      <c r="BE2596" s="4">
        <v>21</v>
      </c>
      <c r="BF2596" s="8">
        <v>3349.5</v>
      </c>
      <c r="BG2596" s="7">
        <v>-0.8571</v>
      </c>
      <c r="BH2596" s="7">
        <v>-0.8452</v>
      </c>
      <c r="BI2596" s="7">
        <v>1</v>
      </c>
      <c r="BJ2596" s="4">
        <v>73</v>
      </c>
      <c r="BK2596" s="8">
        <v>10658.84</v>
      </c>
      <c r="BL2596" s="2" t="s">
        <v>9639</v>
      </c>
      <c r="BM2596" s="7">
        <v>0.0411</v>
      </c>
      <c r="BN2596" s="7">
        <v>0.0486</v>
      </c>
      <c r="BO2596" s="4">
        <v>3</v>
      </c>
      <c r="BP2596" s="8">
        <v>518.46</v>
      </c>
      <c r="BQ2596" s="4">
        <v>1</v>
      </c>
      <c r="BR2596" s="8">
        <v>129.62</v>
      </c>
      <c r="BS2596" s="7">
        <v>2</v>
      </c>
      <c r="BT2596" s="7">
        <v>2.9998</v>
      </c>
      <c r="BU2596" s="2" t="s">
        <v>109</v>
      </c>
      <c r="BV2596" s="2" t="s">
        <v>97</v>
      </c>
      <c r="BW2596" s="2" t="s">
        <v>7311</v>
      </c>
      <c r="BX2596" s="2" t="s">
        <v>9626</v>
      </c>
      <c r="BY2596" s="2" t="s">
        <v>112</v>
      </c>
      <c r="BZ2596" s="2" t="s">
        <v>100</v>
      </c>
    </row>
    <row r="2597">
      <c r="A2597" s="2" t="s">
        <v>9640</v>
      </c>
      <c r="B2597" s="2" t="s">
        <v>7252</v>
      </c>
      <c r="C2597" s="2" t="s">
        <v>4677</v>
      </c>
      <c r="D2597" s="2" t="s">
        <v>8817</v>
      </c>
      <c r="E2597" s="2" t="s">
        <v>8818</v>
      </c>
      <c r="F2597" s="2" t="s">
        <v>9637</v>
      </c>
      <c r="G2597" s="2" t="s">
        <v>9637</v>
      </c>
      <c r="H2597" s="2" t="s">
        <v>9637</v>
      </c>
      <c r="I2597" s="2" t="s">
        <v>9638</v>
      </c>
      <c r="J2597" s="2" t="s">
        <v>6103</v>
      </c>
      <c r="K2597" s="2" t="s">
        <v>6846</v>
      </c>
      <c r="L2597" s="3">
        <v>164.59</v>
      </c>
      <c r="M2597" s="3">
        <v>172.82</v>
      </c>
      <c r="N2597" s="3">
        <v>349</v>
      </c>
      <c r="O2597" s="2" t="s">
        <v>97</v>
      </c>
      <c r="P2597" s="2" t="s">
        <v>1265</v>
      </c>
      <c r="Q2597" s="2" t="s">
        <v>99</v>
      </c>
      <c r="R2597" s="2" t="s">
        <v>100</v>
      </c>
      <c r="S2597" s="2" t="s">
        <v>100</v>
      </c>
      <c r="T2597" s="2" t="s">
        <v>100</v>
      </c>
      <c r="U2597" s="2" t="s">
        <v>100</v>
      </c>
      <c r="V2597" s="2" t="s">
        <v>601</v>
      </c>
      <c r="W2597" s="2" t="s">
        <v>6998</v>
      </c>
      <c r="X2597" s="2" t="s">
        <v>100</v>
      </c>
      <c r="Y2597" s="2" t="s">
        <v>9496</v>
      </c>
      <c r="Z2597" s="4">
        <v>75</v>
      </c>
      <c r="AA2597" s="4">
        <f>=ROUNDDOWN(10.7142857142857,0)</f>
      </c>
      <c r="AB2597" s="5">
        <v>7</v>
      </c>
      <c r="AC2597" s="2" t="s">
        <v>107</v>
      </c>
      <c r="AD2597" s="4">
        <v>83</v>
      </c>
      <c r="AE2597" s="4">
        <v>100</v>
      </c>
      <c r="AF2597" s="6">
        <v>74</v>
      </c>
      <c r="AG2597" s="6">
        <v>60</v>
      </c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>
        <v>0</v>
      </c>
      <c r="AP2597" s="4"/>
      <c r="AQ2597" s="8"/>
      <c r="AR2597" s="4">
        <v>11</v>
      </c>
      <c r="AS2597" s="8">
        <v>1896.43</v>
      </c>
      <c r="AT2597" s="7">
        <v>-1</v>
      </c>
      <c r="AU2597" s="7">
        <v>-1</v>
      </c>
      <c r="AV2597" s="4"/>
      <c r="AW2597" s="8"/>
      <c r="AX2597" s="4">
        <v>11</v>
      </c>
      <c r="AY2597" s="8">
        <v>1896.43</v>
      </c>
      <c r="AZ2597" s="7">
        <v>-1</v>
      </c>
      <c r="BA2597" s="7">
        <v>-1</v>
      </c>
      <c r="BB2597" s="7"/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/>
      <c r="BJ2597" s="4">
        <v>119</v>
      </c>
      <c r="BK2597" s="8">
        <v>17323.9</v>
      </c>
      <c r="BL2597" s="2" t="s">
        <v>9641</v>
      </c>
      <c r="BM2597" s="7"/>
      <c r="BN2597" s="7"/>
      <c r="BO2597" s="4"/>
      <c r="BP2597" s="8"/>
      <c r="BQ2597" s="4">
        <v>11</v>
      </c>
      <c r="BR2597" s="8">
        <v>1896.43</v>
      </c>
      <c r="BS2597" s="7">
        <v>-1</v>
      </c>
      <c r="BT2597" s="7">
        <v>-1</v>
      </c>
      <c r="BU2597" s="2" t="s">
        <v>109</v>
      </c>
      <c r="BV2597" s="2" t="s">
        <v>97</v>
      </c>
      <c r="BW2597" s="2" t="s">
        <v>7311</v>
      </c>
      <c r="BX2597" s="2" t="s">
        <v>2525</v>
      </c>
      <c r="BY2597" s="2" t="s">
        <v>112</v>
      </c>
      <c r="BZ2597" s="2" t="s">
        <v>100</v>
      </c>
    </row>
    <row r="2598">
      <c r="A2598" s="2" t="s">
        <v>9642</v>
      </c>
      <c r="B2598" s="2" t="s">
        <v>7252</v>
      </c>
      <c r="C2598" s="2" t="s">
        <v>4677</v>
      </c>
      <c r="D2598" s="2" t="s">
        <v>8817</v>
      </c>
      <c r="E2598" s="2" t="s">
        <v>8818</v>
      </c>
      <c r="F2598" s="2" t="s">
        <v>9637</v>
      </c>
      <c r="G2598" s="2" t="s">
        <v>9637</v>
      </c>
      <c r="H2598" s="2" t="s">
        <v>9637</v>
      </c>
      <c r="I2598" s="2" t="s">
        <v>9638</v>
      </c>
      <c r="J2598" s="2" t="s">
        <v>6103</v>
      </c>
      <c r="K2598" s="2" t="s">
        <v>9643</v>
      </c>
      <c r="L2598" s="3">
        <v>164.59</v>
      </c>
      <c r="M2598" s="3">
        <v>172.82</v>
      </c>
      <c r="N2598" s="3">
        <v>349</v>
      </c>
      <c r="O2598" s="2" t="s">
        <v>97</v>
      </c>
      <c r="P2598" s="2" t="s">
        <v>182</v>
      </c>
      <c r="Q2598" s="2" t="s">
        <v>99</v>
      </c>
      <c r="R2598" s="2" t="s">
        <v>100</v>
      </c>
      <c r="S2598" s="2" t="s">
        <v>100</v>
      </c>
      <c r="T2598" s="2" t="s">
        <v>100</v>
      </c>
      <c r="U2598" s="2" t="s">
        <v>100</v>
      </c>
      <c r="V2598" s="2" t="s">
        <v>601</v>
      </c>
      <c r="W2598" s="2" t="s">
        <v>6998</v>
      </c>
      <c r="X2598" s="2" t="s">
        <v>602</v>
      </c>
      <c r="Y2598" s="2" t="s">
        <v>9644</v>
      </c>
      <c r="Z2598" s="4">
        <v>142</v>
      </c>
      <c r="AA2598" s="4">
        <f>=ROUNDDOWN(35.5,0)</f>
      </c>
      <c r="AB2598" s="5">
        <v>4</v>
      </c>
      <c r="AC2598" s="2" t="s">
        <v>100</v>
      </c>
      <c r="AD2598" s="4"/>
      <c r="AE2598" s="4"/>
      <c r="AF2598" s="6">
        <v>74</v>
      </c>
      <c r="AG2598" s="6">
        <v>60</v>
      </c>
      <c r="AH2598" s="7">
        <v>0.9697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>
        <v>0</v>
      </c>
      <c r="AP2598" s="4"/>
      <c r="AQ2598" s="8"/>
      <c r="AR2598" s="4">
        <v>9</v>
      </c>
      <c r="AS2598" s="8">
        <v>1323.45</v>
      </c>
      <c r="AT2598" s="7">
        <v>-1</v>
      </c>
      <c r="AU2598" s="7">
        <v>-1</v>
      </c>
      <c r="AV2598" s="4"/>
      <c r="AW2598" s="8"/>
      <c r="AX2598" s="4">
        <v>9</v>
      </c>
      <c r="AY2598" s="8">
        <v>1323.45</v>
      </c>
      <c r="AZ2598" s="7">
        <v>-1</v>
      </c>
      <c r="BA2598" s="7">
        <v>-1</v>
      </c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/>
      <c r="BJ2598" s="4">
        <v>88</v>
      </c>
      <c r="BK2598" s="8">
        <v>13193.83</v>
      </c>
      <c r="BL2598" s="2" t="s">
        <v>9645</v>
      </c>
      <c r="BM2598" s="7"/>
      <c r="BN2598" s="7"/>
      <c r="BO2598" s="4"/>
      <c r="BP2598" s="8"/>
      <c r="BQ2598" s="4">
        <v>9</v>
      </c>
      <c r="BR2598" s="8">
        <v>1323.45</v>
      </c>
      <c r="BS2598" s="7">
        <v>-1</v>
      </c>
      <c r="BT2598" s="7">
        <v>-1</v>
      </c>
      <c r="BU2598" s="2" t="s">
        <v>109</v>
      </c>
      <c r="BV2598" s="2" t="s">
        <v>97</v>
      </c>
      <c r="BW2598" s="2" t="s">
        <v>7311</v>
      </c>
      <c r="BX2598" s="2" t="s">
        <v>5336</v>
      </c>
      <c r="BY2598" s="2" t="s">
        <v>112</v>
      </c>
      <c r="BZ2598" s="2" t="s">
        <v>100</v>
      </c>
    </row>
    <row r="2599">
      <c r="A2599" s="2" t="s">
        <v>9646</v>
      </c>
      <c r="B2599" s="2" t="s">
        <v>7252</v>
      </c>
      <c r="C2599" s="2" t="s">
        <v>4677</v>
      </c>
      <c r="D2599" s="2" t="s">
        <v>8817</v>
      </c>
      <c r="E2599" s="2" t="s">
        <v>8818</v>
      </c>
      <c r="F2599" s="2" t="s">
        <v>9647</v>
      </c>
      <c r="G2599" s="2" t="s">
        <v>100</v>
      </c>
      <c r="H2599" s="2" t="s">
        <v>100</v>
      </c>
      <c r="I2599" s="2" t="s">
        <v>9648</v>
      </c>
      <c r="J2599" s="2" t="s">
        <v>6103</v>
      </c>
      <c r="K2599" s="2" t="s">
        <v>2367</v>
      </c>
      <c r="L2599" s="3">
        <v>256.5</v>
      </c>
      <c r="M2599" s="3">
        <v>269.32</v>
      </c>
      <c r="N2599" s="3">
        <v>549</v>
      </c>
      <c r="O2599" s="2" t="s">
        <v>97</v>
      </c>
      <c r="P2599" s="2" t="s">
        <v>182</v>
      </c>
      <c r="Q2599" s="2" t="s">
        <v>99</v>
      </c>
      <c r="R2599" s="2" t="s">
        <v>100</v>
      </c>
      <c r="S2599" s="2" t="s">
        <v>9649</v>
      </c>
      <c r="T2599" s="2" t="s">
        <v>100</v>
      </c>
      <c r="U2599" s="2" t="s">
        <v>100</v>
      </c>
      <c r="V2599" s="2" t="s">
        <v>601</v>
      </c>
      <c r="W2599" s="2" t="s">
        <v>104</v>
      </c>
      <c r="X2599" s="2" t="s">
        <v>100</v>
      </c>
      <c r="Y2599" s="2" t="s">
        <v>106</v>
      </c>
      <c r="Z2599" s="4">
        <v>177</v>
      </c>
      <c r="AA2599" s="4">
        <f>=ROUNDDOWN(22.125,0)</f>
      </c>
      <c r="AB2599" s="5">
        <v>8</v>
      </c>
      <c r="AC2599" s="2" t="s">
        <v>9634</v>
      </c>
      <c r="AD2599" s="4">
        <v>100</v>
      </c>
      <c r="AE2599" s="4">
        <v>100</v>
      </c>
      <c r="AF2599" s="6">
        <v>66</v>
      </c>
      <c r="AG2599" s="6">
        <v>49</v>
      </c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>
        <v>0</v>
      </c>
      <c r="AP2599" s="4">
        <v>1</v>
      </c>
      <c r="AQ2599" s="8">
        <v>269.33</v>
      </c>
      <c r="AR2599" s="4">
        <v>8</v>
      </c>
      <c r="AS2599" s="8">
        <v>1750.66</v>
      </c>
      <c r="AT2599" s="7">
        <v>-0.875</v>
      </c>
      <c r="AU2599" s="7">
        <v>-0.8462</v>
      </c>
      <c r="AV2599" s="4">
        <v>1</v>
      </c>
      <c r="AW2599" s="8">
        <v>269.33</v>
      </c>
      <c r="AX2599" s="4">
        <v>8</v>
      </c>
      <c r="AY2599" s="8">
        <v>1750.66</v>
      </c>
      <c r="AZ2599" s="7">
        <v>-0.875</v>
      </c>
      <c r="BA2599" s="7">
        <v>-0.8462</v>
      </c>
      <c r="BB2599" s="7">
        <v>1</v>
      </c>
      <c r="BC2599" s="4">
        <v>1</v>
      </c>
      <c r="BD2599" s="8">
        <v>269.33</v>
      </c>
      <c r="BE2599" s="4">
        <v>8</v>
      </c>
      <c r="BF2599" s="8">
        <v>1750.66</v>
      </c>
      <c r="BG2599" s="7">
        <v>-0.875</v>
      </c>
      <c r="BH2599" s="7">
        <v>-0.8462</v>
      </c>
      <c r="BI2599" s="7">
        <v>1</v>
      </c>
      <c r="BJ2599" s="4">
        <v>160</v>
      </c>
      <c r="BK2599" s="8">
        <v>44443.16</v>
      </c>
      <c r="BL2599" s="2" t="s">
        <v>9650</v>
      </c>
      <c r="BM2599" s="7">
        <v>0.0062</v>
      </c>
      <c r="BN2599" s="7">
        <v>0.0061</v>
      </c>
      <c r="BO2599" s="4">
        <v>1</v>
      </c>
      <c r="BP2599" s="8">
        <v>269.33</v>
      </c>
      <c r="BQ2599" s="4">
        <v>8</v>
      </c>
      <c r="BR2599" s="8">
        <v>1750.66</v>
      </c>
      <c r="BS2599" s="7">
        <v>-0.875</v>
      </c>
      <c r="BT2599" s="7">
        <v>-0.8462</v>
      </c>
      <c r="BU2599" s="2" t="s">
        <v>109</v>
      </c>
      <c r="BV2599" s="2" t="s">
        <v>97</v>
      </c>
      <c r="BW2599" s="2" t="s">
        <v>9651</v>
      </c>
      <c r="BX2599" s="2" t="s">
        <v>1890</v>
      </c>
      <c r="BY2599" s="2" t="s">
        <v>112</v>
      </c>
      <c r="BZ2599" s="2" t="s">
        <v>100</v>
      </c>
    </row>
    <row r="2600">
      <c r="A2600" s="2" t="s">
        <v>9652</v>
      </c>
      <c r="B2600" s="2" t="s">
        <v>7252</v>
      </c>
      <c r="C2600" s="2" t="s">
        <v>4677</v>
      </c>
      <c r="D2600" s="2" t="s">
        <v>8817</v>
      </c>
      <c r="E2600" s="2" t="s">
        <v>8818</v>
      </c>
      <c r="F2600" s="2" t="s">
        <v>9653</v>
      </c>
      <c r="G2600" s="2" t="s">
        <v>9653</v>
      </c>
      <c r="H2600" s="2" t="s">
        <v>9653</v>
      </c>
      <c r="I2600" s="2" t="s">
        <v>9654</v>
      </c>
      <c r="J2600" s="2" t="s">
        <v>6103</v>
      </c>
      <c r="K2600" s="2" t="s">
        <v>1412</v>
      </c>
      <c r="L2600" s="3">
        <v>204.25</v>
      </c>
      <c r="M2600" s="3">
        <v>214.46</v>
      </c>
      <c r="N2600" s="3">
        <v>429</v>
      </c>
      <c r="O2600" s="2" t="s">
        <v>97</v>
      </c>
      <c r="P2600" s="2" t="s">
        <v>1265</v>
      </c>
      <c r="Q2600" s="2" t="s">
        <v>99</v>
      </c>
      <c r="R2600" s="2" t="s">
        <v>100</v>
      </c>
      <c r="S2600" s="2" t="s">
        <v>100</v>
      </c>
      <c r="T2600" s="2" t="s">
        <v>100</v>
      </c>
      <c r="U2600" s="2" t="s">
        <v>2104</v>
      </c>
      <c r="V2600" s="2" t="s">
        <v>1752</v>
      </c>
      <c r="W2600" s="2" t="s">
        <v>2195</v>
      </c>
      <c r="X2600" s="2" t="s">
        <v>602</v>
      </c>
      <c r="Y2600" s="2" t="s">
        <v>3692</v>
      </c>
      <c r="Z2600" s="4">
        <v>47</v>
      </c>
      <c r="AA2600" s="4">
        <f>=ROUNDDOWN(23.5,0)</f>
      </c>
      <c r="AB2600" s="5">
        <v>2</v>
      </c>
      <c r="AC2600" s="2" t="s">
        <v>9655</v>
      </c>
      <c r="AD2600" s="4">
        <v>150</v>
      </c>
      <c r="AE2600" s="4">
        <v>150</v>
      </c>
      <c r="AF2600" s="6">
        <v>74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/>
      <c r="AW2600" s="8"/>
      <c r="AX2600" s="4"/>
      <c r="AY2600" s="8"/>
      <c r="AZ2600" s="7"/>
      <c r="BA2600" s="7"/>
      <c r="BB2600" s="7"/>
      <c r="BC2600" s="4"/>
      <c r="BD2600" s="8"/>
      <c r="BE2600" s="4"/>
      <c r="BF2600" s="8"/>
      <c r="BG2600" s="7"/>
      <c r="BH2600" s="7"/>
      <c r="BI2600" s="7"/>
      <c r="BJ2600" s="4">
        <v>57</v>
      </c>
      <c r="BK2600" s="8">
        <v>12432.53</v>
      </c>
      <c r="BL2600" s="2" t="s">
        <v>9656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6185</v>
      </c>
      <c r="BV2600" s="2" t="s">
        <v>97</v>
      </c>
      <c r="BW2600" s="2" t="s">
        <v>100</v>
      </c>
      <c r="BX2600" s="2" t="s">
        <v>100</v>
      </c>
      <c r="BY2600" s="2" t="s">
        <v>112</v>
      </c>
      <c r="BZ2600" s="2" t="s">
        <v>100</v>
      </c>
    </row>
    <row r="2601">
      <c r="A2601" s="2" t="s">
        <v>9657</v>
      </c>
      <c r="B2601" s="2" t="s">
        <v>7252</v>
      </c>
      <c r="C2601" s="2" t="s">
        <v>4677</v>
      </c>
      <c r="D2601" s="2" t="s">
        <v>8817</v>
      </c>
      <c r="E2601" s="2" t="s">
        <v>8818</v>
      </c>
      <c r="F2601" s="2" t="s">
        <v>9658</v>
      </c>
      <c r="G2601" s="2" t="s">
        <v>9658</v>
      </c>
      <c r="H2601" s="2" t="s">
        <v>9658</v>
      </c>
      <c r="I2601" s="2" t="s">
        <v>9659</v>
      </c>
      <c r="J2601" s="2" t="s">
        <v>6103</v>
      </c>
      <c r="K2601" s="2" t="s">
        <v>1204</v>
      </c>
      <c r="L2601" s="3">
        <v>215</v>
      </c>
      <c r="M2601" s="3">
        <v>225.75</v>
      </c>
      <c r="N2601" s="3">
        <v>449</v>
      </c>
      <c r="O2601" s="2" t="s">
        <v>97</v>
      </c>
      <c r="P2601" s="2" t="s">
        <v>182</v>
      </c>
      <c r="Q2601" s="2" t="s">
        <v>99</v>
      </c>
      <c r="R2601" s="2" t="s">
        <v>100</v>
      </c>
      <c r="S2601" s="2" t="s">
        <v>100</v>
      </c>
      <c r="T2601" s="2" t="s">
        <v>100</v>
      </c>
      <c r="U2601" s="2" t="s">
        <v>2104</v>
      </c>
      <c r="V2601" s="2" t="s">
        <v>1752</v>
      </c>
      <c r="W2601" s="2" t="s">
        <v>759</v>
      </c>
      <c r="X2601" s="2" t="s">
        <v>602</v>
      </c>
      <c r="Y2601" s="2" t="s">
        <v>9660</v>
      </c>
      <c r="Z2601" s="4">
        <v>86</v>
      </c>
      <c r="AA2601" s="4">
        <f>=ROUNDDOWN(12.2857142857143,0)</f>
      </c>
      <c r="AB2601" s="5">
        <v>7</v>
      </c>
      <c r="AC2601" s="2" t="s">
        <v>8170</v>
      </c>
      <c r="AD2601" s="4">
        <v>110</v>
      </c>
      <c r="AE2601" s="4">
        <v>150</v>
      </c>
      <c r="AF2601" s="6">
        <v>74</v>
      </c>
      <c r="AG2601" s="6"/>
      <c r="AH2601" s="7">
        <v>0.6485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/>
      <c r="AW2601" s="8"/>
      <c r="AX2601" s="4"/>
      <c r="AY2601" s="8"/>
      <c r="AZ2601" s="7"/>
      <c r="BA2601" s="7"/>
      <c r="BB2601" s="7"/>
      <c r="BC2601" s="4"/>
      <c r="BD2601" s="8"/>
      <c r="BE2601" s="4"/>
      <c r="BF2601" s="8"/>
      <c r="BG2601" s="7"/>
      <c r="BH2601" s="7"/>
      <c r="BI2601" s="7"/>
      <c r="BJ2601" s="4">
        <v>100</v>
      </c>
      <c r="BK2601" s="8">
        <v>23833.11</v>
      </c>
      <c r="BL2601" s="2" t="s">
        <v>9661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6185</v>
      </c>
      <c r="BV2601" s="2" t="s">
        <v>97</v>
      </c>
      <c r="BW2601" s="2" t="s">
        <v>100</v>
      </c>
      <c r="BX2601" s="2" t="s">
        <v>100</v>
      </c>
      <c r="BY2601" s="2" t="s">
        <v>112</v>
      </c>
      <c r="BZ2601" s="2" t="s">
        <v>100</v>
      </c>
    </row>
    <row r="2602">
      <c r="A2602" s="2" t="s">
        <v>9662</v>
      </c>
      <c r="B2602" s="2" t="s">
        <v>7252</v>
      </c>
      <c r="C2602" s="2" t="s">
        <v>4677</v>
      </c>
      <c r="D2602" s="2" t="s">
        <v>8817</v>
      </c>
      <c r="E2602" s="2" t="s">
        <v>8818</v>
      </c>
      <c r="F2602" s="2" t="s">
        <v>9588</v>
      </c>
      <c r="G2602" s="2" t="s">
        <v>9588</v>
      </c>
      <c r="H2602" s="2" t="s">
        <v>100</v>
      </c>
      <c r="I2602" s="2" t="s">
        <v>9663</v>
      </c>
      <c r="J2602" s="2" t="s">
        <v>6103</v>
      </c>
      <c r="K2602" s="2" t="s">
        <v>323</v>
      </c>
      <c r="L2602" s="3">
        <v>163.35</v>
      </c>
      <c r="M2602" s="3">
        <v>171.52</v>
      </c>
      <c r="N2602" s="3">
        <v>349</v>
      </c>
      <c r="O2602" s="2" t="s">
        <v>97</v>
      </c>
      <c r="P2602" s="2" t="s">
        <v>1265</v>
      </c>
      <c r="Q2602" s="2" t="s">
        <v>99</v>
      </c>
      <c r="R2602" s="2" t="s">
        <v>100</v>
      </c>
      <c r="S2602" s="2" t="s">
        <v>9664</v>
      </c>
      <c r="T2602" s="2" t="s">
        <v>100</v>
      </c>
      <c r="U2602" s="2" t="s">
        <v>100</v>
      </c>
      <c r="V2602" s="2" t="s">
        <v>601</v>
      </c>
      <c r="W2602" s="2" t="s">
        <v>6998</v>
      </c>
      <c r="X2602" s="2" t="s">
        <v>100</v>
      </c>
      <c r="Y2602" s="2" t="s">
        <v>3057</v>
      </c>
      <c r="Z2602" s="4">
        <v>187</v>
      </c>
      <c r="AA2602" s="4">
        <f>=ROUNDDOWN(93.5,0)</f>
      </c>
      <c r="AB2602" s="5">
        <v>2</v>
      </c>
      <c r="AC2602" s="2" t="s">
        <v>100</v>
      </c>
      <c r="AD2602" s="4"/>
      <c r="AE2602" s="4"/>
      <c r="AF2602" s="6">
        <v>74</v>
      </c>
      <c r="AG2602" s="6">
        <v>60</v>
      </c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/>
      <c r="BD2602" s="8"/>
      <c r="BE2602" s="4"/>
      <c r="BF2602" s="8"/>
      <c r="BG2602" s="7"/>
      <c r="BH2602" s="7"/>
      <c r="BI2602" s="7"/>
      <c r="BJ2602" s="4">
        <v>54</v>
      </c>
      <c r="BK2602" s="8">
        <v>7858.02</v>
      </c>
      <c r="BL2602" s="2" t="s">
        <v>9665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7311</v>
      </c>
      <c r="BX2602" s="2" t="s">
        <v>5076</v>
      </c>
      <c r="BY2602" s="2" t="s">
        <v>112</v>
      </c>
      <c r="BZ2602" s="2" t="s">
        <v>100</v>
      </c>
    </row>
    <row r="2603">
      <c r="A2603" s="2" t="s">
        <v>9666</v>
      </c>
      <c r="B2603" s="2" t="s">
        <v>7252</v>
      </c>
      <c r="C2603" s="2" t="s">
        <v>4677</v>
      </c>
      <c r="D2603" s="2" t="s">
        <v>8817</v>
      </c>
      <c r="E2603" s="2" t="s">
        <v>8818</v>
      </c>
      <c r="F2603" s="2" t="s">
        <v>9667</v>
      </c>
      <c r="G2603" s="2" t="s">
        <v>100</v>
      </c>
      <c r="H2603" s="2" t="s">
        <v>100</v>
      </c>
      <c r="I2603" s="2" t="s">
        <v>8818</v>
      </c>
      <c r="J2603" s="2" t="s">
        <v>6103</v>
      </c>
      <c r="K2603" s="2" t="s">
        <v>8174</v>
      </c>
      <c r="L2603" s="3">
        <v>121.6</v>
      </c>
      <c r="M2603" s="3">
        <v>127.68</v>
      </c>
      <c r="N2603" s="3">
        <v>259</v>
      </c>
      <c r="O2603" s="2" t="s">
        <v>97</v>
      </c>
      <c r="P2603" s="2" t="s">
        <v>182</v>
      </c>
      <c r="Q2603" s="2" t="s">
        <v>99</v>
      </c>
      <c r="R2603" s="2" t="s">
        <v>100</v>
      </c>
      <c r="S2603" s="2" t="s">
        <v>9668</v>
      </c>
      <c r="T2603" s="2" t="s">
        <v>100</v>
      </c>
      <c r="U2603" s="2" t="s">
        <v>100</v>
      </c>
      <c r="V2603" s="2" t="s">
        <v>601</v>
      </c>
      <c r="W2603" s="2" t="s">
        <v>6998</v>
      </c>
      <c r="X2603" s="2" t="s">
        <v>100</v>
      </c>
      <c r="Y2603" s="2" t="s">
        <v>106</v>
      </c>
      <c r="Z2603" s="4">
        <v>292</v>
      </c>
      <c r="AA2603" s="4">
        <f>=ROUNDDOWN(36.5,0)</f>
      </c>
      <c r="AB2603" s="5">
        <v>8</v>
      </c>
      <c r="AC2603" s="2" t="s">
        <v>100</v>
      </c>
      <c r="AD2603" s="4"/>
      <c r="AE2603" s="4"/>
      <c r="AF2603" s="6">
        <v>74</v>
      </c>
      <c r="AG2603" s="6">
        <v>60</v>
      </c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>
        <v>0</v>
      </c>
      <c r="AP2603" s="4"/>
      <c r="AQ2603" s="8"/>
      <c r="AR2603" s="4">
        <v>6</v>
      </c>
      <c r="AS2603" s="8">
        <v>496.14</v>
      </c>
      <c r="AT2603" s="7">
        <v>-1</v>
      </c>
      <c r="AU2603" s="7">
        <v>-1</v>
      </c>
      <c r="AV2603" s="4"/>
      <c r="AW2603" s="8"/>
      <c r="AX2603" s="4">
        <v>6</v>
      </c>
      <c r="AY2603" s="8">
        <v>496.14</v>
      </c>
      <c r="AZ2603" s="7">
        <v>-1</v>
      </c>
      <c r="BA2603" s="7">
        <v>-1</v>
      </c>
      <c r="BB2603" s="7"/>
      <c r="BC2603" s="4"/>
      <c r="BD2603" s="8"/>
      <c r="BE2603" s="4">
        <v>6</v>
      </c>
      <c r="BF2603" s="8">
        <v>496.14</v>
      </c>
      <c r="BG2603" s="7">
        <v>-1</v>
      </c>
      <c r="BH2603" s="7">
        <v>-1</v>
      </c>
      <c r="BI2603" s="7"/>
      <c r="BJ2603" s="4">
        <v>240</v>
      </c>
      <c r="BK2603" s="8">
        <v>28637.11</v>
      </c>
      <c r="BL2603" s="2" t="s">
        <v>9669</v>
      </c>
      <c r="BM2603" s="7"/>
      <c r="BN2603" s="7"/>
      <c r="BO2603" s="4"/>
      <c r="BP2603" s="8"/>
      <c r="BQ2603" s="4">
        <v>6</v>
      </c>
      <c r="BR2603" s="8">
        <v>496.14</v>
      </c>
      <c r="BS2603" s="7">
        <v>-1</v>
      </c>
      <c r="BT2603" s="7">
        <v>-1</v>
      </c>
      <c r="BU2603" s="2" t="s">
        <v>109</v>
      </c>
      <c r="BV2603" s="2" t="s">
        <v>97</v>
      </c>
      <c r="BW2603" s="2" t="s">
        <v>7307</v>
      </c>
      <c r="BX2603" s="2" t="s">
        <v>9670</v>
      </c>
      <c r="BY2603" s="2" t="s">
        <v>112</v>
      </c>
      <c r="BZ2603" s="2" t="s">
        <v>100</v>
      </c>
    </row>
    <row r="2604">
      <c r="A2604" s="2" t="s">
        <v>9671</v>
      </c>
      <c r="B2604" s="2" t="s">
        <v>7252</v>
      </c>
      <c r="C2604" s="2" t="s">
        <v>4677</v>
      </c>
      <c r="D2604" s="2" t="s">
        <v>8817</v>
      </c>
      <c r="E2604" s="2" t="s">
        <v>8818</v>
      </c>
      <c r="F2604" s="2" t="s">
        <v>9672</v>
      </c>
      <c r="G2604" s="2" t="s">
        <v>9672</v>
      </c>
      <c r="H2604" s="2" t="s">
        <v>9672</v>
      </c>
      <c r="I2604" s="2" t="s">
        <v>9673</v>
      </c>
      <c r="J2604" s="2" t="s">
        <v>6103</v>
      </c>
      <c r="K2604" s="2" t="s">
        <v>310</v>
      </c>
      <c r="L2604" s="3">
        <v>190</v>
      </c>
      <c r="M2604" s="3">
        <v>199.5</v>
      </c>
      <c r="N2604" s="3">
        <v>399</v>
      </c>
      <c r="O2604" s="2" t="s">
        <v>97</v>
      </c>
      <c r="P2604" s="2" t="s">
        <v>1265</v>
      </c>
      <c r="Q2604" s="2" t="s">
        <v>99</v>
      </c>
      <c r="R2604" s="2" t="s">
        <v>100</v>
      </c>
      <c r="S2604" s="2" t="s">
        <v>100</v>
      </c>
      <c r="T2604" s="2" t="s">
        <v>100</v>
      </c>
      <c r="U2604" s="2" t="s">
        <v>2104</v>
      </c>
      <c r="V2604" s="2" t="s">
        <v>601</v>
      </c>
      <c r="W2604" s="2" t="s">
        <v>602</v>
      </c>
      <c r="X2604" s="2" t="s">
        <v>2195</v>
      </c>
      <c r="Y2604" s="2" t="s">
        <v>2117</v>
      </c>
      <c r="Z2604" s="4">
        <v>23</v>
      </c>
      <c r="AA2604" s="4">
        <f>=ROUNDDOWN(23,0)</f>
      </c>
      <c r="AB2604" s="5">
        <v>1</v>
      </c>
      <c r="AC2604" s="2" t="s">
        <v>1328</v>
      </c>
      <c r="AD2604" s="4">
        <v>100</v>
      </c>
      <c r="AE2604" s="4">
        <v>100</v>
      </c>
      <c r="AF2604" s="6">
        <v>66</v>
      </c>
      <c r="AG2604" s="6"/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/>
      <c r="AW2604" s="8"/>
      <c r="AX2604" s="4"/>
      <c r="AY2604" s="8"/>
      <c r="AZ2604" s="7"/>
      <c r="BA2604" s="7"/>
      <c r="BB2604" s="7"/>
      <c r="BC2604" s="4"/>
      <c r="BD2604" s="8"/>
      <c r="BE2604" s="4"/>
      <c r="BF2604" s="8"/>
      <c r="BG2604" s="7"/>
      <c r="BH2604" s="7"/>
      <c r="BI2604" s="7"/>
      <c r="BJ2604" s="4">
        <v>21</v>
      </c>
      <c r="BK2604" s="8">
        <v>4276.5</v>
      </c>
      <c r="BL2604" s="2" t="s">
        <v>9674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147</v>
      </c>
      <c r="BV2604" s="2" t="s">
        <v>97</v>
      </c>
      <c r="BW2604" s="2" t="s">
        <v>100</v>
      </c>
      <c r="BX2604" s="2" t="s">
        <v>100</v>
      </c>
      <c r="BY2604" s="2" t="s">
        <v>112</v>
      </c>
      <c r="BZ2604" s="2" t="s">
        <v>100</v>
      </c>
    </row>
    <row r="2605">
      <c r="A2605" s="2" t="s">
        <v>9675</v>
      </c>
      <c r="B2605" s="2" t="s">
        <v>7252</v>
      </c>
      <c r="C2605" s="2" t="s">
        <v>4677</v>
      </c>
      <c r="D2605" s="2" t="s">
        <v>8817</v>
      </c>
      <c r="E2605" s="2" t="s">
        <v>8818</v>
      </c>
      <c r="F2605" s="2" t="s">
        <v>9676</v>
      </c>
      <c r="G2605" s="2" t="s">
        <v>9676</v>
      </c>
      <c r="H2605" s="2" t="s">
        <v>9676</v>
      </c>
      <c r="I2605" s="2" t="s">
        <v>8894</v>
      </c>
      <c r="J2605" s="2" t="s">
        <v>6103</v>
      </c>
      <c r="K2605" s="2" t="s">
        <v>2367</v>
      </c>
      <c r="L2605" s="3">
        <v>209</v>
      </c>
      <c r="M2605" s="3">
        <v>219.45</v>
      </c>
      <c r="N2605" s="3">
        <v>459</v>
      </c>
      <c r="O2605" s="2" t="s">
        <v>97</v>
      </c>
      <c r="P2605" s="2" t="s">
        <v>124</v>
      </c>
      <c r="Q2605" s="2" t="s">
        <v>99</v>
      </c>
      <c r="R2605" s="2" t="s">
        <v>100</v>
      </c>
      <c r="S2605" s="2" t="s">
        <v>100</v>
      </c>
      <c r="T2605" s="2" t="s">
        <v>100</v>
      </c>
      <c r="U2605" s="2" t="s">
        <v>2104</v>
      </c>
      <c r="V2605" s="2" t="s">
        <v>601</v>
      </c>
      <c r="W2605" s="2" t="s">
        <v>759</v>
      </c>
      <c r="X2605" s="2" t="s">
        <v>100</v>
      </c>
      <c r="Y2605" s="2" t="s">
        <v>980</v>
      </c>
      <c r="Z2605" s="4">
        <v>3</v>
      </c>
      <c r="AA2605" s="4">
        <f>=ROUNDDOWN(0.0447761194029851,0)</f>
      </c>
      <c r="AB2605" s="5">
        <v>67</v>
      </c>
      <c r="AC2605" s="2" t="s">
        <v>936</v>
      </c>
      <c r="AD2605" s="4">
        <v>3</v>
      </c>
      <c r="AE2605" s="4">
        <v>2094</v>
      </c>
      <c r="AF2605" s="6">
        <v>66</v>
      </c>
      <c r="AG2605" s="6">
        <v>49</v>
      </c>
      <c r="AH2605" s="7">
        <v>0.7273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>
        <v>0</v>
      </c>
      <c r="AP2605" s="4"/>
      <c r="AQ2605" s="8"/>
      <c r="AR2605" s="4">
        <v>1</v>
      </c>
      <c r="AS2605" s="8">
        <v>231</v>
      </c>
      <c r="AT2605" s="7">
        <v>-1</v>
      </c>
      <c r="AU2605" s="7">
        <v>-1</v>
      </c>
      <c r="AV2605" s="4"/>
      <c r="AW2605" s="8"/>
      <c r="AX2605" s="4">
        <v>1</v>
      </c>
      <c r="AY2605" s="8">
        <v>231</v>
      </c>
      <c r="AZ2605" s="7">
        <v>-1</v>
      </c>
      <c r="BA2605" s="7">
        <v>-1</v>
      </c>
      <c r="BB2605" s="7"/>
      <c r="BC2605" s="4" t="s">
        <v>100</v>
      </c>
      <c r="BD2605" s="8" t="s">
        <v>100</v>
      </c>
      <c r="BE2605" s="4">
        <v>14</v>
      </c>
      <c r="BF2605" s="8">
        <v>2944.21</v>
      </c>
      <c r="BG2605" s="7" t="s">
        <v>100</v>
      </c>
      <c r="BH2605" s="7" t="s">
        <v>100</v>
      </c>
      <c r="BI2605" s="7"/>
      <c r="BJ2605" s="4">
        <v>1034</v>
      </c>
      <c r="BK2605" s="8">
        <v>217903.47</v>
      </c>
      <c r="BL2605" s="2" t="s">
        <v>9677</v>
      </c>
      <c r="BM2605" s="7"/>
      <c r="BN2605" s="7"/>
      <c r="BO2605" s="4"/>
      <c r="BP2605" s="8"/>
      <c r="BQ2605" s="4">
        <v>1</v>
      </c>
      <c r="BR2605" s="8">
        <v>231</v>
      </c>
      <c r="BS2605" s="7">
        <v>-1</v>
      </c>
      <c r="BT2605" s="7">
        <v>-1</v>
      </c>
      <c r="BU2605" s="2" t="s">
        <v>109</v>
      </c>
      <c r="BV2605" s="2" t="s">
        <v>97</v>
      </c>
      <c r="BW2605" s="2" t="s">
        <v>7307</v>
      </c>
      <c r="BX2605" s="2" t="s">
        <v>7871</v>
      </c>
      <c r="BY2605" s="2" t="s">
        <v>112</v>
      </c>
      <c r="BZ2605" s="2" t="s">
        <v>100</v>
      </c>
    </row>
    <row r="2606">
      <c r="A2606" s="2" t="s">
        <v>9678</v>
      </c>
      <c r="B2606" s="2" t="s">
        <v>7252</v>
      </c>
      <c r="C2606" s="2" t="s">
        <v>4677</v>
      </c>
      <c r="D2606" s="2" t="s">
        <v>8817</v>
      </c>
      <c r="E2606" s="2" t="s">
        <v>8818</v>
      </c>
      <c r="F2606" s="2" t="s">
        <v>9676</v>
      </c>
      <c r="G2606" s="2" t="s">
        <v>9676</v>
      </c>
      <c r="H2606" s="2" t="s">
        <v>9676</v>
      </c>
      <c r="I2606" s="2" t="s">
        <v>8894</v>
      </c>
      <c r="J2606" s="2" t="s">
        <v>6103</v>
      </c>
      <c r="K2606" s="2" t="s">
        <v>197</v>
      </c>
      <c r="L2606" s="3">
        <v>209</v>
      </c>
      <c r="M2606" s="3">
        <v>219.45</v>
      </c>
      <c r="N2606" s="3">
        <v>459</v>
      </c>
      <c r="O2606" s="2" t="s">
        <v>97</v>
      </c>
      <c r="P2606" s="2" t="s">
        <v>143</v>
      </c>
      <c r="Q2606" s="2" t="s">
        <v>99</v>
      </c>
      <c r="R2606" s="2" t="s">
        <v>100</v>
      </c>
      <c r="S2606" s="2" t="s">
        <v>100</v>
      </c>
      <c r="T2606" s="2" t="s">
        <v>100</v>
      </c>
      <c r="U2606" s="2" t="s">
        <v>2104</v>
      </c>
      <c r="V2606" s="2" t="s">
        <v>601</v>
      </c>
      <c r="W2606" s="2" t="s">
        <v>759</v>
      </c>
      <c r="X2606" s="2" t="s">
        <v>100</v>
      </c>
      <c r="Y2606" s="2" t="s">
        <v>9679</v>
      </c>
      <c r="Z2606" s="4">
        <v>85</v>
      </c>
      <c r="AA2606" s="4">
        <f>=ROUNDDOWN(3.54166666666667,0)</f>
      </c>
      <c r="AB2606" s="5">
        <v>24</v>
      </c>
      <c r="AC2606" s="2" t="s">
        <v>1328</v>
      </c>
      <c r="AD2606" s="4">
        <v>100</v>
      </c>
      <c r="AE2606" s="4">
        <v>800</v>
      </c>
      <c r="AF2606" s="6">
        <v>66</v>
      </c>
      <c r="AG2606" s="6">
        <v>49</v>
      </c>
      <c r="AH2606" s="7">
        <v>0.8545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>
        <v>354</v>
      </c>
      <c r="BK2606" s="8">
        <v>78041.66</v>
      </c>
      <c r="BL2606" s="2" t="s">
        <v>9680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6185</v>
      </c>
      <c r="BV2606" s="2" t="s">
        <v>97</v>
      </c>
      <c r="BW2606" s="2" t="s">
        <v>100</v>
      </c>
      <c r="BX2606" s="2" t="s">
        <v>100</v>
      </c>
      <c r="BY2606" s="2" t="s">
        <v>112</v>
      </c>
      <c r="BZ2606" s="2" t="s">
        <v>100</v>
      </c>
    </row>
    <row r="2607">
      <c r="A2607" s="2" t="s">
        <v>9681</v>
      </c>
      <c r="B2607" s="2" t="s">
        <v>7252</v>
      </c>
      <c r="C2607" s="2" t="s">
        <v>4677</v>
      </c>
      <c r="D2607" s="2" t="s">
        <v>8817</v>
      </c>
      <c r="E2607" s="2" t="s">
        <v>8818</v>
      </c>
      <c r="F2607" s="2" t="s">
        <v>9676</v>
      </c>
      <c r="G2607" s="2" t="s">
        <v>9676</v>
      </c>
      <c r="H2607" s="2" t="s">
        <v>9676</v>
      </c>
      <c r="I2607" s="2" t="s">
        <v>8894</v>
      </c>
      <c r="J2607" s="2" t="s">
        <v>6103</v>
      </c>
      <c r="K2607" s="2" t="s">
        <v>9682</v>
      </c>
      <c r="L2607" s="3">
        <v>209</v>
      </c>
      <c r="M2607" s="3">
        <v>219.45</v>
      </c>
      <c r="N2607" s="3">
        <v>459</v>
      </c>
      <c r="O2607" s="2" t="s">
        <v>97</v>
      </c>
      <c r="P2607" s="2" t="s">
        <v>182</v>
      </c>
      <c r="Q2607" s="2" t="s">
        <v>99</v>
      </c>
      <c r="R2607" s="2" t="s">
        <v>100</v>
      </c>
      <c r="S2607" s="2" t="s">
        <v>9683</v>
      </c>
      <c r="T2607" s="2" t="s">
        <v>100</v>
      </c>
      <c r="U2607" s="2" t="s">
        <v>2104</v>
      </c>
      <c r="V2607" s="2" t="s">
        <v>601</v>
      </c>
      <c r="W2607" s="2" t="s">
        <v>759</v>
      </c>
      <c r="X2607" s="2" t="s">
        <v>100</v>
      </c>
      <c r="Y2607" s="2" t="s">
        <v>9684</v>
      </c>
      <c r="Z2607" s="4">
        <v>56</v>
      </c>
      <c r="AA2607" s="4">
        <f>=ROUNDDOWN(4.66666666666667,0)</f>
      </c>
      <c r="AB2607" s="5">
        <v>12</v>
      </c>
      <c r="AC2607" s="2" t="s">
        <v>6016</v>
      </c>
      <c r="AD2607" s="4">
        <v>100</v>
      </c>
      <c r="AE2607" s="4">
        <v>250</v>
      </c>
      <c r="AF2607" s="6">
        <v>66</v>
      </c>
      <c r="AG2607" s="6">
        <v>49</v>
      </c>
      <c r="AH2607" s="7">
        <v>1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>
        <v>0</v>
      </c>
      <c r="AP2607" s="4"/>
      <c r="AQ2607" s="8"/>
      <c r="AR2607" s="4">
        <v>13</v>
      </c>
      <c r="AS2607" s="8">
        <v>2713.21</v>
      </c>
      <c r="AT2607" s="7">
        <v>-1</v>
      </c>
      <c r="AU2607" s="7">
        <v>-1</v>
      </c>
      <c r="AV2607" s="4"/>
      <c r="AW2607" s="8"/>
      <c r="AX2607" s="4">
        <v>13</v>
      </c>
      <c r="AY2607" s="8">
        <v>2713.21</v>
      </c>
      <c r="AZ2607" s="7">
        <v>-1</v>
      </c>
      <c r="BA2607" s="7">
        <v>-1</v>
      </c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>
        <v>257</v>
      </c>
      <c r="BK2607" s="8">
        <v>55103.22</v>
      </c>
      <c r="BL2607" s="2" t="s">
        <v>9685</v>
      </c>
      <c r="BM2607" s="7"/>
      <c r="BN2607" s="7"/>
      <c r="BO2607" s="4"/>
      <c r="BP2607" s="8"/>
      <c r="BQ2607" s="4">
        <v>13</v>
      </c>
      <c r="BR2607" s="8">
        <v>2713.21</v>
      </c>
      <c r="BS2607" s="7">
        <v>-1</v>
      </c>
      <c r="BT2607" s="7">
        <v>-1</v>
      </c>
      <c r="BU2607" s="2" t="s">
        <v>109</v>
      </c>
      <c r="BV2607" s="2" t="s">
        <v>97</v>
      </c>
      <c r="BW2607" s="2" t="s">
        <v>7841</v>
      </c>
      <c r="BX2607" s="2" t="s">
        <v>5844</v>
      </c>
      <c r="BY2607" s="2" t="s">
        <v>112</v>
      </c>
      <c r="BZ2607" s="2" t="s">
        <v>100</v>
      </c>
    </row>
    <row r="2608">
      <c r="A2608" s="2" t="s">
        <v>9686</v>
      </c>
      <c r="B2608" s="2" t="s">
        <v>7252</v>
      </c>
      <c r="C2608" s="2" t="s">
        <v>4677</v>
      </c>
      <c r="D2608" s="2" t="s">
        <v>8817</v>
      </c>
      <c r="E2608" s="2" t="s">
        <v>8818</v>
      </c>
      <c r="F2608" s="2" t="s">
        <v>9687</v>
      </c>
      <c r="G2608" s="2" t="s">
        <v>9687</v>
      </c>
      <c r="H2608" s="2" t="s">
        <v>9687</v>
      </c>
      <c r="I2608" s="2" t="s">
        <v>9688</v>
      </c>
      <c r="J2608" s="2" t="s">
        <v>6103</v>
      </c>
      <c r="K2608" s="2" t="s">
        <v>9689</v>
      </c>
      <c r="L2608" s="3">
        <v>162</v>
      </c>
      <c r="M2608" s="3">
        <v>170.1</v>
      </c>
      <c r="N2608" s="3">
        <v>349</v>
      </c>
      <c r="O2608" s="2" t="s">
        <v>97</v>
      </c>
      <c r="P2608" s="2" t="s">
        <v>182</v>
      </c>
      <c r="Q2608" s="2" t="s">
        <v>99</v>
      </c>
      <c r="R2608" s="2" t="s">
        <v>100</v>
      </c>
      <c r="S2608" s="2" t="s">
        <v>100</v>
      </c>
      <c r="T2608" s="2" t="s">
        <v>100</v>
      </c>
      <c r="U2608" s="2" t="s">
        <v>100</v>
      </c>
      <c r="V2608" s="2" t="s">
        <v>1752</v>
      </c>
      <c r="W2608" s="2" t="s">
        <v>6998</v>
      </c>
      <c r="X2608" s="2" t="s">
        <v>104</v>
      </c>
      <c r="Y2608" s="2" t="s">
        <v>9690</v>
      </c>
      <c r="Z2608" s="4">
        <v>301</v>
      </c>
      <c r="AA2608" s="4">
        <f>=ROUNDDOWN(37.625,0)</f>
      </c>
      <c r="AB2608" s="5">
        <v>8</v>
      </c>
      <c r="AC2608" s="2" t="s">
        <v>100</v>
      </c>
      <c r="AD2608" s="4"/>
      <c r="AE2608" s="4"/>
      <c r="AF2608" s="6">
        <v>74</v>
      </c>
      <c r="AG2608" s="6">
        <v>60</v>
      </c>
      <c r="AH2608" s="7">
        <v>0.9818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/>
      <c r="AW2608" s="8"/>
      <c r="AX2608" s="4"/>
      <c r="AY2608" s="8"/>
      <c r="AZ2608" s="7"/>
      <c r="BA2608" s="7"/>
      <c r="BB2608" s="7"/>
      <c r="BC2608" s="4" t="s">
        <v>100</v>
      </c>
      <c r="BD2608" s="8" t="s">
        <v>100</v>
      </c>
      <c r="BE2608" s="4">
        <v>15</v>
      </c>
      <c r="BF2608" s="8">
        <v>1913.7</v>
      </c>
      <c r="BG2608" s="7" t="s">
        <v>100</v>
      </c>
      <c r="BH2608" s="7" t="s">
        <v>100</v>
      </c>
      <c r="BI2608" s="7"/>
      <c r="BJ2608" s="4">
        <v>202</v>
      </c>
      <c r="BK2608" s="8">
        <v>30030.85</v>
      </c>
      <c r="BL2608" s="2" t="s">
        <v>9691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6185</v>
      </c>
      <c r="BV2608" s="2" t="s">
        <v>97</v>
      </c>
      <c r="BW2608" s="2" t="s">
        <v>100</v>
      </c>
      <c r="BX2608" s="2" t="s">
        <v>100</v>
      </c>
      <c r="BY2608" s="2" t="s">
        <v>112</v>
      </c>
      <c r="BZ2608" s="2" t="s">
        <v>100</v>
      </c>
    </row>
    <row r="2609">
      <c r="A2609" s="2" t="s">
        <v>9692</v>
      </c>
      <c r="B2609" s="2" t="s">
        <v>7252</v>
      </c>
      <c r="C2609" s="2" t="s">
        <v>4677</v>
      </c>
      <c r="D2609" s="2" t="s">
        <v>8817</v>
      </c>
      <c r="E2609" s="2" t="s">
        <v>8818</v>
      </c>
      <c r="F2609" s="2" t="s">
        <v>9687</v>
      </c>
      <c r="G2609" s="2" t="s">
        <v>9687</v>
      </c>
      <c r="H2609" s="2" t="s">
        <v>9687</v>
      </c>
      <c r="I2609" s="2" t="s">
        <v>9693</v>
      </c>
      <c r="J2609" s="2" t="s">
        <v>6103</v>
      </c>
      <c r="K2609" s="2" t="s">
        <v>6846</v>
      </c>
      <c r="L2609" s="3">
        <v>162</v>
      </c>
      <c r="M2609" s="3">
        <v>170.1</v>
      </c>
      <c r="N2609" s="3">
        <v>349</v>
      </c>
      <c r="O2609" s="2" t="s">
        <v>97</v>
      </c>
      <c r="P2609" s="2" t="s">
        <v>182</v>
      </c>
      <c r="Q2609" s="2" t="s">
        <v>99</v>
      </c>
      <c r="R2609" s="2" t="s">
        <v>100</v>
      </c>
      <c r="S2609" s="2" t="s">
        <v>100</v>
      </c>
      <c r="T2609" s="2" t="s">
        <v>100</v>
      </c>
      <c r="U2609" s="2" t="s">
        <v>100</v>
      </c>
      <c r="V2609" s="2" t="s">
        <v>601</v>
      </c>
      <c r="W2609" s="2" t="s">
        <v>6998</v>
      </c>
      <c r="X2609" s="2" t="s">
        <v>100</v>
      </c>
      <c r="Y2609" s="2" t="s">
        <v>9496</v>
      </c>
      <c r="Z2609" s="4">
        <v>452</v>
      </c>
      <c r="AA2609" s="4">
        <f>=ROUNDDOWN(45.2,0)</f>
      </c>
      <c r="AB2609" s="5">
        <v>10</v>
      </c>
      <c r="AC2609" s="2" t="s">
        <v>100</v>
      </c>
      <c r="AD2609" s="4"/>
      <c r="AE2609" s="4"/>
      <c r="AF2609" s="6">
        <v>74</v>
      </c>
      <c r="AG2609" s="6">
        <v>60</v>
      </c>
      <c r="AH2609" s="7">
        <v>0.8485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>
        <v>0</v>
      </c>
      <c r="AP2609" s="4"/>
      <c r="AQ2609" s="8"/>
      <c r="AR2609" s="4">
        <v>15</v>
      </c>
      <c r="AS2609" s="8">
        <v>1913.7</v>
      </c>
      <c r="AT2609" s="7">
        <v>-1</v>
      </c>
      <c r="AU2609" s="7">
        <v>-1</v>
      </c>
      <c r="AV2609" s="4"/>
      <c r="AW2609" s="8"/>
      <c r="AX2609" s="4">
        <v>15</v>
      </c>
      <c r="AY2609" s="8">
        <v>1913.7</v>
      </c>
      <c r="AZ2609" s="7">
        <v>-1</v>
      </c>
      <c r="BA2609" s="7">
        <v>-1</v>
      </c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207</v>
      </c>
      <c r="BK2609" s="8">
        <v>29889.76</v>
      </c>
      <c r="BL2609" s="2" t="s">
        <v>9694</v>
      </c>
      <c r="BM2609" s="7"/>
      <c r="BN2609" s="7"/>
      <c r="BO2609" s="4"/>
      <c r="BP2609" s="8"/>
      <c r="BQ2609" s="4">
        <v>15</v>
      </c>
      <c r="BR2609" s="8">
        <v>1913.7</v>
      </c>
      <c r="BS2609" s="7">
        <v>-1</v>
      </c>
      <c r="BT2609" s="7">
        <v>-1</v>
      </c>
      <c r="BU2609" s="2" t="s">
        <v>109</v>
      </c>
      <c r="BV2609" s="2" t="s">
        <v>97</v>
      </c>
      <c r="BW2609" s="2" t="s">
        <v>9695</v>
      </c>
      <c r="BX2609" s="2" t="s">
        <v>2801</v>
      </c>
      <c r="BY2609" s="2" t="s">
        <v>112</v>
      </c>
      <c r="BZ2609" s="2" t="s">
        <v>100</v>
      </c>
    </row>
    <row r="2610">
      <c r="A2610" s="2" t="s">
        <v>9696</v>
      </c>
      <c r="B2610" s="2" t="s">
        <v>7252</v>
      </c>
      <c r="C2610" s="2" t="s">
        <v>4677</v>
      </c>
      <c r="D2610" s="2" t="s">
        <v>8817</v>
      </c>
      <c r="E2610" s="2" t="s">
        <v>8818</v>
      </c>
      <c r="F2610" s="2" t="s">
        <v>9505</v>
      </c>
      <c r="G2610" s="2" t="s">
        <v>9505</v>
      </c>
      <c r="H2610" s="2" t="s">
        <v>9505</v>
      </c>
      <c r="I2610" s="2" t="s">
        <v>9697</v>
      </c>
      <c r="J2610" s="2" t="s">
        <v>6103</v>
      </c>
      <c r="K2610" s="2" t="s">
        <v>323</v>
      </c>
      <c r="L2610" s="3">
        <v>229.14</v>
      </c>
      <c r="M2610" s="3">
        <v>240.6</v>
      </c>
      <c r="N2610" s="3">
        <v>479</v>
      </c>
      <c r="O2610" s="2" t="s">
        <v>97</v>
      </c>
      <c r="P2610" s="2" t="s">
        <v>1265</v>
      </c>
      <c r="Q2610" s="2" t="s">
        <v>99</v>
      </c>
      <c r="R2610" s="2" t="s">
        <v>100</v>
      </c>
      <c r="S2610" s="2" t="s">
        <v>100</v>
      </c>
      <c r="T2610" s="2" t="s">
        <v>100</v>
      </c>
      <c r="U2610" s="2" t="s">
        <v>2104</v>
      </c>
      <c r="V2610" s="2" t="s">
        <v>1752</v>
      </c>
      <c r="W2610" s="2" t="s">
        <v>759</v>
      </c>
      <c r="X2610" s="2" t="s">
        <v>2195</v>
      </c>
      <c r="Y2610" s="2" t="s">
        <v>7780</v>
      </c>
      <c r="Z2610" s="4">
        <v>60</v>
      </c>
      <c r="AA2610" s="4">
        <f>=ROUNDDOWN(15,0)</f>
      </c>
      <c r="AB2610" s="5">
        <v>4</v>
      </c>
      <c r="AC2610" s="2" t="s">
        <v>2155</v>
      </c>
      <c r="AD2610" s="4">
        <v>85</v>
      </c>
      <c r="AE2610" s="4">
        <v>99</v>
      </c>
      <c r="AF2610" s="6">
        <v>69</v>
      </c>
      <c r="AG2610" s="6"/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/>
      <c r="BD2610" s="8"/>
      <c r="BE2610" s="4"/>
      <c r="BF2610" s="8"/>
      <c r="BG2610" s="7"/>
      <c r="BH2610" s="7"/>
      <c r="BI2610" s="7"/>
      <c r="BJ2610" s="4">
        <v>66</v>
      </c>
      <c r="BK2610" s="8">
        <v>15686.5</v>
      </c>
      <c r="BL2610" s="2" t="s">
        <v>9698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6185</v>
      </c>
      <c r="BV2610" s="2" t="s">
        <v>97</v>
      </c>
      <c r="BW2610" s="2" t="s">
        <v>100</v>
      </c>
      <c r="BX2610" s="2" t="s">
        <v>100</v>
      </c>
      <c r="BY2610" s="2" t="s">
        <v>112</v>
      </c>
      <c r="BZ2610" s="2" t="s">
        <v>100</v>
      </c>
    </row>
    <row r="2611">
      <c r="A2611" s="2" t="s">
        <v>9699</v>
      </c>
      <c r="B2611" s="2" t="s">
        <v>7252</v>
      </c>
      <c r="C2611" s="2" t="s">
        <v>4677</v>
      </c>
      <c r="D2611" s="2" t="s">
        <v>7786</v>
      </c>
      <c r="E2611" s="2" t="s">
        <v>7787</v>
      </c>
      <c r="F2611" s="2" t="s">
        <v>9618</v>
      </c>
      <c r="G2611" s="2" t="s">
        <v>9618</v>
      </c>
      <c r="H2611" s="2" t="s">
        <v>100</v>
      </c>
      <c r="I2611" s="2" t="s">
        <v>9700</v>
      </c>
      <c r="J2611" s="2" t="s">
        <v>6103</v>
      </c>
      <c r="K2611" s="2" t="s">
        <v>333</v>
      </c>
      <c r="L2611" s="3">
        <v>114</v>
      </c>
      <c r="M2611" s="3">
        <v>119.7</v>
      </c>
      <c r="N2611" s="3">
        <v>239</v>
      </c>
      <c r="O2611" s="2" t="s">
        <v>97</v>
      </c>
      <c r="P2611" s="2" t="s">
        <v>182</v>
      </c>
      <c r="Q2611" s="2" t="s">
        <v>99</v>
      </c>
      <c r="R2611" s="2" t="s">
        <v>100</v>
      </c>
      <c r="S2611" s="2" t="s">
        <v>9701</v>
      </c>
      <c r="T2611" s="2" t="s">
        <v>100</v>
      </c>
      <c r="U2611" s="2" t="s">
        <v>100</v>
      </c>
      <c r="V2611" s="2" t="s">
        <v>601</v>
      </c>
      <c r="W2611" s="2" t="s">
        <v>6998</v>
      </c>
      <c r="X2611" s="2" t="s">
        <v>100</v>
      </c>
      <c r="Y2611" s="2" t="s">
        <v>106</v>
      </c>
      <c r="Z2611" s="4">
        <v>61</v>
      </c>
      <c r="AA2611" s="4">
        <f>=ROUNDDOWN(8.71428571428572,0)</f>
      </c>
      <c r="AB2611" s="5">
        <v>7</v>
      </c>
      <c r="AC2611" s="2" t="s">
        <v>589</v>
      </c>
      <c r="AD2611" s="4">
        <v>390</v>
      </c>
      <c r="AE2611" s="4">
        <v>390</v>
      </c>
      <c r="AF2611" s="6">
        <v>76</v>
      </c>
      <c r="AG2611" s="6">
        <v>62</v>
      </c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>
        <v>0</v>
      </c>
      <c r="AP2611" s="4">
        <v>7</v>
      </c>
      <c r="AQ2611" s="8">
        <v>771.75</v>
      </c>
      <c r="AR2611" s="4">
        <v>10</v>
      </c>
      <c r="AS2611" s="8">
        <v>1197</v>
      </c>
      <c r="AT2611" s="7">
        <v>-0.3</v>
      </c>
      <c r="AU2611" s="7">
        <v>-0.3553</v>
      </c>
      <c r="AV2611" s="4">
        <v>7</v>
      </c>
      <c r="AW2611" s="8">
        <v>771.75</v>
      </c>
      <c r="AX2611" s="4">
        <v>10</v>
      </c>
      <c r="AY2611" s="8">
        <v>1197</v>
      </c>
      <c r="AZ2611" s="7">
        <v>-0.3</v>
      </c>
      <c r="BA2611" s="7">
        <v>-0.3553</v>
      </c>
      <c r="BB2611" s="7">
        <v>1</v>
      </c>
      <c r="BC2611" s="4">
        <v>7</v>
      </c>
      <c r="BD2611" s="8">
        <v>771.75</v>
      </c>
      <c r="BE2611" s="4">
        <v>18</v>
      </c>
      <c r="BF2611" s="8">
        <v>1858.52</v>
      </c>
      <c r="BG2611" s="7">
        <v>-0.6111</v>
      </c>
      <c r="BH2611" s="7">
        <v>-0.5848</v>
      </c>
      <c r="BI2611" s="7">
        <v>1</v>
      </c>
      <c r="BJ2611" s="4">
        <v>189</v>
      </c>
      <c r="BK2611" s="8">
        <v>21271.93</v>
      </c>
      <c r="BL2611" s="2" t="s">
        <v>9702</v>
      </c>
      <c r="BM2611" s="7">
        <v>0.037</v>
      </c>
      <c r="BN2611" s="7">
        <v>0.0363</v>
      </c>
      <c r="BO2611" s="4">
        <v>7</v>
      </c>
      <c r="BP2611" s="8">
        <v>771.75</v>
      </c>
      <c r="BQ2611" s="4">
        <v>10</v>
      </c>
      <c r="BR2611" s="8">
        <v>1197</v>
      </c>
      <c r="BS2611" s="7">
        <v>-0.3</v>
      </c>
      <c r="BT2611" s="7">
        <v>-0.3553</v>
      </c>
      <c r="BU2611" s="2" t="s">
        <v>109</v>
      </c>
      <c r="BV2611" s="2" t="s">
        <v>97</v>
      </c>
      <c r="BW2611" s="2" t="s">
        <v>7307</v>
      </c>
      <c r="BX2611" s="2" t="s">
        <v>6180</v>
      </c>
      <c r="BY2611" s="2" t="s">
        <v>112</v>
      </c>
      <c r="BZ2611" s="2" t="s">
        <v>100</v>
      </c>
    </row>
    <row r="2612">
      <c r="A2612" s="2" t="s">
        <v>9703</v>
      </c>
      <c r="B2612" s="2" t="s">
        <v>7252</v>
      </c>
      <c r="C2612" s="2" t="s">
        <v>4677</v>
      </c>
      <c r="D2612" s="2" t="s">
        <v>7786</v>
      </c>
      <c r="E2612" s="2" t="s">
        <v>7787</v>
      </c>
      <c r="F2612" s="2" t="s">
        <v>9618</v>
      </c>
      <c r="G2612" s="2" t="s">
        <v>9618</v>
      </c>
      <c r="H2612" s="2" t="s">
        <v>9618</v>
      </c>
      <c r="I2612" s="2" t="s">
        <v>9700</v>
      </c>
      <c r="J2612" s="2" t="s">
        <v>6103</v>
      </c>
      <c r="K2612" s="2" t="s">
        <v>142</v>
      </c>
      <c r="L2612" s="3">
        <v>114</v>
      </c>
      <c r="M2612" s="3">
        <v>119.7</v>
      </c>
      <c r="N2612" s="3">
        <v>239</v>
      </c>
      <c r="O2612" s="2" t="s">
        <v>97</v>
      </c>
      <c r="P2612" s="2" t="s">
        <v>182</v>
      </c>
      <c r="Q2612" s="2" t="s">
        <v>99</v>
      </c>
      <c r="R2612" s="2" t="s">
        <v>100</v>
      </c>
      <c r="S2612" s="2" t="s">
        <v>9704</v>
      </c>
      <c r="T2612" s="2" t="s">
        <v>100</v>
      </c>
      <c r="U2612" s="2" t="s">
        <v>100</v>
      </c>
      <c r="V2612" s="2" t="s">
        <v>601</v>
      </c>
      <c r="W2612" s="2" t="s">
        <v>6998</v>
      </c>
      <c r="X2612" s="2" t="s">
        <v>100</v>
      </c>
      <c r="Y2612" s="2" t="s">
        <v>9540</v>
      </c>
      <c r="Z2612" s="4">
        <v>22</v>
      </c>
      <c r="AA2612" s="4">
        <f>=ROUNDDOWN(11,0)</f>
      </c>
      <c r="AB2612" s="5">
        <v>2</v>
      </c>
      <c r="AC2612" s="2" t="s">
        <v>589</v>
      </c>
      <c r="AD2612" s="4">
        <v>180</v>
      </c>
      <c r="AE2612" s="4">
        <v>180</v>
      </c>
      <c r="AF2612" s="6">
        <v>76</v>
      </c>
      <c r="AG2612" s="6">
        <v>62</v>
      </c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>
        <v>0</v>
      </c>
      <c r="AP2612" s="4"/>
      <c r="AQ2612" s="8"/>
      <c r="AR2612" s="4">
        <v>8</v>
      </c>
      <c r="AS2612" s="8">
        <v>661.52</v>
      </c>
      <c r="AT2612" s="7">
        <v>-1</v>
      </c>
      <c r="AU2612" s="7">
        <v>-1</v>
      </c>
      <c r="AV2612" s="4"/>
      <c r="AW2612" s="8"/>
      <c r="AX2612" s="4">
        <v>8</v>
      </c>
      <c r="AY2612" s="8">
        <v>661.52</v>
      </c>
      <c r="AZ2612" s="7">
        <v>-1</v>
      </c>
      <c r="BA2612" s="7">
        <v>-1</v>
      </c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83</v>
      </c>
      <c r="BK2612" s="8">
        <v>8074.64</v>
      </c>
      <c r="BL2612" s="2" t="s">
        <v>9705</v>
      </c>
      <c r="BM2612" s="7"/>
      <c r="BN2612" s="7"/>
      <c r="BO2612" s="4"/>
      <c r="BP2612" s="8"/>
      <c r="BQ2612" s="4">
        <v>8</v>
      </c>
      <c r="BR2612" s="8">
        <v>661.52</v>
      </c>
      <c r="BS2612" s="7">
        <v>-1</v>
      </c>
      <c r="BT2612" s="7">
        <v>-1</v>
      </c>
      <c r="BU2612" s="2" t="s">
        <v>109</v>
      </c>
      <c r="BV2612" s="2" t="s">
        <v>97</v>
      </c>
      <c r="BW2612" s="2" t="s">
        <v>110</v>
      </c>
      <c r="BX2612" s="2" t="s">
        <v>7221</v>
      </c>
      <c r="BY2612" s="2" t="s">
        <v>112</v>
      </c>
      <c r="BZ2612" s="2" t="s">
        <v>100</v>
      </c>
    </row>
    <row r="2613">
      <c r="A2613" s="2" t="s">
        <v>9706</v>
      </c>
      <c r="B2613" s="2" t="s">
        <v>7252</v>
      </c>
      <c r="C2613" s="2" t="s">
        <v>4677</v>
      </c>
      <c r="D2613" s="2" t="s">
        <v>7786</v>
      </c>
      <c r="E2613" s="2" t="s">
        <v>7787</v>
      </c>
      <c r="F2613" s="2" t="s">
        <v>9707</v>
      </c>
      <c r="G2613" s="2" t="s">
        <v>100</v>
      </c>
      <c r="H2613" s="2" t="s">
        <v>100</v>
      </c>
      <c r="I2613" s="2" t="s">
        <v>7787</v>
      </c>
      <c r="J2613" s="2" t="s">
        <v>6103</v>
      </c>
      <c r="K2613" s="2" t="s">
        <v>9708</v>
      </c>
      <c r="L2613" s="3">
        <v>75</v>
      </c>
      <c r="M2613" s="3">
        <v>78.75</v>
      </c>
      <c r="N2613" s="3">
        <v>159</v>
      </c>
      <c r="O2613" s="2" t="s">
        <v>97</v>
      </c>
      <c r="P2613" s="2" t="s">
        <v>182</v>
      </c>
      <c r="Q2613" s="2" t="s">
        <v>99</v>
      </c>
      <c r="R2613" s="2" t="s">
        <v>100</v>
      </c>
      <c r="S2613" s="2" t="s">
        <v>9709</v>
      </c>
      <c r="T2613" s="2" t="s">
        <v>100</v>
      </c>
      <c r="U2613" s="2" t="s">
        <v>100</v>
      </c>
      <c r="V2613" s="2" t="s">
        <v>601</v>
      </c>
      <c r="W2613" s="2" t="s">
        <v>6998</v>
      </c>
      <c r="X2613" s="2" t="s">
        <v>100</v>
      </c>
      <c r="Y2613" s="2" t="s">
        <v>9710</v>
      </c>
      <c r="Z2613" s="4">
        <v>279</v>
      </c>
      <c r="AA2613" s="4">
        <f>=ROUNDDOWN(27.9,0)</f>
      </c>
      <c r="AB2613" s="5">
        <v>10</v>
      </c>
      <c r="AC2613" s="2" t="s">
        <v>100</v>
      </c>
      <c r="AD2613" s="4"/>
      <c r="AE2613" s="4"/>
      <c r="AF2613" s="6">
        <v>74</v>
      </c>
      <c r="AG2613" s="6">
        <v>60</v>
      </c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>
        <v>0</v>
      </c>
      <c r="AP2613" s="4">
        <v>7</v>
      </c>
      <c r="AQ2613" s="8">
        <v>501.62</v>
      </c>
      <c r="AR2613" s="4">
        <v>3</v>
      </c>
      <c r="AS2613" s="8">
        <v>161.25</v>
      </c>
      <c r="AT2613" s="7">
        <v>1.3333</v>
      </c>
      <c r="AU2613" s="7">
        <v>2.1108</v>
      </c>
      <c r="AV2613" s="4">
        <v>7</v>
      </c>
      <c r="AW2613" s="8">
        <v>501.62</v>
      </c>
      <c r="AX2613" s="4">
        <v>3</v>
      </c>
      <c r="AY2613" s="8">
        <v>161.25</v>
      </c>
      <c r="AZ2613" s="7">
        <v>1.3333</v>
      </c>
      <c r="BA2613" s="7">
        <v>2.1108</v>
      </c>
      <c r="BB2613" s="7">
        <v>1</v>
      </c>
      <c r="BC2613" s="4">
        <v>7</v>
      </c>
      <c r="BD2613" s="8">
        <v>501.62</v>
      </c>
      <c r="BE2613" s="4">
        <v>3</v>
      </c>
      <c r="BF2613" s="8">
        <v>161.25</v>
      </c>
      <c r="BG2613" s="7">
        <v>1.3333</v>
      </c>
      <c r="BH2613" s="7">
        <v>2.1108</v>
      </c>
      <c r="BI2613" s="7">
        <v>1</v>
      </c>
      <c r="BJ2613" s="4">
        <v>199</v>
      </c>
      <c r="BK2613" s="8">
        <v>15459.97</v>
      </c>
      <c r="BL2613" s="2" t="s">
        <v>9711</v>
      </c>
      <c r="BM2613" s="7">
        <v>0.0352</v>
      </c>
      <c r="BN2613" s="7">
        <v>0.0324</v>
      </c>
      <c r="BO2613" s="4">
        <v>7</v>
      </c>
      <c r="BP2613" s="8">
        <v>501.62</v>
      </c>
      <c r="BQ2613" s="4">
        <v>3</v>
      </c>
      <c r="BR2613" s="8">
        <v>161.25</v>
      </c>
      <c r="BS2613" s="7">
        <v>1.3333</v>
      </c>
      <c r="BT2613" s="7">
        <v>2.1108</v>
      </c>
      <c r="BU2613" s="2" t="s">
        <v>109</v>
      </c>
      <c r="BV2613" s="2" t="s">
        <v>97</v>
      </c>
      <c r="BW2613" s="2" t="s">
        <v>9712</v>
      </c>
      <c r="BX2613" s="2" t="s">
        <v>7674</v>
      </c>
      <c r="BY2613" s="2" t="s">
        <v>112</v>
      </c>
      <c r="BZ2613" s="2" t="s">
        <v>100</v>
      </c>
    </row>
    <row r="2614">
      <c r="A2614" s="2" t="s">
        <v>9713</v>
      </c>
      <c r="B2614" s="2" t="s">
        <v>7252</v>
      </c>
      <c r="C2614" s="2" t="s">
        <v>4677</v>
      </c>
      <c r="D2614" s="2" t="s">
        <v>7786</v>
      </c>
      <c r="E2614" s="2" t="s">
        <v>7787</v>
      </c>
      <c r="F2614" s="2" t="s">
        <v>9452</v>
      </c>
      <c r="G2614" s="2" t="s">
        <v>9452</v>
      </c>
      <c r="H2614" s="2" t="s">
        <v>9452</v>
      </c>
      <c r="I2614" s="2" t="s">
        <v>7787</v>
      </c>
      <c r="J2614" s="2" t="s">
        <v>6103</v>
      </c>
      <c r="K2614" s="2" t="s">
        <v>7696</v>
      </c>
      <c r="L2614" s="3">
        <v>119.7</v>
      </c>
      <c r="M2614" s="3">
        <v>125.68</v>
      </c>
      <c r="N2614" s="3">
        <v>249</v>
      </c>
      <c r="O2614" s="2" t="s">
        <v>97</v>
      </c>
      <c r="P2614" s="2" t="s">
        <v>182</v>
      </c>
      <c r="Q2614" s="2" t="s">
        <v>99</v>
      </c>
      <c r="R2614" s="2" t="s">
        <v>100</v>
      </c>
      <c r="S2614" s="2" t="s">
        <v>9622</v>
      </c>
      <c r="T2614" s="2" t="s">
        <v>100</v>
      </c>
      <c r="U2614" s="2" t="s">
        <v>3531</v>
      </c>
      <c r="V2614" s="2" t="s">
        <v>601</v>
      </c>
      <c r="W2614" s="2" t="s">
        <v>2195</v>
      </c>
      <c r="X2614" s="2" t="s">
        <v>100</v>
      </c>
      <c r="Y2614" s="2" t="s">
        <v>9714</v>
      </c>
      <c r="Z2614" s="4">
        <v>359</v>
      </c>
      <c r="AA2614" s="4">
        <f>=ROUNDDOWN(25.6428571428571,0)</f>
      </c>
      <c r="AB2614" s="5">
        <v>14</v>
      </c>
      <c r="AC2614" s="2" t="s">
        <v>100</v>
      </c>
      <c r="AD2614" s="4"/>
      <c r="AE2614" s="4"/>
      <c r="AF2614" s="6">
        <v>66</v>
      </c>
      <c r="AG2614" s="6">
        <v>49</v>
      </c>
      <c r="AH2614" s="7">
        <v>0.9879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>
        <v>0</v>
      </c>
      <c r="AP2614" s="4">
        <v>3</v>
      </c>
      <c r="AQ2614" s="8">
        <v>377.07</v>
      </c>
      <c r="AR2614" s="4">
        <v>19</v>
      </c>
      <c r="AS2614" s="8">
        <v>2517.21</v>
      </c>
      <c r="AT2614" s="7">
        <v>-0.8421</v>
      </c>
      <c r="AU2614" s="7">
        <v>-0.8502</v>
      </c>
      <c r="AV2614" s="4">
        <v>3</v>
      </c>
      <c r="AW2614" s="8">
        <v>377.07</v>
      </c>
      <c r="AX2614" s="4">
        <v>19</v>
      </c>
      <c r="AY2614" s="8">
        <v>2517.21</v>
      </c>
      <c r="AZ2614" s="7">
        <v>-0.8421</v>
      </c>
      <c r="BA2614" s="7">
        <v>-0.8502</v>
      </c>
      <c r="BB2614" s="7">
        <v>1</v>
      </c>
      <c r="BC2614" s="4">
        <v>3</v>
      </c>
      <c r="BD2614" s="8">
        <v>377.07</v>
      </c>
      <c r="BE2614" s="4">
        <v>19</v>
      </c>
      <c r="BF2614" s="8">
        <v>2517.21</v>
      </c>
      <c r="BG2614" s="7">
        <v>-0.8421</v>
      </c>
      <c r="BH2614" s="7">
        <v>-0.8502</v>
      </c>
      <c r="BI2614" s="7">
        <v>1</v>
      </c>
      <c r="BJ2614" s="4">
        <v>317</v>
      </c>
      <c r="BK2614" s="8">
        <v>39512.91</v>
      </c>
      <c r="BL2614" s="2" t="s">
        <v>9715</v>
      </c>
      <c r="BM2614" s="7">
        <v>0.0095</v>
      </c>
      <c r="BN2614" s="7">
        <v>0.0095</v>
      </c>
      <c r="BO2614" s="4">
        <v>3</v>
      </c>
      <c r="BP2614" s="8">
        <v>377.07</v>
      </c>
      <c r="BQ2614" s="4">
        <v>19</v>
      </c>
      <c r="BR2614" s="8">
        <v>2517.21</v>
      </c>
      <c r="BS2614" s="7">
        <v>-0.8421</v>
      </c>
      <c r="BT2614" s="7">
        <v>-0.8502</v>
      </c>
      <c r="BU2614" s="2" t="s">
        <v>109</v>
      </c>
      <c r="BV2614" s="2" t="s">
        <v>97</v>
      </c>
      <c r="BW2614" s="2" t="s">
        <v>8437</v>
      </c>
      <c r="BX2614" s="2" t="s">
        <v>7676</v>
      </c>
      <c r="BY2614" s="2" t="s">
        <v>112</v>
      </c>
      <c r="BZ2614" s="2" t="s">
        <v>100</v>
      </c>
    </row>
    <row r="2615">
      <c r="A2615" s="2" t="s">
        <v>9716</v>
      </c>
      <c r="B2615" s="2" t="s">
        <v>7252</v>
      </c>
      <c r="C2615" s="2" t="s">
        <v>4677</v>
      </c>
      <c r="D2615" s="2" t="s">
        <v>7786</v>
      </c>
      <c r="E2615" s="2" t="s">
        <v>7787</v>
      </c>
      <c r="F2615" s="2" t="s">
        <v>9452</v>
      </c>
      <c r="G2615" s="2" t="s">
        <v>9452</v>
      </c>
      <c r="H2615" s="2" t="s">
        <v>9452</v>
      </c>
      <c r="I2615" s="2" t="s">
        <v>7787</v>
      </c>
      <c r="J2615" s="2" t="s">
        <v>6103</v>
      </c>
      <c r="K2615" s="2" t="s">
        <v>197</v>
      </c>
      <c r="L2615" s="3">
        <v>119.7</v>
      </c>
      <c r="M2615" s="3">
        <v>125.68</v>
      </c>
      <c r="N2615" s="3">
        <v>249</v>
      </c>
      <c r="O2615" s="2" t="s">
        <v>97</v>
      </c>
      <c r="P2615" s="2" t="s">
        <v>182</v>
      </c>
      <c r="Q2615" s="2" t="s">
        <v>99</v>
      </c>
      <c r="R2615" s="2" t="s">
        <v>100</v>
      </c>
      <c r="S2615" s="2" t="s">
        <v>100</v>
      </c>
      <c r="T2615" s="2" t="s">
        <v>100</v>
      </c>
      <c r="U2615" s="2" t="s">
        <v>3531</v>
      </c>
      <c r="V2615" s="2" t="s">
        <v>601</v>
      </c>
      <c r="W2615" s="2" t="s">
        <v>2195</v>
      </c>
      <c r="X2615" s="2" t="s">
        <v>100</v>
      </c>
      <c r="Y2615" s="2" t="s">
        <v>9717</v>
      </c>
      <c r="Z2615" s="4">
        <v>138</v>
      </c>
      <c r="AA2615" s="4">
        <f>=ROUNDDOWN(17.25,0)</f>
      </c>
      <c r="AB2615" s="5">
        <v>8</v>
      </c>
      <c r="AC2615" s="2" t="s">
        <v>8170</v>
      </c>
      <c r="AD2615" s="4">
        <v>100</v>
      </c>
      <c r="AE2615" s="4">
        <v>100</v>
      </c>
      <c r="AF2615" s="6">
        <v>66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152</v>
      </c>
      <c r="BK2615" s="8">
        <v>19877</v>
      </c>
      <c r="BL2615" s="2" t="s">
        <v>9718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6185</v>
      </c>
      <c r="BV2615" s="2" t="s">
        <v>97</v>
      </c>
      <c r="BW2615" s="2" t="s">
        <v>100</v>
      </c>
      <c r="BX2615" s="2" t="s">
        <v>100</v>
      </c>
      <c r="BY2615" s="2" t="s">
        <v>112</v>
      </c>
      <c r="BZ2615" s="2" t="s">
        <v>100</v>
      </c>
    </row>
    <row r="2616">
      <c r="A2616" s="2" t="s">
        <v>9719</v>
      </c>
      <c r="B2616" s="2" t="s">
        <v>7252</v>
      </c>
      <c r="C2616" s="2" t="s">
        <v>4677</v>
      </c>
      <c r="D2616" s="2" t="s">
        <v>7786</v>
      </c>
      <c r="E2616" s="2" t="s">
        <v>7787</v>
      </c>
      <c r="F2616" s="2" t="s">
        <v>9667</v>
      </c>
      <c r="G2616" s="2" t="s">
        <v>9667</v>
      </c>
      <c r="H2616" s="2" t="s">
        <v>9667</v>
      </c>
      <c r="I2616" s="2" t="s">
        <v>9720</v>
      </c>
      <c r="J2616" s="2" t="s">
        <v>6103</v>
      </c>
      <c r="K2616" s="2" t="s">
        <v>9721</v>
      </c>
      <c r="L2616" s="3">
        <v>118.75</v>
      </c>
      <c r="M2616" s="3">
        <v>124.69</v>
      </c>
      <c r="N2616" s="3">
        <v>249</v>
      </c>
      <c r="O2616" s="2" t="s">
        <v>97</v>
      </c>
      <c r="P2616" s="2" t="s">
        <v>182</v>
      </c>
      <c r="Q2616" s="2" t="s">
        <v>99</v>
      </c>
      <c r="R2616" s="2" t="s">
        <v>100</v>
      </c>
      <c r="S2616" s="2" t="s">
        <v>100</v>
      </c>
      <c r="T2616" s="2" t="s">
        <v>100</v>
      </c>
      <c r="U2616" s="2" t="s">
        <v>3531</v>
      </c>
      <c r="V2616" s="2" t="s">
        <v>601</v>
      </c>
      <c r="W2616" s="2" t="s">
        <v>6998</v>
      </c>
      <c r="X2616" s="2" t="s">
        <v>602</v>
      </c>
      <c r="Y2616" s="2" t="s">
        <v>9722</v>
      </c>
      <c r="Z2616" s="4">
        <v>236</v>
      </c>
      <c r="AA2616" s="4">
        <f>=ROUNDDOWN(59,0)</f>
      </c>
      <c r="AB2616" s="5">
        <v>4</v>
      </c>
      <c r="AC2616" s="2" t="s">
        <v>100</v>
      </c>
      <c r="AD2616" s="4"/>
      <c r="AE2616" s="4"/>
      <c r="AF2616" s="6">
        <v>74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>
        <v>0</v>
      </c>
      <c r="AP2616" s="4">
        <v>3</v>
      </c>
      <c r="AQ2616" s="8">
        <v>374.07</v>
      </c>
      <c r="AR2616" s="4">
        <v>22</v>
      </c>
      <c r="AS2616" s="8">
        <v>2774.31</v>
      </c>
      <c r="AT2616" s="7">
        <v>-0.8636</v>
      </c>
      <c r="AU2616" s="7">
        <v>-0.8652</v>
      </c>
      <c r="AV2616" s="4">
        <v>3</v>
      </c>
      <c r="AW2616" s="8">
        <v>374.07</v>
      </c>
      <c r="AX2616" s="4">
        <v>22</v>
      </c>
      <c r="AY2616" s="8">
        <v>2774.31</v>
      </c>
      <c r="AZ2616" s="7">
        <v>-0.8636</v>
      </c>
      <c r="BA2616" s="7">
        <v>-0.8652</v>
      </c>
      <c r="BB2616" s="7">
        <v>1</v>
      </c>
      <c r="BC2616" s="4">
        <v>3</v>
      </c>
      <c r="BD2616" s="8">
        <v>374.07</v>
      </c>
      <c r="BE2616" s="4">
        <v>33</v>
      </c>
      <c r="BF2616" s="8">
        <v>4218.06</v>
      </c>
      <c r="BG2616" s="7">
        <v>-0.9091</v>
      </c>
      <c r="BH2616" s="7">
        <v>-0.9113</v>
      </c>
      <c r="BI2616" s="7">
        <v>1</v>
      </c>
      <c r="BJ2616" s="4">
        <v>93</v>
      </c>
      <c r="BK2616" s="8">
        <v>11905.77</v>
      </c>
      <c r="BL2616" s="2" t="s">
        <v>9723</v>
      </c>
      <c r="BM2616" s="7">
        <v>0.0323</v>
      </c>
      <c r="BN2616" s="7">
        <v>0.0314</v>
      </c>
      <c r="BO2616" s="4">
        <v>3</v>
      </c>
      <c r="BP2616" s="8">
        <v>374.07</v>
      </c>
      <c r="BQ2616" s="4">
        <v>22</v>
      </c>
      <c r="BR2616" s="8">
        <v>2774.31</v>
      </c>
      <c r="BS2616" s="7">
        <v>-0.8636</v>
      </c>
      <c r="BT2616" s="7">
        <v>-0.8652</v>
      </c>
      <c r="BU2616" s="2" t="s">
        <v>109</v>
      </c>
      <c r="BV2616" s="2" t="s">
        <v>97</v>
      </c>
      <c r="BW2616" s="2" t="s">
        <v>573</v>
      </c>
      <c r="BX2616" s="2" t="s">
        <v>7797</v>
      </c>
      <c r="BY2616" s="2" t="s">
        <v>112</v>
      </c>
      <c r="BZ2616" s="2" t="s">
        <v>100</v>
      </c>
    </row>
    <row r="2617">
      <c r="A2617" s="2" t="s">
        <v>9724</v>
      </c>
      <c r="B2617" s="2" t="s">
        <v>7252</v>
      </c>
      <c r="C2617" s="2" t="s">
        <v>4677</v>
      </c>
      <c r="D2617" s="2" t="s">
        <v>7786</v>
      </c>
      <c r="E2617" s="2" t="s">
        <v>7787</v>
      </c>
      <c r="F2617" s="2" t="s">
        <v>9667</v>
      </c>
      <c r="G2617" s="2" t="s">
        <v>9667</v>
      </c>
      <c r="H2617" s="2" t="s">
        <v>100</v>
      </c>
      <c r="I2617" s="2" t="s">
        <v>9720</v>
      </c>
      <c r="J2617" s="2" t="s">
        <v>6103</v>
      </c>
      <c r="K2617" s="2" t="s">
        <v>1933</v>
      </c>
      <c r="L2617" s="3">
        <v>118.75</v>
      </c>
      <c r="M2617" s="3">
        <v>124.69</v>
      </c>
      <c r="N2617" s="3">
        <v>249</v>
      </c>
      <c r="O2617" s="2" t="s">
        <v>97</v>
      </c>
      <c r="P2617" s="2" t="s">
        <v>143</v>
      </c>
      <c r="Q2617" s="2" t="s">
        <v>99</v>
      </c>
      <c r="R2617" s="2" t="s">
        <v>100</v>
      </c>
      <c r="S2617" s="2" t="s">
        <v>9725</v>
      </c>
      <c r="T2617" s="2" t="s">
        <v>100</v>
      </c>
      <c r="U2617" s="2" t="s">
        <v>100</v>
      </c>
      <c r="V2617" s="2" t="s">
        <v>601</v>
      </c>
      <c r="W2617" s="2" t="s">
        <v>6998</v>
      </c>
      <c r="X2617" s="2" t="s">
        <v>100</v>
      </c>
      <c r="Y2617" s="2" t="s">
        <v>106</v>
      </c>
      <c r="Z2617" s="4">
        <v>536</v>
      </c>
      <c r="AA2617" s="4">
        <f>=ROUNDDOWN(29.7777777777778,0)</f>
      </c>
      <c r="AB2617" s="5">
        <v>18</v>
      </c>
      <c r="AC2617" s="2" t="s">
        <v>100</v>
      </c>
      <c r="AD2617" s="4"/>
      <c r="AE2617" s="4"/>
      <c r="AF2617" s="6">
        <v>74</v>
      </c>
      <c r="AG2617" s="6">
        <v>60</v>
      </c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>
        <v>0</v>
      </c>
      <c r="AP2617" s="4"/>
      <c r="AQ2617" s="8"/>
      <c r="AR2617" s="4">
        <v>11</v>
      </c>
      <c r="AS2617" s="8">
        <v>1443.75</v>
      </c>
      <c r="AT2617" s="7">
        <v>-1</v>
      </c>
      <c r="AU2617" s="7">
        <v>-1</v>
      </c>
      <c r="AV2617" s="4"/>
      <c r="AW2617" s="8"/>
      <c r="AX2617" s="4">
        <v>11</v>
      </c>
      <c r="AY2617" s="8">
        <v>1443.75</v>
      </c>
      <c r="AZ2617" s="7">
        <v>-1</v>
      </c>
      <c r="BA2617" s="7">
        <v>-1</v>
      </c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447</v>
      </c>
      <c r="BK2617" s="8">
        <v>50414.48</v>
      </c>
      <c r="BL2617" s="2" t="s">
        <v>9726</v>
      </c>
      <c r="BM2617" s="7"/>
      <c r="BN2617" s="7"/>
      <c r="BO2617" s="4"/>
      <c r="BP2617" s="8"/>
      <c r="BQ2617" s="4">
        <v>11</v>
      </c>
      <c r="BR2617" s="8">
        <v>1443.75</v>
      </c>
      <c r="BS2617" s="7">
        <v>-1</v>
      </c>
      <c r="BT2617" s="7">
        <v>-1</v>
      </c>
      <c r="BU2617" s="2" t="s">
        <v>109</v>
      </c>
      <c r="BV2617" s="2" t="s">
        <v>97</v>
      </c>
      <c r="BW2617" s="2" t="s">
        <v>8437</v>
      </c>
      <c r="BX2617" s="2" t="s">
        <v>9727</v>
      </c>
      <c r="BY2617" s="2" t="s">
        <v>112</v>
      </c>
      <c r="BZ2617" s="2" t="s">
        <v>100</v>
      </c>
    </row>
    <row r="2618">
      <c r="A2618" s="2" t="s">
        <v>9728</v>
      </c>
      <c r="B2618" s="2" t="s">
        <v>7252</v>
      </c>
      <c r="C2618" s="2" t="s">
        <v>4677</v>
      </c>
      <c r="D2618" s="2" t="s">
        <v>7786</v>
      </c>
      <c r="E2618" s="2" t="s">
        <v>7787</v>
      </c>
      <c r="F2618" s="2" t="s">
        <v>9729</v>
      </c>
      <c r="G2618" s="2" t="s">
        <v>9729</v>
      </c>
      <c r="H2618" s="2" t="s">
        <v>9729</v>
      </c>
      <c r="I2618" s="2" t="s">
        <v>9730</v>
      </c>
      <c r="J2618" s="2" t="s">
        <v>6103</v>
      </c>
      <c r="K2618" s="2" t="s">
        <v>333</v>
      </c>
      <c r="L2618" s="3">
        <v>85.5</v>
      </c>
      <c r="M2618" s="3">
        <v>89.78</v>
      </c>
      <c r="N2618" s="3">
        <v>179</v>
      </c>
      <c r="O2618" s="2" t="s">
        <v>97</v>
      </c>
      <c r="P2618" s="2" t="s">
        <v>182</v>
      </c>
      <c r="Q2618" s="2" t="s">
        <v>99</v>
      </c>
      <c r="R2618" s="2" t="s">
        <v>100</v>
      </c>
      <c r="S2618" s="2" t="s">
        <v>100</v>
      </c>
      <c r="T2618" s="2" t="s">
        <v>100</v>
      </c>
      <c r="U2618" s="2" t="s">
        <v>3531</v>
      </c>
      <c r="V2618" s="2" t="s">
        <v>1752</v>
      </c>
      <c r="W2618" s="2" t="s">
        <v>602</v>
      </c>
      <c r="X2618" s="2" t="s">
        <v>100</v>
      </c>
      <c r="Y2618" s="2" t="s">
        <v>9731</v>
      </c>
      <c r="Z2618" s="4">
        <v>140</v>
      </c>
      <c r="AA2618" s="4">
        <f>=ROUNDDOWN(23.3333333333333,0)</f>
      </c>
      <c r="AB2618" s="5">
        <v>6</v>
      </c>
      <c r="AC2618" s="2" t="s">
        <v>100</v>
      </c>
      <c r="AD2618" s="4"/>
      <c r="AE2618" s="4"/>
      <c r="AF2618" s="6">
        <v>66</v>
      </c>
      <c r="AG2618" s="6"/>
      <c r="AH2618" s="7">
        <v>0.9939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/>
      <c r="BD2618" s="8"/>
      <c r="BE2618" s="4"/>
      <c r="BF2618" s="8"/>
      <c r="BG2618" s="7"/>
      <c r="BH2618" s="7"/>
      <c r="BI2618" s="7"/>
      <c r="BJ2618" s="4">
        <v>131</v>
      </c>
      <c r="BK2618" s="8">
        <v>11751.5</v>
      </c>
      <c r="BL2618" s="2" t="s">
        <v>9732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6185</v>
      </c>
      <c r="BV2618" s="2" t="s">
        <v>97</v>
      </c>
      <c r="BW2618" s="2" t="s">
        <v>100</v>
      </c>
      <c r="BX2618" s="2" t="s">
        <v>100</v>
      </c>
      <c r="BY2618" s="2" t="s">
        <v>112</v>
      </c>
      <c r="BZ2618" s="2" t="s">
        <v>100</v>
      </c>
    </row>
    <row r="2619">
      <c r="A2619" s="2" t="s">
        <v>9733</v>
      </c>
      <c r="B2619" s="2" t="s">
        <v>7252</v>
      </c>
      <c r="C2619" s="2" t="s">
        <v>4677</v>
      </c>
      <c r="D2619" s="2" t="s">
        <v>7786</v>
      </c>
      <c r="E2619" s="2" t="s">
        <v>7787</v>
      </c>
      <c r="F2619" s="2" t="s">
        <v>9434</v>
      </c>
      <c r="G2619" s="2" t="s">
        <v>9434</v>
      </c>
      <c r="H2619" s="2" t="s">
        <v>9434</v>
      </c>
      <c r="I2619" s="2" t="s">
        <v>7787</v>
      </c>
      <c r="J2619" s="2" t="s">
        <v>6103</v>
      </c>
      <c r="K2619" s="2" t="s">
        <v>7696</v>
      </c>
      <c r="L2619" s="3">
        <v>133</v>
      </c>
      <c r="M2619" s="3">
        <v>139.65</v>
      </c>
      <c r="N2619" s="3">
        <v>279</v>
      </c>
      <c r="O2619" s="2" t="s">
        <v>97</v>
      </c>
      <c r="P2619" s="2" t="s">
        <v>143</v>
      </c>
      <c r="Q2619" s="2" t="s">
        <v>99</v>
      </c>
      <c r="R2619" s="2" t="s">
        <v>100</v>
      </c>
      <c r="S2619" s="2" t="s">
        <v>9734</v>
      </c>
      <c r="T2619" s="2" t="s">
        <v>100</v>
      </c>
      <c r="U2619" s="2" t="s">
        <v>100</v>
      </c>
      <c r="V2619" s="2" t="s">
        <v>601</v>
      </c>
      <c r="W2619" s="2" t="s">
        <v>104</v>
      </c>
      <c r="X2619" s="2" t="s">
        <v>100</v>
      </c>
      <c r="Y2619" s="2" t="s">
        <v>106</v>
      </c>
      <c r="Z2619" s="4">
        <v>492</v>
      </c>
      <c r="AA2619" s="4">
        <f>=ROUNDDOWN(28.9411764705882,0)</f>
      </c>
      <c r="AB2619" s="5">
        <v>17</v>
      </c>
      <c r="AC2619" s="2" t="s">
        <v>130</v>
      </c>
      <c r="AD2619" s="4">
        <v>30</v>
      </c>
      <c r="AE2619" s="4">
        <v>180</v>
      </c>
      <c r="AF2619" s="6">
        <v>66</v>
      </c>
      <c r="AG2619" s="6">
        <v>49</v>
      </c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>
        <v>0</v>
      </c>
      <c r="AP2619" s="4"/>
      <c r="AQ2619" s="8"/>
      <c r="AR2619" s="4">
        <v>5</v>
      </c>
      <c r="AS2619" s="8">
        <v>455.8</v>
      </c>
      <c r="AT2619" s="7">
        <v>-1</v>
      </c>
      <c r="AU2619" s="7">
        <v>-1</v>
      </c>
      <c r="AV2619" s="4"/>
      <c r="AW2619" s="8"/>
      <c r="AX2619" s="4">
        <v>5</v>
      </c>
      <c r="AY2619" s="8">
        <v>455.8</v>
      </c>
      <c r="AZ2619" s="7">
        <v>-1</v>
      </c>
      <c r="BA2619" s="7">
        <v>-1</v>
      </c>
      <c r="BB2619" s="7"/>
      <c r="BC2619" s="4"/>
      <c r="BD2619" s="8"/>
      <c r="BE2619" s="4">
        <v>5</v>
      </c>
      <c r="BF2619" s="8">
        <v>455.8</v>
      </c>
      <c r="BG2619" s="7">
        <v>-1</v>
      </c>
      <c r="BH2619" s="7">
        <v>-1</v>
      </c>
      <c r="BI2619" s="7"/>
      <c r="BJ2619" s="4">
        <v>392</v>
      </c>
      <c r="BK2619" s="8">
        <v>50353.7</v>
      </c>
      <c r="BL2619" s="2" t="s">
        <v>9735</v>
      </c>
      <c r="BM2619" s="7"/>
      <c r="BN2619" s="7"/>
      <c r="BO2619" s="4"/>
      <c r="BP2619" s="8"/>
      <c r="BQ2619" s="4">
        <v>5</v>
      </c>
      <c r="BR2619" s="8">
        <v>455.8</v>
      </c>
      <c r="BS2619" s="7">
        <v>-1</v>
      </c>
      <c r="BT2619" s="7">
        <v>-1</v>
      </c>
      <c r="BU2619" s="2" t="s">
        <v>109</v>
      </c>
      <c r="BV2619" s="2" t="s">
        <v>97</v>
      </c>
      <c r="BW2619" s="2" t="s">
        <v>2338</v>
      </c>
      <c r="BX2619" s="2" t="s">
        <v>7956</v>
      </c>
      <c r="BY2619" s="2" t="s">
        <v>112</v>
      </c>
      <c r="BZ2619" s="2" t="s">
        <v>100</v>
      </c>
    </row>
    <row r="2620">
      <c r="A2620" s="2" t="s">
        <v>9736</v>
      </c>
      <c r="B2620" s="2" t="s">
        <v>7252</v>
      </c>
      <c r="C2620" s="2" t="s">
        <v>4677</v>
      </c>
      <c r="D2620" s="2" t="s">
        <v>7786</v>
      </c>
      <c r="E2620" s="2" t="s">
        <v>7787</v>
      </c>
      <c r="F2620" s="2" t="s">
        <v>2416</v>
      </c>
      <c r="G2620" s="2" t="s">
        <v>2416</v>
      </c>
      <c r="H2620" s="2" t="s">
        <v>2416</v>
      </c>
      <c r="I2620" s="2" t="s">
        <v>9737</v>
      </c>
      <c r="J2620" s="2" t="s">
        <v>6103</v>
      </c>
      <c r="K2620" s="2" t="s">
        <v>635</v>
      </c>
      <c r="L2620" s="3">
        <v>66.5</v>
      </c>
      <c r="M2620" s="3">
        <v>69.82</v>
      </c>
      <c r="N2620" s="3">
        <v>139</v>
      </c>
      <c r="O2620" s="2" t="s">
        <v>97</v>
      </c>
      <c r="P2620" s="2" t="s">
        <v>182</v>
      </c>
      <c r="Q2620" s="2" t="s">
        <v>99</v>
      </c>
      <c r="R2620" s="2" t="s">
        <v>100</v>
      </c>
      <c r="S2620" s="2" t="s">
        <v>100</v>
      </c>
      <c r="T2620" s="2" t="s">
        <v>100</v>
      </c>
      <c r="U2620" s="2" t="s">
        <v>3531</v>
      </c>
      <c r="V2620" s="2" t="s">
        <v>1752</v>
      </c>
      <c r="W2620" s="2" t="s">
        <v>602</v>
      </c>
      <c r="X2620" s="2" t="s">
        <v>100</v>
      </c>
      <c r="Y2620" s="2" t="s">
        <v>5598</v>
      </c>
      <c r="Z2620" s="4">
        <v>518</v>
      </c>
      <c r="AA2620" s="4">
        <f>=ROUNDDOWN(43.1666666666667,0)</f>
      </c>
      <c r="AB2620" s="5">
        <v>12</v>
      </c>
      <c r="AC2620" s="2" t="s">
        <v>100</v>
      </c>
      <c r="AD2620" s="4"/>
      <c r="AE2620" s="4"/>
      <c r="AF2620" s="6">
        <v>66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/>
      <c r="BD2620" s="8"/>
      <c r="BE2620" s="4"/>
      <c r="BF2620" s="8"/>
      <c r="BG2620" s="7"/>
      <c r="BH2620" s="7"/>
      <c r="BI2620" s="7"/>
      <c r="BJ2620" s="4">
        <v>208</v>
      </c>
      <c r="BK2620" s="8">
        <v>14578.99</v>
      </c>
      <c r="BL2620" s="2" t="s">
        <v>9738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6185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100</v>
      </c>
    </row>
    <row r="2621">
      <c r="A2621" s="2" t="s">
        <v>9739</v>
      </c>
      <c r="B2621" s="2" t="s">
        <v>7252</v>
      </c>
      <c r="C2621" s="2" t="s">
        <v>4677</v>
      </c>
      <c r="D2621" s="2" t="s">
        <v>7786</v>
      </c>
      <c r="E2621" s="2" t="s">
        <v>7787</v>
      </c>
      <c r="F2621" s="2" t="s">
        <v>9740</v>
      </c>
      <c r="G2621" s="2" t="s">
        <v>9740</v>
      </c>
      <c r="H2621" s="2" t="s">
        <v>9740</v>
      </c>
      <c r="I2621" s="2" t="s">
        <v>7933</v>
      </c>
      <c r="J2621" s="2" t="s">
        <v>6103</v>
      </c>
      <c r="K2621" s="2" t="s">
        <v>9741</v>
      </c>
      <c r="L2621" s="3">
        <v>80.75</v>
      </c>
      <c r="M2621" s="3">
        <v>84.79</v>
      </c>
      <c r="N2621" s="3">
        <v>169</v>
      </c>
      <c r="O2621" s="2" t="s">
        <v>97</v>
      </c>
      <c r="P2621" s="2" t="s">
        <v>182</v>
      </c>
      <c r="Q2621" s="2" t="s">
        <v>99</v>
      </c>
      <c r="R2621" s="2" t="s">
        <v>100</v>
      </c>
      <c r="S2621" s="2" t="s">
        <v>100</v>
      </c>
      <c r="T2621" s="2" t="s">
        <v>100</v>
      </c>
      <c r="U2621" s="2" t="s">
        <v>3531</v>
      </c>
      <c r="V2621" s="2" t="s">
        <v>601</v>
      </c>
      <c r="W2621" s="2" t="s">
        <v>6998</v>
      </c>
      <c r="X2621" s="2" t="s">
        <v>100</v>
      </c>
      <c r="Y2621" s="2" t="s">
        <v>9742</v>
      </c>
      <c r="Z2621" s="4">
        <v>201</v>
      </c>
      <c r="AA2621" s="4">
        <f>=ROUNDDOWN(16.75,0)</f>
      </c>
      <c r="AB2621" s="5">
        <v>12</v>
      </c>
      <c r="AC2621" s="2" t="s">
        <v>746</v>
      </c>
      <c r="AD2621" s="4">
        <v>360</v>
      </c>
      <c r="AE2621" s="4">
        <v>360</v>
      </c>
      <c r="AF2621" s="6">
        <v>74</v>
      </c>
      <c r="AG2621" s="6">
        <v>60</v>
      </c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>
        <v>0</v>
      </c>
      <c r="AP2621" s="4"/>
      <c r="AQ2621" s="8"/>
      <c r="AR2621" s="4">
        <v>9</v>
      </c>
      <c r="AS2621" s="8">
        <v>700.61</v>
      </c>
      <c r="AT2621" s="7">
        <v>-1</v>
      </c>
      <c r="AU2621" s="7">
        <v>-1</v>
      </c>
      <c r="AV2621" s="4"/>
      <c r="AW2621" s="8"/>
      <c r="AX2621" s="4">
        <v>9</v>
      </c>
      <c r="AY2621" s="8">
        <v>700.61</v>
      </c>
      <c r="AZ2621" s="7">
        <v>-1</v>
      </c>
      <c r="BA2621" s="7">
        <v>-1</v>
      </c>
      <c r="BB2621" s="7"/>
      <c r="BC2621" s="4"/>
      <c r="BD2621" s="8"/>
      <c r="BE2621" s="4">
        <v>9</v>
      </c>
      <c r="BF2621" s="8">
        <v>700.61</v>
      </c>
      <c r="BG2621" s="7">
        <v>-1</v>
      </c>
      <c r="BH2621" s="7">
        <v>-1</v>
      </c>
      <c r="BI2621" s="7"/>
      <c r="BJ2621" s="4">
        <v>347</v>
      </c>
      <c r="BK2621" s="8">
        <v>28366.34</v>
      </c>
      <c r="BL2621" s="2" t="s">
        <v>9743</v>
      </c>
      <c r="BM2621" s="7"/>
      <c r="BN2621" s="7"/>
      <c r="BO2621" s="4"/>
      <c r="BP2621" s="8"/>
      <c r="BQ2621" s="4">
        <v>9</v>
      </c>
      <c r="BR2621" s="8">
        <v>700.61</v>
      </c>
      <c r="BS2621" s="7">
        <v>-1</v>
      </c>
      <c r="BT2621" s="7">
        <v>-1</v>
      </c>
      <c r="BU2621" s="2" t="s">
        <v>109</v>
      </c>
      <c r="BV2621" s="2" t="s">
        <v>97</v>
      </c>
      <c r="BW2621" s="2" t="s">
        <v>7307</v>
      </c>
      <c r="BX2621" s="2" t="s">
        <v>5076</v>
      </c>
      <c r="BY2621" s="2" t="s">
        <v>112</v>
      </c>
      <c r="BZ2621" s="2" t="s">
        <v>100</v>
      </c>
    </row>
    <row r="2622">
      <c r="A2622" s="2" t="s">
        <v>9744</v>
      </c>
      <c r="B2622" s="2" t="s">
        <v>7252</v>
      </c>
      <c r="C2622" s="2" t="s">
        <v>4677</v>
      </c>
      <c r="D2622" s="2" t="s">
        <v>7786</v>
      </c>
      <c r="E2622" s="2" t="s">
        <v>7787</v>
      </c>
      <c r="F2622" s="2" t="s">
        <v>9505</v>
      </c>
      <c r="G2622" s="2" t="s">
        <v>9505</v>
      </c>
      <c r="H2622" s="2" t="s">
        <v>9505</v>
      </c>
      <c r="I2622" s="2" t="s">
        <v>9745</v>
      </c>
      <c r="J2622" s="2" t="s">
        <v>6103</v>
      </c>
      <c r="K2622" s="2" t="s">
        <v>323</v>
      </c>
      <c r="L2622" s="3">
        <v>131.75</v>
      </c>
      <c r="M2622" s="3">
        <v>138.34</v>
      </c>
      <c r="N2622" s="3">
        <v>279</v>
      </c>
      <c r="O2622" s="2" t="s">
        <v>97</v>
      </c>
      <c r="P2622" s="2" t="s">
        <v>182</v>
      </c>
      <c r="Q2622" s="2" t="s">
        <v>99</v>
      </c>
      <c r="R2622" s="2" t="s">
        <v>100</v>
      </c>
      <c r="S2622" s="2" t="s">
        <v>100</v>
      </c>
      <c r="T2622" s="2" t="s">
        <v>100</v>
      </c>
      <c r="U2622" s="2" t="s">
        <v>3531</v>
      </c>
      <c r="V2622" s="2" t="s">
        <v>1752</v>
      </c>
      <c r="W2622" s="2" t="s">
        <v>759</v>
      </c>
      <c r="X2622" s="2" t="s">
        <v>2195</v>
      </c>
      <c r="Y2622" s="2" t="s">
        <v>7780</v>
      </c>
      <c r="Z2622" s="4">
        <v>4</v>
      </c>
      <c r="AA2622" s="4">
        <f>=ROUNDDOWN(0.235294117647059,0)</f>
      </c>
      <c r="AB2622" s="5">
        <v>17</v>
      </c>
      <c r="AC2622" s="2" t="s">
        <v>936</v>
      </c>
      <c r="AD2622" s="4">
        <v>100</v>
      </c>
      <c r="AE2622" s="4">
        <v>549</v>
      </c>
      <c r="AF2622" s="6">
        <v>69</v>
      </c>
      <c r="AG2622" s="6"/>
      <c r="AH2622" s="7">
        <v>0.9939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/>
      <c r="BD2622" s="8"/>
      <c r="BE2622" s="4"/>
      <c r="BF2622" s="8"/>
      <c r="BG2622" s="7"/>
      <c r="BH2622" s="7"/>
      <c r="BI2622" s="7"/>
      <c r="BJ2622" s="4">
        <v>308</v>
      </c>
      <c r="BK2622" s="8">
        <v>44818.68</v>
      </c>
      <c r="BL2622" s="2" t="s">
        <v>9746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6185</v>
      </c>
      <c r="BV2622" s="2" t="s">
        <v>97</v>
      </c>
      <c r="BW2622" s="2" t="s">
        <v>100</v>
      </c>
      <c r="BX2622" s="2" t="s">
        <v>100</v>
      </c>
      <c r="BY2622" s="2" t="s">
        <v>112</v>
      </c>
      <c r="BZ2622" s="2" t="s">
        <v>100</v>
      </c>
    </row>
    <row r="2623">
      <c r="A2623" s="2" t="s">
        <v>9747</v>
      </c>
      <c r="B2623" s="2" t="s">
        <v>7252</v>
      </c>
      <c r="C2623" s="2" t="s">
        <v>4677</v>
      </c>
      <c r="D2623" s="2" t="s">
        <v>7786</v>
      </c>
      <c r="E2623" s="2" t="s">
        <v>7787</v>
      </c>
      <c r="F2623" s="2" t="s">
        <v>9748</v>
      </c>
      <c r="G2623" s="2" t="s">
        <v>9748</v>
      </c>
      <c r="H2623" s="2" t="s">
        <v>9748</v>
      </c>
      <c r="I2623" s="2" t="s">
        <v>9749</v>
      </c>
      <c r="J2623" s="2" t="s">
        <v>6103</v>
      </c>
      <c r="K2623" s="2" t="s">
        <v>7269</v>
      </c>
      <c r="L2623" s="3">
        <v>123</v>
      </c>
      <c r="M2623" s="3">
        <v>129.15</v>
      </c>
      <c r="N2623" s="3">
        <v>259</v>
      </c>
      <c r="O2623" s="2" t="s">
        <v>97</v>
      </c>
      <c r="P2623" s="2" t="s">
        <v>1166</v>
      </c>
      <c r="Q2623" s="2" t="s">
        <v>99</v>
      </c>
      <c r="R2623" s="2" t="s">
        <v>100</v>
      </c>
      <c r="S2623" s="2" t="s">
        <v>100</v>
      </c>
      <c r="T2623" s="2" t="s">
        <v>100</v>
      </c>
      <c r="U2623" s="2" t="s">
        <v>3531</v>
      </c>
      <c r="V2623" s="2" t="s">
        <v>1752</v>
      </c>
      <c r="W2623" s="2" t="s">
        <v>602</v>
      </c>
      <c r="X2623" s="2" t="s">
        <v>759</v>
      </c>
      <c r="Y2623" s="2" t="s">
        <v>7989</v>
      </c>
      <c r="Z2623" s="4">
        <v>82</v>
      </c>
      <c r="AA2623" s="4">
        <f>=ROUNDDOWN(82,0)</f>
      </c>
      <c r="AB2623" s="5">
        <v>1</v>
      </c>
      <c r="AC2623" s="2" t="s">
        <v>100</v>
      </c>
      <c r="AD2623" s="4"/>
      <c r="AE2623" s="4"/>
      <c r="AF2623" s="6">
        <v>66</v>
      </c>
      <c r="AG2623" s="6"/>
      <c r="AH2623" s="7">
        <v>0.8848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/>
      <c r="BD2623" s="8"/>
      <c r="BE2623" s="4"/>
      <c r="BF2623" s="8"/>
      <c r="BG2623" s="7"/>
      <c r="BH2623" s="7"/>
      <c r="BI2623" s="7"/>
      <c r="BJ2623" s="4">
        <v>19</v>
      </c>
      <c r="BK2623" s="8">
        <v>2547.87</v>
      </c>
      <c r="BL2623" s="2" t="s">
        <v>9750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6185</v>
      </c>
      <c r="BV2623" s="2" t="s">
        <v>97</v>
      </c>
      <c r="BW2623" s="2" t="s">
        <v>100</v>
      </c>
      <c r="BX2623" s="2" t="s">
        <v>100</v>
      </c>
      <c r="BY2623" s="2" t="s">
        <v>112</v>
      </c>
      <c r="BZ2623" s="2" t="s">
        <v>100</v>
      </c>
    </row>
    <row r="2624">
      <c r="A2624" s="2" t="s">
        <v>9751</v>
      </c>
      <c r="B2624" s="2" t="s">
        <v>7252</v>
      </c>
      <c r="C2624" s="2" t="s">
        <v>4677</v>
      </c>
      <c r="D2624" s="2" t="s">
        <v>7786</v>
      </c>
      <c r="E2624" s="2" t="s">
        <v>8071</v>
      </c>
      <c r="F2624" s="2" t="s">
        <v>9740</v>
      </c>
      <c r="G2624" s="2" t="s">
        <v>9740</v>
      </c>
      <c r="H2624" s="2" t="s">
        <v>9740</v>
      </c>
      <c r="I2624" s="2" t="s">
        <v>9752</v>
      </c>
      <c r="J2624" s="2" t="s">
        <v>6103</v>
      </c>
      <c r="K2624" s="2" t="s">
        <v>7696</v>
      </c>
      <c r="L2624" s="3">
        <v>85.5</v>
      </c>
      <c r="M2624" s="3">
        <v>89.78</v>
      </c>
      <c r="N2624" s="3">
        <v>179</v>
      </c>
      <c r="O2624" s="2" t="s">
        <v>97</v>
      </c>
      <c r="P2624" s="2" t="s">
        <v>1265</v>
      </c>
      <c r="Q2624" s="2" t="s">
        <v>99</v>
      </c>
      <c r="R2624" s="2" t="s">
        <v>100</v>
      </c>
      <c r="S2624" s="2" t="s">
        <v>9753</v>
      </c>
      <c r="T2624" s="2" t="s">
        <v>100</v>
      </c>
      <c r="U2624" s="2" t="s">
        <v>100</v>
      </c>
      <c r="V2624" s="2" t="s">
        <v>601</v>
      </c>
      <c r="W2624" s="2" t="s">
        <v>6998</v>
      </c>
      <c r="X2624" s="2" t="s">
        <v>100</v>
      </c>
      <c r="Y2624" s="2" t="s">
        <v>7910</v>
      </c>
      <c r="Z2624" s="4">
        <v>108</v>
      </c>
      <c r="AA2624" s="4">
        <f>=ROUNDDOWN(36,0)</f>
      </c>
      <c r="AB2624" s="5">
        <v>3</v>
      </c>
      <c r="AC2624" s="2" t="s">
        <v>2670</v>
      </c>
      <c r="AD2624" s="4">
        <v>150</v>
      </c>
      <c r="AE2624" s="4">
        <v>150</v>
      </c>
      <c r="AF2624" s="6">
        <v>74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>
        <v>0</v>
      </c>
      <c r="AP2624" s="4">
        <v>6</v>
      </c>
      <c r="AQ2624" s="8">
        <v>538.68</v>
      </c>
      <c r="AR2624" s="4">
        <v>9</v>
      </c>
      <c r="AS2624" s="8">
        <v>732.42</v>
      </c>
      <c r="AT2624" s="7">
        <v>-0.3333</v>
      </c>
      <c r="AU2624" s="7">
        <v>-0.2645</v>
      </c>
      <c r="AV2624" s="4">
        <v>6</v>
      </c>
      <c r="AW2624" s="8">
        <v>538.68</v>
      </c>
      <c r="AX2624" s="4">
        <v>9</v>
      </c>
      <c r="AY2624" s="8">
        <v>732.42</v>
      </c>
      <c r="AZ2624" s="7">
        <v>-0.3333</v>
      </c>
      <c r="BA2624" s="7">
        <v>-0.2645</v>
      </c>
      <c r="BB2624" s="7">
        <v>1</v>
      </c>
      <c r="BC2624" s="4">
        <v>6</v>
      </c>
      <c r="BD2624" s="8">
        <v>538.68</v>
      </c>
      <c r="BE2624" s="4">
        <v>9</v>
      </c>
      <c r="BF2624" s="8">
        <v>732.42</v>
      </c>
      <c r="BG2624" s="7">
        <v>-0.3333</v>
      </c>
      <c r="BH2624" s="7">
        <v>-0.2645</v>
      </c>
      <c r="BI2624" s="7">
        <v>1</v>
      </c>
      <c r="BJ2624" s="4">
        <v>78</v>
      </c>
      <c r="BK2624" s="8">
        <v>6301.54</v>
      </c>
      <c r="BL2624" s="2" t="s">
        <v>9754</v>
      </c>
      <c r="BM2624" s="7">
        <v>0.0769</v>
      </c>
      <c r="BN2624" s="7">
        <v>0.0855</v>
      </c>
      <c r="BO2624" s="4">
        <v>6</v>
      </c>
      <c r="BP2624" s="8">
        <v>538.68</v>
      </c>
      <c r="BQ2624" s="4">
        <v>9</v>
      </c>
      <c r="BR2624" s="8">
        <v>732.42</v>
      </c>
      <c r="BS2624" s="7">
        <v>-0.3333</v>
      </c>
      <c r="BT2624" s="7">
        <v>-0.2645</v>
      </c>
      <c r="BU2624" s="2" t="s">
        <v>109</v>
      </c>
      <c r="BV2624" s="2" t="s">
        <v>97</v>
      </c>
      <c r="BW2624" s="2" t="s">
        <v>7311</v>
      </c>
      <c r="BX2624" s="2" t="s">
        <v>6148</v>
      </c>
      <c r="BY2624" s="2" t="s">
        <v>112</v>
      </c>
      <c r="BZ2624" s="2" t="s">
        <v>100</v>
      </c>
    </row>
    <row r="2625">
      <c r="A2625" s="2" t="s">
        <v>9755</v>
      </c>
      <c r="B2625" s="2" t="s">
        <v>7252</v>
      </c>
      <c r="C2625" s="2" t="s">
        <v>4677</v>
      </c>
      <c r="D2625" s="2" t="s">
        <v>7786</v>
      </c>
      <c r="E2625" s="2" t="s">
        <v>8071</v>
      </c>
      <c r="F2625" s="2" t="s">
        <v>9588</v>
      </c>
      <c r="G2625" s="2" t="s">
        <v>9588</v>
      </c>
      <c r="H2625" s="2" t="s">
        <v>100</v>
      </c>
      <c r="I2625" s="2" t="s">
        <v>9756</v>
      </c>
      <c r="J2625" s="2" t="s">
        <v>6103</v>
      </c>
      <c r="K2625" s="2" t="s">
        <v>323</v>
      </c>
      <c r="L2625" s="3">
        <v>81</v>
      </c>
      <c r="M2625" s="3">
        <v>85.05</v>
      </c>
      <c r="N2625" s="3">
        <v>169</v>
      </c>
      <c r="O2625" s="2" t="s">
        <v>97</v>
      </c>
      <c r="P2625" s="2" t="s">
        <v>182</v>
      </c>
      <c r="Q2625" s="2" t="s">
        <v>99</v>
      </c>
      <c r="R2625" s="2" t="s">
        <v>100</v>
      </c>
      <c r="S2625" s="2" t="s">
        <v>9757</v>
      </c>
      <c r="T2625" s="2" t="s">
        <v>100</v>
      </c>
      <c r="U2625" s="2" t="s">
        <v>100</v>
      </c>
      <c r="V2625" s="2" t="s">
        <v>601</v>
      </c>
      <c r="W2625" s="2" t="s">
        <v>6998</v>
      </c>
      <c r="X2625" s="2" t="s">
        <v>100</v>
      </c>
      <c r="Y2625" s="2" t="s">
        <v>106</v>
      </c>
      <c r="Z2625" s="4">
        <v>146</v>
      </c>
      <c r="AA2625" s="4">
        <f>=ROUNDDOWN(16.2222222222222,0)</f>
      </c>
      <c r="AB2625" s="5">
        <v>9</v>
      </c>
      <c r="AC2625" s="2" t="s">
        <v>9655</v>
      </c>
      <c r="AD2625" s="4">
        <v>120</v>
      </c>
      <c r="AE2625" s="4">
        <v>120</v>
      </c>
      <c r="AF2625" s="6">
        <v>74</v>
      </c>
      <c r="AG2625" s="6">
        <v>60</v>
      </c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>
        <v>0</v>
      </c>
      <c r="AP2625" s="4">
        <v>4</v>
      </c>
      <c r="AQ2625" s="8">
        <v>329.92</v>
      </c>
      <c r="AR2625" s="4">
        <v>6</v>
      </c>
      <c r="AS2625" s="8">
        <v>469.05</v>
      </c>
      <c r="AT2625" s="7">
        <v>-0.3333</v>
      </c>
      <c r="AU2625" s="7">
        <v>-0.2966</v>
      </c>
      <c r="AV2625" s="4">
        <v>4</v>
      </c>
      <c r="AW2625" s="8">
        <v>329.92</v>
      </c>
      <c r="AX2625" s="4">
        <v>8</v>
      </c>
      <c r="AY2625" s="8">
        <v>733.65</v>
      </c>
      <c r="AZ2625" s="7">
        <v>-0.5</v>
      </c>
      <c r="BA2625" s="7">
        <v>-0.5503</v>
      </c>
      <c r="BB2625" s="7">
        <v>1</v>
      </c>
      <c r="BC2625" s="4">
        <v>4</v>
      </c>
      <c r="BD2625" s="8">
        <v>329.92</v>
      </c>
      <c r="BE2625" s="4">
        <v>12</v>
      </c>
      <c r="BF2625" s="8">
        <v>1111.65</v>
      </c>
      <c r="BG2625" s="7">
        <v>-0.6667</v>
      </c>
      <c r="BH2625" s="7">
        <v>-0.7032</v>
      </c>
      <c r="BI2625" s="7">
        <v>1</v>
      </c>
      <c r="BJ2625" s="4">
        <v>175</v>
      </c>
      <c r="BK2625" s="8">
        <v>13706.76</v>
      </c>
      <c r="BL2625" s="2" t="s">
        <v>9758</v>
      </c>
      <c r="BM2625" s="7">
        <v>0.0229</v>
      </c>
      <c r="BN2625" s="7">
        <v>0.0241</v>
      </c>
      <c r="BO2625" s="4">
        <v>4</v>
      </c>
      <c r="BP2625" s="8">
        <v>329.92</v>
      </c>
      <c r="BQ2625" s="4">
        <v>6</v>
      </c>
      <c r="BR2625" s="8">
        <v>469.05</v>
      </c>
      <c r="BS2625" s="7">
        <v>-0.3333</v>
      </c>
      <c r="BT2625" s="7">
        <v>-0.2966</v>
      </c>
      <c r="BU2625" s="2" t="s">
        <v>109</v>
      </c>
      <c r="BV2625" s="2" t="s">
        <v>97</v>
      </c>
      <c r="BW2625" s="2" t="s">
        <v>9759</v>
      </c>
      <c r="BX2625" s="2" t="s">
        <v>4046</v>
      </c>
      <c r="BY2625" s="2" t="s">
        <v>112</v>
      </c>
      <c r="BZ2625" s="2" t="s">
        <v>100</v>
      </c>
    </row>
    <row r="2626">
      <c r="A2626" s="2" t="s">
        <v>9760</v>
      </c>
      <c r="B2626" s="2" t="s">
        <v>7252</v>
      </c>
      <c r="C2626" s="2" t="s">
        <v>4677</v>
      </c>
      <c r="D2626" s="2" t="s">
        <v>7786</v>
      </c>
      <c r="E2626" s="2" t="s">
        <v>8071</v>
      </c>
      <c r="F2626" s="2" t="s">
        <v>9588</v>
      </c>
      <c r="G2626" s="2" t="s">
        <v>9588</v>
      </c>
      <c r="H2626" s="2" t="s">
        <v>9588</v>
      </c>
      <c r="I2626" s="2" t="s">
        <v>9761</v>
      </c>
      <c r="J2626" s="2" t="s">
        <v>6103</v>
      </c>
      <c r="K2626" s="2" t="s">
        <v>323</v>
      </c>
      <c r="L2626" s="3">
        <v>126</v>
      </c>
      <c r="M2626" s="3">
        <v>132.3</v>
      </c>
      <c r="N2626" s="3">
        <v>269</v>
      </c>
      <c r="O2626" s="2" t="s">
        <v>229</v>
      </c>
      <c r="P2626" s="2" t="s">
        <v>198</v>
      </c>
      <c r="Q2626" s="2" t="s">
        <v>99</v>
      </c>
      <c r="R2626" s="2" t="s">
        <v>100</v>
      </c>
      <c r="S2626" s="2" t="s">
        <v>100</v>
      </c>
      <c r="T2626" s="2" t="s">
        <v>100</v>
      </c>
      <c r="U2626" s="2" t="s">
        <v>3531</v>
      </c>
      <c r="V2626" s="2" t="s">
        <v>601</v>
      </c>
      <c r="W2626" s="2" t="s">
        <v>2195</v>
      </c>
      <c r="X2626" s="2" t="s">
        <v>100</v>
      </c>
      <c r="Y2626" s="2" t="s">
        <v>9762</v>
      </c>
      <c r="Z2626" s="4">
        <v>51</v>
      </c>
      <c r="AA2626" s="4">
        <f>=ROUNDDOWN(127.5,0)</f>
      </c>
      <c r="AB2626" s="5">
        <v>0.4</v>
      </c>
      <c r="AC2626" s="2" t="s">
        <v>100</v>
      </c>
      <c r="AD2626" s="4"/>
      <c r="AE2626" s="4"/>
      <c r="AF2626" s="6">
        <v>74</v>
      </c>
      <c r="AG2626" s="6">
        <v>60</v>
      </c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>
        <v>0</v>
      </c>
      <c r="AP2626" s="4"/>
      <c r="AQ2626" s="8"/>
      <c r="AR2626" s="4">
        <v>2</v>
      </c>
      <c r="AS2626" s="8">
        <v>264.6</v>
      </c>
      <c r="AT2626" s="7">
        <v>-1</v>
      </c>
      <c r="AU2626" s="7">
        <v>-1</v>
      </c>
      <c r="AV2626" s="4" t="s">
        <v>100</v>
      </c>
      <c r="AW2626" s="8" t="s">
        <v>100</v>
      </c>
      <c r="AX2626" s="4" t="s">
        <v>100</v>
      </c>
      <c r="AY2626" s="8" t="s">
        <v>100</v>
      </c>
      <c r="AZ2626" s="7" t="s">
        <v>100</v>
      </c>
      <c r="BA2626" s="7" t="s">
        <v>100</v>
      </c>
      <c r="BB2626" s="7" t="s">
        <v>100</v>
      </c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 t="s">
        <v>100</v>
      </c>
      <c r="BJ2626" s="4">
        <v>35</v>
      </c>
      <c r="BK2626" s="8">
        <v>3724.36</v>
      </c>
      <c r="BL2626" s="2" t="s">
        <v>9763</v>
      </c>
      <c r="BM2626" s="7"/>
      <c r="BN2626" s="7"/>
      <c r="BO2626" s="4"/>
      <c r="BP2626" s="8"/>
      <c r="BQ2626" s="4">
        <v>2</v>
      </c>
      <c r="BR2626" s="8">
        <v>264.6</v>
      </c>
      <c r="BS2626" s="7">
        <v>-1</v>
      </c>
      <c r="BT2626" s="7">
        <v>-1</v>
      </c>
      <c r="BU2626" s="2" t="s">
        <v>109</v>
      </c>
      <c r="BV2626" s="2" t="s">
        <v>97</v>
      </c>
      <c r="BW2626" s="2" t="s">
        <v>7841</v>
      </c>
      <c r="BX2626" s="2" t="s">
        <v>9626</v>
      </c>
      <c r="BY2626" s="2" t="s">
        <v>112</v>
      </c>
      <c r="BZ2626" s="2" t="s">
        <v>100</v>
      </c>
    </row>
    <row r="2627">
      <c r="A2627" s="2" t="s">
        <v>9764</v>
      </c>
      <c r="B2627" s="2" t="s">
        <v>7252</v>
      </c>
      <c r="C2627" s="2" t="s">
        <v>4677</v>
      </c>
      <c r="D2627" s="2" t="s">
        <v>7786</v>
      </c>
      <c r="E2627" s="2" t="s">
        <v>8071</v>
      </c>
      <c r="F2627" s="2" t="s">
        <v>9588</v>
      </c>
      <c r="G2627" s="2" t="s">
        <v>9588</v>
      </c>
      <c r="H2627" s="2" t="s">
        <v>9588</v>
      </c>
      <c r="I2627" s="2" t="s">
        <v>9765</v>
      </c>
      <c r="J2627" s="2" t="s">
        <v>6103</v>
      </c>
      <c r="K2627" s="2" t="s">
        <v>9643</v>
      </c>
      <c r="L2627" s="3">
        <v>90</v>
      </c>
      <c r="M2627" s="3">
        <v>94.5</v>
      </c>
      <c r="N2627" s="3">
        <v>189</v>
      </c>
      <c r="O2627" s="2" t="s">
        <v>229</v>
      </c>
      <c r="P2627" s="2" t="s">
        <v>198</v>
      </c>
      <c r="Q2627" s="2" t="s">
        <v>99</v>
      </c>
      <c r="R2627" s="2" t="s">
        <v>100</v>
      </c>
      <c r="S2627" s="2" t="s">
        <v>100</v>
      </c>
      <c r="T2627" s="2" t="s">
        <v>100</v>
      </c>
      <c r="U2627" s="2" t="s">
        <v>3531</v>
      </c>
      <c r="V2627" s="2" t="s">
        <v>601</v>
      </c>
      <c r="W2627" s="2" t="s">
        <v>6998</v>
      </c>
      <c r="X2627" s="2" t="s">
        <v>602</v>
      </c>
      <c r="Y2627" s="2" t="s">
        <v>2335</v>
      </c>
      <c r="Z2627" s="4"/>
      <c r="AA2627" s="4">
        <f>=ROUNDDOWN({0},0)</f>
      </c>
      <c r="AB2627" s="5"/>
      <c r="AC2627" s="2" t="s">
        <v>100</v>
      </c>
      <c r="AD2627" s="4"/>
      <c r="AE2627" s="4"/>
      <c r="AF2627" s="6">
        <v>74</v>
      </c>
      <c r="AG2627" s="6"/>
      <c r="AH2627" s="7">
        <v>0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>
        <v>0</v>
      </c>
      <c r="AP2627" s="4"/>
      <c r="AQ2627" s="8"/>
      <c r="AR2627" s="4">
        <v>4</v>
      </c>
      <c r="AS2627" s="8">
        <v>378</v>
      </c>
      <c r="AT2627" s="7">
        <v>-1</v>
      </c>
      <c r="AU2627" s="7">
        <v>-1</v>
      </c>
      <c r="AV2627" s="4"/>
      <c r="AW2627" s="8"/>
      <c r="AX2627" s="4">
        <v>4</v>
      </c>
      <c r="AY2627" s="8">
        <v>378</v>
      </c>
      <c r="AZ2627" s="7">
        <v>-1</v>
      </c>
      <c r="BA2627" s="7">
        <v>-1</v>
      </c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/>
      <c r="BK2627" s="8"/>
      <c r="BL2627" s="2" t="s">
        <v>9766</v>
      </c>
      <c r="BM2627" s="7"/>
      <c r="BN2627" s="7"/>
      <c r="BO2627" s="4"/>
      <c r="BP2627" s="8"/>
      <c r="BQ2627" s="4">
        <v>4</v>
      </c>
      <c r="BR2627" s="8">
        <v>378</v>
      </c>
      <c r="BS2627" s="7">
        <v>-1</v>
      </c>
      <c r="BT2627" s="7">
        <v>-1</v>
      </c>
      <c r="BU2627" s="2" t="s">
        <v>109</v>
      </c>
      <c r="BV2627" s="2" t="s">
        <v>552</v>
      </c>
      <c r="BW2627" s="2" t="s">
        <v>7307</v>
      </c>
      <c r="BX2627" s="2" t="s">
        <v>128</v>
      </c>
      <c r="BY2627" s="2" t="s">
        <v>112</v>
      </c>
      <c r="BZ2627" s="2" t="s">
        <v>100</v>
      </c>
    </row>
    <row r="2628">
      <c r="A2628" s="2" t="s">
        <v>9767</v>
      </c>
      <c r="B2628" s="2" t="s">
        <v>7252</v>
      </c>
      <c r="C2628" s="2" t="s">
        <v>4677</v>
      </c>
      <c r="D2628" s="2" t="s">
        <v>7786</v>
      </c>
      <c r="E2628" s="2" t="s">
        <v>8071</v>
      </c>
      <c r="F2628" s="2" t="s">
        <v>9768</v>
      </c>
      <c r="G2628" s="2" t="s">
        <v>100</v>
      </c>
      <c r="H2628" s="2" t="s">
        <v>100</v>
      </c>
      <c r="I2628" s="2" t="s">
        <v>9769</v>
      </c>
      <c r="J2628" s="2" t="s">
        <v>6103</v>
      </c>
      <c r="K2628" s="2" t="s">
        <v>123</v>
      </c>
      <c r="L2628" s="3">
        <v>105.45</v>
      </c>
      <c r="M2628" s="3">
        <v>110.72</v>
      </c>
      <c r="N2628" s="3">
        <v>249</v>
      </c>
      <c r="O2628" s="2" t="s">
        <v>229</v>
      </c>
      <c r="P2628" s="2" t="s">
        <v>198</v>
      </c>
      <c r="Q2628" s="2" t="s">
        <v>99</v>
      </c>
      <c r="R2628" s="2" t="s">
        <v>100</v>
      </c>
      <c r="S2628" s="2" t="s">
        <v>9770</v>
      </c>
      <c r="T2628" s="2" t="s">
        <v>100</v>
      </c>
      <c r="U2628" s="2" t="s">
        <v>100</v>
      </c>
      <c r="V2628" s="2" t="s">
        <v>601</v>
      </c>
      <c r="W2628" s="2" t="s">
        <v>2195</v>
      </c>
      <c r="X2628" s="2" t="s">
        <v>100</v>
      </c>
      <c r="Y2628" s="2" t="s">
        <v>106</v>
      </c>
      <c r="Z2628" s="4"/>
      <c r="AA2628" s="4">
        <f>=ROUNDDOWN({0},0)</f>
      </c>
      <c r="AB2628" s="5">
        <v>3</v>
      </c>
      <c r="AC2628" s="2" t="s">
        <v>100</v>
      </c>
      <c r="AD2628" s="4"/>
      <c r="AE2628" s="4"/>
      <c r="AF2628" s="6">
        <v>75</v>
      </c>
      <c r="AG2628" s="6"/>
      <c r="AH2628" s="7">
        <v>0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>
        <v>0</v>
      </c>
      <c r="AP2628" s="4"/>
      <c r="AQ2628" s="8"/>
      <c r="AR2628" s="4">
        <v>1</v>
      </c>
      <c r="AS2628" s="8">
        <v>110.72</v>
      </c>
      <c r="AT2628" s="7">
        <v>-1</v>
      </c>
      <c r="AU2628" s="7">
        <v>-1</v>
      </c>
      <c r="AV2628" s="4"/>
      <c r="AW2628" s="8"/>
      <c r="AX2628" s="4">
        <v>1</v>
      </c>
      <c r="AY2628" s="8">
        <v>110.72</v>
      </c>
      <c r="AZ2628" s="7">
        <v>-1</v>
      </c>
      <c r="BA2628" s="7">
        <v>-1</v>
      </c>
      <c r="BB2628" s="7"/>
      <c r="BC2628" s="4"/>
      <c r="BD2628" s="8"/>
      <c r="BE2628" s="4">
        <v>1</v>
      </c>
      <c r="BF2628" s="8">
        <v>110.72</v>
      </c>
      <c r="BG2628" s="7">
        <v>-1</v>
      </c>
      <c r="BH2628" s="7">
        <v>-1</v>
      </c>
      <c r="BI2628" s="7"/>
      <c r="BJ2628" s="4"/>
      <c r="BK2628" s="8"/>
      <c r="BL2628" s="2" t="s">
        <v>9771</v>
      </c>
      <c r="BM2628" s="7"/>
      <c r="BN2628" s="7"/>
      <c r="BO2628" s="4"/>
      <c r="BP2628" s="8"/>
      <c r="BQ2628" s="4">
        <v>1</v>
      </c>
      <c r="BR2628" s="8">
        <v>110.72</v>
      </c>
      <c r="BS2628" s="7">
        <v>-1</v>
      </c>
      <c r="BT2628" s="7">
        <v>-1</v>
      </c>
      <c r="BU2628" s="2" t="s">
        <v>109</v>
      </c>
      <c r="BV2628" s="2" t="s">
        <v>552</v>
      </c>
      <c r="BW2628" s="2" t="s">
        <v>7841</v>
      </c>
      <c r="BX2628" s="2" t="s">
        <v>4572</v>
      </c>
      <c r="BY2628" s="2" t="s">
        <v>112</v>
      </c>
      <c r="BZ2628" s="2" t="s">
        <v>100</v>
      </c>
    </row>
    <row r="2629">
      <c r="A2629" s="2" t="s">
        <v>9772</v>
      </c>
      <c r="B2629" s="2" t="s">
        <v>7252</v>
      </c>
      <c r="C2629" s="2" t="s">
        <v>4677</v>
      </c>
      <c r="D2629" s="2" t="s">
        <v>7786</v>
      </c>
      <c r="E2629" s="2" t="s">
        <v>8071</v>
      </c>
      <c r="F2629" s="2" t="s">
        <v>9434</v>
      </c>
      <c r="G2629" s="2" t="s">
        <v>100</v>
      </c>
      <c r="H2629" s="2" t="s">
        <v>100</v>
      </c>
      <c r="I2629" s="2" t="s">
        <v>9773</v>
      </c>
      <c r="J2629" s="2" t="s">
        <v>6103</v>
      </c>
      <c r="K2629" s="2" t="s">
        <v>7696</v>
      </c>
      <c r="L2629" s="3">
        <v>138</v>
      </c>
      <c r="M2629" s="3">
        <v>144.9</v>
      </c>
      <c r="N2629" s="3">
        <v>289</v>
      </c>
      <c r="O2629" s="2" t="s">
        <v>97</v>
      </c>
      <c r="P2629" s="2" t="s">
        <v>1265</v>
      </c>
      <c r="Q2629" s="2" t="s">
        <v>99</v>
      </c>
      <c r="R2629" s="2" t="s">
        <v>100</v>
      </c>
      <c r="S2629" s="2" t="s">
        <v>9774</v>
      </c>
      <c r="T2629" s="2" t="s">
        <v>100</v>
      </c>
      <c r="U2629" s="2" t="s">
        <v>100</v>
      </c>
      <c r="V2629" s="2" t="s">
        <v>601</v>
      </c>
      <c r="W2629" s="2" t="s">
        <v>104</v>
      </c>
      <c r="X2629" s="2" t="s">
        <v>100</v>
      </c>
      <c r="Y2629" s="2" t="s">
        <v>106</v>
      </c>
      <c r="Z2629" s="4">
        <v>262</v>
      </c>
      <c r="AA2629" s="4">
        <f>=ROUNDDOWN(65.5,0)</f>
      </c>
      <c r="AB2629" s="5">
        <v>4</v>
      </c>
      <c r="AC2629" s="2" t="s">
        <v>100</v>
      </c>
      <c r="AD2629" s="4"/>
      <c r="AE2629" s="4"/>
      <c r="AF2629" s="6">
        <v>66</v>
      </c>
      <c r="AG2629" s="6">
        <v>49</v>
      </c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/>
      <c r="BD2629" s="8"/>
      <c r="BE2629" s="4"/>
      <c r="BF2629" s="8"/>
      <c r="BG2629" s="7"/>
      <c r="BH2629" s="7"/>
      <c r="BI2629" s="7"/>
      <c r="BJ2629" s="4">
        <v>103</v>
      </c>
      <c r="BK2629" s="8">
        <v>13853.96</v>
      </c>
      <c r="BL2629" s="2" t="s">
        <v>9775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9776</v>
      </c>
      <c r="BX2629" s="2" t="s">
        <v>4736</v>
      </c>
      <c r="BY2629" s="2" t="s">
        <v>112</v>
      </c>
      <c r="BZ2629" s="2" t="s">
        <v>100</v>
      </c>
    </row>
    <row r="2630">
      <c r="A2630" s="2" t="s">
        <v>9777</v>
      </c>
      <c r="B2630" s="2" t="s">
        <v>7252</v>
      </c>
      <c r="C2630" s="2" t="s">
        <v>4677</v>
      </c>
      <c r="D2630" s="2" t="s">
        <v>7786</v>
      </c>
      <c r="E2630" s="2" t="s">
        <v>8071</v>
      </c>
      <c r="F2630" s="2" t="s">
        <v>9778</v>
      </c>
      <c r="G2630" s="2" t="s">
        <v>9778</v>
      </c>
      <c r="H2630" s="2" t="s">
        <v>9778</v>
      </c>
      <c r="I2630" s="2" t="s">
        <v>7787</v>
      </c>
      <c r="J2630" s="2" t="s">
        <v>6103</v>
      </c>
      <c r="K2630" s="2" t="s">
        <v>7351</v>
      </c>
      <c r="L2630" s="3">
        <v>85</v>
      </c>
      <c r="M2630" s="3">
        <v>89.25</v>
      </c>
      <c r="N2630" s="3">
        <v>179</v>
      </c>
      <c r="O2630" s="2" t="s">
        <v>229</v>
      </c>
      <c r="P2630" s="2" t="s">
        <v>198</v>
      </c>
      <c r="Q2630" s="2" t="s">
        <v>99</v>
      </c>
      <c r="R2630" s="2" t="s">
        <v>100</v>
      </c>
      <c r="S2630" s="2" t="s">
        <v>100</v>
      </c>
      <c r="T2630" s="2" t="s">
        <v>100</v>
      </c>
      <c r="U2630" s="2" t="s">
        <v>3531</v>
      </c>
      <c r="V2630" s="2" t="s">
        <v>1752</v>
      </c>
      <c r="W2630" s="2" t="s">
        <v>2195</v>
      </c>
      <c r="X2630" s="2" t="s">
        <v>6998</v>
      </c>
      <c r="Y2630" s="2" t="s">
        <v>8713</v>
      </c>
      <c r="Z2630" s="4">
        <v>183</v>
      </c>
      <c r="AA2630" s="4">
        <f>=ROUNDDOWN({0},0)</f>
      </c>
      <c r="AB2630" s="5"/>
      <c r="AC2630" s="2" t="s">
        <v>100</v>
      </c>
      <c r="AD2630" s="4"/>
      <c r="AE2630" s="4"/>
      <c r="AF2630" s="6">
        <v>66</v>
      </c>
      <c r="AG2630" s="6"/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/>
      <c r="BD2630" s="8"/>
      <c r="BE2630" s="4"/>
      <c r="BF2630" s="8"/>
      <c r="BG2630" s="7"/>
      <c r="BH2630" s="7"/>
      <c r="BI2630" s="7"/>
      <c r="BJ2630" s="4">
        <v>6</v>
      </c>
      <c r="BK2630" s="8">
        <v>524.6</v>
      </c>
      <c r="BL2630" s="2" t="s">
        <v>9779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147</v>
      </c>
      <c r="BV2630" s="2" t="s">
        <v>97</v>
      </c>
      <c r="BW2630" s="2" t="s">
        <v>100</v>
      </c>
      <c r="BX2630" s="2" t="s">
        <v>100</v>
      </c>
      <c r="BY2630" s="2" t="s">
        <v>112</v>
      </c>
      <c r="BZ2630" s="2" t="s">
        <v>100</v>
      </c>
    </row>
    <row r="2631">
      <c r="A2631" s="2" t="s">
        <v>9780</v>
      </c>
      <c r="B2631" s="2" t="s">
        <v>7252</v>
      </c>
      <c r="C2631" s="2" t="s">
        <v>4677</v>
      </c>
      <c r="D2631" s="2" t="s">
        <v>7786</v>
      </c>
      <c r="E2631" s="2" t="s">
        <v>8071</v>
      </c>
      <c r="F2631" s="2" t="s">
        <v>9781</v>
      </c>
      <c r="G2631" s="2" t="s">
        <v>9781</v>
      </c>
      <c r="H2631" s="2" t="s">
        <v>100</v>
      </c>
      <c r="I2631" s="2" t="s">
        <v>9782</v>
      </c>
      <c r="J2631" s="2" t="s">
        <v>6103</v>
      </c>
      <c r="K2631" s="2" t="s">
        <v>9449</v>
      </c>
      <c r="L2631" s="3">
        <v>138</v>
      </c>
      <c r="M2631" s="3">
        <v>144.9</v>
      </c>
      <c r="N2631" s="3">
        <v>289</v>
      </c>
      <c r="O2631" s="2" t="s">
        <v>550</v>
      </c>
      <c r="P2631" s="2" t="s">
        <v>198</v>
      </c>
      <c r="Q2631" s="2" t="s">
        <v>99</v>
      </c>
      <c r="R2631" s="2" t="s">
        <v>100</v>
      </c>
      <c r="S2631" s="2" t="s">
        <v>9783</v>
      </c>
      <c r="T2631" s="2" t="s">
        <v>100</v>
      </c>
      <c r="U2631" s="2" t="s">
        <v>100</v>
      </c>
      <c r="V2631" s="2" t="s">
        <v>601</v>
      </c>
      <c r="W2631" s="2" t="s">
        <v>6998</v>
      </c>
      <c r="X2631" s="2" t="s">
        <v>100</v>
      </c>
      <c r="Y2631" s="2" t="s">
        <v>106</v>
      </c>
      <c r="Z2631" s="4"/>
      <c r="AA2631" s="4">
        <f>=ROUNDDOWN({0},0)</f>
      </c>
      <c r="AB2631" s="5"/>
      <c r="AC2631" s="2" t="s">
        <v>100</v>
      </c>
      <c r="AD2631" s="4"/>
      <c r="AE2631" s="4"/>
      <c r="AF2631" s="6">
        <v>74</v>
      </c>
      <c r="AG2631" s="6">
        <v>60</v>
      </c>
      <c r="AH2631" s="7">
        <v>0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>
        <v>0</v>
      </c>
      <c r="AP2631" s="4"/>
      <c r="AQ2631" s="8"/>
      <c r="AR2631" s="4">
        <v>6</v>
      </c>
      <c r="AS2631" s="8">
        <v>869.4</v>
      </c>
      <c r="AT2631" s="7">
        <v>-1</v>
      </c>
      <c r="AU2631" s="7">
        <v>-1</v>
      </c>
      <c r="AV2631" s="4" t="s">
        <v>100</v>
      </c>
      <c r="AW2631" s="8" t="s">
        <v>100</v>
      </c>
      <c r="AX2631" s="4">
        <v>6</v>
      </c>
      <c r="AY2631" s="8">
        <v>869.4</v>
      </c>
      <c r="AZ2631" s="7" t="s">
        <v>100</v>
      </c>
      <c r="BA2631" s="7" t="s">
        <v>100</v>
      </c>
      <c r="BB2631" s="7" t="s">
        <v>100</v>
      </c>
      <c r="BC2631" s="4" t="s">
        <v>100</v>
      </c>
      <c r="BD2631" s="8" t="s">
        <v>100</v>
      </c>
      <c r="BE2631" s="4">
        <v>6</v>
      </c>
      <c r="BF2631" s="8">
        <v>869.4</v>
      </c>
      <c r="BG2631" s="7" t="s">
        <v>100</v>
      </c>
      <c r="BH2631" s="7" t="s">
        <v>100</v>
      </c>
      <c r="BI2631" s="7"/>
      <c r="BJ2631" s="4"/>
      <c r="BK2631" s="8"/>
      <c r="BL2631" s="2" t="s">
        <v>9784</v>
      </c>
      <c r="BM2631" s="7"/>
      <c r="BN2631" s="7"/>
      <c r="BO2631" s="4"/>
      <c r="BP2631" s="8"/>
      <c r="BQ2631" s="4">
        <v>6</v>
      </c>
      <c r="BR2631" s="8">
        <v>869.4</v>
      </c>
      <c r="BS2631" s="7">
        <v>-1</v>
      </c>
      <c r="BT2631" s="7">
        <v>-1</v>
      </c>
      <c r="BU2631" s="2" t="s">
        <v>109</v>
      </c>
      <c r="BV2631" s="2" t="s">
        <v>552</v>
      </c>
      <c r="BW2631" s="2" t="s">
        <v>7841</v>
      </c>
      <c r="BX2631" s="2" t="s">
        <v>111</v>
      </c>
      <c r="BY2631" s="2" t="s">
        <v>112</v>
      </c>
      <c r="BZ2631" s="2" t="s">
        <v>100</v>
      </c>
    </row>
    <row r="2632">
      <c r="A2632" s="2" t="s">
        <v>9785</v>
      </c>
      <c r="B2632" s="2" t="s">
        <v>7252</v>
      </c>
      <c r="C2632" s="2" t="s">
        <v>4677</v>
      </c>
      <c r="D2632" s="2" t="s">
        <v>7786</v>
      </c>
      <c r="E2632" s="2" t="s">
        <v>8071</v>
      </c>
      <c r="F2632" s="2" t="s">
        <v>9781</v>
      </c>
      <c r="G2632" s="2" t="s">
        <v>9781</v>
      </c>
      <c r="H2632" s="2" t="s">
        <v>100</v>
      </c>
      <c r="I2632" s="2" t="s">
        <v>9786</v>
      </c>
      <c r="J2632" s="2" t="s">
        <v>6103</v>
      </c>
      <c r="K2632" s="2" t="s">
        <v>9449</v>
      </c>
      <c r="L2632" s="3">
        <v>147.6</v>
      </c>
      <c r="M2632" s="3">
        <v>154.98</v>
      </c>
      <c r="N2632" s="3">
        <v>309</v>
      </c>
      <c r="O2632" s="2" t="s">
        <v>229</v>
      </c>
      <c r="P2632" s="2" t="s">
        <v>198</v>
      </c>
      <c r="Q2632" s="2" t="s">
        <v>99</v>
      </c>
      <c r="R2632" s="2" t="s">
        <v>100</v>
      </c>
      <c r="S2632" s="2" t="s">
        <v>9787</v>
      </c>
      <c r="T2632" s="2" t="s">
        <v>100</v>
      </c>
      <c r="U2632" s="2" t="s">
        <v>100</v>
      </c>
      <c r="V2632" s="2" t="s">
        <v>601</v>
      </c>
      <c r="W2632" s="2" t="s">
        <v>6998</v>
      </c>
      <c r="X2632" s="2" t="s">
        <v>100</v>
      </c>
      <c r="Y2632" s="2" t="s">
        <v>9788</v>
      </c>
      <c r="Z2632" s="4"/>
      <c r="AA2632" s="4">
        <f>=ROUNDDOWN({0},0)</f>
      </c>
      <c r="AB2632" s="5"/>
      <c r="AC2632" s="2" t="s">
        <v>100</v>
      </c>
      <c r="AD2632" s="4"/>
      <c r="AE2632" s="4"/>
      <c r="AF2632" s="6">
        <v>74</v>
      </c>
      <c r="AG2632" s="6"/>
      <c r="AH2632" s="7">
        <v>0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100</v>
      </c>
      <c r="AW2632" s="8" t="s">
        <v>100</v>
      </c>
      <c r="AX2632" s="4" t="s">
        <v>100</v>
      </c>
      <c r="AY2632" s="8" t="s">
        <v>100</v>
      </c>
      <c r="AZ2632" s="7" t="s">
        <v>100</v>
      </c>
      <c r="BA2632" s="7" t="s">
        <v>100</v>
      </c>
      <c r="BB2632" s="7" t="s">
        <v>100</v>
      </c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/>
      <c r="BK2632" s="8"/>
      <c r="BL2632" s="2" t="s">
        <v>9789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147</v>
      </c>
      <c r="BV2632" s="2" t="s">
        <v>97</v>
      </c>
      <c r="BW2632" s="2" t="s">
        <v>100</v>
      </c>
      <c r="BX2632" s="2" t="s">
        <v>100</v>
      </c>
      <c r="BY2632" s="2" t="s">
        <v>112</v>
      </c>
      <c r="BZ2632" s="2" t="s">
        <v>100</v>
      </c>
    </row>
    <row r="2633">
      <c r="A2633" s="2" t="s">
        <v>9790</v>
      </c>
      <c r="B2633" s="2" t="s">
        <v>7252</v>
      </c>
      <c r="C2633" s="2" t="s">
        <v>4677</v>
      </c>
      <c r="D2633" s="2" t="s">
        <v>7786</v>
      </c>
      <c r="E2633" s="2" t="s">
        <v>8071</v>
      </c>
      <c r="F2633" s="2" t="s">
        <v>9618</v>
      </c>
      <c r="G2633" s="2" t="s">
        <v>100</v>
      </c>
      <c r="H2633" s="2" t="s">
        <v>100</v>
      </c>
      <c r="I2633" s="2" t="s">
        <v>9773</v>
      </c>
      <c r="J2633" s="2" t="s">
        <v>6103</v>
      </c>
      <c r="K2633" s="2" t="s">
        <v>333</v>
      </c>
      <c r="L2633" s="3">
        <v>122</v>
      </c>
      <c r="M2633" s="3">
        <v>128.1</v>
      </c>
      <c r="N2633" s="3">
        <v>259</v>
      </c>
      <c r="O2633" s="2" t="s">
        <v>550</v>
      </c>
      <c r="P2633" s="2" t="s">
        <v>198</v>
      </c>
      <c r="Q2633" s="2" t="s">
        <v>99</v>
      </c>
      <c r="R2633" s="2" t="s">
        <v>100</v>
      </c>
      <c r="S2633" s="2" t="s">
        <v>9791</v>
      </c>
      <c r="T2633" s="2" t="s">
        <v>100</v>
      </c>
      <c r="U2633" s="2" t="s">
        <v>100</v>
      </c>
      <c r="V2633" s="2" t="s">
        <v>601</v>
      </c>
      <c r="W2633" s="2" t="s">
        <v>6998</v>
      </c>
      <c r="X2633" s="2" t="s">
        <v>100</v>
      </c>
      <c r="Y2633" s="2" t="s">
        <v>106</v>
      </c>
      <c r="Z2633" s="4"/>
      <c r="AA2633" s="4">
        <f>=ROUNDDOWN({0},0)</f>
      </c>
      <c r="AB2633" s="5">
        <v>2</v>
      </c>
      <c r="AC2633" s="2" t="s">
        <v>100</v>
      </c>
      <c r="AD2633" s="4"/>
      <c r="AE2633" s="4"/>
      <c r="AF2633" s="6">
        <v>75</v>
      </c>
      <c r="AG2633" s="6"/>
      <c r="AH2633" s="7">
        <v>0.303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>
        <v>0</v>
      </c>
      <c r="AP2633" s="4"/>
      <c r="AQ2633" s="8"/>
      <c r="AR2633" s="4">
        <v>6</v>
      </c>
      <c r="AS2633" s="8">
        <v>768.6</v>
      </c>
      <c r="AT2633" s="7">
        <v>-1</v>
      </c>
      <c r="AU2633" s="7">
        <v>-1</v>
      </c>
      <c r="AV2633" s="4"/>
      <c r="AW2633" s="8"/>
      <c r="AX2633" s="4">
        <v>6</v>
      </c>
      <c r="AY2633" s="8">
        <v>768.6</v>
      </c>
      <c r="AZ2633" s="7">
        <v>-1</v>
      </c>
      <c r="BA2633" s="7">
        <v>-1</v>
      </c>
      <c r="BB2633" s="7"/>
      <c r="BC2633" s="4"/>
      <c r="BD2633" s="8"/>
      <c r="BE2633" s="4">
        <v>6</v>
      </c>
      <c r="BF2633" s="8">
        <v>768.6</v>
      </c>
      <c r="BG2633" s="7">
        <v>-1</v>
      </c>
      <c r="BH2633" s="7">
        <v>-1</v>
      </c>
      <c r="BI2633" s="7"/>
      <c r="BJ2633" s="4">
        <v>1</v>
      </c>
      <c r="BK2633" s="8">
        <v>97.87</v>
      </c>
      <c r="BL2633" s="2" t="s">
        <v>9792</v>
      </c>
      <c r="BM2633" s="7"/>
      <c r="BN2633" s="7"/>
      <c r="BO2633" s="4"/>
      <c r="BP2633" s="8"/>
      <c r="BQ2633" s="4">
        <v>6</v>
      </c>
      <c r="BR2633" s="8">
        <v>768.6</v>
      </c>
      <c r="BS2633" s="7">
        <v>-1</v>
      </c>
      <c r="BT2633" s="7">
        <v>-1</v>
      </c>
      <c r="BU2633" s="2" t="s">
        <v>109</v>
      </c>
      <c r="BV2633" s="2" t="s">
        <v>97</v>
      </c>
      <c r="BW2633" s="2" t="s">
        <v>7307</v>
      </c>
      <c r="BX2633" s="2" t="s">
        <v>664</v>
      </c>
      <c r="BY2633" s="2" t="s">
        <v>112</v>
      </c>
      <c r="BZ2633" s="2" t="s">
        <v>100</v>
      </c>
    </row>
    <row r="2634">
      <c r="A2634" s="2" t="s">
        <v>9793</v>
      </c>
      <c r="B2634" s="2" t="s">
        <v>7252</v>
      </c>
      <c r="C2634" s="2" t="s">
        <v>4677</v>
      </c>
      <c r="D2634" s="2" t="s">
        <v>7786</v>
      </c>
      <c r="E2634" s="2" t="s">
        <v>8155</v>
      </c>
      <c r="F2634" s="2" t="s">
        <v>9667</v>
      </c>
      <c r="G2634" s="2" t="s">
        <v>100</v>
      </c>
      <c r="H2634" s="2" t="s">
        <v>100</v>
      </c>
      <c r="I2634" s="2" t="s">
        <v>9794</v>
      </c>
      <c r="J2634" s="2" t="s">
        <v>6103</v>
      </c>
      <c r="K2634" s="2" t="s">
        <v>9795</v>
      </c>
      <c r="L2634" s="3">
        <v>128.25</v>
      </c>
      <c r="M2634" s="3">
        <v>134.66</v>
      </c>
      <c r="N2634" s="3">
        <v>269</v>
      </c>
      <c r="O2634" s="2" t="s">
        <v>97</v>
      </c>
      <c r="P2634" s="2" t="s">
        <v>182</v>
      </c>
      <c r="Q2634" s="2" t="s">
        <v>99</v>
      </c>
      <c r="R2634" s="2" t="s">
        <v>100</v>
      </c>
      <c r="S2634" s="2" t="s">
        <v>9796</v>
      </c>
      <c r="T2634" s="2" t="s">
        <v>100</v>
      </c>
      <c r="U2634" s="2" t="s">
        <v>100</v>
      </c>
      <c r="V2634" s="2" t="s">
        <v>601</v>
      </c>
      <c r="W2634" s="2" t="s">
        <v>6998</v>
      </c>
      <c r="X2634" s="2" t="s">
        <v>602</v>
      </c>
      <c r="Y2634" s="2" t="s">
        <v>5971</v>
      </c>
      <c r="Z2634" s="4">
        <v>203</v>
      </c>
      <c r="AA2634" s="4">
        <f>=ROUNDDOWN(22.5555555555556,0)</f>
      </c>
      <c r="AB2634" s="5">
        <v>9</v>
      </c>
      <c r="AC2634" s="2" t="s">
        <v>9655</v>
      </c>
      <c r="AD2634" s="4">
        <v>150</v>
      </c>
      <c r="AE2634" s="4">
        <v>150</v>
      </c>
      <c r="AF2634" s="6">
        <v>74</v>
      </c>
      <c r="AG2634" s="6">
        <v>60</v>
      </c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>
        <v>0</v>
      </c>
      <c r="AP2634" s="4">
        <v>4</v>
      </c>
      <c r="AQ2634" s="8">
        <v>485.12</v>
      </c>
      <c r="AR2634" s="4">
        <v>3</v>
      </c>
      <c r="AS2634" s="8">
        <v>425.25</v>
      </c>
      <c r="AT2634" s="7">
        <v>0.3333</v>
      </c>
      <c r="AU2634" s="7">
        <v>0.1408</v>
      </c>
      <c r="AV2634" s="4">
        <v>4</v>
      </c>
      <c r="AW2634" s="8">
        <v>485.12</v>
      </c>
      <c r="AX2634" s="4">
        <v>3</v>
      </c>
      <c r="AY2634" s="8">
        <v>425.25</v>
      </c>
      <c r="AZ2634" s="7">
        <v>0.3333</v>
      </c>
      <c r="BA2634" s="7">
        <v>0.1408</v>
      </c>
      <c r="BB2634" s="7">
        <v>1</v>
      </c>
      <c r="BC2634" s="4">
        <v>4</v>
      </c>
      <c r="BD2634" s="8">
        <v>485.12</v>
      </c>
      <c r="BE2634" s="4">
        <v>3</v>
      </c>
      <c r="BF2634" s="8">
        <v>425.25</v>
      </c>
      <c r="BG2634" s="7">
        <v>0.3333</v>
      </c>
      <c r="BH2634" s="7">
        <v>0.1408</v>
      </c>
      <c r="BI2634" s="7">
        <v>1</v>
      </c>
      <c r="BJ2634" s="4">
        <v>205</v>
      </c>
      <c r="BK2634" s="8">
        <v>28034.88</v>
      </c>
      <c r="BL2634" s="2" t="s">
        <v>9797</v>
      </c>
      <c r="BM2634" s="7">
        <v>0.0195</v>
      </c>
      <c r="BN2634" s="7">
        <v>0.0173</v>
      </c>
      <c r="BO2634" s="4">
        <v>4</v>
      </c>
      <c r="BP2634" s="8">
        <v>485.12</v>
      </c>
      <c r="BQ2634" s="4">
        <v>3</v>
      </c>
      <c r="BR2634" s="8">
        <v>425.25</v>
      </c>
      <c r="BS2634" s="7">
        <v>0.3333</v>
      </c>
      <c r="BT2634" s="7">
        <v>0.1408</v>
      </c>
      <c r="BU2634" s="2" t="s">
        <v>109</v>
      </c>
      <c r="BV2634" s="2" t="s">
        <v>97</v>
      </c>
      <c r="BW2634" s="2" t="s">
        <v>7307</v>
      </c>
      <c r="BX2634" s="2" t="s">
        <v>3370</v>
      </c>
      <c r="BY2634" s="2" t="s">
        <v>112</v>
      </c>
      <c r="BZ2634" s="2" t="s">
        <v>100</v>
      </c>
    </row>
    <row r="2635">
      <c r="A2635" s="2" t="s">
        <v>9798</v>
      </c>
      <c r="B2635" s="2" t="s">
        <v>7252</v>
      </c>
      <c r="C2635" s="2" t="s">
        <v>4677</v>
      </c>
      <c r="D2635" s="2" t="s">
        <v>7786</v>
      </c>
      <c r="E2635" s="2" t="s">
        <v>8159</v>
      </c>
      <c r="F2635" s="2" t="s">
        <v>9799</v>
      </c>
      <c r="G2635" s="2" t="s">
        <v>9799</v>
      </c>
      <c r="H2635" s="2" t="s">
        <v>9799</v>
      </c>
      <c r="I2635" s="2" t="s">
        <v>9800</v>
      </c>
      <c r="J2635" s="2" t="s">
        <v>6103</v>
      </c>
      <c r="K2635" s="2" t="s">
        <v>123</v>
      </c>
      <c r="L2635" s="3">
        <v>165</v>
      </c>
      <c r="M2635" s="3">
        <v>173.25</v>
      </c>
      <c r="N2635" s="3">
        <v>349</v>
      </c>
      <c r="O2635" s="2" t="s">
        <v>97</v>
      </c>
      <c r="P2635" s="2" t="s">
        <v>8446</v>
      </c>
      <c r="Q2635" s="2" t="s">
        <v>99</v>
      </c>
      <c r="R2635" s="2" t="s">
        <v>100</v>
      </c>
      <c r="S2635" s="2" t="s">
        <v>100</v>
      </c>
      <c r="T2635" s="2" t="s">
        <v>100</v>
      </c>
      <c r="U2635" s="2" t="s">
        <v>3531</v>
      </c>
      <c r="V2635" s="2" t="s">
        <v>1752</v>
      </c>
      <c r="W2635" s="2" t="s">
        <v>2195</v>
      </c>
      <c r="X2635" s="2" t="s">
        <v>602</v>
      </c>
      <c r="Y2635" s="2" t="s">
        <v>100</v>
      </c>
      <c r="Z2635" s="4"/>
      <c r="AA2635" s="4">
        <f>=ROUNDDOWN({0},0)</f>
      </c>
      <c r="AB2635" s="5"/>
      <c r="AC2635" s="2" t="s">
        <v>4396</v>
      </c>
      <c r="AD2635" s="4">
        <v>99</v>
      </c>
      <c r="AE2635" s="4">
        <v>100</v>
      </c>
      <c r="AF2635" s="6">
        <v>66</v>
      </c>
      <c r="AG2635" s="6"/>
      <c r="AH2635" s="7">
        <v>0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/>
      <c r="BD2635" s="8"/>
      <c r="BE2635" s="4"/>
      <c r="BF2635" s="8"/>
      <c r="BG2635" s="7"/>
      <c r="BH2635" s="7"/>
      <c r="BI2635" s="7"/>
      <c r="BJ2635" s="4"/>
      <c r="BK2635" s="8"/>
      <c r="BL2635" s="2" t="s">
        <v>100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147</v>
      </c>
      <c r="BV2635" s="2" t="s">
        <v>97</v>
      </c>
      <c r="BW2635" s="2" t="s">
        <v>100</v>
      </c>
      <c r="BX2635" s="2" t="s">
        <v>100</v>
      </c>
      <c r="BY2635" s="2" t="s">
        <v>112</v>
      </c>
      <c r="BZ2635" s="2" t="s">
        <v>100</v>
      </c>
    </row>
    <row r="2636">
      <c r="A2636" s="2" t="s">
        <v>9801</v>
      </c>
      <c r="B2636" s="2" t="s">
        <v>7252</v>
      </c>
      <c r="C2636" s="2" t="s">
        <v>4677</v>
      </c>
      <c r="D2636" s="2" t="s">
        <v>9802</v>
      </c>
      <c r="E2636" s="2" t="s">
        <v>9803</v>
      </c>
      <c r="F2636" s="2" t="s">
        <v>9781</v>
      </c>
      <c r="G2636" s="2" t="s">
        <v>9781</v>
      </c>
      <c r="H2636" s="2" t="s">
        <v>100</v>
      </c>
      <c r="I2636" s="2" t="s">
        <v>9804</v>
      </c>
      <c r="J2636" s="2" t="s">
        <v>6103</v>
      </c>
      <c r="K2636" s="2" t="s">
        <v>9805</v>
      </c>
      <c r="L2636" s="3">
        <v>100.1</v>
      </c>
      <c r="M2636" s="3">
        <v>105.1</v>
      </c>
      <c r="N2636" s="3">
        <v>209</v>
      </c>
      <c r="O2636" s="2" t="s">
        <v>97</v>
      </c>
      <c r="P2636" s="2" t="s">
        <v>1265</v>
      </c>
      <c r="Q2636" s="2" t="s">
        <v>99</v>
      </c>
      <c r="R2636" s="2" t="s">
        <v>100</v>
      </c>
      <c r="S2636" s="2" t="s">
        <v>9806</v>
      </c>
      <c r="T2636" s="2" t="s">
        <v>100</v>
      </c>
      <c r="U2636" s="2" t="s">
        <v>100</v>
      </c>
      <c r="V2636" s="2" t="s">
        <v>601</v>
      </c>
      <c r="W2636" s="2" t="s">
        <v>6998</v>
      </c>
      <c r="X2636" s="2" t="s">
        <v>100</v>
      </c>
      <c r="Y2636" s="2" t="s">
        <v>106</v>
      </c>
      <c r="Z2636" s="4">
        <v>108</v>
      </c>
      <c r="AA2636" s="4">
        <f>=ROUNDDOWN(20.377358490566,0)</f>
      </c>
      <c r="AB2636" s="5">
        <v>5.3</v>
      </c>
      <c r="AC2636" s="2" t="s">
        <v>1208</v>
      </c>
      <c r="AD2636" s="4">
        <v>100</v>
      </c>
      <c r="AE2636" s="4">
        <v>100</v>
      </c>
      <c r="AF2636" s="6">
        <v>74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>
        <v>0</v>
      </c>
      <c r="AP2636" s="4">
        <v>4</v>
      </c>
      <c r="AQ2636" s="8">
        <v>420.44</v>
      </c>
      <c r="AR2636" s="4">
        <v>21</v>
      </c>
      <c r="AS2636" s="8">
        <v>2241.03</v>
      </c>
      <c r="AT2636" s="7">
        <v>-0.8095</v>
      </c>
      <c r="AU2636" s="7">
        <v>-0.8124</v>
      </c>
      <c r="AV2636" s="4">
        <v>4</v>
      </c>
      <c r="AW2636" s="8">
        <v>420.44</v>
      </c>
      <c r="AX2636" s="4">
        <v>21</v>
      </c>
      <c r="AY2636" s="8">
        <v>2241.03</v>
      </c>
      <c r="AZ2636" s="7">
        <v>-0.8095</v>
      </c>
      <c r="BA2636" s="7">
        <v>-0.8124</v>
      </c>
      <c r="BB2636" s="7">
        <v>1</v>
      </c>
      <c r="BC2636" s="4">
        <v>8</v>
      </c>
      <c r="BD2636" s="8">
        <v>840.88</v>
      </c>
      <c r="BE2636" s="4">
        <v>22</v>
      </c>
      <c r="BF2636" s="8">
        <v>2319.86</v>
      </c>
      <c r="BG2636" s="7">
        <v>-0.6364</v>
      </c>
      <c r="BH2636" s="7">
        <v>-0.6375</v>
      </c>
      <c r="BI2636" s="7">
        <v>0.5</v>
      </c>
      <c r="BJ2636" s="4">
        <v>152</v>
      </c>
      <c r="BK2636" s="8">
        <v>15764.64</v>
      </c>
      <c r="BL2636" s="2" t="s">
        <v>9807</v>
      </c>
      <c r="BM2636" s="7">
        <v>0.0263</v>
      </c>
      <c r="BN2636" s="7">
        <v>0.0267</v>
      </c>
      <c r="BO2636" s="4">
        <v>4</v>
      </c>
      <c r="BP2636" s="8">
        <v>420.44</v>
      </c>
      <c r="BQ2636" s="4">
        <v>21</v>
      </c>
      <c r="BR2636" s="8">
        <v>2241.03</v>
      </c>
      <c r="BS2636" s="7">
        <v>-0.8095</v>
      </c>
      <c r="BT2636" s="7">
        <v>-0.8124</v>
      </c>
      <c r="BU2636" s="2" t="s">
        <v>109</v>
      </c>
      <c r="BV2636" s="2" t="s">
        <v>97</v>
      </c>
      <c r="BW2636" s="2" t="s">
        <v>9759</v>
      </c>
      <c r="BX2636" s="2" t="s">
        <v>6626</v>
      </c>
      <c r="BY2636" s="2" t="s">
        <v>112</v>
      </c>
      <c r="BZ2636" s="2" t="s">
        <v>100</v>
      </c>
    </row>
    <row r="2637">
      <c r="A2637" s="2" t="s">
        <v>9808</v>
      </c>
      <c r="B2637" s="2" t="s">
        <v>7252</v>
      </c>
      <c r="C2637" s="2" t="s">
        <v>4677</v>
      </c>
      <c r="D2637" s="2" t="s">
        <v>9802</v>
      </c>
      <c r="E2637" s="2" t="s">
        <v>9803</v>
      </c>
      <c r="F2637" s="2" t="s">
        <v>9781</v>
      </c>
      <c r="G2637" s="2" t="s">
        <v>9781</v>
      </c>
      <c r="H2637" s="2" t="s">
        <v>9781</v>
      </c>
      <c r="I2637" s="2" t="s">
        <v>9804</v>
      </c>
      <c r="J2637" s="2" t="s">
        <v>6103</v>
      </c>
      <c r="K2637" s="2" t="s">
        <v>123</v>
      </c>
      <c r="L2637" s="3">
        <v>100.1</v>
      </c>
      <c r="M2637" s="3">
        <v>105.1</v>
      </c>
      <c r="N2637" s="3">
        <v>209</v>
      </c>
      <c r="O2637" s="2" t="s">
        <v>229</v>
      </c>
      <c r="P2637" s="2" t="s">
        <v>198</v>
      </c>
      <c r="Q2637" s="2" t="s">
        <v>99</v>
      </c>
      <c r="R2637" s="2" t="s">
        <v>100</v>
      </c>
      <c r="S2637" s="2" t="s">
        <v>100</v>
      </c>
      <c r="T2637" s="2" t="s">
        <v>100</v>
      </c>
      <c r="U2637" s="2" t="s">
        <v>3531</v>
      </c>
      <c r="V2637" s="2" t="s">
        <v>601</v>
      </c>
      <c r="W2637" s="2" t="s">
        <v>6998</v>
      </c>
      <c r="X2637" s="2" t="s">
        <v>312</v>
      </c>
      <c r="Y2637" s="2" t="s">
        <v>523</v>
      </c>
      <c r="Z2637" s="4">
        <v>317</v>
      </c>
      <c r="AA2637" s="4">
        <f>=ROUNDDOWN(52.8333333333333,0)</f>
      </c>
      <c r="AB2637" s="5">
        <v>6</v>
      </c>
      <c r="AC2637" s="2" t="s">
        <v>100</v>
      </c>
      <c r="AD2637" s="4"/>
      <c r="AE2637" s="4"/>
      <c r="AF2637" s="6">
        <v>74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>
        <v>0</v>
      </c>
      <c r="AP2637" s="4">
        <v>4</v>
      </c>
      <c r="AQ2637" s="8">
        <v>420.44</v>
      </c>
      <c r="AR2637" s="4">
        <v>1</v>
      </c>
      <c r="AS2637" s="8">
        <v>78.83</v>
      </c>
      <c r="AT2637" s="7">
        <v>3</v>
      </c>
      <c r="AU2637" s="7">
        <v>4.3335</v>
      </c>
      <c r="AV2637" s="4">
        <v>4</v>
      </c>
      <c r="AW2637" s="8">
        <v>420.44</v>
      </c>
      <c r="AX2637" s="4">
        <v>1</v>
      </c>
      <c r="AY2637" s="8">
        <v>78.83</v>
      </c>
      <c r="AZ2637" s="7">
        <v>3</v>
      </c>
      <c r="BA2637" s="7">
        <v>4.3335</v>
      </c>
      <c r="BB2637" s="7">
        <v>1</v>
      </c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>
        <v>0.5</v>
      </c>
      <c r="BJ2637" s="4">
        <v>98</v>
      </c>
      <c r="BK2637" s="8">
        <v>9678.36</v>
      </c>
      <c r="BL2637" s="2" t="s">
        <v>9809</v>
      </c>
      <c r="BM2637" s="7">
        <v>0.0408</v>
      </c>
      <c r="BN2637" s="7">
        <v>0.0434</v>
      </c>
      <c r="BO2637" s="4">
        <v>4</v>
      </c>
      <c r="BP2637" s="8">
        <v>420.44</v>
      </c>
      <c r="BQ2637" s="4">
        <v>1</v>
      </c>
      <c r="BR2637" s="8">
        <v>78.83</v>
      </c>
      <c r="BS2637" s="7">
        <v>3</v>
      </c>
      <c r="BT2637" s="7">
        <v>4.3335</v>
      </c>
      <c r="BU2637" s="2" t="s">
        <v>109</v>
      </c>
      <c r="BV2637" s="2" t="s">
        <v>97</v>
      </c>
      <c r="BW2637" s="2" t="s">
        <v>5147</v>
      </c>
      <c r="BX2637" s="2" t="s">
        <v>9670</v>
      </c>
      <c r="BY2637" s="2" t="s">
        <v>112</v>
      </c>
      <c r="BZ2637" s="2" t="s">
        <v>100</v>
      </c>
    </row>
    <row r="2638">
      <c r="A2638" s="2" t="s">
        <v>9810</v>
      </c>
      <c r="B2638" s="2" t="s">
        <v>7252</v>
      </c>
      <c r="C2638" s="2" t="s">
        <v>4677</v>
      </c>
      <c r="D2638" s="2" t="s">
        <v>9802</v>
      </c>
      <c r="E2638" s="2" t="s">
        <v>9803</v>
      </c>
      <c r="F2638" s="2" t="s">
        <v>9811</v>
      </c>
      <c r="G2638" s="2" t="s">
        <v>9811</v>
      </c>
      <c r="H2638" s="2" t="s">
        <v>9811</v>
      </c>
      <c r="I2638" s="2" t="s">
        <v>9812</v>
      </c>
      <c r="J2638" s="2" t="s">
        <v>6103</v>
      </c>
      <c r="K2638" s="2" t="s">
        <v>4758</v>
      </c>
      <c r="L2638" s="3">
        <v>135.85</v>
      </c>
      <c r="M2638" s="3">
        <v>142.64</v>
      </c>
      <c r="N2638" s="3">
        <v>289</v>
      </c>
      <c r="O2638" s="2" t="s">
        <v>97</v>
      </c>
      <c r="P2638" s="2" t="s">
        <v>182</v>
      </c>
      <c r="Q2638" s="2" t="s">
        <v>99</v>
      </c>
      <c r="R2638" s="2" t="s">
        <v>100</v>
      </c>
      <c r="S2638" s="2" t="s">
        <v>100</v>
      </c>
      <c r="T2638" s="2" t="s">
        <v>100</v>
      </c>
      <c r="U2638" s="2" t="s">
        <v>100</v>
      </c>
      <c r="V2638" s="2" t="s">
        <v>601</v>
      </c>
      <c r="W2638" s="2" t="s">
        <v>2195</v>
      </c>
      <c r="X2638" s="2" t="s">
        <v>100</v>
      </c>
      <c r="Y2638" s="2" t="s">
        <v>4432</v>
      </c>
      <c r="Z2638" s="4">
        <v>164</v>
      </c>
      <c r="AA2638" s="4">
        <f>=ROUNDDOWN(32.8,0)</f>
      </c>
      <c r="AB2638" s="5">
        <v>5</v>
      </c>
      <c r="AC2638" s="2" t="s">
        <v>100</v>
      </c>
      <c r="AD2638" s="4"/>
      <c r="AE2638" s="4"/>
      <c r="AF2638" s="6">
        <v>74</v>
      </c>
      <c r="AG2638" s="6">
        <v>60</v>
      </c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>
        <v>0</v>
      </c>
      <c r="AP2638" s="4">
        <v>3</v>
      </c>
      <c r="AQ2638" s="8">
        <v>427.92</v>
      </c>
      <c r="AR2638" s="4">
        <v>8</v>
      </c>
      <c r="AS2638" s="8">
        <v>891.5</v>
      </c>
      <c r="AT2638" s="7">
        <v>-0.625</v>
      </c>
      <c r="AU2638" s="7">
        <v>-0.52</v>
      </c>
      <c r="AV2638" s="4">
        <v>3</v>
      </c>
      <c r="AW2638" s="8">
        <v>427.92</v>
      </c>
      <c r="AX2638" s="4">
        <v>8</v>
      </c>
      <c r="AY2638" s="8">
        <v>891.5</v>
      </c>
      <c r="AZ2638" s="7">
        <v>-0.625</v>
      </c>
      <c r="BA2638" s="7">
        <v>-0.52</v>
      </c>
      <c r="BB2638" s="7">
        <v>1</v>
      </c>
      <c r="BC2638" s="4">
        <v>3</v>
      </c>
      <c r="BD2638" s="8">
        <v>427.92</v>
      </c>
      <c r="BE2638" s="4">
        <v>8</v>
      </c>
      <c r="BF2638" s="8">
        <v>891.5</v>
      </c>
      <c r="BG2638" s="7">
        <v>-0.625</v>
      </c>
      <c r="BH2638" s="7">
        <v>-0.52</v>
      </c>
      <c r="BI2638" s="7">
        <v>1</v>
      </c>
      <c r="BJ2638" s="4">
        <v>120</v>
      </c>
      <c r="BK2638" s="8">
        <v>16664.04</v>
      </c>
      <c r="BL2638" s="2" t="s">
        <v>9813</v>
      </c>
      <c r="BM2638" s="7">
        <v>0.025</v>
      </c>
      <c r="BN2638" s="7">
        <v>0.0257</v>
      </c>
      <c r="BO2638" s="4">
        <v>3</v>
      </c>
      <c r="BP2638" s="8">
        <v>427.92</v>
      </c>
      <c r="BQ2638" s="4">
        <v>8</v>
      </c>
      <c r="BR2638" s="8">
        <v>891.5</v>
      </c>
      <c r="BS2638" s="7">
        <v>-0.625</v>
      </c>
      <c r="BT2638" s="7">
        <v>-0.52</v>
      </c>
      <c r="BU2638" s="2" t="s">
        <v>109</v>
      </c>
      <c r="BV2638" s="2" t="s">
        <v>97</v>
      </c>
      <c r="BW2638" s="2" t="s">
        <v>5147</v>
      </c>
      <c r="BX2638" s="2" t="s">
        <v>8191</v>
      </c>
      <c r="BY2638" s="2" t="s">
        <v>112</v>
      </c>
      <c r="BZ2638" s="2" t="s">
        <v>100</v>
      </c>
    </row>
    <row r="2639">
      <c r="A2639" s="2" t="s">
        <v>9814</v>
      </c>
      <c r="B2639" s="2" t="s">
        <v>7252</v>
      </c>
      <c r="C2639" s="2" t="s">
        <v>4677</v>
      </c>
      <c r="D2639" s="2" t="s">
        <v>9802</v>
      </c>
      <c r="E2639" s="2" t="s">
        <v>9803</v>
      </c>
      <c r="F2639" s="2" t="s">
        <v>9815</v>
      </c>
      <c r="G2639" s="2" t="s">
        <v>9815</v>
      </c>
      <c r="H2639" s="2" t="s">
        <v>9815</v>
      </c>
      <c r="I2639" s="2" t="s">
        <v>9816</v>
      </c>
      <c r="J2639" s="2" t="s">
        <v>6103</v>
      </c>
      <c r="K2639" s="2" t="s">
        <v>123</v>
      </c>
      <c r="L2639" s="3">
        <v>145</v>
      </c>
      <c r="M2639" s="3">
        <v>152.25</v>
      </c>
      <c r="N2639" s="3">
        <v>299</v>
      </c>
      <c r="O2639" s="2" t="s">
        <v>97</v>
      </c>
      <c r="P2639" s="2" t="s">
        <v>182</v>
      </c>
      <c r="Q2639" s="2" t="s">
        <v>99</v>
      </c>
      <c r="R2639" s="2" t="s">
        <v>100</v>
      </c>
      <c r="S2639" s="2" t="s">
        <v>100</v>
      </c>
      <c r="T2639" s="2" t="s">
        <v>100</v>
      </c>
      <c r="U2639" s="2" t="s">
        <v>100</v>
      </c>
      <c r="V2639" s="2" t="s">
        <v>1752</v>
      </c>
      <c r="W2639" s="2" t="s">
        <v>2195</v>
      </c>
      <c r="X2639" s="2" t="s">
        <v>602</v>
      </c>
      <c r="Y2639" s="2" t="s">
        <v>9817</v>
      </c>
      <c r="Z2639" s="4">
        <v>53</v>
      </c>
      <c r="AA2639" s="4">
        <f>=ROUNDDOWN(10.6,0)</f>
      </c>
      <c r="AB2639" s="5">
        <v>5</v>
      </c>
      <c r="AC2639" s="2" t="s">
        <v>8170</v>
      </c>
      <c r="AD2639" s="4">
        <v>150</v>
      </c>
      <c r="AE2639" s="4">
        <v>150</v>
      </c>
      <c r="AF2639" s="6">
        <v>74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/>
      <c r="BD2639" s="8"/>
      <c r="BE2639" s="4"/>
      <c r="BF2639" s="8"/>
      <c r="BG2639" s="7"/>
      <c r="BH2639" s="7"/>
      <c r="BI2639" s="7"/>
      <c r="BJ2639" s="4">
        <v>86</v>
      </c>
      <c r="BK2639" s="8">
        <v>13984.38</v>
      </c>
      <c r="BL2639" s="2" t="s">
        <v>9818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6185</v>
      </c>
      <c r="BV2639" s="2" t="s">
        <v>97</v>
      </c>
      <c r="BW2639" s="2" t="s">
        <v>100</v>
      </c>
      <c r="BX2639" s="2" t="s">
        <v>100</v>
      </c>
      <c r="BY2639" s="2" t="s">
        <v>112</v>
      </c>
      <c r="BZ2639" s="2" t="s">
        <v>100</v>
      </c>
    </row>
    <row r="2640">
      <c r="A2640" s="2" t="s">
        <v>9819</v>
      </c>
      <c r="B2640" s="2" t="s">
        <v>7252</v>
      </c>
      <c r="C2640" s="2" t="s">
        <v>4677</v>
      </c>
      <c r="D2640" s="2" t="s">
        <v>9802</v>
      </c>
      <c r="E2640" s="2" t="s">
        <v>9803</v>
      </c>
      <c r="F2640" s="2" t="s">
        <v>9820</v>
      </c>
      <c r="G2640" s="2" t="s">
        <v>9821</v>
      </c>
      <c r="H2640" s="2" t="s">
        <v>9820</v>
      </c>
      <c r="I2640" s="2" t="s">
        <v>9803</v>
      </c>
      <c r="J2640" s="2" t="s">
        <v>6103</v>
      </c>
      <c r="K2640" s="2" t="s">
        <v>323</v>
      </c>
      <c r="L2640" s="3">
        <v>109.44</v>
      </c>
      <c r="M2640" s="3">
        <v>114.91</v>
      </c>
      <c r="N2640" s="3">
        <v>229</v>
      </c>
      <c r="O2640" s="2" t="s">
        <v>97</v>
      </c>
      <c r="P2640" s="2" t="s">
        <v>198</v>
      </c>
      <c r="Q2640" s="2" t="s">
        <v>99</v>
      </c>
      <c r="R2640" s="2" t="s">
        <v>100</v>
      </c>
      <c r="S2640" s="2" t="s">
        <v>100</v>
      </c>
      <c r="T2640" s="2" t="s">
        <v>100</v>
      </c>
      <c r="U2640" s="2" t="s">
        <v>3531</v>
      </c>
      <c r="V2640" s="2" t="s">
        <v>1752</v>
      </c>
      <c r="W2640" s="2" t="s">
        <v>104</v>
      </c>
      <c r="X2640" s="2" t="s">
        <v>602</v>
      </c>
      <c r="Y2640" s="2" t="s">
        <v>5487</v>
      </c>
      <c r="Z2640" s="4">
        <v>83</v>
      </c>
      <c r="AA2640" s="4">
        <f>=ROUNDDOWN(41.5,0)</f>
      </c>
      <c r="AB2640" s="5">
        <v>2</v>
      </c>
      <c r="AC2640" s="2" t="s">
        <v>100</v>
      </c>
      <c r="AD2640" s="4"/>
      <c r="AE2640" s="4"/>
      <c r="AF2640" s="6">
        <v>74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/>
      <c r="BD2640" s="8"/>
      <c r="BE2640" s="4"/>
      <c r="BF2640" s="8"/>
      <c r="BG2640" s="7"/>
      <c r="BH2640" s="7"/>
      <c r="BI2640" s="7"/>
      <c r="BJ2640" s="4">
        <v>52</v>
      </c>
      <c r="BK2640" s="8">
        <v>6376.04</v>
      </c>
      <c r="BL2640" s="2" t="s">
        <v>9822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7841</v>
      </c>
      <c r="BX2640" s="2" t="s">
        <v>100</v>
      </c>
      <c r="BY2640" s="2" t="s">
        <v>112</v>
      </c>
      <c r="BZ2640" s="2" t="s">
        <v>100</v>
      </c>
    </row>
    <row r="2641">
      <c r="A2641" s="2" t="s">
        <v>9823</v>
      </c>
      <c r="B2641" s="2" t="s">
        <v>7252</v>
      </c>
      <c r="C2641" s="2" t="s">
        <v>4677</v>
      </c>
      <c r="D2641" s="2" t="s">
        <v>9802</v>
      </c>
      <c r="E2641" s="2" t="s">
        <v>9803</v>
      </c>
      <c r="F2641" s="2" t="s">
        <v>9260</v>
      </c>
      <c r="G2641" s="2" t="s">
        <v>9260</v>
      </c>
      <c r="H2641" s="2" t="s">
        <v>9260</v>
      </c>
      <c r="I2641" s="2" t="s">
        <v>9812</v>
      </c>
      <c r="J2641" s="2" t="s">
        <v>6103</v>
      </c>
      <c r="K2641" s="2" t="s">
        <v>333</v>
      </c>
      <c r="L2641" s="3">
        <v>196.35</v>
      </c>
      <c r="M2641" s="3">
        <v>206.17</v>
      </c>
      <c r="N2641" s="3">
        <v>419</v>
      </c>
      <c r="O2641" s="2" t="s">
        <v>229</v>
      </c>
      <c r="P2641" s="2" t="s">
        <v>198</v>
      </c>
      <c r="Q2641" s="2" t="s">
        <v>99</v>
      </c>
      <c r="R2641" s="2" t="s">
        <v>100</v>
      </c>
      <c r="S2641" s="2" t="s">
        <v>100</v>
      </c>
      <c r="T2641" s="2" t="s">
        <v>100</v>
      </c>
      <c r="U2641" s="2" t="s">
        <v>100</v>
      </c>
      <c r="V2641" s="2" t="s">
        <v>601</v>
      </c>
      <c r="W2641" s="2" t="s">
        <v>6998</v>
      </c>
      <c r="X2641" s="2" t="s">
        <v>100</v>
      </c>
      <c r="Y2641" s="2" t="s">
        <v>4432</v>
      </c>
      <c r="Z2641" s="4">
        <v>78</v>
      </c>
      <c r="AA2641" s="4">
        <f>=ROUNDDOWN(26,0)</f>
      </c>
      <c r="AB2641" s="5">
        <v>3</v>
      </c>
      <c r="AC2641" s="2" t="s">
        <v>100</v>
      </c>
      <c r="AD2641" s="4"/>
      <c r="AE2641" s="4"/>
      <c r="AF2641" s="6">
        <v>74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>
        <v>0</v>
      </c>
      <c r="AP2641" s="4"/>
      <c r="AQ2641" s="8"/>
      <c r="AR2641" s="4">
        <v>2</v>
      </c>
      <c r="AS2641" s="8">
        <v>412.34</v>
      </c>
      <c r="AT2641" s="7">
        <v>-1</v>
      </c>
      <c r="AU2641" s="7">
        <v>-1</v>
      </c>
      <c r="AV2641" s="4"/>
      <c r="AW2641" s="8"/>
      <c r="AX2641" s="4">
        <v>2</v>
      </c>
      <c r="AY2641" s="8">
        <v>412.34</v>
      </c>
      <c r="AZ2641" s="7">
        <v>-1</v>
      </c>
      <c r="BA2641" s="7">
        <v>-1</v>
      </c>
      <c r="BB2641" s="7"/>
      <c r="BC2641" s="4"/>
      <c r="BD2641" s="8"/>
      <c r="BE2641" s="4">
        <v>2</v>
      </c>
      <c r="BF2641" s="8">
        <v>412.34</v>
      </c>
      <c r="BG2641" s="7">
        <v>-1</v>
      </c>
      <c r="BH2641" s="7">
        <v>-1</v>
      </c>
      <c r="BI2641" s="7"/>
      <c r="BJ2641" s="4">
        <v>64</v>
      </c>
      <c r="BK2641" s="8">
        <v>8332.7</v>
      </c>
      <c r="BL2641" s="2" t="s">
        <v>9824</v>
      </c>
      <c r="BM2641" s="7"/>
      <c r="BN2641" s="7"/>
      <c r="BO2641" s="4"/>
      <c r="BP2641" s="8"/>
      <c r="BQ2641" s="4">
        <v>2</v>
      </c>
      <c r="BR2641" s="8">
        <v>412.34</v>
      </c>
      <c r="BS2641" s="7">
        <v>-1</v>
      </c>
      <c r="BT2641" s="7">
        <v>-1</v>
      </c>
      <c r="BU2641" s="2" t="s">
        <v>109</v>
      </c>
      <c r="BV2641" s="2" t="s">
        <v>97</v>
      </c>
      <c r="BW2641" s="2" t="s">
        <v>5147</v>
      </c>
      <c r="BX2641" s="2" t="s">
        <v>4704</v>
      </c>
      <c r="BY2641" s="2" t="s">
        <v>112</v>
      </c>
      <c r="BZ2641" s="2" t="s">
        <v>100</v>
      </c>
    </row>
    <row r="2642">
      <c r="A2642" s="2" t="s">
        <v>9825</v>
      </c>
      <c r="B2642" s="2" t="s">
        <v>7252</v>
      </c>
      <c r="C2642" s="2" t="s">
        <v>4677</v>
      </c>
      <c r="D2642" s="2" t="s">
        <v>9802</v>
      </c>
      <c r="E2642" s="2" t="s">
        <v>9803</v>
      </c>
      <c r="F2642" s="2" t="s">
        <v>9826</v>
      </c>
      <c r="G2642" s="2" t="s">
        <v>9826</v>
      </c>
      <c r="H2642" s="2" t="s">
        <v>9826</v>
      </c>
      <c r="I2642" s="2" t="s">
        <v>9827</v>
      </c>
      <c r="J2642" s="2" t="s">
        <v>6103</v>
      </c>
      <c r="K2642" s="2" t="s">
        <v>323</v>
      </c>
      <c r="L2642" s="3">
        <v>143</v>
      </c>
      <c r="M2642" s="3">
        <v>150.15</v>
      </c>
      <c r="N2642" s="3">
        <v>299</v>
      </c>
      <c r="O2642" s="2" t="s">
        <v>97</v>
      </c>
      <c r="P2642" s="2" t="s">
        <v>1265</v>
      </c>
      <c r="Q2642" s="2" t="s">
        <v>99</v>
      </c>
      <c r="R2642" s="2" t="s">
        <v>100</v>
      </c>
      <c r="S2642" s="2" t="s">
        <v>100</v>
      </c>
      <c r="T2642" s="2" t="s">
        <v>100</v>
      </c>
      <c r="U2642" s="2" t="s">
        <v>100</v>
      </c>
      <c r="V2642" s="2" t="s">
        <v>1752</v>
      </c>
      <c r="W2642" s="2" t="s">
        <v>602</v>
      </c>
      <c r="X2642" s="2" t="s">
        <v>100</v>
      </c>
      <c r="Y2642" s="2" t="s">
        <v>3692</v>
      </c>
      <c r="Z2642" s="4">
        <v>24</v>
      </c>
      <c r="AA2642" s="4">
        <f>=ROUNDDOWN(12,0)</f>
      </c>
      <c r="AB2642" s="5">
        <v>2</v>
      </c>
      <c r="AC2642" s="2" t="s">
        <v>9120</v>
      </c>
      <c r="AD2642" s="4">
        <v>100</v>
      </c>
      <c r="AE2642" s="4">
        <v>100</v>
      </c>
      <c r="AF2642" s="6">
        <v>74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/>
      <c r="BD2642" s="8"/>
      <c r="BE2642" s="4"/>
      <c r="BF2642" s="8"/>
      <c r="BG2642" s="7"/>
      <c r="BH2642" s="7"/>
      <c r="BI2642" s="7"/>
      <c r="BJ2642" s="4">
        <v>41</v>
      </c>
      <c r="BK2642" s="8">
        <v>6730.21</v>
      </c>
      <c r="BL2642" s="2" t="s">
        <v>9828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6185</v>
      </c>
      <c r="BV2642" s="2" t="s">
        <v>97</v>
      </c>
      <c r="BW2642" s="2" t="s">
        <v>100</v>
      </c>
      <c r="BX2642" s="2" t="s">
        <v>100</v>
      </c>
      <c r="BY2642" s="2" t="s">
        <v>112</v>
      </c>
      <c r="BZ2642" s="2" t="s">
        <v>100</v>
      </c>
    </row>
    <row r="2643">
      <c r="A2643" s="2" t="s">
        <v>9829</v>
      </c>
      <c r="B2643" s="2" t="s">
        <v>7252</v>
      </c>
      <c r="C2643" s="2" t="s">
        <v>4677</v>
      </c>
      <c r="D2643" s="2" t="s">
        <v>8424</v>
      </c>
      <c r="E2643" s="2" t="s">
        <v>8425</v>
      </c>
      <c r="F2643" s="2" t="s">
        <v>987</v>
      </c>
      <c r="G2643" s="2" t="s">
        <v>987</v>
      </c>
      <c r="H2643" s="2" t="s">
        <v>987</v>
      </c>
      <c r="I2643" s="2" t="s">
        <v>8429</v>
      </c>
      <c r="J2643" s="2" t="s">
        <v>6103</v>
      </c>
      <c r="K2643" s="2" t="s">
        <v>310</v>
      </c>
      <c r="L2643" s="3">
        <v>118.8</v>
      </c>
      <c r="M2643" s="3">
        <v>124.74</v>
      </c>
      <c r="N2643" s="3">
        <v>249</v>
      </c>
      <c r="O2643" s="2" t="s">
        <v>97</v>
      </c>
      <c r="P2643" s="2" t="s">
        <v>182</v>
      </c>
      <c r="Q2643" s="2" t="s">
        <v>99</v>
      </c>
      <c r="R2643" s="2" t="s">
        <v>100</v>
      </c>
      <c r="S2643" s="2" t="s">
        <v>100</v>
      </c>
      <c r="T2643" s="2" t="s">
        <v>100</v>
      </c>
      <c r="U2643" s="2" t="s">
        <v>3531</v>
      </c>
      <c r="V2643" s="2" t="s">
        <v>601</v>
      </c>
      <c r="W2643" s="2" t="s">
        <v>104</v>
      </c>
      <c r="X2643" s="2" t="s">
        <v>1190</v>
      </c>
      <c r="Y2643" s="2" t="s">
        <v>9830</v>
      </c>
      <c r="Z2643" s="4">
        <v>70</v>
      </c>
      <c r="AA2643" s="4">
        <f>=ROUNDDOWN(14,0)</f>
      </c>
      <c r="AB2643" s="5">
        <v>5</v>
      </c>
      <c r="AC2643" s="2" t="s">
        <v>659</v>
      </c>
      <c r="AD2643" s="4">
        <v>95</v>
      </c>
      <c r="AE2643" s="4">
        <v>95</v>
      </c>
      <c r="AF2643" s="6">
        <v>66</v>
      </c>
      <c r="AG2643" s="6">
        <v>49</v>
      </c>
      <c r="AH2643" s="7">
        <v>0.7455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>
        <v>0</v>
      </c>
      <c r="AP2643" s="4">
        <v>8</v>
      </c>
      <c r="AQ2643" s="8">
        <v>882</v>
      </c>
      <c r="AR2643" s="4">
        <v>10</v>
      </c>
      <c r="AS2643" s="8">
        <v>1162.36</v>
      </c>
      <c r="AT2643" s="7">
        <v>-0.2</v>
      </c>
      <c r="AU2643" s="7">
        <v>-0.2412</v>
      </c>
      <c r="AV2643" s="4">
        <v>8</v>
      </c>
      <c r="AW2643" s="8">
        <v>882</v>
      </c>
      <c r="AX2643" s="4">
        <v>10</v>
      </c>
      <c r="AY2643" s="8">
        <v>1162.36</v>
      </c>
      <c r="AZ2643" s="7">
        <v>-0.2</v>
      </c>
      <c r="BA2643" s="7">
        <v>-0.2412</v>
      </c>
      <c r="BB2643" s="7">
        <v>1</v>
      </c>
      <c r="BC2643" s="4">
        <v>8</v>
      </c>
      <c r="BD2643" s="8">
        <v>882</v>
      </c>
      <c r="BE2643" s="4">
        <v>10</v>
      </c>
      <c r="BF2643" s="8">
        <v>1162.36</v>
      </c>
      <c r="BG2643" s="7">
        <v>-0.2</v>
      </c>
      <c r="BH2643" s="7">
        <v>-0.2412</v>
      </c>
      <c r="BI2643" s="7">
        <v>1</v>
      </c>
      <c r="BJ2643" s="4">
        <v>106</v>
      </c>
      <c r="BK2643" s="8">
        <v>13208.25</v>
      </c>
      <c r="BL2643" s="2" t="s">
        <v>9831</v>
      </c>
      <c r="BM2643" s="7">
        <v>0.0755</v>
      </c>
      <c r="BN2643" s="7">
        <v>0.0668</v>
      </c>
      <c r="BO2643" s="4">
        <v>8</v>
      </c>
      <c r="BP2643" s="8">
        <v>882</v>
      </c>
      <c r="BQ2643" s="4">
        <v>10</v>
      </c>
      <c r="BR2643" s="8">
        <v>1162.36</v>
      </c>
      <c r="BS2643" s="7">
        <v>-0.2</v>
      </c>
      <c r="BT2643" s="7">
        <v>-0.2412</v>
      </c>
      <c r="BU2643" s="2" t="s">
        <v>109</v>
      </c>
      <c r="BV2643" s="2" t="s">
        <v>97</v>
      </c>
      <c r="BW2643" s="2" t="s">
        <v>7382</v>
      </c>
      <c r="BX2643" s="2" t="s">
        <v>2462</v>
      </c>
      <c r="BY2643" s="2" t="s">
        <v>112</v>
      </c>
      <c r="BZ2643" s="2" t="s">
        <v>100</v>
      </c>
    </row>
    <row r="2644">
      <c r="A2644" s="2" t="s">
        <v>9832</v>
      </c>
      <c r="B2644" s="2" t="s">
        <v>7252</v>
      </c>
      <c r="C2644" s="2" t="s">
        <v>4677</v>
      </c>
      <c r="D2644" s="2" t="s">
        <v>8424</v>
      </c>
      <c r="E2644" s="2" t="s">
        <v>8425</v>
      </c>
      <c r="F2644" s="2" t="s">
        <v>9833</v>
      </c>
      <c r="G2644" s="2" t="s">
        <v>9833</v>
      </c>
      <c r="H2644" s="2" t="s">
        <v>9833</v>
      </c>
      <c r="I2644" s="2" t="s">
        <v>9834</v>
      </c>
      <c r="J2644" s="2" t="s">
        <v>6103</v>
      </c>
      <c r="K2644" s="2" t="s">
        <v>8174</v>
      </c>
      <c r="L2644" s="3">
        <v>117</v>
      </c>
      <c r="M2644" s="3">
        <v>122.85</v>
      </c>
      <c r="N2644" s="3">
        <v>249</v>
      </c>
      <c r="O2644" s="2" t="s">
        <v>97</v>
      </c>
      <c r="P2644" s="2" t="s">
        <v>8446</v>
      </c>
      <c r="Q2644" s="2" t="s">
        <v>99</v>
      </c>
      <c r="R2644" s="2" t="s">
        <v>100</v>
      </c>
      <c r="S2644" s="2" t="s">
        <v>100</v>
      </c>
      <c r="T2644" s="2" t="s">
        <v>100</v>
      </c>
      <c r="U2644" s="2" t="s">
        <v>3531</v>
      </c>
      <c r="V2644" s="2" t="s">
        <v>1752</v>
      </c>
      <c r="W2644" s="2" t="s">
        <v>759</v>
      </c>
      <c r="X2644" s="2" t="s">
        <v>100</v>
      </c>
      <c r="Y2644" s="2" t="s">
        <v>100</v>
      </c>
      <c r="Z2644" s="4"/>
      <c r="AA2644" s="4">
        <f>=ROUNDDOWN({0},0)</f>
      </c>
      <c r="AB2644" s="5"/>
      <c r="AC2644" s="2" t="s">
        <v>7364</v>
      </c>
      <c r="AD2644" s="4">
        <v>70</v>
      </c>
      <c r="AE2644" s="4">
        <v>70</v>
      </c>
      <c r="AF2644" s="6">
        <v>66</v>
      </c>
      <c r="AG2644" s="6"/>
      <c r="AH2644" s="7">
        <v>0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/>
      <c r="BK2644" s="8"/>
      <c r="BL2644" s="2" t="s">
        <v>100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147</v>
      </c>
      <c r="BV2644" s="2" t="s">
        <v>97</v>
      </c>
      <c r="BW2644" s="2" t="s">
        <v>100</v>
      </c>
      <c r="BX2644" s="2" t="s">
        <v>100</v>
      </c>
      <c r="BY2644" s="2" t="s">
        <v>112</v>
      </c>
      <c r="BZ2644" s="2" t="s">
        <v>100</v>
      </c>
    </row>
    <row r="2645">
      <c r="A2645" s="2" t="s">
        <v>9835</v>
      </c>
      <c r="B2645" s="2" t="s">
        <v>7252</v>
      </c>
      <c r="C2645" s="2" t="s">
        <v>4677</v>
      </c>
      <c r="D2645" s="2" t="s">
        <v>8424</v>
      </c>
      <c r="E2645" s="2" t="s">
        <v>8425</v>
      </c>
      <c r="F2645" s="2" t="s">
        <v>9833</v>
      </c>
      <c r="G2645" s="2" t="s">
        <v>9833</v>
      </c>
      <c r="H2645" s="2" t="s">
        <v>9833</v>
      </c>
      <c r="I2645" s="2" t="s">
        <v>9834</v>
      </c>
      <c r="J2645" s="2" t="s">
        <v>6103</v>
      </c>
      <c r="K2645" s="2" t="s">
        <v>2367</v>
      </c>
      <c r="L2645" s="3">
        <v>117</v>
      </c>
      <c r="M2645" s="3">
        <v>122.85</v>
      </c>
      <c r="N2645" s="3">
        <v>249</v>
      </c>
      <c r="O2645" s="2" t="s">
        <v>97</v>
      </c>
      <c r="P2645" s="2" t="s">
        <v>8446</v>
      </c>
      <c r="Q2645" s="2" t="s">
        <v>99</v>
      </c>
      <c r="R2645" s="2" t="s">
        <v>100</v>
      </c>
      <c r="S2645" s="2" t="s">
        <v>100</v>
      </c>
      <c r="T2645" s="2" t="s">
        <v>100</v>
      </c>
      <c r="U2645" s="2" t="s">
        <v>3531</v>
      </c>
      <c r="V2645" s="2" t="s">
        <v>1752</v>
      </c>
      <c r="W2645" s="2" t="s">
        <v>759</v>
      </c>
      <c r="X2645" s="2" t="s">
        <v>100</v>
      </c>
      <c r="Y2645" s="2" t="s">
        <v>100</v>
      </c>
      <c r="Z2645" s="4"/>
      <c r="AA2645" s="4">
        <f>=ROUNDDOWN({0},0)</f>
      </c>
      <c r="AB2645" s="5"/>
      <c r="AC2645" s="2" t="s">
        <v>7364</v>
      </c>
      <c r="AD2645" s="4">
        <v>70</v>
      </c>
      <c r="AE2645" s="4">
        <v>70</v>
      </c>
      <c r="AF2645" s="6">
        <v>66</v>
      </c>
      <c r="AG2645" s="6"/>
      <c r="AH2645" s="7">
        <v>0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/>
      <c r="BK2645" s="8"/>
      <c r="BL2645" s="2" t="s">
        <v>100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147</v>
      </c>
      <c r="BV2645" s="2" t="s">
        <v>97</v>
      </c>
      <c r="BW2645" s="2" t="s">
        <v>100</v>
      </c>
      <c r="BX2645" s="2" t="s">
        <v>100</v>
      </c>
      <c r="BY2645" s="2" t="s">
        <v>112</v>
      </c>
      <c r="BZ2645" s="2" t="s">
        <v>100</v>
      </c>
    </row>
    <row r="2646">
      <c r="A2646" s="2" t="s">
        <v>9836</v>
      </c>
      <c r="B2646" s="2" t="s">
        <v>7252</v>
      </c>
      <c r="C2646" s="2" t="s">
        <v>4677</v>
      </c>
      <c r="D2646" s="2" t="s">
        <v>8424</v>
      </c>
      <c r="E2646" s="2" t="s">
        <v>8425</v>
      </c>
      <c r="F2646" s="2" t="s">
        <v>9833</v>
      </c>
      <c r="G2646" s="2" t="s">
        <v>9833</v>
      </c>
      <c r="H2646" s="2" t="s">
        <v>9833</v>
      </c>
      <c r="I2646" s="2" t="s">
        <v>9834</v>
      </c>
      <c r="J2646" s="2" t="s">
        <v>6103</v>
      </c>
      <c r="K2646" s="2" t="s">
        <v>622</v>
      </c>
      <c r="L2646" s="3">
        <v>117</v>
      </c>
      <c r="M2646" s="3">
        <v>122.85</v>
      </c>
      <c r="N2646" s="3">
        <v>249</v>
      </c>
      <c r="O2646" s="2" t="s">
        <v>97</v>
      </c>
      <c r="P2646" s="2" t="s">
        <v>143</v>
      </c>
      <c r="Q2646" s="2" t="s">
        <v>99</v>
      </c>
      <c r="R2646" s="2" t="s">
        <v>100</v>
      </c>
      <c r="S2646" s="2" t="s">
        <v>100</v>
      </c>
      <c r="T2646" s="2" t="s">
        <v>100</v>
      </c>
      <c r="U2646" s="2" t="s">
        <v>3531</v>
      </c>
      <c r="V2646" s="2" t="s">
        <v>1752</v>
      </c>
      <c r="W2646" s="2" t="s">
        <v>759</v>
      </c>
      <c r="X2646" s="2" t="s">
        <v>100</v>
      </c>
      <c r="Y2646" s="2" t="s">
        <v>365</v>
      </c>
      <c r="Z2646" s="4">
        <v>132</v>
      </c>
      <c r="AA2646" s="4">
        <f>=ROUNDDOWN(4.125,0)</f>
      </c>
      <c r="AB2646" s="5">
        <v>32</v>
      </c>
      <c r="AC2646" s="2" t="s">
        <v>430</v>
      </c>
      <c r="AD2646" s="4">
        <v>500</v>
      </c>
      <c r="AE2646" s="4">
        <v>985</v>
      </c>
      <c r="AF2646" s="6">
        <v>66</v>
      </c>
      <c r="AG2646" s="6"/>
      <c r="AH2646" s="7">
        <v>0.8545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580</v>
      </c>
      <c r="BK2646" s="8">
        <v>73973.92</v>
      </c>
      <c r="BL2646" s="2" t="s">
        <v>9837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6185</v>
      </c>
      <c r="BV2646" s="2" t="s">
        <v>97</v>
      </c>
      <c r="BW2646" s="2" t="s">
        <v>100</v>
      </c>
      <c r="BX2646" s="2" t="s">
        <v>100</v>
      </c>
      <c r="BY2646" s="2" t="s">
        <v>112</v>
      </c>
      <c r="BZ2646" s="2" t="s">
        <v>100</v>
      </c>
    </row>
    <row r="2647">
      <c r="A2647" s="2" t="s">
        <v>9838</v>
      </c>
      <c r="B2647" s="2" t="s">
        <v>7252</v>
      </c>
      <c r="C2647" s="2" t="s">
        <v>4677</v>
      </c>
      <c r="D2647" s="2" t="s">
        <v>8424</v>
      </c>
      <c r="E2647" s="2" t="s">
        <v>8425</v>
      </c>
      <c r="F2647" s="2" t="s">
        <v>9452</v>
      </c>
      <c r="G2647" s="2" t="s">
        <v>100</v>
      </c>
      <c r="H2647" s="2" t="s">
        <v>100</v>
      </c>
      <c r="I2647" s="2" t="s">
        <v>8548</v>
      </c>
      <c r="J2647" s="2" t="s">
        <v>6103</v>
      </c>
      <c r="K2647" s="2" t="s">
        <v>9424</v>
      </c>
      <c r="L2647" s="3">
        <v>193.5</v>
      </c>
      <c r="M2647" s="3">
        <v>203.18</v>
      </c>
      <c r="N2647" s="3">
        <v>399</v>
      </c>
      <c r="O2647" s="2" t="s">
        <v>97</v>
      </c>
      <c r="P2647" s="2" t="s">
        <v>1265</v>
      </c>
      <c r="Q2647" s="2" t="s">
        <v>99</v>
      </c>
      <c r="R2647" s="2" t="s">
        <v>100</v>
      </c>
      <c r="S2647" s="2" t="s">
        <v>9839</v>
      </c>
      <c r="T2647" s="2" t="s">
        <v>100</v>
      </c>
      <c r="U2647" s="2" t="s">
        <v>100</v>
      </c>
      <c r="V2647" s="2" t="s">
        <v>601</v>
      </c>
      <c r="W2647" s="2" t="s">
        <v>759</v>
      </c>
      <c r="X2647" s="2" t="s">
        <v>100</v>
      </c>
      <c r="Y2647" s="2" t="s">
        <v>9684</v>
      </c>
      <c r="Z2647" s="4">
        <v>100</v>
      </c>
      <c r="AA2647" s="4">
        <f>=ROUNDDOWN(33.3333333333333,0)</f>
      </c>
      <c r="AB2647" s="5">
        <v>3</v>
      </c>
      <c r="AC2647" s="2" t="s">
        <v>100</v>
      </c>
      <c r="AD2647" s="4"/>
      <c r="AE2647" s="4"/>
      <c r="AF2647" s="6">
        <v>66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>
        <v>0</v>
      </c>
      <c r="AP2647" s="4"/>
      <c r="AQ2647" s="8"/>
      <c r="AR2647" s="4">
        <v>8</v>
      </c>
      <c r="AS2647" s="8">
        <v>1416.22</v>
      </c>
      <c r="AT2647" s="7">
        <v>-1</v>
      </c>
      <c r="AU2647" s="7">
        <v>-1</v>
      </c>
      <c r="AV2647" s="4"/>
      <c r="AW2647" s="8"/>
      <c r="AX2647" s="4">
        <v>8</v>
      </c>
      <c r="AY2647" s="8">
        <v>1416.22</v>
      </c>
      <c r="AZ2647" s="7">
        <v>-1</v>
      </c>
      <c r="BA2647" s="7">
        <v>-1</v>
      </c>
      <c r="BB2647" s="7"/>
      <c r="BC2647" s="4"/>
      <c r="BD2647" s="8"/>
      <c r="BE2647" s="4">
        <v>8</v>
      </c>
      <c r="BF2647" s="8">
        <v>1416.22</v>
      </c>
      <c r="BG2647" s="7">
        <v>-1</v>
      </c>
      <c r="BH2647" s="7">
        <v>-1</v>
      </c>
      <c r="BI2647" s="7"/>
      <c r="BJ2647" s="4">
        <v>85</v>
      </c>
      <c r="BK2647" s="8">
        <v>16673.86</v>
      </c>
      <c r="BL2647" s="2" t="s">
        <v>9840</v>
      </c>
      <c r="BM2647" s="7"/>
      <c r="BN2647" s="7"/>
      <c r="BO2647" s="4"/>
      <c r="BP2647" s="8"/>
      <c r="BQ2647" s="4">
        <v>8</v>
      </c>
      <c r="BR2647" s="8">
        <v>1416.22</v>
      </c>
      <c r="BS2647" s="7">
        <v>-1</v>
      </c>
      <c r="BT2647" s="7">
        <v>-1</v>
      </c>
      <c r="BU2647" s="2" t="s">
        <v>109</v>
      </c>
      <c r="BV2647" s="2" t="s">
        <v>97</v>
      </c>
      <c r="BW2647" s="2" t="s">
        <v>7841</v>
      </c>
      <c r="BX2647" s="2" t="s">
        <v>4736</v>
      </c>
      <c r="BY2647" s="2" t="s">
        <v>112</v>
      </c>
      <c r="BZ2647" s="2" t="s">
        <v>100</v>
      </c>
    </row>
    <row r="2648">
      <c r="A2648" s="2" t="s">
        <v>9841</v>
      </c>
      <c r="B2648" s="2" t="s">
        <v>7252</v>
      </c>
      <c r="C2648" s="2" t="s">
        <v>4677</v>
      </c>
      <c r="D2648" s="2" t="s">
        <v>8424</v>
      </c>
      <c r="E2648" s="2" t="s">
        <v>8425</v>
      </c>
      <c r="F2648" s="2" t="s">
        <v>9842</v>
      </c>
      <c r="G2648" s="2" t="s">
        <v>9842</v>
      </c>
      <c r="H2648" s="2" t="s">
        <v>9842</v>
      </c>
      <c r="I2648" s="2" t="s">
        <v>8548</v>
      </c>
      <c r="J2648" s="2" t="s">
        <v>6103</v>
      </c>
      <c r="K2648" s="2" t="s">
        <v>323</v>
      </c>
      <c r="L2648" s="3">
        <v>142.2</v>
      </c>
      <c r="M2648" s="3">
        <v>149.31</v>
      </c>
      <c r="N2648" s="3">
        <v>299</v>
      </c>
      <c r="O2648" s="2" t="s">
        <v>97</v>
      </c>
      <c r="P2648" s="2" t="s">
        <v>182</v>
      </c>
      <c r="Q2648" s="2" t="s">
        <v>99</v>
      </c>
      <c r="R2648" s="2" t="s">
        <v>100</v>
      </c>
      <c r="S2648" s="2" t="s">
        <v>9843</v>
      </c>
      <c r="T2648" s="2" t="s">
        <v>100</v>
      </c>
      <c r="U2648" s="2" t="s">
        <v>100</v>
      </c>
      <c r="V2648" s="2" t="s">
        <v>601</v>
      </c>
      <c r="W2648" s="2" t="s">
        <v>6998</v>
      </c>
      <c r="X2648" s="2" t="s">
        <v>100</v>
      </c>
      <c r="Y2648" s="2" t="s">
        <v>8443</v>
      </c>
      <c r="Z2648" s="4">
        <v>836</v>
      </c>
      <c r="AA2648" s="4">
        <f>=ROUNDDOWN(119.428571428571,0)</f>
      </c>
      <c r="AB2648" s="5">
        <v>7</v>
      </c>
      <c r="AC2648" s="2" t="s">
        <v>100</v>
      </c>
      <c r="AD2648" s="4"/>
      <c r="AE2648" s="4"/>
      <c r="AF2648" s="6">
        <v>76</v>
      </c>
      <c r="AG2648" s="6">
        <v>62</v>
      </c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>
        <v>0</v>
      </c>
      <c r="AP2648" s="4"/>
      <c r="AQ2648" s="8"/>
      <c r="AR2648" s="4">
        <v>3</v>
      </c>
      <c r="AS2648" s="8">
        <v>497.7</v>
      </c>
      <c r="AT2648" s="7">
        <v>-1</v>
      </c>
      <c r="AU2648" s="7">
        <v>-1</v>
      </c>
      <c r="AV2648" s="4"/>
      <c r="AW2648" s="8"/>
      <c r="AX2648" s="4">
        <v>3</v>
      </c>
      <c r="AY2648" s="8">
        <v>497.7</v>
      </c>
      <c r="AZ2648" s="7">
        <v>-1</v>
      </c>
      <c r="BA2648" s="7">
        <v>-1</v>
      </c>
      <c r="BB2648" s="7"/>
      <c r="BC2648" s="4"/>
      <c r="BD2648" s="8"/>
      <c r="BE2648" s="4">
        <v>3</v>
      </c>
      <c r="BF2648" s="8">
        <v>497.7</v>
      </c>
      <c r="BG2648" s="7">
        <v>-1</v>
      </c>
      <c r="BH2648" s="7">
        <v>-1</v>
      </c>
      <c r="BI2648" s="7"/>
      <c r="BJ2648" s="4">
        <v>170</v>
      </c>
      <c r="BK2648" s="8">
        <v>26093.82</v>
      </c>
      <c r="BL2648" s="2" t="s">
        <v>9844</v>
      </c>
      <c r="BM2648" s="7"/>
      <c r="BN2648" s="7"/>
      <c r="BO2648" s="4"/>
      <c r="BP2648" s="8"/>
      <c r="BQ2648" s="4">
        <v>3</v>
      </c>
      <c r="BR2648" s="8">
        <v>497.7</v>
      </c>
      <c r="BS2648" s="7">
        <v>-1</v>
      </c>
      <c r="BT2648" s="7">
        <v>-1</v>
      </c>
      <c r="BU2648" s="2" t="s">
        <v>109</v>
      </c>
      <c r="BV2648" s="2" t="s">
        <v>97</v>
      </c>
      <c r="BW2648" s="2" t="s">
        <v>9845</v>
      </c>
      <c r="BX2648" s="2" t="s">
        <v>9846</v>
      </c>
      <c r="BY2648" s="2" t="s">
        <v>112</v>
      </c>
      <c r="BZ2648" s="2" t="s">
        <v>100</v>
      </c>
    </row>
    <row r="2649">
      <c r="A2649" s="2" t="s">
        <v>9847</v>
      </c>
      <c r="B2649" s="2" t="s">
        <v>7252</v>
      </c>
      <c r="C2649" s="2" t="s">
        <v>4677</v>
      </c>
      <c r="D2649" s="2" t="s">
        <v>8424</v>
      </c>
      <c r="E2649" s="2" t="s">
        <v>8425</v>
      </c>
      <c r="F2649" s="2" t="s">
        <v>9848</v>
      </c>
      <c r="G2649" s="2" t="s">
        <v>9848</v>
      </c>
      <c r="H2649" s="2" t="s">
        <v>9848</v>
      </c>
      <c r="I2649" s="2" t="s">
        <v>9849</v>
      </c>
      <c r="J2649" s="2" t="s">
        <v>9850</v>
      </c>
      <c r="K2649" s="2" t="s">
        <v>1412</v>
      </c>
      <c r="L2649" s="3">
        <v>110</v>
      </c>
      <c r="M2649" s="3">
        <v>115.5</v>
      </c>
      <c r="N2649" s="3">
        <v>229</v>
      </c>
      <c r="O2649" s="2" t="s">
        <v>97</v>
      </c>
      <c r="P2649" s="2" t="s">
        <v>1166</v>
      </c>
      <c r="Q2649" s="2" t="s">
        <v>99</v>
      </c>
      <c r="R2649" s="2" t="s">
        <v>100</v>
      </c>
      <c r="S2649" s="2" t="s">
        <v>100</v>
      </c>
      <c r="T2649" s="2" t="s">
        <v>100</v>
      </c>
      <c r="U2649" s="2" t="s">
        <v>3531</v>
      </c>
      <c r="V2649" s="2" t="s">
        <v>601</v>
      </c>
      <c r="W2649" s="2" t="s">
        <v>759</v>
      </c>
      <c r="X2649" s="2" t="s">
        <v>100</v>
      </c>
      <c r="Y2649" s="2" t="s">
        <v>8908</v>
      </c>
      <c r="Z2649" s="4">
        <v>120</v>
      </c>
      <c r="AA2649" s="4">
        <f>=ROUNDDOWN(30,0)</f>
      </c>
      <c r="AB2649" s="5">
        <v>4</v>
      </c>
      <c r="AC2649" s="2" t="s">
        <v>518</v>
      </c>
      <c r="AD2649" s="4">
        <v>123</v>
      </c>
      <c r="AE2649" s="4">
        <v>123</v>
      </c>
      <c r="AF2649" s="6">
        <v>66</v>
      </c>
      <c r="AG2649" s="6"/>
      <c r="AH2649" s="7">
        <v>0.7714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 t="s">
        <v>100</v>
      </c>
      <c r="AW2649" s="8" t="s">
        <v>100</v>
      </c>
      <c r="AX2649" s="4" t="s">
        <v>100</v>
      </c>
      <c r="AY2649" s="8" t="s">
        <v>100</v>
      </c>
      <c r="AZ2649" s="7" t="s">
        <v>100</v>
      </c>
      <c r="BA2649" s="7" t="s">
        <v>100</v>
      </c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26</v>
      </c>
      <c r="BK2649" s="8">
        <v>3041.11</v>
      </c>
      <c r="BL2649" s="2" t="s">
        <v>7682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147</v>
      </c>
      <c r="BV2649" s="2" t="s">
        <v>97</v>
      </c>
      <c r="BW2649" s="2" t="s">
        <v>100</v>
      </c>
      <c r="BX2649" s="2" t="s">
        <v>100</v>
      </c>
      <c r="BY2649" s="2" t="s">
        <v>112</v>
      </c>
      <c r="BZ2649" s="2" t="s">
        <v>100</v>
      </c>
    </row>
    <row r="2650">
      <c r="A2650" s="2" t="s">
        <v>9851</v>
      </c>
      <c r="B2650" s="2" t="s">
        <v>7252</v>
      </c>
      <c r="C2650" s="2" t="s">
        <v>4677</v>
      </c>
      <c r="D2650" s="2" t="s">
        <v>8424</v>
      </c>
      <c r="E2650" s="2" t="s">
        <v>8425</v>
      </c>
      <c r="F2650" s="2" t="s">
        <v>9848</v>
      </c>
      <c r="G2650" s="2" t="s">
        <v>9848</v>
      </c>
      <c r="H2650" s="2" t="s">
        <v>9848</v>
      </c>
      <c r="I2650" s="2" t="s">
        <v>9849</v>
      </c>
      <c r="J2650" s="2" t="s">
        <v>9852</v>
      </c>
      <c r="K2650" s="2" t="s">
        <v>1412</v>
      </c>
      <c r="L2650" s="3">
        <v>135</v>
      </c>
      <c r="M2650" s="3">
        <v>141.75</v>
      </c>
      <c r="N2650" s="3">
        <v>265</v>
      </c>
      <c r="O2650" s="2" t="s">
        <v>97</v>
      </c>
      <c r="P2650" s="2" t="s">
        <v>1166</v>
      </c>
      <c r="Q2650" s="2" t="s">
        <v>99</v>
      </c>
      <c r="R2650" s="2" t="s">
        <v>100</v>
      </c>
      <c r="S2650" s="2" t="s">
        <v>100</v>
      </c>
      <c r="T2650" s="2" t="s">
        <v>100</v>
      </c>
      <c r="U2650" s="2" t="s">
        <v>3531</v>
      </c>
      <c r="V2650" s="2" t="s">
        <v>1752</v>
      </c>
      <c r="W2650" s="2" t="s">
        <v>759</v>
      </c>
      <c r="X2650" s="2" t="s">
        <v>100</v>
      </c>
      <c r="Y2650" s="2" t="s">
        <v>8908</v>
      </c>
      <c r="Z2650" s="4">
        <v>139</v>
      </c>
      <c r="AA2650" s="4">
        <f>=ROUNDDOWN(46.3333333333333,0)</f>
      </c>
      <c r="AB2650" s="5">
        <v>3</v>
      </c>
      <c r="AC2650" s="2" t="s">
        <v>100</v>
      </c>
      <c r="AD2650" s="4"/>
      <c r="AE2650" s="4"/>
      <c r="AF2650" s="6">
        <v>66</v>
      </c>
      <c r="AG2650" s="6"/>
      <c r="AH2650" s="7">
        <v>0.5714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100</v>
      </c>
      <c r="AW2650" s="8" t="s">
        <v>100</v>
      </c>
      <c r="AX2650" s="4" t="s">
        <v>100</v>
      </c>
      <c r="AY2650" s="8" t="s">
        <v>100</v>
      </c>
      <c r="AZ2650" s="7" t="s">
        <v>100</v>
      </c>
      <c r="BA2650" s="7" t="s">
        <v>100</v>
      </c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10</v>
      </c>
      <c r="BK2650" s="8">
        <v>1453.91</v>
      </c>
      <c r="BL2650" s="2" t="s">
        <v>7682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147</v>
      </c>
      <c r="BV2650" s="2" t="s">
        <v>97</v>
      </c>
      <c r="BW2650" s="2" t="s">
        <v>100</v>
      </c>
      <c r="BX2650" s="2" t="s">
        <v>100</v>
      </c>
      <c r="BY2650" s="2" t="s">
        <v>112</v>
      </c>
      <c r="BZ2650" s="2" t="s">
        <v>100</v>
      </c>
    </row>
    <row r="2651">
      <c r="A2651" s="2" t="s">
        <v>9853</v>
      </c>
      <c r="B2651" s="2" t="s">
        <v>7252</v>
      </c>
      <c r="C2651" s="2" t="s">
        <v>4677</v>
      </c>
      <c r="D2651" s="2" t="s">
        <v>8424</v>
      </c>
      <c r="E2651" s="2" t="s">
        <v>8425</v>
      </c>
      <c r="F2651" s="2" t="s">
        <v>9848</v>
      </c>
      <c r="G2651" s="2" t="s">
        <v>9848</v>
      </c>
      <c r="H2651" s="2" t="s">
        <v>9848</v>
      </c>
      <c r="I2651" s="2" t="s">
        <v>9849</v>
      </c>
      <c r="J2651" s="2" t="s">
        <v>9850</v>
      </c>
      <c r="K2651" s="2" t="s">
        <v>2367</v>
      </c>
      <c r="L2651" s="3">
        <v>110</v>
      </c>
      <c r="M2651" s="3">
        <v>115.5</v>
      </c>
      <c r="N2651" s="3">
        <v>229</v>
      </c>
      <c r="O2651" s="2" t="s">
        <v>97</v>
      </c>
      <c r="P2651" s="2" t="s">
        <v>143</v>
      </c>
      <c r="Q2651" s="2" t="s">
        <v>99</v>
      </c>
      <c r="R2651" s="2" t="s">
        <v>100</v>
      </c>
      <c r="S2651" s="2" t="s">
        <v>9854</v>
      </c>
      <c r="T2651" s="2" t="s">
        <v>100</v>
      </c>
      <c r="U2651" s="2" t="s">
        <v>3531</v>
      </c>
      <c r="V2651" s="2" t="s">
        <v>601</v>
      </c>
      <c r="W2651" s="2" t="s">
        <v>759</v>
      </c>
      <c r="X2651" s="2" t="s">
        <v>100</v>
      </c>
      <c r="Y2651" s="2" t="s">
        <v>9855</v>
      </c>
      <c r="Z2651" s="4">
        <v>152</v>
      </c>
      <c r="AA2651" s="4">
        <f>=ROUNDDOWN(8,0)</f>
      </c>
      <c r="AB2651" s="5">
        <v>19</v>
      </c>
      <c r="AC2651" s="2" t="s">
        <v>659</v>
      </c>
      <c r="AD2651" s="4">
        <v>238</v>
      </c>
      <c r="AE2651" s="4">
        <v>485</v>
      </c>
      <c r="AF2651" s="6">
        <v>66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100</v>
      </c>
      <c r="AW2651" s="8" t="s">
        <v>100</v>
      </c>
      <c r="AX2651" s="4" t="s">
        <v>100</v>
      </c>
      <c r="AY2651" s="8" t="s">
        <v>100</v>
      </c>
      <c r="AZ2651" s="7" t="s">
        <v>100</v>
      </c>
      <c r="BA2651" s="7" t="s">
        <v>100</v>
      </c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419</v>
      </c>
      <c r="BK2651" s="8">
        <v>51629.8</v>
      </c>
      <c r="BL2651" s="2" t="s">
        <v>9856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6185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9857</v>
      </c>
      <c r="B2652" s="2" t="s">
        <v>7252</v>
      </c>
      <c r="C2652" s="2" t="s">
        <v>4677</v>
      </c>
      <c r="D2652" s="2" t="s">
        <v>8424</v>
      </c>
      <c r="E2652" s="2" t="s">
        <v>8425</v>
      </c>
      <c r="F2652" s="2" t="s">
        <v>9848</v>
      </c>
      <c r="G2652" s="2" t="s">
        <v>9848</v>
      </c>
      <c r="H2652" s="2" t="s">
        <v>9848</v>
      </c>
      <c r="I2652" s="2" t="s">
        <v>9849</v>
      </c>
      <c r="J2652" s="2" t="s">
        <v>9852</v>
      </c>
      <c r="K2652" s="2" t="s">
        <v>2367</v>
      </c>
      <c r="L2652" s="3">
        <v>135</v>
      </c>
      <c r="M2652" s="3">
        <v>141.75</v>
      </c>
      <c r="N2652" s="3">
        <v>265</v>
      </c>
      <c r="O2652" s="2" t="s">
        <v>97</v>
      </c>
      <c r="P2652" s="2" t="s">
        <v>1166</v>
      </c>
      <c r="Q2652" s="2" t="s">
        <v>99</v>
      </c>
      <c r="R2652" s="2" t="s">
        <v>100</v>
      </c>
      <c r="S2652" s="2" t="s">
        <v>100</v>
      </c>
      <c r="T2652" s="2" t="s">
        <v>100</v>
      </c>
      <c r="U2652" s="2" t="s">
        <v>3531</v>
      </c>
      <c r="V2652" s="2" t="s">
        <v>1752</v>
      </c>
      <c r="W2652" s="2" t="s">
        <v>759</v>
      </c>
      <c r="X2652" s="2" t="s">
        <v>100</v>
      </c>
      <c r="Y2652" s="2" t="s">
        <v>3795</v>
      </c>
      <c r="Z2652" s="4">
        <v>228</v>
      </c>
      <c r="AA2652" s="4">
        <f>=ROUNDDOWN(207.272727272727,0)</f>
      </c>
      <c r="AB2652" s="5">
        <v>1.1</v>
      </c>
      <c r="AC2652" s="2" t="s">
        <v>659</v>
      </c>
      <c r="AD2652" s="4">
        <v>20</v>
      </c>
      <c r="AE2652" s="4">
        <v>20</v>
      </c>
      <c r="AF2652" s="6">
        <v>66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100</v>
      </c>
      <c r="AW2652" s="8" t="s">
        <v>100</v>
      </c>
      <c r="AX2652" s="4" t="s">
        <v>100</v>
      </c>
      <c r="AY2652" s="8" t="s">
        <v>100</v>
      </c>
      <c r="AZ2652" s="7" t="s">
        <v>100</v>
      </c>
      <c r="BA2652" s="7" t="s">
        <v>100</v>
      </c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9</v>
      </c>
      <c r="BK2652" s="8">
        <v>1350.39</v>
      </c>
      <c r="BL2652" s="2" t="s">
        <v>5499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147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9858</v>
      </c>
      <c r="B2653" s="2" t="s">
        <v>7252</v>
      </c>
      <c r="C2653" s="2" t="s">
        <v>4677</v>
      </c>
      <c r="D2653" s="2" t="s">
        <v>8424</v>
      </c>
      <c r="E2653" s="2" t="s">
        <v>8548</v>
      </c>
      <c r="F2653" s="2" t="s">
        <v>9859</v>
      </c>
      <c r="G2653" s="2" t="s">
        <v>9859</v>
      </c>
      <c r="H2653" s="2" t="s">
        <v>9859</v>
      </c>
      <c r="I2653" s="2" t="s">
        <v>8429</v>
      </c>
      <c r="J2653" s="2" t="s">
        <v>6103</v>
      </c>
      <c r="K2653" s="2" t="s">
        <v>7351</v>
      </c>
      <c r="L2653" s="3">
        <v>100.3</v>
      </c>
      <c r="M2653" s="3">
        <v>105.32</v>
      </c>
      <c r="N2653" s="3">
        <v>219</v>
      </c>
      <c r="O2653" s="2" t="s">
        <v>97</v>
      </c>
      <c r="P2653" s="2" t="s">
        <v>1265</v>
      </c>
      <c r="Q2653" s="2" t="s">
        <v>99</v>
      </c>
      <c r="R2653" s="2" t="s">
        <v>100</v>
      </c>
      <c r="S2653" s="2" t="s">
        <v>100</v>
      </c>
      <c r="T2653" s="2" t="s">
        <v>100</v>
      </c>
      <c r="U2653" s="2" t="s">
        <v>100</v>
      </c>
      <c r="V2653" s="2" t="s">
        <v>1752</v>
      </c>
      <c r="W2653" s="2" t="s">
        <v>2195</v>
      </c>
      <c r="X2653" s="2" t="s">
        <v>100</v>
      </c>
      <c r="Y2653" s="2" t="s">
        <v>8994</v>
      </c>
      <c r="Z2653" s="4">
        <v>48</v>
      </c>
      <c r="AA2653" s="4">
        <f>=ROUNDDOWN(12,0)</f>
      </c>
      <c r="AB2653" s="5">
        <v>4</v>
      </c>
      <c r="AC2653" s="2" t="s">
        <v>107</v>
      </c>
      <c r="AD2653" s="4">
        <v>100</v>
      </c>
      <c r="AE2653" s="4">
        <v>100</v>
      </c>
      <c r="AF2653" s="6">
        <v>74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/>
      <c r="BD2653" s="8"/>
      <c r="BE2653" s="4"/>
      <c r="BF2653" s="8"/>
      <c r="BG2653" s="7"/>
      <c r="BH2653" s="7"/>
      <c r="BI2653" s="7"/>
      <c r="BJ2653" s="4">
        <v>103</v>
      </c>
      <c r="BK2653" s="8">
        <v>10100.44</v>
      </c>
      <c r="BL2653" s="2" t="s">
        <v>9860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7683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9861</v>
      </c>
      <c r="B2654" s="2" t="s">
        <v>7252</v>
      </c>
      <c r="C2654" s="2" t="s">
        <v>4677</v>
      </c>
      <c r="D2654" s="2" t="s">
        <v>8424</v>
      </c>
      <c r="E2654" s="2" t="s">
        <v>8548</v>
      </c>
      <c r="F2654" s="2" t="s">
        <v>9768</v>
      </c>
      <c r="G2654" s="2" t="s">
        <v>9768</v>
      </c>
      <c r="H2654" s="2" t="s">
        <v>9768</v>
      </c>
      <c r="I2654" s="2" t="s">
        <v>9862</v>
      </c>
      <c r="J2654" s="2" t="s">
        <v>6103</v>
      </c>
      <c r="K2654" s="2" t="s">
        <v>9863</v>
      </c>
      <c r="L2654" s="3">
        <v>155</v>
      </c>
      <c r="M2654" s="3">
        <v>162.75</v>
      </c>
      <c r="N2654" s="3">
        <v>319</v>
      </c>
      <c r="O2654" s="2" t="s">
        <v>97</v>
      </c>
      <c r="P2654" s="2" t="s">
        <v>182</v>
      </c>
      <c r="Q2654" s="2" t="s">
        <v>99</v>
      </c>
      <c r="R2654" s="2" t="s">
        <v>100</v>
      </c>
      <c r="S2654" s="2" t="s">
        <v>100</v>
      </c>
      <c r="T2654" s="2" t="s">
        <v>100</v>
      </c>
      <c r="U2654" s="2" t="s">
        <v>3531</v>
      </c>
      <c r="V2654" s="2" t="s">
        <v>1752</v>
      </c>
      <c r="W2654" s="2" t="s">
        <v>2195</v>
      </c>
      <c r="X2654" s="2" t="s">
        <v>602</v>
      </c>
      <c r="Y2654" s="2" t="s">
        <v>6242</v>
      </c>
      <c r="Z2654" s="4">
        <v>145</v>
      </c>
      <c r="AA2654" s="4">
        <f>=ROUNDDOWN(12.0833333333333,0)</f>
      </c>
      <c r="AB2654" s="5">
        <v>12</v>
      </c>
      <c r="AC2654" s="2" t="s">
        <v>936</v>
      </c>
      <c r="AD2654" s="4">
        <v>99</v>
      </c>
      <c r="AE2654" s="4">
        <v>250</v>
      </c>
      <c r="AF2654" s="6">
        <v>66</v>
      </c>
      <c r="AG2654" s="6"/>
      <c r="AH2654" s="7">
        <v>0.3879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/>
      <c r="BD2654" s="8"/>
      <c r="BE2654" s="4"/>
      <c r="BF2654" s="8"/>
      <c r="BG2654" s="7"/>
      <c r="BH2654" s="7"/>
      <c r="BI2654" s="7"/>
      <c r="BJ2654" s="4">
        <v>98</v>
      </c>
      <c r="BK2654" s="8">
        <v>16169.91</v>
      </c>
      <c r="BL2654" s="2" t="s">
        <v>9864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6185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9865</v>
      </c>
      <c r="B2655" s="2" t="s">
        <v>7252</v>
      </c>
      <c r="C2655" s="2" t="s">
        <v>4677</v>
      </c>
      <c r="D2655" s="2" t="s">
        <v>8424</v>
      </c>
      <c r="E2655" s="2" t="s">
        <v>8548</v>
      </c>
      <c r="F2655" s="2" t="s">
        <v>9866</v>
      </c>
      <c r="G2655" s="2" t="s">
        <v>9866</v>
      </c>
      <c r="H2655" s="2" t="s">
        <v>9866</v>
      </c>
      <c r="I2655" s="2" t="s">
        <v>8498</v>
      </c>
      <c r="J2655" s="2" t="s">
        <v>6103</v>
      </c>
      <c r="K2655" s="2" t="s">
        <v>158</v>
      </c>
      <c r="L2655" s="3">
        <v>108</v>
      </c>
      <c r="M2655" s="3">
        <v>113.4</v>
      </c>
      <c r="N2655" s="3">
        <v>229</v>
      </c>
      <c r="O2655" s="2" t="s">
        <v>97</v>
      </c>
      <c r="P2655" s="2" t="s">
        <v>182</v>
      </c>
      <c r="Q2655" s="2" t="s">
        <v>99</v>
      </c>
      <c r="R2655" s="2" t="s">
        <v>100</v>
      </c>
      <c r="S2655" s="2" t="s">
        <v>100</v>
      </c>
      <c r="T2655" s="2" t="s">
        <v>100</v>
      </c>
      <c r="U2655" s="2" t="s">
        <v>100</v>
      </c>
      <c r="V2655" s="2" t="s">
        <v>1752</v>
      </c>
      <c r="W2655" s="2" t="s">
        <v>759</v>
      </c>
      <c r="X2655" s="2" t="s">
        <v>100</v>
      </c>
      <c r="Y2655" s="2" t="s">
        <v>8553</v>
      </c>
      <c r="Z2655" s="4">
        <v>116</v>
      </c>
      <c r="AA2655" s="4">
        <f>=ROUNDDOWN(19.3333333333333,0)</f>
      </c>
      <c r="AB2655" s="5">
        <v>6</v>
      </c>
      <c r="AC2655" s="2" t="s">
        <v>9867</v>
      </c>
      <c r="AD2655" s="4">
        <v>100</v>
      </c>
      <c r="AE2655" s="4">
        <v>100</v>
      </c>
      <c r="AF2655" s="6">
        <v>76</v>
      </c>
      <c r="AG2655" s="6"/>
      <c r="AH2655" s="7">
        <v>0.7576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/>
      <c r="BD2655" s="8"/>
      <c r="BE2655" s="4"/>
      <c r="BF2655" s="8"/>
      <c r="BG2655" s="7"/>
      <c r="BH2655" s="7"/>
      <c r="BI2655" s="7"/>
      <c r="BJ2655" s="4">
        <v>127</v>
      </c>
      <c r="BK2655" s="8">
        <v>13832.14</v>
      </c>
      <c r="BL2655" s="2" t="s">
        <v>9868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6185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9869</v>
      </c>
      <c r="B2656" s="2" t="s">
        <v>7252</v>
      </c>
      <c r="C2656" s="2" t="s">
        <v>4677</v>
      </c>
      <c r="D2656" s="2" t="s">
        <v>8965</v>
      </c>
      <c r="E2656" s="2" t="s">
        <v>9004</v>
      </c>
      <c r="F2656" s="2" t="s">
        <v>9870</v>
      </c>
      <c r="G2656" s="2" t="s">
        <v>9870</v>
      </c>
      <c r="H2656" s="2" t="s">
        <v>9870</v>
      </c>
      <c r="I2656" s="2" t="s">
        <v>9871</v>
      </c>
      <c r="J2656" s="2" t="s">
        <v>6103</v>
      </c>
      <c r="K2656" s="2" t="s">
        <v>323</v>
      </c>
      <c r="L2656" s="3">
        <v>248.29</v>
      </c>
      <c r="M2656" s="3">
        <v>260.7</v>
      </c>
      <c r="N2656" s="3">
        <v>519</v>
      </c>
      <c r="O2656" s="2" t="s">
        <v>97</v>
      </c>
      <c r="P2656" s="2" t="s">
        <v>182</v>
      </c>
      <c r="Q2656" s="2" t="s">
        <v>99</v>
      </c>
      <c r="R2656" s="2" t="s">
        <v>100</v>
      </c>
      <c r="S2656" s="2" t="s">
        <v>100</v>
      </c>
      <c r="T2656" s="2" t="s">
        <v>100</v>
      </c>
      <c r="U2656" s="2" t="s">
        <v>3531</v>
      </c>
      <c r="V2656" s="2" t="s">
        <v>601</v>
      </c>
      <c r="W2656" s="2" t="s">
        <v>602</v>
      </c>
      <c r="X2656" s="2" t="s">
        <v>104</v>
      </c>
      <c r="Y2656" s="2" t="s">
        <v>9552</v>
      </c>
      <c r="Z2656" s="4">
        <v>287</v>
      </c>
      <c r="AA2656" s="4">
        <f>=ROUNDDOWN(71.75,0)</f>
      </c>
      <c r="AB2656" s="5">
        <v>4</v>
      </c>
      <c r="AC2656" s="2" t="s">
        <v>100</v>
      </c>
      <c r="AD2656" s="4"/>
      <c r="AE2656" s="4"/>
      <c r="AF2656" s="6">
        <v>74</v>
      </c>
      <c r="AG2656" s="6">
        <v>60</v>
      </c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>
        <v>0</v>
      </c>
      <c r="AP2656" s="4">
        <v>2</v>
      </c>
      <c r="AQ2656" s="8">
        <v>480.48</v>
      </c>
      <c r="AR2656" s="4">
        <v>7</v>
      </c>
      <c r="AS2656" s="8">
        <v>1921.01</v>
      </c>
      <c r="AT2656" s="7">
        <v>-0.7143</v>
      </c>
      <c r="AU2656" s="7">
        <v>-0.7499</v>
      </c>
      <c r="AV2656" s="4">
        <v>2</v>
      </c>
      <c r="AW2656" s="8">
        <v>480.48</v>
      </c>
      <c r="AX2656" s="4">
        <v>7</v>
      </c>
      <c r="AY2656" s="8">
        <v>1921.01</v>
      </c>
      <c r="AZ2656" s="7">
        <v>-0.7143</v>
      </c>
      <c r="BA2656" s="7">
        <v>-0.7499</v>
      </c>
      <c r="BB2656" s="7">
        <v>1</v>
      </c>
      <c r="BC2656" s="4">
        <v>2</v>
      </c>
      <c r="BD2656" s="8">
        <v>480.48</v>
      </c>
      <c r="BE2656" s="4">
        <v>7</v>
      </c>
      <c r="BF2656" s="8">
        <v>1921.01</v>
      </c>
      <c r="BG2656" s="7">
        <v>-0.7143</v>
      </c>
      <c r="BH2656" s="7">
        <v>-0.7499</v>
      </c>
      <c r="BI2656" s="7">
        <v>1</v>
      </c>
      <c r="BJ2656" s="4">
        <v>87</v>
      </c>
      <c r="BK2656" s="8">
        <v>21040.81</v>
      </c>
      <c r="BL2656" s="2" t="s">
        <v>9872</v>
      </c>
      <c r="BM2656" s="7">
        <v>0.023</v>
      </c>
      <c r="BN2656" s="7">
        <v>0.0228</v>
      </c>
      <c r="BO2656" s="4">
        <v>2</v>
      </c>
      <c r="BP2656" s="8">
        <v>480.48</v>
      </c>
      <c r="BQ2656" s="4">
        <v>7</v>
      </c>
      <c r="BR2656" s="8">
        <v>1921.01</v>
      </c>
      <c r="BS2656" s="7">
        <v>-0.7143</v>
      </c>
      <c r="BT2656" s="7">
        <v>-0.7499</v>
      </c>
      <c r="BU2656" s="2" t="s">
        <v>109</v>
      </c>
      <c r="BV2656" s="2" t="s">
        <v>97</v>
      </c>
      <c r="BW2656" s="2" t="s">
        <v>6440</v>
      </c>
      <c r="BX2656" s="2" t="s">
        <v>553</v>
      </c>
      <c r="BY2656" s="2" t="s">
        <v>112</v>
      </c>
      <c r="BZ2656" s="2" t="s">
        <v>100</v>
      </c>
    </row>
    <row r="2657">
      <c r="A2657" s="2" t="s">
        <v>9873</v>
      </c>
      <c r="B2657" s="2" t="s">
        <v>7252</v>
      </c>
      <c r="C2657" s="2" t="s">
        <v>4677</v>
      </c>
      <c r="D2657" s="2" t="s">
        <v>8965</v>
      </c>
      <c r="E2657" s="2" t="s">
        <v>7738</v>
      </c>
      <c r="F2657" s="2" t="s">
        <v>9874</v>
      </c>
      <c r="G2657" s="2" t="s">
        <v>9874</v>
      </c>
      <c r="H2657" s="2" t="s">
        <v>9874</v>
      </c>
      <c r="I2657" s="2" t="s">
        <v>9875</v>
      </c>
      <c r="J2657" s="2" t="s">
        <v>6103</v>
      </c>
      <c r="K2657" s="2" t="s">
        <v>123</v>
      </c>
      <c r="L2657" s="3">
        <v>270.75</v>
      </c>
      <c r="M2657" s="3">
        <v>284.29</v>
      </c>
      <c r="N2657" s="3">
        <v>579</v>
      </c>
      <c r="O2657" s="2" t="s">
        <v>97</v>
      </c>
      <c r="P2657" s="2" t="s">
        <v>1265</v>
      </c>
      <c r="Q2657" s="2" t="s">
        <v>99</v>
      </c>
      <c r="R2657" s="2" t="s">
        <v>100</v>
      </c>
      <c r="S2657" s="2" t="s">
        <v>100</v>
      </c>
      <c r="T2657" s="2" t="s">
        <v>100</v>
      </c>
      <c r="U2657" s="2" t="s">
        <v>3531</v>
      </c>
      <c r="V2657" s="2" t="s">
        <v>1752</v>
      </c>
      <c r="W2657" s="2" t="s">
        <v>104</v>
      </c>
      <c r="X2657" s="2" t="s">
        <v>1530</v>
      </c>
      <c r="Y2657" s="2" t="s">
        <v>2470</v>
      </c>
      <c r="Z2657" s="4">
        <v>135</v>
      </c>
      <c r="AA2657" s="4">
        <f>=ROUNDDOWN(45,0)</f>
      </c>
      <c r="AB2657" s="5">
        <v>3</v>
      </c>
      <c r="AC2657" s="2" t="s">
        <v>2305</v>
      </c>
      <c r="AD2657" s="4">
        <v>1</v>
      </c>
      <c r="AE2657" s="4">
        <v>1</v>
      </c>
      <c r="AF2657" s="6">
        <v>76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/>
      <c r="BD2657" s="8"/>
      <c r="BE2657" s="4"/>
      <c r="BF2657" s="8"/>
      <c r="BG2657" s="7"/>
      <c r="BH2657" s="7"/>
      <c r="BI2657" s="7"/>
      <c r="BJ2657" s="4">
        <v>50</v>
      </c>
      <c r="BK2657" s="8">
        <v>13120.67</v>
      </c>
      <c r="BL2657" s="2" t="s">
        <v>9876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147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9877</v>
      </c>
      <c r="B2658" s="2" t="s">
        <v>7252</v>
      </c>
      <c r="C2658" s="2" t="s">
        <v>4677</v>
      </c>
      <c r="D2658" s="2" t="s">
        <v>9095</v>
      </c>
      <c r="E2658" s="2" t="s">
        <v>8637</v>
      </c>
      <c r="F2658" s="2" t="s">
        <v>9878</v>
      </c>
      <c r="G2658" s="2" t="s">
        <v>100</v>
      </c>
      <c r="H2658" s="2" t="s">
        <v>100</v>
      </c>
      <c r="I2658" s="2" t="s">
        <v>9879</v>
      </c>
      <c r="J2658" s="2" t="s">
        <v>6103</v>
      </c>
      <c r="K2658" s="2" t="s">
        <v>8622</v>
      </c>
      <c r="L2658" s="3">
        <v>70</v>
      </c>
      <c r="M2658" s="3">
        <v>73.5</v>
      </c>
      <c r="N2658" s="3">
        <v>149</v>
      </c>
      <c r="O2658" s="2" t="s">
        <v>97</v>
      </c>
      <c r="P2658" s="2" t="s">
        <v>182</v>
      </c>
      <c r="Q2658" s="2" t="s">
        <v>99</v>
      </c>
      <c r="R2658" s="2" t="s">
        <v>100</v>
      </c>
      <c r="S2658" s="2" t="s">
        <v>9880</v>
      </c>
      <c r="T2658" s="2" t="s">
        <v>100</v>
      </c>
      <c r="U2658" s="2" t="s">
        <v>100</v>
      </c>
      <c r="V2658" s="2" t="s">
        <v>601</v>
      </c>
      <c r="W2658" s="2" t="s">
        <v>2195</v>
      </c>
      <c r="X2658" s="2" t="s">
        <v>100</v>
      </c>
      <c r="Y2658" s="2" t="s">
        <v>106</v>
      </c>
      <c r="Z2658" s="4">
        <v>188</v>
      </c>
      <c r="AA2658" s="4">
        <f>=ROUNDDOWN(31.3333333333333,0)</f>
      </c>
      <c r="AB2658" s="5">
        <v>6</v>
      </c>
      <c r="AC2658" s="2" t="s">
        <v>100</v>
      </c>
      <c r="AD2658" s="4"/>
      <c r="AE2658" s="4"/>
      <c r="AF2658" s="6">
        <v>74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>
        <v>0</v>
      </c>
      <c r="AP2658" s="4">
        <v>4</v>
      </c>
      <c r="AQ2658" s="8">
        <v>286.64</v>
      </c>
      <c r="AR2658" s="4">
        <v>3</v>
      </c>
      <c r="AS2658" s="8">
        <v>220.5</v>
      </c>
      <c r="AT2658" s="7">
        <v>0.3333</v>
      </c>
      <c r="AU2658" s="7">
        <v>0.3</v>
      </c>
      <c r="AV2658" s="4">
        <v>4</v>
      </c>
      <c r="AW2658" s="8">
        <v>286.64</v>
      </c>
      <c r="AX2658" s="4">
        <v>3</v>
      </c>
      <c r="AY2658" s="8">
        <v>220.5</v>
      </c>
      <c r="AZ2658" s="7">
        <v>0.3333</v>
      </c>
      <c r="BA2658" s="7">
        <v>0.3</v>
      </c>
      <c r="BB2658" s="7">
        <v>1</v>
      </c>
      <c r="BC2658" s="4">
        <v>4</v>
      </c>
      <c r="BD2658" s="8">
        <v>286.64</v>
      </c>
      <c r="BE2658" s="4">
        <v>3</v>
      </c>
      <c r="BF2658" s="8">
        <v>220.5</v>
      </c>
      <c r="BG2658" s="7">
        <v>0.3333</v>
      </c>
      <c r="BH2658" s="7">
        <v>0.3</v>
      </c>
      <c r="BI2658" s="7">
        <v>1</v>
      </c>
      <c r="BJ2658" s="4">
        <v>123</v>
      </c>
      <c r="BK2658" s="8">
        <v>7517.52</v>
      </c>
      <c r="BL2658" s="2" t="s">
        <v>9881</v>
      </c>
      <c r="BM2658" s="7">
        <v>0.0325</v>
      </c>
      <c r="BN2658" s="7">
        <v>0.0381</v>
      </c>
      <c r="BO2658" s="4">
        <v>4</v>
      </c>
      <c r="BP2658" s="8">
        <v>286.64</v>
      </c>
      <c r="BQ2658" s="4">
        <v>3</v>
      </c>
      <c r="BR2658" s="8">
        <v>220.5</v>
      </c>
      <c r="BS2658" s="7">
        <v>0.3333</v>
      </c>
      <c r="BT2658" s="7">
        <v>0.3</v>
      </c>
      <c r="BU2658" s="2" t="s">
        <v>109</v>
      </c>
      <c r="BV2658" s="2" t="s">
        <v>97</v>
      </c>
      <c r="BW2658" s="2" t="s">
        <v>7307</v>
      </c>
      <c r="BX2658" s="2" t="s">
        <v>6148</v>
      </c>
      <c r="BY2658" s="2" t="s">
        <v>112</v>
      </c>
      <c r="BZ2658" s="2" t="s">
        <v>100</v>
      </c>
    </row>
    <row r="2659">
      <c r="A2659" s="2" t="s">
        <v>9882</v>
      </c>
      <c r="B2659" s="2" t="s">
        <v>7252</v>
      </c>
      <c r="C2659" s="2" t="s">
        <v>4677</v>
      </c>
      <c r="D2659" s="2" t="s">
        <v>9095</v>
      </c>
      <c r="E2659" s="2" t="s">
        <v>8637</v>
      </c>
      <c r="F2659" s="2" t="s">
        <v>9499</v>
      </c>
      <c r="G2659" s="2" t="s">
        <v>100</v>
      </c>
      <c r="H2659" s="2" t="s">
        <v>100</v>
      </c>
      <c r="I2659" s="2" t="s">
        <v>9883</v>
      </c>
      <c r="J2659" s="2" t="s">
        <v>6103</v>
      </c>
      <c r="K2659" s="2" t="s">
        <v>8622</v>
      </c>
      <c r="L2659" s="3">
        <v>71.82</v>
      </c>
      <c r="M2659" s="3">
        <v>75.41</v>
      </c>
      <c r="N2659" s="3">
        <v>149</v>
      </c>
      <c r="O2659" s="2" t="s">
        <v>97</v>
      </c>
      <c r="P2659" s="2" t="s">
        <v>182</v>
      </c>
      <c r="Q2659" s="2" t="s">
        <v>99</v>
      </c>
      <c r="R2659" s="2" t="s">
        <v>100</v>
      </c>
      <c r="S2659" s="2" t="s">
        <v>9884</v>
      </c>
      <c r="T2659" s="2" t="s">
        <v>100</v>
      </c>
      <c r="U2659" s="2" t="s">
        <v>100</v>
      </c>
      <c r="V2659" s="2" t="s">
        <v>601</v>
      </c>
      <c r="W2659" s="2" t="s">
        <v>2195</v>
      </c>
      <c r="X2659" s="2" t="s">
        <v>100</v>
      </c>
      <c r="Y2659" s="2" t="s">
        <v>106</v>
      </c>
      <c r="Z2659" s="4">
        <v>297</v>
      </c>
      <c r="AA2659" s="4">
        <f>=ROUNDDOWN(27,0)</f>
      </c>
      <c r="AB2659" s="5">
        <v>11</v>
      </c>
      <c r="AC2659" s="2" t="s">
        <v>100</v>
      </c>
      <c r="AD2659" s="4"/>
      <c r="AE2659" s="4"/>
      <c r="AF2659" s="6">
        <v>74</v>
      </c>
      <c r="AG2659" s="6">
        <v>60</v>
      </c>
      <c r="AH2659" s="7">
        <v>0.9818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>
        <v>0</v>
      </c>
      <c r="AP2659" s="4">
        <v>2</v>
      </c>
      <c r="AQ2659" s="8">
        <v>143.32</v>
      </c>
      <c r="AR2659" s="4">
        <v>6</v>
      </c>
      <c r="AS2659" s="8">
        <v>435.21</v>
      </c>
      <c r="AT2659" s="7">
        <v>-0.6667</v>
      </c>
      <c r="AU2659" s="7">
        <v>-0.6707</v>
      </c>
      <c r="AV2659" s="4">
        <v>2</v>
      </c>
      <c r="AW2659" s="8">
        <v>143.32</v>
      </c>
      <c r="AX2659" s="4">
        <v>6</v>
      </c>
      <c r="AY2659" s="8">
        <v>435.21</v>
      </c>
      <c r="AZ2659" s="7">
        <v>-0.6667</v>
      </c>
      <c r="BA2659" s="7">
        <v>-0.6707</v>
      </c>
      <c r="BB2659" s="7">
        <v>1</v>
      </c>
      <c r="BC2659" s="4">
        <v>2</v>
      </c>
      <c r="BD2659" s="8">
        <v>143.32</v>
      </c>
      <c r="BE2659" s="4">
        <v>6</v>
      </c>
      <c r="BF2659" s="8">
        <v>435.21</v>
      </c>
      <c r="BG2659" s="7">
        <v>-0.6667</v>
      </c>
      <c r="BH2659" s="7">
        <v>-0.6707</v>
      </c>
      <c r="BI2659" s="7">
        <v>1</v>
      </c>
      <c r="BJ2659" s="4">
        <v>220</v>
      </c>
      <c r="BK2659" s="8">
        <v>16483.54</v>
      </c>
      <c r="BL2659" s="2" t="s">
        <v>9885</v>
      </c>
      <c r="BM2659" s="7">
        <v>0.0091</v>
      </c>
      <c r="BN2659" s="7">
        <v>0.0087</v>
      </c>
      <c r="BO2659" s="4">
        <v>2</v>
      </c>
      <c r="BP2659" s="8">
        <v>143.32</v>
      </c>
      <c r="BQ2659" s="4">
        <v>6</v>
      </c>
      <c r="BR2659" s="8">
        <v>435.21</v>
      </c>
      <c r="BS2659" s="7">
        <v>-0.6667</v>
      </c>
      <c r="BT2659" s="7">
        <v>-0.6707</v>
      </c>
      <c r="BU2659" s="2" t="s">
        <v>109</v>
      </c>
      <c r="BV2659" s="2" t="s">
        <v>97</v>
      </c>
      <c r="BW2659" s="2" t="s">
        <v>7307</v>
      </c>
      <c r="BX2659" s="2" t="s">
        <v>5524</v>
      </c>
      <c r="BY2659" s="2" t="s">
        <v>112</v>
      </c>
      <c r="BZ2659" s="2" t="s">
        <v>100</v>
      </c>
    </row>
    <row r="2660">
      <c r="A2660" s="2" t="s">
        <v>9886</v>
      </c>
      <c r="B2660" s="2" t="s">
        <v>7252</v>
      </c>
      <c r="C2660" s="2" t="s">
        <v>4677</v>
      </c>
      <c r="D2660" s="2" t="s">
        <v>9095</v>
      </c>
      <c r="E2660" s="2" t="s">
        <v>8667</v>
      </c>
      <c r="F2660" s="2" t="s">
        <v>9499</v>
      </c>
      <c r="G2660" s="2" t="s">
        <v>9499</v>
      </c>
      <c r="H2660" s="2" t="s">
        <v>9499</v>
      </c>
      <c r="I2660" s="2" t="s">
        <v>9883</v>
      </c>
      <c r="J2660" s="2" t="s">
        <v>6103</v>
      </c>
      <c r="K2660" s="2" t="s">
        <v>142</v>
      </c>
      <c r="L2660" s="3">
        <v>75.6</v>
      </c>
      <c r="M2660" s="3">
        <v>79.38</v>
      </c>
      <c r="N2660" s="3">
        <v>159</v>
      </c>
      <c r="O2660" s="2" t="s">
        <v>229</v>
      </c>
      <c r="P2660" s="2" t="s">
        <v>198</v>
      </c>
      <c r="Q2660" s="2" t="s">
        <v>99</v>
      </c>
      <c r="R2660" s="2" t="s">
        <v>100</v>
      </c>
      <c r="S2660" s="2" t="s">
        <v>100</v>
      </c>
      <c r="T2660" s="2" t="s">
        <v>100</v>
      </c>
      <c r="U2660" s="2" t="s">
        <v>3531</v>
      </c>
      <c r="V2660" s="2" t="s">
        <v>1752</v>
      </c>
      <c r="W2660" s="2" t="s">
        <v>6998</v>
      </c>
      <c r="X2660" s="2" t="s">
        <v>2195</v>
      </c>
      <c r="Y2660" s="2" t="s">
        <v>9887</v>
      </c>
      <c r="Z2660" s="4">
        <v>62</v>
      </c>
      <c r="AA2660" s="4">
        <f>=ROUNDDOWN(9.84126984126984,0)</f>
      </c>
      <c r="AB2660" s="5">
        <v>6.3</v>
      </c>
      <c r="AC2660" s="2" t="s">
        <v>100</v>
      </c>
      <c r="AD2660" s="4"/>
      <c r="AE2660" s="4"/>
      <c r="AF2660" s="6">
        <v>74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/>
      <c r="BD2660" s="8"/>
      <c r="BE2660" s="4"/>
      <c r="BF2660" s="8"/>
      <c r="BG2660" s="7"/>
      <c r="BH2660" s="7"/>
      <c r="BI2660" s="7"/>
      <c r="BJ2660" s="4">
        <v>109</v>
      </c>
      <c r="BK2660" s="8">
        <v>6946.76</v>
      </c>
      <c r="BL2660" s="2" t="s">
        <v>9888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147</v>
      </c>
      <c r="BV2660" s="2" t="s">
        <v>97</v>
      </c>
      <c r="BW2660" s="2" t="s">
        <v>100</v>
      </c>
      <c r="BX2660" s="2" t="s">
        <v>100</v>
      </c>
      <c r="BY2660" s="2" t="s">
        <v>112</v>
      </c>
      <c r="BZ2660" s="2" t="s">
        <v>100</v>
      </c>
    </row>
    <row r="2661">
      <c r="A2661" s="2" t="s">
        <v>9889</v>
      </c>
      <c r="B2661" s="2" t="s">
        <v>7252</v>
      </c>
      <c r="C2661" s="2" t="s">
        <v>4677</v>
      </c>
      <c r="D2661" s="2" t="s">
        <v>9095</v>
      </c>
      <c r="E2661" s="2" t="s">
        <v>9890</v>
      </c>
      <c r="F2661" s="2" t="s">
        <v>2312</v>
      </c>
      <c r="G2661" s="2" t="s">
        <v>2312</v>
      </c>
      <c r="H2661" s="2" t="s">
        <v>2312</v>
      </c>
      <c r="I2661" s="2" t="s">
        <v>9891</v>
      </c>
      <c r="J2661" s="2" t="s">
        <v>6103</v>
      </c>
      <c r="K2661" s="2" t="s">
        <v>6566</v>
      </c>
      <c r="L2661" s="3">
        <v>118</v>
      </c>
      <c r="M2661" s="3">
        <v>123.9</v>
      </c>
      <c r="N2661" s="3">
        <v>249</v>
      </c>
      <c r="O2661" s="2" t="s">
        <v>97</v>
      </c>
      <c r="P2661" s="2" t="s">
        <v>182</v>
      </c>
      <c r="Q2661" s="2" t="s">
        <v>99</v>
      </c>
      <c r="R2661" s="2" t="s">
        <v>100</v>
      </c>
      <c r="S2661" s="2" t="s">
        <v>9555</v>
      </c>
      <c r="T2661" s="2" t="s">
        <v>100</v>
      </c>
      <c r="U2661" s="2" t="s">
        <v>100</v>
      </c>
      <c r="V2661" s="2" t="s">
        <v>601</v>
      </c>
      <c r="W2661" s="2" t="s">
        <v>2195</v>
      </c>
      <c r="X2661" s="2" t="s">
        <v>100</v>
      </c>
      <c r="Y2661" s="2" t="s">
        <v>106</v>
      </c>
      <c r="Z2661" s="4">
        <v>186</v>
      </c>
      <c r="AA2661" s="4">
        <f>=ROUNDDOWN(37.2,0)</f>
      </c>
      <c r="AB2661" s="5">
        <v>5</v>
      </c>
      <c r="AC2661" s="2" t="s">
        <v>100</v>
      </c>
      <c r="AD2661" s="4"/>
      <c r="AE2661" s="4"/>
      <c r="AF2661" s="6">
        <v>74</v>
      </c>
      <c r="AG2661" s="6">
        <v>60</v>
      </c>
      <c r="AH2661" s="7">
        <v>0.9939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/>
      <c r="BD2661" s="8"/>
      <c r="BE2661" s="4"/>
      <c r="BF2661" s="8"/>
      <c r="BG2661" s="7"/>
      <c r="BH2661" s="7"/>
      <c r="BI2661" s="7"/>
      <c r="BJ2661" s="4">
        <v>108</v>
      </c>
      <c r="BK2661" s="8">
        <v>11673.46</v>
      </c>
      <c r="BL2661" s="2" t="s">
        <v>9892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6185</v>
      </c>
      <c r="BV2661" s="2" t="s">
        <v>97</v>
      </c>
      <c r="BW2661" s="2" t="s">
        <v>100</v>
      </c>
      <c r="BX2661" s="2" t="s">
        <v>100</v>
      </c>
      <c r="BY2661" s="2" t="s">
        <v>112</v>
      </c>
      <c r="BZ2661" s="2" t="s">
        <v>100</v>
      </c>
    </row>
    <row r="2662">
      <c r="A2662" s="2" t="s">
        <v>9893</v>
      </c>
      <c r="B2662" s="2" t="s">
        <v>7252</v>
      </c>
      <c r="C2662" s="2" t="s">
        <v>4677</v>
      </c>
      <c r="D2662" s="2" t="s">
        <v>9894</v>
      </c>
      <c r="E2662" s="2" t="s">
        <v>9895</v>
      </c>
      <c r="F2662" s="2" t="s">
        <v>9667</v>
      </c>
      <c r="G2662" s="2" t="s">
        <v>100</v>
      </c>
      <c r="H2662" s="2" t="s">
        <v>100</v>
      </c>
      <c r="I2662" s="2" t="s">
        <v>9896</v>
      </c>
      <c r="J2662" s="2" t="s">
        <v>6103</v>
      </c>
      <c r="K2662" s="2" t="s">
        <v>1933</v>
      </c>
      <c r="L2662" s="3">
        <v>346.5</v>
      </c>
      <c r="M2662" s="3">
        <v>363.82</v>
      </c>
      <c r="N2662" s="3">
        <v>729</v>
      </c>
      <c r="O2662" s="2" t="s">
        <v>229</v>
      </c>
      <c r="P2662" s="2" t="s">
        <v>198</v>
      </c>
      <c r="Q2662" s="2" t="s">
        <v>99</v>
      </c>
      <c r="R2662" s="2" t="s">
        <v>100</v>
      </c>
      <c r="S2662" s="2" t="s">
        <v>9897</v>
      </c>
      <c r="T2662" s="2" t="s">
        <v>100</v>
      </c>
      <c r="U2662" s="2" t="s">
        <v>100</v>
      </c>
      <c r="V2662" s="2" t="s">
        <v>601</v>
      </c>
      <c r="W2662" s="2" t="s">
        <v>6998</v>
      </c>
      <c r="X2662" s="2" t="s">
        <v>100</v>
      </c>
      <c r="Y2662" s="2" t="s">
        <v>106</v>
      </c>
      <c r="Z2662" s="4">
        <v>9</v>
      </c>
      <c r="AA2662" s="4">
        <f>=ROUNDDOWN(7.5,0)</f>
      </c>
      <c r="AB2662" s="5">
        <v>1.2</v>
      </c>
      <c r="AC2662" s="2" t="s">
        <v>100</v>
      </c>
      <c r="AD2662" s="4"/>
      <c r="AE2662" s="4"/>
      <c r="AF2662" s="6">
        <v>74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>
        <v>0</v>
      </c>
      <c r="AP2662" s="4">
        <v>1</v>
      </c>
      <c r="AQ2662" s="8">
        <v>330.75</v>
      </c>
      <c r="AR2662" s="4">
        <v>3</v>
      </c>
      <c r="AS2662" s="8">
        <v>992.25</v>
      </c>
      <c r="AT2662" s="7">
        <v>-0.6667</v>
      </c>
      <c r="AU2662" s="7">
        <v>-0.6667</v>
      </c>
      <c r="AV2662" s="4">
        <v>1</v>
      </c>
      <c r="AW2662" s="8">
        <v>330.75</v>
      </c>
      <c r="AX2662" s="4">
        <v>3</v>
      </c>
      <c r="AY2662" s="8">
        <v>992.25</v>
      </c>
      <c r="AZ2662" s="7">
        <v>-0.6667</v>
      </c>
      <c r="BA2662" s="7">
        <v>-0.6667</v>
      </c>
      <c r="BB2662" s="7">
        <v>1</v>
      </c>
      <c r="BC2662" s="4">
        <v>1</v>
      </c>
      <c r="BD2662" s="8">
        <v>330.75</v>
      </c>
      <c r="BE2662" s="4">
        <v>3</v>
      </c>
      <c r="BF2662" s="8">
        <v>992.25</v>
      </c>
      <c r="BG2662" s="7">
        <v>-0.6667</v>
      </c>
      <c r="BH2662" s="7">
        <v>-0.6667</v>
      </c>
      <c r="BI2662" s="7">
        <v>1</v>
      </c>
      <c r="BJ2662" s="4">
        <v>24</v>
      </c>
      <c r="BK2662" s="8">
        <v>5798.55</v>
      </c>
      <c r="BL2662" s="2" t="s">
        <v>9898</v>
      </c>
      <c r="BM2662" s="7">
        <v>0.0417</v>
      </c>
      <c r="BN2662" s="7">
        <v>0.057</v>
      </c>
      <c r="BO2662" s="4">
        <v>1</v>
      </c>
      <c r="BP2662" s="8">
        <v>330.75</v>
      </c>
      <c r="BQ2662" s="4">
        <v>3</v>
      </c>
      <c r="BR2662" s="8">
        <v>992.25</v>
      </c>
      <c r="BS2662" s="7">
        <v>-0.6667</v>
      </c>
      <c r="BT2662" s="7">
        <v>-0.6667</v>
      </c>
      <c r="BU2662" s="2" t="s">
        <v>109</v>
      </c>
      <c r="BV2662" s="2" t="s">
        <v>97</v>
      </c>
      <c r="BW2662" s="2" t="s">
        <v>5147</v>
      </c>
      <c r="BX2662" s="2" t="s">
        <v>3843</v>
      </c>
      <c r="BY2662" s="2" t="s">
        <v>112</v>
      </c>
      <c r="BZ2662" s="2" t="s">
        <v>100</v>
      </c>
    </row>
    <row r="2663">
      <c r="A2663" s="2" t="s">
        <v>9899</v>
      </c>
      <c r="B2663" s="2" t="s">
        <v>7252</v>
      </c>
      <c r="C2663" s="2" t="s">
        <v>4677</v>
      </c>
      <c r="D2663" s="2" t="s">
        <v>9900</v>
      </c>
      <c r="E2663" s="2" t="s">
        <v>9901</v>
      </c>
      <c r="F2663" s="2" t="s">
        <v>9637</v>
      </c>
      <c r="G2663" s="2" t="s">
        <v>9637</v>
      </c>
      <c r="H2663" s="2" t="s">
        <v>9637</v>
      </c>
      <c r="I2663" s="2" t="s">
        <v>9901</v>
      </c>
      <c r="J2663" s="2" t="s">
        <v>6103</v>
      </c>
      <c r="K2663" s="2" t="s">
        <v>9643</v>
      </c>
      <c r="L2663" s="3">
        <v>121.5</v>
      </c>
      <c r="M2663" s="3">
        <v>127.58</v>
      </c>
      <c r="N2663" s="3">
        <v>259</v>
      </c>
      <c r="O2663" s="2" t="s">
        <v>97</v>
      </c>
      <c r="P2663" s="2" t="s">
        <v>1265</v>
      </c>
      <c r="Q2663" s="2" t="s">
        <v>99</v>
      </c>
      <c r="R2663" s="2" t="s">
        <v>100</v>
      </c>
      <c r="S2663" s="2" t="s">
        <v>100</v>
      </c>
      <c r="T2663" s="2" t="s">
        <v>100</v>
      </c>
      <c r="U2663" s="2" t="s">
        <v>3531</v>
      </c>
      <c r="V2663" s="2" t="s">
        <v>601</v>
      </c>
      <c r="W2663" s="2" t="s">
        <v>6998</v>
      </c>
      <c r="X2663" s="2" t="s">
        <v>602</v>
      </c>
      <c r="Y2663" s="2" t="s">
        <v>2335</v>
      </c>
      <c r="Z2663" s="4">
        <v>71</v>
      </c>
      <c r="AA2663" s="4">
        <f>=ROUNDDOWN(23.6666666666667,0)</f>
      </c>
      <c r="AB2663" s="5">
        <v>3</v>
      </c>
      <c r="AC2663" s="2" t="s">
        <v>356</v>
      </c>
      <c r="AD2663" s="4">
        <v>40</v>
      </c>
      <c r="AE2663" s="4">
        <v>100</v>
      </c>
      <c r="AF2663" s="6">
        <v>74</v>
      </c>
      <c r="AG2663" s="6">
        <v>60</v>
      </c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>
        <v>0</v>
      </c>
      <c r="AP2663" s="4">
        <v>2</v>
      </c>
      <c r="AQ2663" s="8">
        <v>255.16</v>
      </c>
      <c r="AR2663" s="4">
        <v>4</v>
      </c>
      <c r="AS2663" s="8">
        <v>527.62</v>
      </c>
      <c r="AT2663" s="7">
        <v>-0.5</v>
      </c>
      <c r="AU2663" s="7">
        <v>-0.5164</v>
      </c>
      <c r="AV2663" s="4">
        <v>2</v>
      </c>
      <c r="AW2663" s="8">
        <v>255.16</v>
      </c>
      <c r="AX2663" s="4">
        <v>4</v>
      </c>
      <c r="AY2663" s="8">
        <v>527.62</v>
      </c>
      <c r="AZ2663" s="7">
        <v>-0.5</v>
      </c>
      <c r="BA2663" s="7">
        <v>-0.5164</v>
      </c>
      <c r="BB2663" s="7">
        <v>1</v>
      </c>
      <c r="BC2663" s="4">
        <v>2</v>
      </c>
      <c r="BD2663" s="8">
        <v>255.16</v>
      </c>
      <c r="BE2663" s="4">
        <v>4</v>
      </c>
      <c r="BF2663" s="8">
        <v>527.62</v>
      </c>
      <c r="BG2663" s="7">
        <v>-0.5</v>
      </c>
      <c r="BH2663" s="7">
        <v>-0.5164</v>
      </c>
      <c r="BI2663" s="7">
        <v>1</v>
      </c>
      <c r="BJ2663" s="4">
        <v>56</v>
      </c>
      <c r="BK2663" s="8">
        <v>6924.69</v>
      </c>
      <c r="BL2663" s="2" t="s">
        <v>9902</v>
      </c>
      <c r="BM2663" s="7">
        <v>0.0357</v>
      </c>
      <c r="BN2663" s="7">
        <v>0.0368</v>
      </c>
      <c r="BO2663" s="4">
        <v>2</v>
      </c>
      <c r="BP2663" s="8">
        <v>255.16</v>
      </c>
      <c r="BQ2663" s="4">
        <v>4</v>
      </c>
      <c r="BR2663" s="8">
        <v>527.62</v>
      </c>
      <c r="BS2663" s="7">
        <v>-0.5</v>
      </c>
      <c r="BT2663" s="7">
        <v>-0.5164</v>
      </c>
      <c r="BU2663" s="2" t="s">
        <v>109</v>
      </c>
      <c r="BV2663" s="2" t="s">
        <v>97</v>
      </c>
      <c r="BW2663" s="2" t="s">
        <v>9903</v>
      </c>
      <c r="BX2663" s="2" t="s">
        <v>4736</v>
      </c>
      <c r="BY2663" s="2" t="s">
        <v>112</v>
      </c>
      <c r="BZ2663" s="2" t="s">
        <v>100</v>
      </c>
    </row>
    <row r="2664">
      <c r="A2664" s="2" t="s">
        <v>9904</v>
      </c>
      <c r="B2664" s="2" t="s">
        <v>7252</v>
      </c>
      <c r="C2664" s="2" t="s">
        <v>4677</v>
      </c>
      <c r="D2664" s="2" t="s">
        <v>9900</v>
      </c>
      <c r="E2664" s="2" t="s">
        <v>9901</v>
      </c>
      <c r="F2664" s="2" t="s">
        <v>9637</v>
      </c>
      <c r="G2664" s="2" t="s">
        <v>9637</v>
      </c>
      <c r="H2664" s="2" t="s">
        <v>9637</v>
      </c>
      <c r="I2664" s="2" t="s">
        <v>9901</v>
      </c>
      <c r="J2664" s="2" t="s">
        <v>6103</v>
      </c>
      <c r="K2664" s="2" t="s">
        <v>123</v>
      </c>
      <c r="L2664" s="3">
        <v>121.5</v>
      </c>
      <c r="M2664" s="3">
        <v>127.58</v>
      </c>
      <c r="N2664" s="3">
        <v>259</v>
      </c>
      <c r="O2664" s="2" t="s">
        <v>97</v>
      </c>
      <c r="P2664" s="2" t="s">
        <v>182</v>
      </c>
      <c r="Q2664" s="2" t="s">
        <v>99</v>
      </c>
      <c r="R2664" s="2" t="s">
        <v>100</v>
      </c>
      <c r="S2664" s="2" t="s">
        <v>100</v>
      </c>
      <c r="T2664" s="2" t="s">
        <v>100</v>
      </c>
      <c r="U2664" s="2" t="s">
        <v>100</v>
      </c>
      <c r="V2664" s="2" t="s">
        <v>601</v>
      </c>
      <c r="W2664" s="2" t="s">
        <v>6998</v>
      </c>
      <c r="X2664" s="2" t="s">
        <v>100</v>
      </c>
      <c r="Y2664" s="2" t="s">
        <v>9496</v>
      </c>
      <c r="Z2664" s="4">
        <v>130</v>
      </c>
      <c r="AA2664" s="4">
        <f>=ROUNDDOWN(18.5714285714286,0)</f>
      </c>
      <c r="AB2664" s="5">
        <v>7</v>
      </c>
      <c r="AC2664" s="2" t="s">
        <v>9120</v>
      </c>
      <c r="AD2664" s="4">
        <v>12</v>
      </c>
      <c r="AE2664" s="4">
        <v>100</v>
      </c>
      <c r="AF2664" s="6">
        <v>74</v>
      </c>
      <c r="AG2664" s="6">
        <v>60</v>
      </c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170</v>
      </c>
      <c r="BK2664" s="8">
        <v>21372.55</v>
      </c>
      <c r="BL2664" s="2" t="s">
        <v>9905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6185</v>
      </c>
      <c r="BV2664" s="2" t="s">
        <v>97</v>
      </c>
      <c r="BW2664" s="2" t="s">
        <v>100</v>
      </c>
      <c r="BX2664" s="2" t="s">
        <v>100</v>
      </c>
      <c r="BY2664" s="2" t="s">
        <v>112</v>
      </c>
      <c r="BZ2664" s="2" t="s">
        <v>100</v>
      </c>
    </row>
    <row r="2665">
      <c r="A2665" s="2" t="s">
        <v>9906</v>
      </c>
      <c r="B2665" s="2" t="s">
        <v>7252</v>
      </c>
      <c r="C2665" s="2" t="s">
        <v>4677</v>
      </c>
      <c r="D2665" s="2" t="s">
        <v>9900</v>
      </c>
      <c r="E2665" s="2" t="s">
        <v>9901</v>
      </c>
      <c r="F2665" s="2" t="s">
        <v>9658</v>
      </c>
      <c r="G2665" s="2" t="s">
        <v>9658</v>
      </c>
      <c r="H2665" s="2" t="s">
        <v>9658</v>
      </c>
      <c r="I2665" s="2" t="s">
        <v>9901</v>
      </c>
      <c r="J2665" s="2" t="s">
        <v>6103</v>
      </c>
      <c r="K2665" s="2" t="s">
        <v>323</v>
      </c>
      <c r="L2665" s="3">
        <v>115.2</v>
      </c>
      <c r="M2665" s="3">
        <v>120.96</v>
      </c>
      <c r="N2665" s="3">
        <v>249</v>
      </c>
      <c r="O2665" s="2" t="s">
        <v>97</v>
      </c>
      <c r="P2665" s="2" t="s">
        <v>1265</v>
      </c>
      <c r="Q2665" s="2" t="s">
        <v>99</v>
      </c>
      <c r="R2665" s="2" t="s">
        <v>100</v>
      </c>
      <c r="S2665" s="2" t="s">
        <v>100</v>
      </c>
      <c r="T2665" s="2" t="s">
        <v>100</v>
      </c>
      <c r="U2665" s="2" t="s">
        <v>3531</v>
      </c>
      <c r="V2665" s="2" t="s">
        <v>1752</v>
      </c>
      <c r="W2665" s="2" t="s">
        <v>759</v>
      </c>
      <c r="X2665" s="2" t="s">
        <v>602</v>
      </c>
      <c r="Y2665" s="2" t="s">
        <v>3692</v>
      </c>
      <c r="Z2665" s="4">
        <v>75</v>
      </c>
      <c r="AA2665" s="4">
        <f>=ROUNDDOWN(93.75,0)</f>
      </c>
      <c r="AB2665" s="5">
        <v>0.8</v>
      </c>
      <c r="AC2665" s="2" t="s">
        <v>100</v>
      </c>
      <c r="AD2665" s="4"/>
      <c r="AE2665" s="4"/>
      <c r="AF2665" s="6">
        <v>74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/>
      <c r="BD2665" s="8"/>
      <c r="BE2665" s="4"/>
      <c r="BF2665" s="8"/>
      <c r="BG2665" s="7"/>
      <c r="BH2665" s="7"/>
      <c r="BI2665" s="7"/>
      <c r="BJ2665" s="4">
        <v>13</v>
      </c>
      <c r="BK2665" s="8">
        <v>1513.3</v>
      </c>
      <c r="BL2665" s="2" t="s">
        <v>9674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6185</v>
      </c>
      <c r="BV2665" s="2" t="s">
        <v>97</v>
      </c>
      <c r="BW2665" s="2" t="s">
        <v>100</v>
      </c>
      <c r="BX2665" s="2" t="s">
        <v>100</v>
      </c>
      <c r="BY2665" s="2" t="s">
        <v>112</v>
      </c>
      <c r="BZ2665" s="2" t="s">
        <v>100</v>
      </c>
    </row>
    <row r="2666">
      <c r="A2666" s="2" t="s">
        <v>9907</v>
      </c>
      <c r="B2666" s="2" t="s">
        <v>7252</v>
      </c>
      <c r="C2666" s="2" t="s">
        <v>4677</v>
      </c>
      <c r="D2666" s="2" t="s">
        <v>9900</v>
      </c>
      <c r="E2666" s="2" t="s">
        <v>9901</v>
      </c>
      <c r="F2666" s="2" t="s">
        <v>9687</v>
      </c>
      <c r="G2666" s="2" t="s">
        <v>9687</v>
      </c>
      <c r="H2666" s="2" t="s">
        <v>9687</v>
      </c>
      <c r="I2666" s="2" t="s">
        <v>9901</v>
      </c>
      <c r="J2666" s="2" t="s">
        <v>6103</v>
      </c>
      <c r="K2666" s="2" t="s">
        <v>333</v>
      </c>
      <c r="L2666" s="3">
        <v>150</v>
      </c>
      <c r="M2666" s="3">
        <v>157.5</v>
      </c>
      <c r="N2666" s="3">
        <v>319</v>
      </c>
      <c r="O2666" s="2" t="s">
        <v>229</v>
      </c>
      <c r="P2666" s="2" t="s">
        <v>198</v>
      </c>
      <c r="Q2666" s="2" t="s">
        <v>99</v>
      </c>
      <c r="R2666" s="2" t="s">
        <v>100</v>
      </c>
      <c r="S2666" s="2" t="s">
        <v>100</v>
      </c>
      <c r="T2666" s="2" t="s">
        <v>100</v>
      </c>
      <c r="U2666" s="2" t="s">
        <v>100</v>
      </c>
      <c r="V2666" s="2" t="s">
        <v>601</v>
      </c>
      <c r="W2666" s="2" t="s">
        <v>6998</v>
      </c>
      <c r="X2666" s="2" t="s">
        <v>100</v>
      </c>
      <c r="Y2666" s="2" t="s">
        <v>9496</v>
      </c>
      <c r="Z2666" s="4"/>
      <c r="AA2666" s="4">
        <f>=ROUNDDOWN({0},0)</f>
      </c>
      <c r="AB2666" s="5">
        <v>2</v>
      </c>
      <c r="AC2666" s="2" t="s">
        <v>100</v>
      </c>
      <c r="AD2666" s="4"/>
      <c r="AE2666" s="4"/>
      <c r="AF2666" s="6">
        <v>74</v>
      </c>
      <c r="AG2666" s="6">
        <v>60</v>
      </c>
      <c r="AH2666" s="7">
        <v>0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>
        <v>0</v>
      </c>
      <c r="AP2666" s="4"/>
      <c r="AQ2666" s="8"/>
      <c r="AR2666" s="4">
        <v>5</v>
      </c>
      <c r="AS2666" s="8">
        <v>787.5</v>
      </c>
      <c r="AT2666" s="7">
        <v>-1</v>
      </c>
      <c r="AU2666" s="7">
        <v>-1</v>
      </c>
      <c r="AV2666" s="4"/>
      <c r="AW2666" s="8"/>
      <c r="AX2666" s="4">
        <v>5</v>
      </c>
      <c r="AY2666" s="8">
        <v>787.5</v>
      </c>
      <c r="AZ2666" s="7">
        <v>-1</v>
      </c>
      <c r="BA2666" s="7">
        <v>-1</v>
      </c>
      <c r="BB2666" s="7"/>
      <c r="BC2666" s="4"/>
      <c r="BD2666" s="8"/>
      <c r="BE2666" s="4">
        <v>5</v>
      </c>
      <c r="BF2666" s="8">
        <v>787.5</v>
      </c>
      <c r="BG2666" s="7">
        <v>-1</v>
      </c>
      <c r="BH2666" s="7">
        <v>-1</v>
      </c>
      <c r="BI2666" s="7"/>
      <c r="BJ2666" s="4"/>
      <c r="BK2666" s="8"/>
      <c r="BL2666" s="2" t="s">
        <v>9908</v>
      </c>
      <c r="BM2666" s="7"/>
      <c r="BN2666" s="7"/>
      <c r="BO2666" s="4"/>
      <c r="BP2666" s="8"/>
      <c r="BQ2666" s="4">
        <v>5</v>
      </c>
      <c r="BR2666" s="8">
        <v>787.5</v>
      </c>
      <c r="BS2666" s="7">
        <v>-1</v>
      </c>
      <c r="BT2666" s="7">
        <v>-1</v>
      </c>
      <c r="BU2666" s="2" t="s">
        <v>109</v>
      </c>
      <c r="BV2666" s="2" t="s">
        <v>552</v>
      </c>
      <c r="BW2666" s="2" t="s">
        <v>7307</v>
      </c>
      <c r="BX2666" s="2" t="s">
        <v>4328</v>
      </c>
      <c r="BY2666" s="2" t="s">
        <v>112</v>
      </c>
      <c r="BZ2666" s="2" t="s">
        <v>100</v>
      </c>
    </row>
    <row r="2667">
      <c r="A2667" s="2" t="s">
        <v>9909</v>
      </c>
      <c r="B2667" s="2" t="s">
        <v>7252</v>
      </c>
      <c r="C2667" s="2" t="s">
        <v>4677</v>
      </c>
      <c r="D2667" s="2" t="s">
        <v>9900</v>
      </c>
      <c r="E2667" s="2" t="s">
        <v>8425</v>
      </c>
      <c r="F2667" s="2" t="s">
        <v>9768</v>
      </c>
      <c r="G2667" s="2" t="s">
        <v>9768</v>
      </c>
      <c r="H2667" s="2" t="s">
        <v>9768</v>
      </c>
      <c r="I2667" s="2" t="s">
        <v>9901</v>
      </c>
      <c r="J2667" s="2" t="s">
        <v>6103</v>
      </c>
      <c r="K2667" s="2" t="s">
        <v>123</v>
      </c>
      <c r="L2667" s="3">
        <v>142.86</v>
      </c>
      <c r="M2667" s="3">
        <v>150</v>
      </c>
      <c r="N2667" s="3">
        <v>299</v>
      </c>
      <c r="O2667" s="2" t="s">
        <v>1148</v>
      </c>
      <c r="P2667" s="2" t="s">
        <v>198</v>
      </c>
      <c r="Q2667" s="2" t="s">
        <v>99</v>
      </c>
      <c r="R2667" s="2" t="s">
        <v>100</v>
      </c>
      <c r="S2667" s="2" t="s">
        <v>100</v>
      </c>
      <c r="T2667" s="2" t="s">
        <v>100</v>
      </c>
      <c r="U2667" s="2" t="s">
        <v>100</v>
      </c>
      <c r="V2667" s="2" t="s">
        <v>601</v>
      </c>
      <c r="W2667" s="2" t="s">
        <v>6998</v>
      </c>
      <c r="X2667" s="2" t="s">
        <v>100</v>
      </c>
      <c r="Y2667" s="2" t="s">
        <v>1322</v>
      </c>
      <c r="Z2667" s="4"/>
      <c r="AA2667" s="4">
        <f>=ROUNDDOWN({0},0)</f>
      </c>
      <c r="AB2667" s="5"/>
      <c r="AC2667" s="2" t="s">
        <v>100</v>
      </c>
      <c r="AD2667" s="4"/>
      <c r="AE2667" s="4"/>
      <c r="AF2667" s="6"/>
      <c r="AG2667" s="6"/>
      <c r="AH2667" s="7">
        <v>0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/>
      <c r="BD2667" s="8"/>
      <c r="BE2667" s="4"/>
      <c r="BF2667" s="8"/>
      <c r="BG2667" s="7"/>
      <c r="BH2667" s="7"/>
      <c r="BI2667" s="7"/>
      <c r="BJ2667" s="4"/>
      <c r="BK2667" s="8"/>
      <c r="BL2667" s="2" t="s">
        <v>100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147</v>
      </c>
      <c r="BV2667" s="2" t="s">
        <v>97</v>
      </c>
      <c r="BW2667" s="2" t="s">
        <v>100</v>
      </c>
      <c r="BX2667" s="2" t="s">
        <v>100</v>
      </c>
      <c r="BY2667" s="2" t="s">
        <v>112</v>
      </c>
      <c r="BZ2667" s="2" t="s">
        <v>100</v>
      </c>
    </row>
    <row r="2668">
      <c r="A2668" s="2" t="s">
        <v>9910</v>
      </c>
      <c r="B2668" s="2" t="s">
        <v>7252</v>
      </c>
      <c r="C2668" s="2" t="s">
        <v>4677</v>
      </c>
      <c r="D2668" s="2" t="s">
        <v>9318</v>
      </c>
      <c r="E2668" s="2" t="s">
        <v>9319</v>
      </c>
      <c r="F2668" s="2" t="s">
        <v>9781</v>
      </c>
      <c r="G2668" s="2" t="s">
        <v>100</v>
      </c>
      <c r="H2668" s="2" t="s">
        <v>100</v>
      </c>
      <c r="I2668" s="2" t="s">
        <v>9911</v>
      </c>
      <c r="J2668" s="2" t="s">
        <v>95</v>
      </c>
      <c r="K2668" s="2" t="s">
        <v>9912</v>
      </c>
      <c r="L2668" s="3">
        <v>190</v>
      </c>
      <c r="M2668" s="3">
        <v>199.5</v>
      </c>
      <c r="N2668" s="3">
        <v>399</v>
      </c>
      <c r="O2668" s="2" t="s">
        <v>229</v>
      </c>
      <c r="P2668" s="2" t="s">
        <v>198</v>
      </c>
      <c r="Q2668" s="2" t="s">
        <v>99</v>
      </c>
      <c r="R2668" s="2" t="s">
        <v>100</v>
      </c>
      <c r="S2668" s="2" t="s">
        <v>9913</v>
      </c>
      <c r="T2668" s="2" t="s">
        <v>100</v>
      </c>
      <c r="U2668" s="2" t="s">
        <v>100</v>
      </c>
      <c r="V2668" s="2" t="s">
        <v>601</v>
      </c>
      <c r="W2668" s="2" t="s">
        <v>6998</v>
      </c>
      <c r="X2668" s="2" t="s">
        <v>100</v>
      </c>
      <c r="Y2668" s="2" t="s">
        <v>106</v>
      </c>
      <c r="Z2668" s="4">
        <v>22</v>
      </c>
      <c r="AA2668" s="4">
        <f>=ROUNDDOWN(4.78260869565217,0)</f>
      </c>
      <c r="AB2668" s="5">
        <v>4.6</v>
      </c>
      <c r="AC2668" s="2" t="s">
        <v>100</v>
      </c>
      <c r="AD2668" s="4"/>
      <c r="AE2668" s="4"/>
      <c r="AF2668" s="6">
        <v>74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>
        <v>0</v>
      </c>
      <c r="AP2668" s="4">
        <v>1</v>
      </c>
      <c r="AQ2668" s="8">
        <v>199.5</v>
      </c>
      <c r="AR2668" s="4">
        <v>5</v>
      </c>
      <c r="AS2668" s="8">
        <v>997.5</v>
      </c>
      <c r="AT2668" s="7">
        <v>-0.8</v>
      </c>
      <c r="AU2668" s="7">
        <v>-0.8</v>
      </c>
      <c r="AV2668" s="4">
        <v>1</v>
      </c>
      <c r="AW2668" s="8">
        <v>199.5</v>
      </c>
      <c r="AX2668" s="4">
        <v>5</v>
      </c>
      <c r="AY2668" s="8">
        <v>997.5</v>
      </c>
      <c r="AZ2668" s="7">
        <v>-0.8</v>
      </c>
      <c r="BA2668" s="7">
        <v>-0.8</v>
      </c>
      <c r="BB2668" s="7">
        <v>1</v>
      </c>
      <c r="BC2668" s="4">
        <v>1</v>
      </c>
      <c r="BD2668" s="8">
        <v>199.5</v>
      </c>
      <c r="BE2668" s="4">
        <v>5</v>
      </c>
      <c r="BF2668" s="8">
        <v>997.5</v>
      </c>
      <c r="BG2668" s="7">
        <v>-0.8</v>
      </c>
      <c r="BH2668" s="7">
        <v>-0.8</v>
      </c>
      <c r="BI2668" s="7">
        <v>1</v>
      </c>
      <c r="BJ2668" s="4">
        <v>33</v>
      </c>
      <c r="BK2668" s="8">
        <v>5459.7</v>
      </c>
      <c r="BL2668" s="2" t="s">
        <v>9914</v>
      </c>
      <c r="BM2668" s="7">
        <v>0.0303</v>
      </c>
      <c r="BN2668" s="7">
        <v>0.0365</v>
      </c>
      <c r="BO2668" s="4">
        <v>1</v>
      </c>
      <c r="BP2668" s="8">
        <v>199.5</v>
      </c>
      <c r="BQ2668" s="4">
        <v>5</v>
      </c>
      <c r="BR2668" s="8">
        <v>997.5</v>
      </c>
      <c r="BS2668" s="7">
        <v>-0.8</v>
      </c>
      <c r="BT2668" s="7">
        <v>-0.8</v>
      </c>
      <c r="BU2668" s="2" t="s">
        <v>109</v>
      </c>
      <c r="BV2668" s="2" t="s">
        <v>97</v>
      </c>
      <c r="BW2668" s="2" t="s">
        <v>9759</v>
      </c>
      <c r="BX2668" s="2" t="s">
        <v>9915</v>
      </c>
      <c r="BY2668" s="2" t="s">
        <v>112</v>
      </c>
      <c r="BZ2668" s="2" t="s">
        <v>100</v>
      </c>
    </row>
    <row r="2669">
      <c r="A2669" s="2" t="s">
        <v>9916</v>
      </c>
      <c r="B2669" s="2" t="s">
        <v>7252</v>
      </c>
      <c r="C2669" s="2" t="s">
        <v>4677</v>
      </c>
      <c r="D2669" s="2" t="s">
        <v>9318</v>
      </c>
      <c r="E2669" s="2" t="s">
        <v>9319</v>
      </c>
      <c r="F2669" s="2" t="s">
        <v>9874</v>
      </c>
      <c r="G2669" s="2" t="s">
        <v>9874</v>
      </c>
      <c r="H2669" s="2" t="s">
        <v>9874</v>
      </c>
      <c r="I2669" s="2" t="s">
        <v>9917</v>
      </c>
      <c r="J2669" s="2" t="s">
        <v>6103</v>
      </c>
      <c r="K2669" s="2" t="s">
        <v>123</v>
      </c>
      <c r="L2669" s="3">
        <v>192.78</v>
      </c>
      <c r="M2669" s="3">
        <v>202.42</v>
      </c>
      <c r="N2669" s="3">
        <v>399</v>
      </c>
      <c r="O2669" s="2" t="s">
        <v>97</v>
      </c>
      <c r="P2669" s="2" t="s">
        <v>198</v>
      </c>
      <c r="Q2669" s="2" t="s">
        <v>99</v>
      </c>
      <c r="R2669" s="2" t="s">
        <v>100</v>
      </c>
      <c r="S2669" s="2" t="s">
        <v>100</v>
      </c>
      <c r="T2669" s="2" t="s">
        <v>100</v>
      </c>
      <c r="U2669" s="2" t="s">
        <v>100</v>
      </c>
      <c r="V2669" s="2" t="s">
        <v>1752</v>
      </c>
      <c r="W2669" s="2" t="s">
        <v>602</v>
      </c>
      <c r="X2669" s="2" t="s">
        <v>4939</v>
      </c>
      <c r="Y2669" s="2" t="s">
        <v>2470</v>
      </c>
      <c r="Z2669" s="4">
        <v>47</v>
      </c>
      <c r="AA2669" s="4">
        <f>=ROUNDDOWN(23.5,0)</f>
      </c>
      <c r="AB2669" s="5">
        <v>2</v>
      </c>
      <c r="AC2669" s="2" t="s">
        <v>100</v>
      </c>
      <c r="AD2669" s="4"/>
      <c r="AE2669" s="4"/>
      <c r="AF2669" s="6">
        <v>76</v>
      </c>
      <c r="AG2669" s="6"/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/>
      <c r="BD2669" s="8"/>
      <c r="BE2669" s="4"/>
      <c r="BF2669" s="8"/>
      <c r="BG2669" s="7"/>
      <c r="BH2669" s="7"/>
      <c r="BI2669" s="7"/>
      <c r="BJ2669" s="4">
        <v>47</v>
      </c>
      <c r="BK2669" s="8">
        <v>8940.1</v>
      </c>
      <c r="BL2669" s="2" t="s">
        <v>9918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147</v>
      </c>
      <c r="BV2669" s="2" t="s">
        <v>97</v>
      </c>
      <c r="BW2669" s="2" t="s">
        <v>100</v>
      </c>
      <c r="BX2669" s="2" t="s">
        <v>100</v>
      </c>
      <c r="BY2669" s="2" t="s">
        <v>112</v>
      </c>
      <c r="BZ2669" s="2" t="s">
        <v>100</v>
      </c>
    </row>
    <row r="2670">
      <c r="A2670" s="2" t="s">
        <v>9919</v>
      </c>
      <c r="B2670" s="2" t="s">
        <v>7252</v>
      </c>
      <c r="C2670" s="2" t="s">
        <v>4677</v>
      </c>
      <c r="D2670" s="2" t="s">
        <v>9299</v>
      </c>
      <c r="E2670" s="2" t="s">
        <v>9300</v>
      </c>
      <c r="F2670" s="2" t="s">
        <v>9781</v>
      </c>
      <c r="G2670" s="2" t="s">
        <v>9781</v>
      </c>
      <c r="H2670" s="2" t="s">
        <v>100</v>
      </c>
      <c r="I2670" s="2" t="s">
        <v>9920</v>
      </c>
      <c r="J2670" s="2" t="s">
        <v>6103</v>
      </c>
      <c r="K2670" s="2" t="s">
        <v>9449</v>
      </c>
      <c r="L2670" s="3">
        <v>120</v>
      </c>
      <c r="M2670" s="3">
        <v>126</v>
      </c>
      <c r="N2670" s="3">
        <v>249</v>
      </c>
      <c r="O2670" s="2" t="s">
        <v>97</v>
      </c>
      <c r="P2670" s="2" t="s">
        <v>182</v>
      </c>
      <c r="Q2670" s="2" t="s">
        <v>99</v>
      </c>
      <c r="R2670" s="2" t="s">
        <v>100</v>
      </c>
      <c r="S2670" s="2" t="s">
        <v>9921</v>
      </c>
      <c r="T2670" s="2" t="s">
        <v>100</v>
      </c>
      <c r="U2670" s="2" t="s">
        <v>100</v>
      </c>
      <c r="V2670" s="2" t="s">
        <v>601</v>
      </c>
      <c r="W2670" s="2" t="s">
        <v>6998</v>
      </c>
      <c r="X2670" s="2" t="s">
        <v>100</v>
      </c>
      <c r="Y2670" s="2" t="s">
        <v>106</v>
      </c>
      <c r="Z2670" s="4">
        <v>148</v>
      </c>
      <c r="AA2670" s="4">
        <f>=ROUNDDOWN(370,0)</f>
      </c>
      <c r="AB2670" s="5">
        <v>0.4</v>
      </c>
      <c r="AC2670" s="2" t="s">
        <v>100</v>
      </c>
      <c r="AD2670" s="4"/>
      <c r="AE2670" s="4"/>
      <c r="AF2670" s="6">
        <v>74</v>
      </c>
      <c r="AG2670" s="6">
        <v>60</v>
      </c>
      <c r="AH2670" s="7">
        <v>1</v>
      </c>
      <c r="AI2670" s="4"/>
      <c r="AJ2670" s="4">
        <f>=ROUNDDOWN({0},0)</f>
      </c>
      <c r="AK2670" s="5"/>
      <c r="AL2670" s="2" t="s">
        <v>9311</v>
      </c>
      <c r="AM2670" s="4">
        <v>100</v>
      </c>
      <c r="AN2670" s="4">
        <v>100</v>
      </c>
      <c r="AO2670" s="7">
        <v>0</v>
      </c>
      <c r="AP2670" s="4">
        <v>1</v>
      </c>
      <c r="AQ2670" s="8">
        <v>110.25</v>
      </c>
      <c r="AR2670" s="4">
        <v>3</v>
      </c>
      <c r="AS2670" s="8">
        <v>291.38</v>
      </c>
      <c r="AT2670" s="7">
        <v>-0.6667</v>
      </c>
      <c r="AU2670" s="7">
        <v>-0.6216</v>
      </c>
      <c r="AV2670" s="4">
        <v>1</v>
      </c>
      <c r="AW2670" s="8">
        <v>110.25</v>
      </c>
      <c r="AX2670" s="4">
        <v>3</v>
      </c>
      <c r="AY2670" s="8">
        <v>291.38</v>
      </c>
      <c r="AZ2670" s="7">
        <v>-0.6667</v>
      </c>
      <c r="BA2670" s="7">
        <v>-0.6216</v>
      </c>
      <c r="BB2670" s="7">
        <v>1</v>
      </c>
      <c r="BC2670" s="4">
        <v>1</v>
      </c>
      <c r="BD2670" s="8">
        <v>110.25</v>
      </c>
      <c r="BE2670" s="4">
        <v>3</v>
      </c>
      <c r="BF2670" s="8">
        <v>291.38</v>
      </c>
      <c r="BG2670" s="7">
        <v>-0.6667</v>
      </c>
      <c r="BH2670" s="7">
        <v>-0.6216</v>
      </c>
      <c r="BI2670" s="7">
        <v>1</v>
      </c>
      <c r="BJ2670" s="4">
        <v>261</v>
      </c>
      <c r="BK2670" s="8">
        <v>27621.76</v>
      </c>
      <c r="BL2670" s="2" t="s">
        <v>9922</v>
      </c>
      <c r="BM2670" s="7">
        <v>0.0038</v>
      </c>
      <c r="BN2670" s="7">
        <v>0.004</v>
      </c>
      <c r="BO2670" s="4">
        <v>1</v>
      </c>
      <c r="BP2670" s="8">
        <v>110.25</v>
      </c>
      <c r="BQ2670" s="4">
        <v>3</v>
      </c>
      <c r="BR2670" s="8">
        <v>291.38</v>
      </c>
      <c r="BS2670" s="7">
        <v>-0.6667</v>
      </c>
      <c r="BT2670" s="7">
        <v>-0.6216</v>
      </c>
      <c r="BU2670" s="2" t="s">
        <v>109</v>
      </c>
      <c r="BV2670" s="2" t="s">
        <v>97</v>
      </c>
      <c r="BW2670" s="2" t="s">
        <v>7841</v>
      </c>
      <c r="BX2670" s="2" t="s">
        <v>3370</v>
      </c>
      <c r="BY2670" s="2" t="s">
        <v>112</v>
      </c>
      <c r="BZ2670" s="2" t="s">
        <v>100</v>
      </c>
    </row>
    <row r="2671">
      <c r="A2671" s="2" t="s">
        <v>9923</v>
      </c>
      <c r="B2671" s="2" t="s">
        <v>7252</v>
      </c>
      <c r="C2671" s="2" t="s">
        <v>4677</v>
      </c>
      <c r="D2671" s="2" t="s">
        <v>9299</v>
      </c>
      <c r="E2671" s="2" t="s">
        <v>9300</v>
      </c>
      <c r="F2671" s="2" t="s">
        <v>2958</v>
      </c>
      <c r="G2671" s="2" t="s">
        <v>100</v>
      </c>
      <c r="H2671" s="2" t="s">
        <v>100</v>
      </c>
      <c r="I2671" s="2" t="s">
        <v>9924</v>
      </c>
      <c r="J2671" s="2" t="s">
        <v>6103</v>
      </c>
      <c r="K2671" s="2" t="s">
        <v>8622</v>
      </c>
      <c r="L2671" s="3">
        <v>180.5</v>
      </c>
      <c r="M2671" s="3">
        <v>189.52</v>
      </c>
      <c r="N2671" s="3">
        <v>379</v>
      </c>
      <c r="O2671" s="2" t="s">
        <v>97</v>
      </c>
      <c r="P2671" s="2" t="s">
        <v>1265</v>
      </c>
      <c r="Q2671" s="2" t="s">
        <v>99</v>
      </c>
      <c r="R2671" s="2" t="s">
        <v>100</v>
      </c>
      <c r="S2671" s="2" t="s">
        <v>9925</v>
      </c>
      <c r="T2671" s="2" t="s">
        <v>100</v>
      </c>
      <c r="U2671" s="2" t="s">
        <v>100</v>
      </c>
      <c r="V2671" s="2" t="s">
        <v>601</v>
      </c>
      <c r="W2671" s="2" t="s">
        <v>2195</v>
      </c>
      <c r="X2671" s="2" t="s">
        <v>100</v>
      </c>
      <c r="Y2671" s="2" t="s">
        <v>106</v>
      </c>
      <c r="Z2671" s="4">
        <v>171</v>
      </c>
      <c r="AA2671" s="4">
        <f>=ROUNDDOWN(85.5,0)</f>
      </c>
      <c r="AB2671" s="5">
        <v>2</v>
      </c>
      <c r="AC2671" s="2" t="s">
        <v>100</v>
      </c>
      <c r="AD2671" s="4"/>
      <c r="AE2671" s="4"/>
      <c r="AF2671" s="6">
        <v>74</v>
      </c>
      <c r="AG2671" s="6">
        <v>60</v>
      </c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/>
      <c r="BD2671" s="8"/>
      <c r="BE2671" s="4"/>
      <c r="BF2671" s="8"/>
      <c r="BG2671" s="7"/>
      <c r="BH2671" s="7"/>
      <c r="BI2671" s="7"/>
      <c r="BJ2671" s="4">
        <v>33</v>
      </c>
      <c r="BK2671" s="8">
        <v>5601.99</v>
      </c>
      <c r="BL2671" s="2" t="s">
        <v>9926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6185</v>
      </c>
      <c r="BV2671" s="2" t="s">
        <v>97</v>
      </c>
      <c r="BW2671" s="2" t="s">
        <v>100</v>
      </c>
      <c r="BX2671" s="2" t="s">
        <v>100</v>
      </c>
      <c r="BY2671" s="2" t="s">
        <v>112</v>
      </c>
      <c r="BZ2671" s="2" t="s">
        <v>100</v>
      </c>
    </row>
    <row r="2672">
      <c r="A2672" s="2" t="s">
        <v>9927</v>
      </c>
      <c r="B2672" s="2" t="s">
        <v>7252</v>
      </c>
      <c r="C2672" s="2" t="s">
        <v>4677</v>
      </c>
      <c r="D2672" s="2" t="s">
        <v>9299</v>
      </c>
      <c r="E2672" s="2" t="s">
        <v>9300</v>
      </c>
      <c r="F2672" s="2" t="s">
        <v>1635</v>
      </c>
      <c r="G2672" s="2" t="s">
        <v>1635</v>
      </c>
      <c r="H2672" s="2" t="s">
        <v>1635</v>
      </c>
      <c r="I2672" s="2" t="s">
        <v>9316</v>
      </c>
      <c r="J2672" s="2" t="s">
        <v>6103</v>
      </c>
      <c r="K2672" s="2" t="s">
        <v>8622</v>
      </c>
      <c r="L2672" s="3">
        <v>256.68</v>
      </c>
      <c r="M2672" s="3">
        <v>269.51</v>
      </c>
      <c r="N2672" s="3">
        <v>549</v>
      </c>
      <c r="O2672" s="2" t="s">
        <v>97</v>
      </c>
      <c r="P2672" s="2" t="s">
        <v>1265</v>
      </c>
      <c r="Q2672" s="2" t="s">
        <v>99</v>
      </c>
      <c r="R2672" s="2" t="s">
        <v>100</v>
      </c>
      <c r="S2672" s="2" t="s">
        <v>100</v>
      </c>
      <c r="T2672" s="2" t="s">
        <v>100</v>
      </c>
      <c r="U2672" s="2" t="s">
        <v>100</v>
      </c>
      <c r="V2672" s="2" t="s">
        <v>1752</v>
      </c>
      <c r="W2672" s="2" t="s">
        <v>602</v>
      </c>
      <c r="X2672" s="2" t="s">
        <v>2195</v>
      </c>
      <c r="Y2672" s="2" t="s">
        <v>5521</v>
      </c>
      <c r="Z2672" s="4">
        <v>113</v>
      </c>
      <c r="AA2672" s="4">
        <f>=ROUNDDOWN(188.333333333333,0)</f>
      </c>
      <c r="AB2672" s="5">
        <v>0.6</v>
      </c>
      <c r="AC2672" s="2" t="s">
        <v>100</v>
      </c>
      <c r="AD2672" s="4"/>
      <c r="AE2672" s="4"/>
      <c r="AF2672" s="6">
        <v>74</v>
      </c>
      <c r="AG2672" s="6"/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/>
      <c r="BD2672" s="8"/>
      <c r="BE2672" s="4"/>
      <c r="BF2672" s="8"/>
      <c r="BG2672" s="7"/>
      <c r="BH2672" s="7"/>
      <c r="BI2672" s="7"/>
      <c r="BJ2672" s="4">
        <v>22</v>
      </c>
      <c r="BK2672" s="8">
        <v>6377.22</v>
      </c>
      <c r="BL2672" s="2" t="s">
        <v>9928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147</v>
      </c>
      <c r="BV2672" s="2" t="s">
        <v>97</v>
      </c>
      <c r="BW2672" s="2" t="s">
        <v>100</v>
      </c>
      <c r="BX2672" s="2" t="s">
        <v>100</v>
      </c>
      <c r="BY2672" s="2" t="s">
        <v>112</v>
      </c>
      <c r="BZ2672" s="2" t="s">
        <v>100</v>
      </c>
    </row>
    <row r="2673">
      <c r="A2673" s="2" t="s">
        <v>9929</v>
      </c>
      <c r="B2673" s="2" t="s">
        <v>7252</v>
      </c>
      <c r="C2673" s="2" t="s">
        <v>4677</v>
      </c>
      <c r="D2673" s="2" t="s">
        <v>9299</v>
      </c>
      <c r="E2673" s="2" t="s">
        <v>9300</v>
      </c>
      <c r="F2673" s="2" t="s">
        <v>9658</v>
      </c>
      <c r="G2673" s="2" t="s">
        <v>9658</v>
      </c>
      <c r="H2673" s="2" t="s">
        <v>9658</v>
      </c>
      <c r="I2673" s="2" t="s">
        <v>9930</v>
      </c>
      <c r="J2673" s="2" t="s">
        <v>6103</v>
      </c>
      <c r="K2673" s="2" t="s">
        <v>323</v>
      </c>
      <c r="L2673" s="3">
        <v>380</v>
      </c>
      <c r="M2673" s="3">
        <v>399</v>
      </c>
      <c r="N2673" s="3">
        <v>799</v>
      </c>
      <c r="O2673" s="2" t="s">
        <v>97</v>
      </c>
      <c r="P2673" s="2" t="s">
        <v>1265</v>
      </c>
      <c r="Q2673" s="2" t="s">
        <v>9931</v>
      </c>
      <c r="R2673" s="2" t="s">
        <v>100</v>
      </c>
      <c r="S2673" s="2" t="s">
        <v>100</v>
      </c>
      <c r="T2673" s="2" t="s">
        <v>100</v>
      </c>
      <c r="U2673" s="2" t="s">
        <v>3531</v>
      </c>
      <c r="V2673" s="2" t="s">
        <v>1752</v>
      </c>
      <c r="W2673" s="2" t="s">
        <v>759</v>
      </c>
      <c r="X2673" s="2" t="s">
        <v>602</v>
      </c>
      <c r="Y2673" s="2" t="s">
        <v>3692</v>
      </c>
      <c r="Z2673" s="4">
        <v>86</v>
      </c>
      <c r="AA2673" s="4">
        <f>=ROUNDDOWN({0},0)</f>
      </c>
      <c r="AB2673" s="5"/>
      <c r="AC2673" s="2" t="s">
        <v>100</v>
      </c>
      <c r="AD2673" s="4"/>
      <c r="AE2673" s="4"/>
      <c r="AF2673" s="6">
        <v>74</v>
      </c>
      <c r="AG2673" s="6"/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/>
      <c r="BD2673" s="8"/>
      <c r="BE2673" s="4"/>
      <c r="BF2673" s="8"/>
      <c r="BG2673" s="7"/>
      <c r="BH2673" s="7"/>
      <c r="BI2673" s="7"/>
      <c r="BJ2673" s="4">
        <v>7</v>
      </c>
      <c r="BK2673" s="8">
        <v>2449.93</v>
      </c>
      <c r="BL2673" s="2" t="s">
        <v>1609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6185</v>
      </c>
      <c r="BV2673" s="2" t="s">
        <v>97</v>
      </c>
      <c r="BW2673" s="2" t="s">
        <v>100</v>
      </c>
      <c r="BX2673" s="2" t="s">
        <v>100</v>
      </c>
      <c r="BY2673" s="2" t="s">
        <v>112</v>
      </c>
      <c r="BZ2673" s="2" t="s">
        <v>100</v>
      </c>
    </row>
    <row r="2674">
      <c r="A2674" s="2" t="s">
        <v>9932</v>
      </c>
      <c r="B2674" s="2" t="s">
        <v>7252</v>
      </c>
      <c r="C2674" s="2" t="s">
        <v>4677</v>
      </c>
      <c r="D2674" s="2" t="s">
        <v>9299</v>
      </c>
      <c r="E2674" s="2" t="s">
        <v>9300</v>
      </c>
      <c r="F2674" s="2" t="s">
        <v>9933</v>
      </c>
      <c r="G2674" s="2" t="s">
        <v>9933</v>
      </c>
      <c r="H2674" s="2" t="s">
        <v>9933</v>
      </c>
      <c r="I2674" s="2" t="s">
        <v>9934</v>
      </c>
      <c r="J2674" s="2" t="s">
        <v>6103</v>
      </c>
      <c r="K2674" s="2" t="s">
        <v>8622</v>
      </c>
      <c r="L2674" s="3">
        <v>262.2</v>
      </c>
      <c r="M2674" s="3">
        <v>275.31</v>
      </c>
      <c r="N2674" s="3">
        <v>549</v>
      </c>
      <c r="O2674" s="2" t="s">
        <v>97</v>
      </c>
      <c r="P2674" s="2" t="s">
        <v>182</v>
      </c>
      <c r="Q2674" s="2" t="s">
        <v>99</v>
      </c>
      <c r="R2674" s="2" t="s">
        <v>100</v>
      </c>
      <c r="S2674" s="2" t="s">
        <v>100</v>
      </c>
      <c r="T2674" s="2" t="s">
        <v>100</v>
      </c>
      <c r="U2674" s="2" t="s">
        <v>3531</v>
      </c>
      <c r="V2674" s="2" t="s">
        <v>1752</v>
      </c>
      <c r="W2674" s="2" t="s">
        <v>602</v>
      </c>
      <c r="X2674" s="2" t="s">
        <v>759</v>
      </c>
      <c r="Y2674" s="2" t="s">
        <v>8106</v>
      </c>
      <c r="Z2674" s="4">
        <v>41</v>
      </c>
      <c r="AA2674" s="4">
        <f>=ROUNDDOWN(13.6666666666667,0)</f>
      </c>
      <c r="AB2674" s="5">
        <v>3</v>
      </c>
      <c r="AC2674" s="2" t="s">
        <v>8904</v>
      </c>
      <c r="AD2674" s="4">
        <v>155</v>
      </c>
      <c r="AE2674" s="4">
        <v>155</v>
      </c>
      <c r="AF2674" s="6">
        <v>66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/>
      <c r="BD2674" s="8"/>
      <c r="BE2674" s="4"/>
      <c r="BF2674" s="8"/>
      <c r="BG2674" s="7"/>
      <c r="BH2674" s="7"/>
      <c r="BI2674" s="7"/>
      <c r="BJ2674" s="4">
        <v>56</v>
      </c>
      <c r="BK2674" s="8">
        <v>14944.93</v>
      </c>
      <c r="BL2674" s="2" t="s">
        <v>9935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6185</v>
      </c>
      <c r="BV2674" s="2" t="s">
        <v>97</v>
      </c>
      <c r="BW2674" s="2" t="s">
        <v>100</v>
      </c>
      <c r="BX2674" s="2" t="s">
        <v>100</v>
      </c>
      <c r="BY2674" s="2" t="s">
        <v>112</v>
      </c>
      <c r="BZ2674" s="2" t="s">
        <v>100</v>
      </c>
    </row>
    <row r="2675">
      <c r="A2675" s="2" t="s">
        <v>9936</v>
      </c>
      <c r="B2675" s="2" t="s">
        <v>7252</v>
      </c>
      <c r="C2675" s="2" t="s">
        <v>4677</v>
      </c>
      <c r="D2675" s="2" t="s">
        <v>9299</v>
      </c>
      <c r="E2675" s="2" t="s">
        <v>9300</v>
      </c>
      <c r="F2675" s="2" t="s">
        <v>9667</v>
      </c>
      <c r="G2675" s="2" t="s">
        <v>100</v>
      </c>
      <c r="H2675" s="2" t="s">
        <v>100</v>
      </c>
      <c r="I2675" s="2" t="s">
        <v>9937</v>
      </c>
      <c r="J2675" s="2" t="s">
        <v>6103</v>
      </c>
      <c r="K2675" s="2" t="s">
        <v>1933</v>
      </c>
      <c r="L2675" s="3">
        <v>390</v>
      </c>
      <c r="M2675" s="3">
        <v>409.5</v>
      </c>
      <c r="N2675" s="3">
        <v>829</v>
      </c>
      <c r="O2675" s="2" t="s">
        <v>97</v>
      </c>
      <c r="P2675" s="2" t="s">
        <v>198</v>
      </c>
      <c r="Q2675" s="2" t="s">
        <v>99</v>
      </c>
      <c r="R2675" s="2" t="s">
        <v>100</v>
      </c>
      <c r="S2675" s="2" t="s">
        <v>9938</v>
      </c>
      <c r="T2675" s="2" t="s">
        <v>100</v>
      </c>
      <c r="U2675" s="2" t="s">
        <v>100</v>
      </c>
      <c r="V2675" s="2" t="s">
        <v>601</v>
      </c>
      <c r="W2675" s="2" t="s">
        <v>6998</v>
      </c>
      <c r="X2675" s="2" t="s">
        <v>100</v>
      </c>
      <c r="Y2675" s="2" t="s">
        <v>106</v>
      </c>
      <c r="Z2675" s="4">
        <v>35</v>
      </c>
      <c r="AA2675" s="4">
        <f>=ROUNDDOWN(11.6666666666667,0)</f>
      </c>
      <c r="AB2675" s="5">
        <v>3</v>
      </c>
      <c r="AC2675" s="2" t="s">
        <v>100</v>
      </c>
      <c r="AD2675" s="4"/>
      <c r="AE2675" s="4"/>
      <c r="AF2675" s="6">
        <v>74</v>
      </c>
      <c r="AG2675" s="6">
        <v>60</v>
      </c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 t="s">
        <v>100</v>
      </c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/>
      <c r="BJ2675" s="4">
        <v>64</v>
      </c>
      <c r="BK2675" s="8">
        <v>22891.94</v>
      </c>
      <c r="BL2675" s="2" t="s">
        <v>9939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6185</v>
      </c>
      <c r="BV2675" s="2" t="s">
        <v>97</v>
      </c>
      <c r="BW2675" s="2" t="s">
        <v>100</v>
      </c>
      <c r="BX2675" s="2" t="s">
        <v>100</v>
      </c>
      <c r="BY2675" s="2" t="s">
        <v>112</v>
      </c>
      <c r="BZ2675" s="2" t="s">
        <v>100</v>
      </c>
    </row>
    <row r="2676">
      <c r="A2676" s="2" t="s">
        <v>9940</v>
      </c>
      <c r="B2676" s="2" t="s">
        <v>7252</v>
      </c>
      <c r="C2676" s="2" t="s">
        <v>4677</v>
      </c>
      <c r="D2676" s="2" t="s">
        <v>9299</v>
      </c>
      <c r="E2676" s="2" t="s">
        <v>9300</v>
      </c>
      <c r="F2676" s="2" t="s">
        <v>9667</v>
      </c>
      <c r="G2676" s="2" t="s">
        <v>100</v>
      </c>
      <c r="H2676" s="2" t="s">
        <v>100</v>
      </c>
      <c r="I2676" s="2" t="s">
        <v>9941</v>
      </c>
      <c r="J2676" s="2" t="s">
        <v>6103</v>
      </c>
      <c r="K2676" s="2" t="s">
        <v>1933</v>
      </c>
      <c r="L2676" s="3">
        <v>451.25</v>
      </c>
      <c r="M2676" s="3">
        <v>473.81</v>
      </c>
      <c r="N2676" s="3">
        <v>949</v>
      </c>
      <c r="O2676" s="2" t="s">
        <v>97</v>
      </c>
      <c r="P2676" s="2" t="s">
        <v>1265</v>
      </c>
      <c r="Q2676" s="2" t="s">
        <v>99</v>
      </c>
      <c r="R2676" s="2" t="s">
        <v>100</v>
      </c>
      <c r="S2676" s="2" t="s">
        <v>9938</v>
      </c>
      <c r="T2676" s="2" t="s">
        <v>100</v>
      </c>
      <c r="U2676" s="2" t="s">
        <v>100</v>
      </c>
      <c r="V2676" s="2" t="s">
        <v>601</v>
      </c>
      <c r="W2676" s="2" t="s">
        <v>6998</v>
      </c>
      <c r="X2676" s="2" t="s">
        <v>100</v>
      </c>
      <c r="Y2676" s="2" t="s">
        <v>106</v>
      </c>
      <c r="Z2676" s="4">
        <v>97</v>
      </c>
      <c r="AA2676" s="4">
        <f>=ROUNDDOWN(48.5,0)</f>
      </c>
      <c r="AB2676" s="5">
        <v>2</v>
      </c>
      <c r="AC2676" s="2" t="s">
        <v>100</v>
      </c>
      <c r="AD2676" s="4"/>
      <c r="AE2676" s="4"/>
      <c r="AF2676" s="6">
        <v>74</v>
      </c>
      <c r="AG2676" s="6"/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 t="s">
        <v>100</v>
      </c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/>
      <c r="BJ2676" s="4">
        <v>42</v>
      </c>
      <c r="BK2676" s="8">
        <v>17932.95</v>
      </c>
      <c r="BL2676" s="2" t="s">
        <v>8674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147</v>
      </c>
      <c r="BV2676" s="2" t="s">
        <v>97</v>
      </c>
      <c r="BW2676" s="2" t="s">
        <v>100</v>
      </c>
      <c r="BX2676" s="2" t="s">
        <v>100</v>
      </c>
      <c r="BY2676" s="2" t="s">
        <v>112</v>
      </c>
      <c r="BZ2676" s="2" t="s">
        <v>100</v>
      </c>
    </row>
    <row r="2677">
      <c r="A2677" s="2" t="s">
        <v>9942</v>
      </c>
      <c r="B2677" s="2" t="s">
        <v>7252</v>
      </c>
      <c r="C2677" s="2" t="s">
        <v>4677</v>
      </c>
      <c r="D2677" s="2" t="s">
        <v>9299</v>
      </c>
      <c r="E2677" s="2" t="s">
        <v>9300</v>
      </c>
      <c r="F2677" s="2" t="s">
        <v>9667</v>
      </c>
      <c r="G2677" s="2" t="s">
        <v>9667</v>
      </c>
      <c r="H2677" s="2" t="s">
        <v>100</v>
      </c>
      <c r="I2677" s="2" t="s">
        <v>9943</v>
      </c>
      <c r="J2677" s="2" t="s">
        <v>6103</v>
      </c>
      <c r="K2677" s="2" t="s">
        <v>9795</v>
      </c>
      <c r="L2677" s="3">
        <v>380</v>
      </c>
      <c r="M2677" s="3">
        <v>399</v>
      </c>
      <c r="N2677" s="3">
        <v>799</v>
      </c>
      <c r="O2677" s="2" t="s">
        <v>97</v>
      </c>
      <c r="P2677" s="2" t="s">
        <v>182</v>
      </c>
      <c r="Q2677" s="2" t="s">
        <v>99</v>
      </c>
      <c r="R2677" s="2" t="s">
        <v>100</v>
      </c>
      <c r="S2677" s="2" t="s">
        <v>9944</v>
      </c>
      <c r="T2677" s="2" t="s">
        <v>100</v>
      </c>
      <c r="U2677" s="2" t="s">
        <v>100</v>
      </c>
      <c r="V2677" s="2" t="s">
        <v>601</v>
      </c>
      <c r="W2677" s="2" t="s">
        <v>6998</v>
      </c>
      <c r="X2677" s="2" t="s">
        <v>100</v>
      </c>
      <c r="Y2677" s="2" t="s">
        <v>106</v>
      </c>
      <c r="Z2677" s="4">
        <v>152</v>
      </c>
      <c r="AA2677" s="4">
        <f>=ROUNDDOWN(21.7142857142857,0)</f>
      </c>
      <c r="AB2677" s="5">
        <v>7</v>
      </c>
      <c r="AC2677" s="2" t="s">
        <v>1060</v>
      </c>
      <c r="AD2677" s="4">
        <v>100</v>
      </c>
      <c r="AE2677" s="4">
        <v>100</v>
      </c>
      <c r="AF2677" s="6">
        <v>74</v>
      </c>
      <c r="AG2677" s="6">
        <v>60</v>
      </c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/>
      <c r="BJ2677" s="4">
        <v>158</v>
      </c>
      <c r="BK2677" s="8">
        <v>61432.13</v>
      </c>
      <c r="BL2677" s="2" t="s">
        <v>9945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6185</v>
      </c>
      <c r="BV2677" s="2" t="s">
        <v>97</v>
      </c>
      <c r="BW2677" s="2" t="s">
        <v>100</v>
      </c>
      <c r="BX2677" s="2" t="s">
        <v>100</v>
      </c>
      <c r="BY2677" s="2" t="s">
        <v>112</v>
      </c>
      <c r="BZ2677" s="2" t="s">
        <v>100</v>
      </c>
    </row>
    <row r="2678">
      <c r="A2678" s="2" t="s">
        <v>9946</v>
      </c>
      <c r="B2678" s="2" t="s">
        <v>7252</v>
      </c>
      <c r="C2678" s="2" t="s">
        <v>4677</v>
      </c>
      <c r="D2678" s="2" t="s">
        <v>9299</v>
      </c>
      <c r="E2678" s="2" t="s">
        <v>9300</v>
      </c>
      <c r="F2678" s="2" t="s">
        <v>9667</v>
      </c>
      <c r="G2678" s="2" t="s">
        <v>9667</v>
      </c>
      <c r="H2678" s="2" t="s">
        <v>9667</v>
      </c>
      <c r="I2678" s="2" t="s">
        <v>9300</v>
      </c>
      <c r="J2678" s="2" t="s">
        <v>6103</v>
      </c>
      <c r="K2678" s="2" t="s">
        <v>9947</v>
      </c>
      <c r="L2678" s="3">
        <v>460</v>
      </c>
      <c r="M2678" s="3">
        <v>483</v>
      </c>
      <c r="N2678" s="3">
        <v>969</v>
      </c>
      <c r="O2678" s="2" t="s">
        <v>229</v>
      </c>
      <c r="P2678" s="2" t="s">
        <v>198</v>
      </c>
      <c r="Q2678" s="2" t="s">
        <v>99</v>
      </c>
      <c r="R2678" s="2" t="s">
        <v>100</v>
      </c>
      <c r="S2678" s="2" t="s">
        <v>100</v>
      </c>
      <c r="T2678" s="2" t="s">
        <v>100</v>
      </c>
      <c r="U2678" s="2" t="s">
        <v>3531</v>
      </c>
      <c r="V2678" s="2" t="s">
        <v>601</v>
      </c>
      <c r="W2678" s="2" t="s">
        <v>6998</v>
      </c>
      <c r="X2678" s="2" t="s">
        <v>602</v>
      </c>
      <c r="Y2678" s="2" t="s">
        <v>3610</v>
      </c>
      <c r="Z2678" s="4">
        <v>37</v>
      </c>
      <c r="AA2678" s="4">
        <f>=ROUNDDOWN({0},0)</f>
      </c>
      <c r="AB2678" s="5"/>
      <c r="AC2678" s="2" t="s">
        <v>100</v>
      </c>
      <c r="AD2678" s="4"/>
      <c r="AE2678" s="4"/>
      <c r="AF2678" s="6">
        <v>74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/>
      <c r="BJ2678" s="4">
        <v>2</v>
      </c>
      <c r="BK2678" s="8">
        <v>756.58</v>
      </c>
      <c r="BL2678" s="2" t="s">
        <v>7456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147</v>
      </c>
      <c r="BV2678" s="2" t="s">
        <v>97</v>
      </c>
      <c r="BW2678" s="2" t="s">
        <v>100</v>
      </c>
      <c r="BX2678" s="2" t="s">
        <v>100</v>
      </c>
      <c r="BY2678" s="2" t="s">
        <v>112</v>
      </c>
      <c r="BZ2678" s="2" t="s">
        <v>100</v>
      </c>
    </row>
    <row r="2679">
      <c r="A2679" s="2" t="s">
        <v>9948</v>
      </c>
      <c r="B2679" s="2" t="s">
        <v>7252</v>
      </c>
      <c r="C2679" s="2" t="s">
        <v>4677</v>
      </c>
      <c r="D2679" s="2" t="s">
        <v>9299</v>
      </c>
      <c r="E2679" s="2" t="s">
        <v>9300</v>
      </c>
      <c r="F2679" s="2" t="s">
        <v>2312</v>
      </c>
      <c r="G2679" s="2" t="s">
        <v>2312</v>
      </c>
      <c r="H2679" s="2" t="s">
        <v>2312</v>
      </c>
      <c r="I2679" s="2" t="s">
        <v>9949</v>
      </c>
      <c r="J2679" s="2" t="s">
        <v>6103</v>
      </c>
      <c r="K2679" s="2" t="s">
        <v>142</v>
      </c>
      <c r="L2679" s="3">
        <v>405</v>
      </c>
      <c r="M2679" s="3">
        <v>425.25</v>
      </c>
      <c r="N2679" s="3">
        <v>849</v>
      </c>
      <c r="O2679" s="2" t="s">
        <v>97</v>
      </c>
      <c r="P2679" s="2" t="s">
        <v>1265</v>
      </c>
      <c r="Q2679" s="2" t="s">
        <v>99</v>
      </c>
      <c r="R2679" s="2" t="s">
        <v>100</v>
      </c>
      <c r="S2679" s="2" t="s">
        <v>100</v>
      </c>
      <c r="T2679" s="2" t="s">
        <v>100</v>
      </c>
      <c r="U2679" s="2" t="s">
        <v>100</v>
      </c>
      <c r="V2679" s="2" t="s">
        <v>1752</v>
      </c>
      <c r="W2679" s="2" t="s">
        <v>2195</v>
      </c>
      <c r="X2679" s="2" t="s">
        <v>602</v>
      </c>
      <c r="Y2679" s="2" t="s">
        <v>2285</v>
      </c>
      <c r="Z2679" s="4">
        <v>39</v>
      </c>
      <c r="AA2679" s="4">
        <f>=ROUNDDOWN(43.3333333333333,0)</f>
      </c>
      <c r="AB2679" s="5">
        <v>0.9</v>
      </c>
      <c r="AC2679" s="2" t="s">
        <v>7295</v>
      </c>
      <c r="AD2679" s="4">
        <v>100</v>
      </c>
      <c r="AE2679" s="4">
        <v>100</v>
      </c>
      <c r="AF2679" s="6">
        <v>74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/>
      <c r="BJ2679" s="4">
        <v>38</v>
      </c>
      <c r="BK2679" s="8">
        <v>14046.82</v>
      </c>
      <c r="BL2679" s="2" t="s">
        <v>9950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6185</v>
      </c>
      <c r="BV2679" s="2" t="s">
        <v>97</v>
      </c>
      <c r="BW2679" s="2" t="s">
        <v>100</v>
      </c>
      <c r="BX2679" s="2" t="s">
        <v>100</v>
      </c>
      <c r="BY2679" s="2" t="s">
        <v>112</v>
      </c>
      <c r="BZ2679" s="2" t="s">
        <v>100</v>
      </c>
    </row>
    <row r="2680">
      <c r="A2680" s="2" t="s">
        <v>9951</v>
      </c>
      <c r="B2680" s="2" t="s">
        <v>7252</v>
      </c>
      <c r="C2680" s="2" t="s">
        <v>4677</v>
      </c>
      <c r="D2680" s="2" t="s">
        <v>9299</v>
      </c>
      <c r="E2680" s="2" t="s">
        <v>9300</v>
      </c>
      <c r="F2680" s="2" t="s">
        <v>2312</v>
      </c>
      <c r="G2680" s="2" t="s">
        <v>2312</v>
      </c>
      <c r="H2680" s="2" t="s">
        <v>2312</v>
      </c>
      <c r="I2680" s="2" t="s">
        <v>9949</v>
      </c>
      <c r="J2680" s="2" t="s">
        <v>6103</v>
      </c>
      <c r="K2680" s="2" t="s">
        <v>6566</v>
      </c>
      <c r="L2680" s="3">
        <v>405</v>
      </c>
      <c r="M2680" s="3">
        <v>425.25</v>
      </c>
      <c r="N2680" s="3">
        <v>849</v>
      </c>
      <c r="O2680" s="2" t="s">
        <v>97</v>
      </c>
      <c r="P2680" s="2" t="s">
        <v>182</v>
      </c>
      <c r="Q2680" s="2" t="s">
        <v>99</v>
      </c>
      <c r="R2680" s="2" t="s">
        <v>100</v>
      </c>
      <c r="S2680" s="2" t="s">
        <v>9555</v>
      </c>
      <c r="T2680" s="2" t="s">
        <v>100</v>
      </c>
      <c r="U2680" s="2" t="s">
        <v>100</v>
      </c>
      <c r="V2680" s="2" t="s">
        <v>601</v>
      </c>
      <c r="W2680" s="2" t="s">
        <v>2195</v>
      </c>
      <c r="X2680" s="2" t="s">
        <v>100</v>
      </c>
      <c r="Y2680" s="2" t="s">
        <v>106</v>
      </c>
      <c r="Z2680" s="4">
        <v>211</v>
      </c>
      <c r="AA2680" s="4">
        <f>=ROUNDDOWN(70.3333333333333,0)</f>
      </c>
      <c r="AB2680" s="5">
        <v>3</v>
      </c>
      <c r="AC2680" s="2" t="s">
        <v>100</v>
      </c>
      <c r="AD2680" s="4"/>
      <c r="AE2680" s="4"/>
      <c r="AF2680" s="6">
        <v>74</v>
      </c>
      <c r="AG2680" s="6">
        <v>60</v>
      </c>
      <c r="AH2680" s="7">
        <v>0.9939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/>
      <c r="BJ2680" s="4">
        <v>62</v>
      </c>
      <c r="BK2680" s="8">
        <v>23115.85</v>
      </c>
      <c r="BL2680" s="2" t="s">
        <v>9952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6185</v>
      </c>
      <c r="BV2680" s="2" t="s">
        <v>97</v>
      </c>
      <c r="BW2680" s="2" t="s">
        <v>100</v>
      </c>
      <c r="BX2680" s="2" t="s">
        <v>100</v>
      </c>
      <c r="BY2680" s="2" t="s">
        <v>112</v>
      </c>
      <c r="BZ2680" s="2" t="s">
        <v>100</v>
      </c>
    </row>
    <row r="2681">
      <c r="A2681" s="2" t="s">
        <v>9953</v>
      </c>
      <c r="B2681" s="2" t="s">
        <v>7252</v>
      </c>
      <c r="C2681" s="2" t="s">
        <v>4677</v>
      </c>
      <c r="D2681" s="2" t="s">
        <v>9299</v>
      </c>
      <c r="E2681" s="2" t="s">
        <v>9300</v>
      </c>
      <c r="F2681" s="2" t="s">
        <v>9687</v>
      </c>
      <c r="G2681" s="2" t="s">
        <v>9687</v>
      </c>
      <c r="H2681" s="2" t="s">
        <v>9687</v>
      </c>
      <c r="I2681" s="2" t="s">
        <v>9954</v>
      </c>
      <c r="J2681" s="2" t="s">
        <v>6103</v>
      </c>
      <c r="K2681" s="2" t="s">
        <v>333</v>
      </c>
      <c r="L2681" s="3">
        <v>313.5</v>
      </c>
      <c r="M2681" s="3">
        <v>329.18</v>
      </c>
      <c r="N2681" s="3">
        <v>659</v>
      </c>
      <c r="O2681" s="2" t="s">
        <v>97</v>
      </c>
      <c r="P2681" s="2" t="s">
        <v>182</v>
      </c>
      <c r="Q2681" s="2" t="s">
        <v>99</v>
      </c>
      <c r="R2681" s="2" t="s">
        <v>100</v>
      </c>
      <c r="S2681" s="2" t="s">
        <v>100</v>
      </c>
      <c r="T2681" s="2" t="s">
        <v>100</v>
      </c>
      <c r="U2681" s="2" t="s">
        <v>100</v>
      </c>
      <c r="V2681" s="2" t="s">
        <v>601</v>
      </c>
      <c r="W2681" s="2" t="s">
        <v>6998</v>
      </c>
      <c r="X2681" s="2" t="s">
        <v>100</v>
      </c>
      <c r="Y2681" s="2" t="s">
        <v>9496</v>
      </c>
      <c r="Z2681" s="4">
        <v>122</v>
      </c>
      <c r="AA2681" s="4">
        <f>=ROUNDDOWN(30.5,0)</f>
      </c>
      <c r="AB2681" s="5">
        <v>4</v>
      </c>
      <c r="AC2681" s="2" t="s">
        <v>1208</v>
      </c>
      <c r="AD2681" s="4">
        <v>77</v>
      </c>
      <c r="AE2681" s="4">
        <v>100</v>
      </c>
      <c r="AF2681" s="6">
        <v>74</v>
      </c>
      <c r="AG2681" s="6">
        <v>60</v>
      </c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/>
      <c r="BD2681" s="8"/>
      <c r="BE2681" s="4"/>
      <c r="BF2681" s="8"/>
      <c r="BG2681" s="7"/>
      <c r="BH2681" s="7"/>
      <c r="BI2681" s="7"/>
      <c r="BJ2681" s="4">
        <v>75</v>
      </c>
      <c r="BK2681" s="8">
        <v>22126.33</v>
      </c>
      <c r="BL2681" s="2" t="s">
        <v>9955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7683</v>
      </c>
      <c r="BV2681" s="2" t="s">
        <v>97</v>
      </c>
      <c r="BW2681" s="2" t="s">
        <v>100</v>
      </c>
      <c r="BX2681" s="2" t="s">
        <v>100</v>
      </c>
      <c r="BY2681" s="2" t="s">
        <v>112</v>
      </c>
      <c r="BZ2681" s="2" t="s">
        <v>100</v>
      </c>
    </row>
    <row r="2682">
      <c r="A2682" s="2" t="s">
        <v>9956</v>
      </c>
      <c r="B2682" s="2" t="s">
        <v>7252</v>
      </c>
      <c r="C2682" s="2" t="s">
        <v>4677</v>
      </c>
      <c r="D2682" s="2" t="s">
        <v>9299</v>
      </c>
      <c r="E2682" s="2" t="s">
        <v>9300</v>
      </c>
      <c r="F2682" s="2" t="s">
        <v>9637</v>
      </c>
      <c r="G2682" s="2" t="s">
        <v>9637</v>
      </c>
      <c r="H2682" s="2" t="s">
        <v>9637</v>
      </c>
      <c r="I2682" s="2" t="s">
        <v>9941</v>
      </c>
      <c r="J2682" s="2" t="s">
        <v>6103</v>
      </c>
      <c r="K2682" s="2" t="s">
        <v>123</v>
      </c>
      <c r="L2682" s="3">
        <v>285.2</v>
      </c>
      <c r="M2682" s="3">
        <v>299.46</v>
      </c>
      <c r="N2682" s="3">
        <v>599</v>
      </c>
      <c r="O2682" s="2" t="s">
        <v>97</v>
      </c>
      <c r="P2682" s="2" t="s">
        <v>182</v>
      </c>
      <c r="Q2682" s="2" t="s">
        <v>99</v>
      </c>
      <c r="R2682" s="2" t="s">
        <v>100</v>
      </c>
      <c r="S2682" s="2" t="s">
        <v>100</v>
      </c>
      <c r="T2682" s="2" t="s">
        <v>100</v>
      </c>
      <c r="U2682" s="2" t="s">
        <v>100</v>
      </c>
      <c r="V2682" s="2" t="s">
        <v>601</v>
      </c>
      <c r="W2682" s="2" t="s">
        <v>6998</v>
      </c>
      <c r="X2682" s="2" t="s">
        <v>100</v>
      </c>
      <c r="Y2682" s="2" t="s">
        <v>9496</v>
      </c>
      <c r="Z2682" s="4">
        <v>143</v>
      </c>
      <c r="AA2682" s="4">
        <f>=ROUNDDOWN(24.6551724137931,0)</f>
      </c>
      <c r="AB2682" s="5">
        <v>5.8</v>
      </c>
      <c r="AC2682" s="2" t="s">
        <v>100</v>
      </c>
      <c r="AD2682" s="4"/>
      <c r="AE2682" s="4"/>
      <c r="AF2682" s="6">
        <v>74</v>
      </c>
      <c r="AG2682" s="6">
        <v>60</v>
      </c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/>
      <c r="BJ2682" s="4">
        <v>228</v>
      </c>
      <c r="BK2682" s="8">
        <v>64791.06</v>
      </c>
      <c r="BL2682" s="2" t="s">
        <v>9957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6185</v>
      </c>
      <c r="BV2682" s="2" t="s">
        <v>97</v>
      </c>
      <c r="BW2682" s="2" t="s">
        <v>100</v>
      </c>
      <c r="BX2682" s="2" t="s">
        <v>100</v>
      </c>
      <c r="BY2682" s="2" t="s">
        <v>112</v>
      </c>
      <c r="BZ2682" s="2" t="s">
        <v>100</v>
      </c>
    </row>
    <row r="2683">
      <c r="A2683" s="2" t="s">
        <v>9958</v>
      </c>
      <c r="B2683" s="2" t="s">
        <v>7252</v>
      </c>
      <c r="C2683" s="2" t="s">
        <v>4677</v>
      </c>
      <c r="D2683" s="2" t="s">
        <v>9299</v>
      </c>
      <c r="E2683" s="2" t="s">
        <v>9300</v>
      </c>
      <c r="F2683" s="2" t="s">
        <v>9637</v>
      </c>
      <c r="G2683" s="2" t="s">
        <v>9637</v>
      </c>
      <c r="H2683" s="2" t="s">
        <v>9637</v>
      </c>
      <c r="I2683" s="2" t="s">
        <v>9941</v>
      </c>
      <c r="J2683" s="2" t="s">
        <v>6103</v>
      </c>
      <c r="K2683" s="2" t="s">
        <v>6591</v>
      </c>
      <c r="L2683" s="3">
        <v>285.2</v>
      </c>
      <c r="M2683" s="3">
        <v>299.46</v>
      </c>
      <c r="N2683" s="3">
        <v>599</v>
      </c>
      <c r="O2683" s="2" t="s">
        <v>97</v>
      </c>
      <c r="P2683" s="2" t="s">
        <v>1265</v>
      </c>
      <c r="Q2683" s="2" t="s">
        <v>99</v>
      </c>
      <c r="R2683" s="2" t="s">
        <v>100</v>
      </c>
      <c r="S2683" s="2" t="s">
        <v>100</v>
      </c>
      <c r="T2683" s="2" t="s">
        <v>100</v>
      </c>
      <c r="U2683" s="2" t="s">
        <v>3531</v>
      </c>
      <c r="V2683" s="2" t="s">
        <v>601</v>
      </c>
      <c r="W2683" s="2" t="s">
        <v>6998</v>
      </c>
      <c r="X2683" s="2" t="s">
        <v>602</v>
      </c>
      <c r="Y2683" s="2" t="s">
        <v>9644</v>
      </c>
      <c r="Z2683" s="4">
        <v>78</v>
      </c>
      <c r="AA2683" s="4">
        <f>=ROUNDDOWN(45.8823529411765,0)</f>
      </c>
      <c r="AB2683" s="5">
        <v>1.7</v>
      </c>
      <c r="AC2683" s="2" t="s">
        <v>746</v>
      </c>
      <c r="AD2683" s="4">
        <v>100</v>
      </c>
      <c r="AE2683" s="4">
        <v>100</v>
      </c>
      <c r="AF2683" s="6">
        <v>74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/>
      <c r="BJ2683" s="4">
        <v>61</v>
      </c>
      <c r="BK2683" s="8">
        <v>18456.43</v>
      </c>
      <c r="BL2683" s="2" t="s">
        <v>9959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6185</v>
      </c>
      <c r="BV2683" s="2" t="s">
        <v>97</v>
      </c>
      <c r="BW2683" s="2" t="s">
        <v>100</v>
      </c>
      <c r="BX2683" s="2" t="s">
        <v>100</v>
      </c>
      <c r="BY2683" s="2" t="s">
        <v>112</v>
      </c>
      <c r="BZ2683" s="2" t="s">
        <v>100</v>
      </c>
    </row>
    <row r="2684">
      <c r="A2684" s="2" t="s">
        <v>9960</v>
      </c>
      <c r="B2684" s="2" t="s">
        <v>7252</v>
      </c>
      <c r="C2684" s="2" t="s">
        <v>4677</v>
      </c>
      <c r="D2684" s="2" t="s">
        <v>9299</v>
      </c>
      <c r="E2684" s="2" t="s">
        <v>9300</v>
      </c>
      <c r="F2684" s="2" t="s">
        <v>9637</v>
      </c>
      <c r="G2684" s="2" t="s">
        <v>9637</v>
      </c>
      <c r="H2684" s="2" t="s">
        <v>9637</v>
      </c>
      <c r="I2684" s="2" t="s">
        <v>9941</v>
      </c>
      <c r="J2684" s="2" t="s">
        <v>6103</v>
      </c>
      <c r="K2684" s="2" t="s">
        <v>9643</v>
      </c>
      <c r="L2684" s="3">
        <v>285.2</v>
      </c>
      <c r="M2684" s="3">
        <v>299.46</v>
      </c>
      <c r="N2684" s="3">
        <v>599</v>
      </c>
      <c r="O2684" s="2" t="s">
        <v>97</v>
      </c>
      <c r="P2684" s="2" t="s">
        <v>1265</v>
      </c>
      <c r="Q2684" s="2" t="s">
        <v>99</v>
      </c>
      <c r="R2684" s="2" t="s">
        <v>100</v>
      </c>
      <c r="S2684" s="2" t="s">
        <v>100</v>
      </c>
      <c r="T2684" s="2" t="s">
        <v>100</v>
      </c>
      <c r="U2684" s="2" t="s">
        <v>3531</v>
      </c>
      <c r="V2684" s="2" t="s">
        <v>601</v>
      </c>
      <c r="W2684" s="2" t="s">
        <v>6998</v>
      </c>
      <c r="X2684" s="2" t="s">
        <v>602</v>
      </c>
      <c r="Y2684" s="2" t="s">
        <v>2335</v>
      </c>
      <c r="Z2684" s="4">
        <v>155</v>
      </c>
      <c r="AA2684" s="4">
        <f>=ROUNDDOWN(77.5,0)</f>
      </c>
      <c r="AB2684" s="5">
        <v>2</v>
      </c>
      <c r="AC2684" s="2" t="s">
        <v>100</v>
      </c>
      <c r="AD2684" s="4"/>
      <c r="AE2684" s="4"/>
      <c r="AF2684" s="6">
        <v>74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/>
      <c r="BJ2684" s="4">
        <v>48</v>
      </c>
      <c r="BK2684" s="8">
        <v>13496.09</v>
      </c>
      <c r="BL2684" s="2" t="s">
        <v>9961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6185</v>
      </c>
      <c r="BV2684" s="2" t="s">
        <v>97</v>
      </c>
      <c r="BW2684" s="2" t="s">
        <v>100</v>
      </c>
      <c r="BX2684" s="2" t="s">
        <v>100</v>
      </c>
      <c r="BY2684" s="2" t="s">
        <v>112</v>
      </c>
      <c r="BZ2684" s="2" t="s">
        <v>100</v>
      </c>
    </row>
    <row r="2685">
      <c r="A2685" s="2" t="s">
        <v>9962</v>
      </c>
      <c r="B2685" s="2" t="s">
        <v>7252</v>
      </c>
      <c r="C2685" s="2" t="s">
        <v>4677</v>
      </c>
      <c r="D2685" s="2" t="s">
        <v>9299</v>
      </c>
      <c r="E2685" s="2" t="s">
        <v>9300</v>
      </c>
      <c r="F2685" s="2" t="s">
        <v>9707</v>
      </c>
      <c r="G2685" s="2" t="s">
        <v>100</v>
      </c>
      <c r="H2685" s="2" t="s">
        <v>100</v>
      </c>
      <c r="I2685" s="2" t="s">
        <v>9963</v>
      </c>
      <c r="J2685" s="2" t="s">
        <v>6103</v>
      </c>
      <c r="K2685" s="2" t="s">
        <v>9708</v>
      </c>
      <c r="L2685" s="3">
        <v>270</v>
      </c>
      <c r="M2685" s="3">
        <v>283.5</v>
      </c>
      <c r="N2685" s="3">
        <v>569</v>
      </c>
      <c r="O2685" s="2" t="s">
        <v>229</v>
      </c>
      <c r="P2685" s="2" t="s">
        <v>198</v>
      </c>
      <c r="Q2685" s="2" t="s">
        <v>99</v>
      </c>
      <c r="R2685" s="2" t="s">
        <v>100</v>
      </c>
      <c r="S2685" s="2" t="s">
        <v>9964</v>
      </c>
      <c r="T2685" s="2" t="s">
        <v>100</v>
      </c>
      <c r="U2685" s="2" t="s">
        <v>100</v>
      </c>
      <c r="V2685" s="2" t="s">
        <v>601</v>
      </c>
      <c r="W2685" s="2" t="s">
        <v>6998</v>
      </c>
      <c r="X2685" s="2" t="s">
        <v>100</v>
      </c>
      <c r="Y2685" s="2" t="s">
        <v>9710</v>
      </c>
      <c r="Z2685" s="4">
        <v>98</v>
      </c>
      <c r="AA2685" s="4">
        <f>=ROUNDDOWN(89.0909090909091,0)</f>
      </c>
      <c r="AB2685" s="5">
        <v>1.1</v>
      </c>
      <c r="AC2685" s="2" t="s">
        <v>100</v>
      </c>
      <c r="AD2685" s="4"/>
      <c r="AE2685" s="4"/>
      <c r="AF2685" s="6">
        <v>74</v>
      </c>
      <c r="AG2685" s="6">
        <v>60</v>
      </c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/>
      <c r="BD2685" s="8"/>
      <c r="BE2685" s="4"/>
      <c r="BF2685" s="8"/>
      <c r="BG2685" s="7"/>
      <c r="BH2685" s="7"/>
      <c r="BI2685" s="7"/>
      <c r="BJ2685" s="4">
        <v>31</v>
      </c>
      <c r="BK2685" s="8">
        <v>6251.51</v>
      </c>
      <c r="BL2685" s="2" t="s">
        <v>9965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147</v>
      </c>
      <c r="BV2685" s="2" t="s">
        <v>97</v>
      </c>
      <c r="BW2685" s="2" t="s">
        <v>100</v>
      </c>
      <c r="BX2685" s="2" t="s">
        <v>100</v>
      </c>
      <c r="BY2685" s="2" t="s">
        <v>112</v>
      </c>
      <c r="BZ2685" s="2" t="s">
        <v>100</v>
      </c>
    </row>
    <row r="2686">
      <c r="A2686" s="2" t="s">
        <v>9966</v>
      </c>
      <c r="B2686" s="2" t="s">
        <v>7252</v>
      </c>
      <c r="C2686" s="2" t="s">
        <v>4677</v>
      </c>
      <c r="D2686" s="2" t="s">
        <v>9266</v>
      </c>
      <c r="E2686" s="2" t="s">
        <v>9267</v>
      </c>
      <c r="F2686" s="2" t="s">
        <v>2958</v>
      </c>
      <c r="G2686" s="2" t="s">
        <v>2958</v>
      </c>
      <c r="H2686" s="2" t="s">
        <v>2958</v>
      </c>
      <c r="I2686" s="2" t="s">
        <v>9967</v>
      </c>
      <c r="J2686" s="2" t="s">
        <v>95</v>
      </c>
      <c r="K2686" s="2" t="s">
        <v>6549</v>
      </c>
      <c r="L2686" s="3">
        <v>552</v>
      </c>
      <c r="M2686" s="3">
        <v>579.6</v>
      </c>
      <c r="N2686" s="3">
        <v>1149</v>
      </c>
      <c r="O2686" s="2" t="s">
        <v>97</v>
      </c>
      <c r="P2686" s="2" t="s">
        <v>8446</v>
      </c>
      <c r="Q2686" s="2" t="s">
        <v>100</v>
      </c>
      <c r="R2686" s="2" t="s">
        <v>100</v>
      </c>
      <c r="S2686" s="2" t="s">
        <v>100</v>
      </c>
      <c r="T2686" s="2" t="s">
        <v>100</v>
      </c>
      <c r="U2686" s="2" t="s">
        <v>3531</v>
      </c>
      <c r="V2686" s="2" t="s">
        <v>601</v>
      </c>
      <c r="W2686" s="2" t="s">
        <v>602</v>
      </c>
      <c r="X2686" s="2" t="s">
        <v>759</v>
      </c>
      <c r="Y2686" s="2" t="s">
        <v>100</v>
      </c>
      <c r="Z2686" s="4"/>
      <c r="AA2686" s="4">
        <f>=ROUNDDOWN({0},0)</f>
      </c>
      <c r="AB2686" s="5"/>
      <c r="AC2686" s="2" t="s">
        <v>130</v>
      </c>
      <c r="AD2686" s="4">
        <v>142</v>
      </c>
      <c r="AE2686" s="4">
        <v>142</v>
      </c>
      <c r="AF2686" s="6">
        <v>74</v>
      </c>
      <c r="AG2686" s="6"/>
      <c r="AH2686" s="7">
        <v>0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/>
      <c r="BJ2686" s="4"/>
      <c r="BK2686" s="8"/>
      <c r="BL2686" s="2" t="s">
        <v>100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147</v>
      </c>
      <c r="BV2686" s="2" t="s">
        <v>97</v>
      </c>
      <c r="BW2686" s="2" t="s">
        <v>100</v>
      </c>
      <c r="BX2686" s="2" t="s">
        <v>100</v>
      </c>
      <c r="BY2686" s="2" t="s">
        <v>112</v>
      </c>
      <c r="BZ2686" s="2" t="s">
        <v>100</v>
      </c>
    </row>
    <row r="2687">
      <c r="A2687" s="2" t="s">
        <v>9968</v>
      </c>
      <c r="B2687" s="2" t="s">
        <v>7252</v>
      </c>
      <c r="C2687" s="2" t="s">
        <v>4677</v>
      </c>
      <c r="D2687" s="2" t="s">
        <v>9266</v>
      </c>
      <c r="E2687" s="2" t="s">
        <v>9267</v>
      </c>
      <c r="F2687" s="2" t="s">
        <v>2958</v>
      </c>
      <c r="G2687" s="2" t="s">
        <v>100</v>
      </c>
      <c r="H2687" s="2" t="s">
        <v>100</v>
      </c>
      <c r="I2687" s="2" t="s">
        <v>9969</v>
      </c>
      <c r="J2687" s="2" t="s">
        <v>95</v>
      </c>
      <c r="K2687" s="2" t="s">
        <v>8622</v>
      </c>
      <c r="L2687" s="3">
        <v>521.98</v>
      </c>
      <c r="M2687" s="3">
        <v>548.08</v>
      </c>
      <c r="N2687" s="3">
        <v>1099</v>
      </c>
      <c r="O2687" s="2" t="s">
        <v>97</v>
      </c>
      <c r="P2687" s="2" t="s">
        <v>182</v>
      </c>
      <c r="Q2687" s="2" t="s">
        <v>99</v>
      </c>
      <c r="R2687" s="2" t="s">
        <v>100</v>
      </c>
      <c r="S2687" s="2" t="s">
        <v>9970</v>
      </c>
      <c r="T2687" s="2" t="s">
        <v>100</v>
      </c>
      <c r="U2687" s="2" t="s">
        <v>100</v>
      </c>
      <c r="V2687" s="2" t="s">
        <v>601</v>
      </c>
      <c r="W2687" s="2" t="s">
        <v>2195</v>
      </c>
      <c r="X2687" s="2" t="s">
        <v>100</v>
      </c>
      <c r="Y2687" s="2" t="s">
        <v>106</v>
      </c>
      <c r="Z2687" s="4">
        <v>109</v>
      </c>
      <c r="AA2687" s="4">
        <f>=ROUNDDOWN(37.5862068965517,0)</f>
      </c>
      <c r="AB2687" s="5">
        <v>2.9</v>
      </c>
      <c r="AC2687" s="2" t="s">
        <v>9971</v>
      </c>
      <c r="AD2687" s="4">
        <v>60</v>
      </c>
      <c r="AE2687" s="4">
        <v>60</v>
      </c>
      <c r="AF2687" s="6">
        <v>74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/>
      <c r="BJ2687" s="4">
        <v>79</v>
      </c>
      <c r="BK2687" s="8">
        <v>37869.07</v>
      </c>
      <c r="BL2687" s="2" t="s">
        <v>9972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6185</v>
      </c>
      <c r="BV2687" s="2" t="s">
        <v>97</v>
      </c>
      <c r="BW2687" s="2" t="s">
        <v>100</v>
      </c>
      <c r="BX2687" s="2" t="s">
        <v>100</v>
      </c>
      <c r="BY2687" s="2" t="s">
        <v>112</v>
      </c>
      <c r="BZ2687" s="2" t="s">
        <v>100</v>
      </c>
    </row>
    <row r="2688">
      <c r="A2688" s="2" t="s">
        <v>9973</v>
      </c>
      <c r="B2688" s="2" t="s">
        <v>7252</v>
      </c>
      <c r="C2688" s="2" t="s">
        <v>4677</v>
      </c>
      <c r="D2688" s="2" t="s">
        <v>9266</v>
      </c>
      <c r="E2688" s="2" t="s">
        <v>9267</v>
      </c>
      <c r="F2688" s="2" t="s">
        <v>2958</v>
      </c>
      <c r="G2688" s="2" t="s">
        <v>100</v>
      </c>
      <c r="H2688" s="2" t="s">
        <v>100</v>
      </c>
      <c r="I2688" s="2" t="s">
        <v>9969</v>
      </c>
      <c r="J2688" s="2" t="s">
        <v>114</v>
      </c>
      <c r="K2688" s="2" t="s">
        <v>8622</v>
      </c>
      <c r="L2688" s="3">
        <v>574.7</v>
      </c>
      <c r="M2688" s="3">
        <v>603.44</v>
      </c>
      <c r="N2688" s="3">
        <v>1199</v>
      </c>
      <c r="O2688" s="2" t="s">
        <v>97</v>
      </c>
      <c r="P2688" s="2" t="s">
        <v>182</v>
      </c>
      <c r="Q2688" s="2" t="s">
        <v>99</v>
      </c>
      <c r="R2688" s="2" t="s">
        <v>100</v>
      </c>
      <c r="S2688" s="2" t="s">
        <v>9970</v>
      </c>
      <c r="T2688" s="2" t="s">
        <v>100</v>
      </c>
      <c r="U2688" s="2" t="s">
        <v>100</v>
      </c>
      <c r="V2688" s="2" t="s">
        <v>601</v>
      </c>
      <c r="W2688" s="2" t="s">
        <v>2195</v>
      </c>
      <c r="X2688" s="2" t="s">
        <v>100</v>
      </c>
      <c r="Y2688" s="2" t="s">
        <v>1298</v>
      </c>
      <c r="Z2688" s="4">
        <v>196</v>
      </c>
      <c r="AA2688" s="4">
        <f>=ROUNDDOWN(44.5454545454545,0)</f>
      </c>
      <c r="AB2688" s="5">
        <v>4.4</v>
      </c>
      <c r="AC2688" s="2" t="s">
        <v>9971</v>
      </c>
      <c r="AD2688" s="4">
        <v>15</v>
      </c>
      <c r="AE2688" s="4">
        <v>130</v>
      </c>
      <c r="AF2688" s="6">
        <v>74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/>
      <c r="BJ2688" s="4">
        <v>82</v>
      </c>
      <c r="BK2688" s="8">
        <v>47103.51</v>
      </c>
      <c r="BL2688" s="2" t="s">
        <v>9974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6185</v>
      </c>
      <c r="BV2688" s="2" t="s">
        <v>97</v>
      </c>
      <c r="BW2688" s="2" t="s">
        <v>100</v>
      </c>
      <c r="BX2688" s="2" t="s">
        <v>100</v>
      </c>
      <c r="BY2688" s="2" t="s">
        <v>112</v>
      </c>
      <c r="BZ2688" s="2" t="s">
        <v>100</v>
      </c>
    </row>
    <row r="2689">
      <c r="A2689" s="2" t="s">
        <v>9975</v>
      </c>
      <c r="B2689" s="2" t="s">
        <v>7252</v>
      </c>
      <c r="C2689" s="2" t="s">
        <v>4677</v>
      </c>
      <c r="D2689" s="2" t="s">
        <v>9266</v>
      </c>
      <c r="E2689" s="2" t="s">
        <v>9267</v>
      </c>
      <c r="F2689" s="2" t="s">
        <v>9815</v>
      </c>
      <c r="G2689" s="2" t="s">
        <v>9815</v>
      </c>
      <c r="H2689" s="2" t="s">
        <v>9815</v>
      </c>
      <c r="I2689" s="2" t="s">
        <v>9976</v>
      </c>
      <c r="J2689" s="2" t="s">
        <v>6103</v>
      </c>
      <c r="K2689" s="2" t="s">
        <v>123</v>
      </c>
      <c r="L2689" s="3">
        <v>430</v>
      </c>
      <c r="M2689" s="3">
        <v>451.5</v>
      </c>
      <c r="N2689" s="3">
        <v>899</v>
      </c>
      <c r="O2689" s="2" t="s">
        <v>97</v>
      </c>
      <c r="P2689" s="2" t="s">
        <v>1166</v>
      </c>
      <c r="Q2689" s="2" t="s">
        <v>99</v>
      </c>
      <c r="R2689" s="2" t="s">
        <v>100</v>
      </c>
      <c r="S2689" s="2" t="s">
        <v>100</v>
      </c>
      <c r="T2689" s="2" t="s">
        <v>100</v>
      </c>
      <c r="U2689" s="2" t="s">
        <v>3531</v>
      </c>
      <c r="V2689" s="2" t="s">
        <v>1752</v>
      </c>
      <c r="W2689" s="2" t="s">
        <v>2195</v>
      </c>
      <c r="X2689" s="2" t="s">
        <v>602</v>
      </c>
      <c r="Y2689" s="2" t="s">
        <v>9977</v>
      </c>
      <c r="Z2689" s="4">
        <v>121</v>
      </c>
      <c r="AA2689" s="4">
        <f>=ROUNDDOWN(242,0)</f>
      </c>
      <c r="AB2689" s="5">
        <v>0.5</v>
      </c>
      <c r="AC2689" s="2" t="s">
        <v>100</v>
      </c>
      <c r="AD2689" s="4"/>
      <c r="AE2689" s="4"/>
      <c r="AF2689" s="6">
        <v>74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/>
      <c r="BD2689" s="8"/>
      <c r="BE2689" s="4"/>
      <c r="BF2689" s="8"/>
      <c r="BG2689" s="7"/>
      <c r="BH2689" s="7"/>
      <c r="BI2689" s="7"/>
      <c r="BJ2689" s="4">
        <v>12</v>
      </c>
      <c r="BK2689" s="8">
        <v>5574.14</v>
      </c>
      <c r="BL2689" s="2" t="s">
        <v>9978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6185</v>
      </c>
      <c r="BV2689" s="2" t="s">
        <v>97</v>
      </c>
      <c r="BW2689" s="2" t="s">
        <v>100</v>
      </c>
      <c r="BX2689" s="2" t="s">
        <v>100</v>
      </c>
      <c r="BY2689" s="2" t="s">
        <v>112</v>
      </c>
      <c r="BZ2689" s="2" t="s">
        <v>100</v>
      </c>
    </row>
    <row r="2690">
      <c r="A2690" s="2" t="s">
        <v>9979</v>
      </c>
      <c r="B2690" s="2" t="s">
        <v>7252</v>
      </c>
      <c r="C2690" s="2" t="s">
        <v>4677</v>
      </c>
      <c r="D2690" s="2" t="s">
        <v>9266</v>
      </c>
      <c r="E2690" s="2" t="s">
        <v>9267</v>
      </c>
      <c r="F2690" s="2" t="s">
        <v>2312</v>
      </c>
      <c r="G2690" s="2" t="s">
        <v>2312</v>
      </c>
      <c r="H2690" s="2" t="s">
        <v>2312</v>
      </c>
      <c r="I2690" s="2" t="s">
        <v>9980</v>
      </c>
      <c r="J2690" s="2" t="s">
        <v>95</v>
      </c>
      <c r="K2690" s="2" t="s">
        <v>9203</v>
      </c>
      <c r="L2690" s="3">
        <v>370</v>
      </c>
      <c r="M2690" s="3">
        <v>388.5</v>
      </c>
      <c r="N2690" s="3">
        <v>769</v>
      </c>
      <c r="O2690" s="2" t="s">
        <v>97</v>
      </c>
      <c r="P2690" s="2" t="s">
        <v>198</v>
      </c>
      <c r="Q2690" s="2" t="s">
        <v>99</v>
      </c>
      <c r="R2690" s="2" t="s">
        <v>100</v>
      </c>
      <c r="S2690" s="2" t="s">
        <v>100</v>
      </c>
      <c r="T2690" s="2" t="s">
        <v>100</v>
      </c>
      <c r="U2690" s="2" t="s">
        <v>3531</v>
      </c>
      <c r="V2690" s="2" t="s">
        <v>1752</v>
      </c>
      <c r="W2690" s="2" t="s">
        <v>2195</v>
      </c>
      <c r="X2690" s="2" t="s">
        <v>2195</v>
      </c>
      <c r="Y2690" s="2" t="s">
        <v>2979</v>
      </c>
      <c r="Z2690" s="4">
        <v>68</v>
      </c>
      <c r="AA2690" s="4">
        <f>=ROUNDDOWN(340,0)</f>
      </c>
      <c r="AB2690" s="5">
        <v>0.2</v>
      </c>
      <c r="AC2690" s="2" t="s">
        <v>100</v>
      </c>
      <c r="AD2690" s="4"/>
      <c r="AE2690" s="4"/>
      <c r="AF2690" s="6">
        <v>74</v>
      </c>
      <c r="AG2690" s="6"/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/>
      <c r="BD2690" s="8"/>
      <c r="BE2690" s="4"/>
      <c r="BF2690" s="8"/>
      <c r="BG2690" s="7"/>
      <c r="BH2690" s="7"/>
      <c r="BI2690" s="7"/>
      <c r="BJ2690" s="4">
        <v>3</v>
      </c>
      <c r="BK2690" s="8">
        <v>909.1</v>
      </c>
      <c r="BL2690" s="2" t="s">
        <v>7682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147</v>
      </c>
      <c r="BV2690" s="2" t="s">
        <v>97</v>
      </c>
      <c r="BW2690" s="2" t="s">
        <v>100</v>
      </c>
      <c r="BX2690" s="2" t="s">
        <v>100</v>
      </c>
      <c r="BY2690" s="2" t="s">
        <v>112</v>
      </c>
      <c r="BZ2690" s="2" t="s">
        <v>100</v>
      </c>
    </row>
    <row r="2691">
      <c r="A2691" s="2" t="s">
        <v>9981</v>
      </c>
      <c r="B2691" s="2" t="s">
        <v>7252</v>
      </c>
      <c r="C2691" s="2" t="s">
        <v>4677</v>
      </c>
      <c r="D2691" s="2" t="s">
        <v>9266</v>
      </c>
      <c r="E2691" s="2" t="s">
        <v>9267</v>
      </c>
      <c r="F2691" s="2" t="s">
        <v>9826</v>
      </c>
      <c r="G2691" s="2" t="s">
        <v>9826</v>
      </c>
      <c r="H2691" s="2" t="s">
        <v>9826</v>
      </c>
      <c r="I2691" s="2" t="s">
        <v>9982</v>
      </c>
      <c r="J2691" s="2" t="s">
        <v>95</v>
      </c>
      <c r="K2691" s="2" t="s">
        <v>323</v>
      </c>
      <c r="L2691" s="3">
        <v>390</v>
      </c>
      <c r="M2691" s="3">
        <v>409.5</v>
      </c>
      <c r="N2691" s="3">
        <v>829</v>
      </c>
      <c r="O2691" s="2" t="s">
        <v>97</v>
      </c>
      <c r="P2691" s="2" t="s">
        <v>1265</v>
      </c>
      <c r="Q2691" s="2" t="s">
        <v>99</v>
      </c>
      <c r="R2691" s="2" t="s">
        <v>100</v>
      </c>
      <c r="S2691" s="2" t="s">
        <v>100</v>
      </c>
      <c r="T2691" s="2" t="s">
        <v>100</v>
      </c>
      <c r="U2691" s="2" t="s">
        <v>100</v>
      </c>
      <c r="V2691" s="2" t="s">
        <v>1752</v>
      </c>
      <c r="W2691" s="2" t="s">
        <v>602</v>
      </c>
      <c r="X2691" s="2" t="s">
        <v>100</v>
      </c>
      <c r="Y2691" s="2" t="s">
        <v>508</v>
      </c>
      <c r="Z2691" s="4">
        <v>86</v>
      </c>
      <c r="AA2691" s="4">
        <f>=ROUNDDOWN(286.666666666667,0)</f>
      </c>
      <c r="AB2691" s="5">
        <v>0.3</v>
      </c>
      <c r="AC2691" s="2" t="s">
        <v>100</v>
      </c>
      <c r="AD2691" s="4"/>
      <c r="AE2691" s="4"/>
      <c r="AF2691" s="6">
        <v>74</v>
      </c>
      <c r="AG2691" s="6"/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/>
      <c r="BD2691" s="8"/>
      <c r="BE2691" s="4"/>
      <c r="BF2691" s="8"/>
      <c r="BG2691" s="7"/>
      <c r="BH2691" s="7"/>
      <c r="BI2691" s="7"/>
      <c r="BJ2691" s="4">
        <v>6</v>
      </c>
      <c r="BK2691" s="8">
        <v>2604.41</v>
      </c>
      <c r="BL2691" s="2" t="s">
        <v>9616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6185</v>
      </c>
      <c r="BV2691" s="2" t="s">
        <v>97</v>
      </c>
      <c r="BW2691" s="2" t="s">
        <v>100</v>
      </c>
      <c r="BX2691" s="2" t="s">
        <v>100</v>
      </c>
      <c r="BY2691" s="2" t="s">
        <v>112</v>
      </c>
      <c r="BZ2691" s="2" t="s">
        <v>100</v>
      </c>
    </row>
    <row r="2692">
      <c r="A2692" s="2" t="s">
        <v>9983</v>
      </c>
      <c r="B2692" s="2" t="s">
        <v>7252</v>
      </c>
      <c r="C2692" s="2" t="s">
        <v>4677</v>
      </c>
      <c r="D2692" s="2" t="s">
        <v>9205</v>
      </c>
      <c r="E2692" s="2" t="s">
        <v>9206</v>
      </c>
      <c r="F2692" s="2" t="s">
        <v>9667</v>
      </c>
      <c r="G2692" s="2" t="s">
        <v>9667</v>
      </c>
      <c r="H2692" s="2" t="s">
        <v>100</v>
      </c>
      <c r="I2692" s="2" t="s">
        <v>9206</v>
      </c>
      <c r="J2692" s="2" t="s">
        <v>6103</v>
      </c>
      <c r="K2692" s="2" t="s">
        <v>9795</v>
      </c>
      <c r="L2692" s="3">
        <v>310</v>
      </c>
      <c r="M2692" s="3">
        <v>325.5</v>
      </c>
      <c r="N2692" s="3">
        <v>649</v>
      </c>
      <c r="O2692" s="2" t="s">
        <v>229</v>
      </c>
      <c r="P2692" s="2" t="s">
        <v>198</v>
      </c>
      <c r="Q2692" s="2" t="s">
        <v>99</v>
      </c>
      <c r="R2692" s="2" t="s">
        <v>100</v>
      </c>
      <c r="S2692" s="2" t="s">
        <v>9984</v>
      </c>
      <c r="T2692" s="2" t="s">
        <v>100</v>
      </c>
      <c r="U2692" s="2" t="s">
        <v>100</v>
      </c>
      <c r="V2692" s="2" t="s">
        <v>601</v>
      </c>
      <c r="W2692" s="2" t="s">
        <v>6998</v>
      </c>
      <c r="X2692" s="2" t="s">
        <v>100</v>
      </c>
      <c r="Y2692" s="2" t="s">
        <v>106</v>
      </c>
      <c r="Z2692" s="4">
        <v>701</v>
      </c>
      <c r="AA2692" s="4">
        <f>=ROUNDDOWN(116.833333333333,0)</f>
      </c>
      <c r="AB2692" s="5">
        <v>6</v>
      </c>
      <c r="AC2692" s="2" t="s">
        <v>100</v>
      </c>
      <c r="AD2692" s="4"/>
      <c r="AE2692" s="4"/>
      <c r="AF2692" s="6">
        <v>74</v>
      </c>
      <c r="AG2692" s="6">
        <v>60</v>
      </c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100</v>
      </c>
      <c r="BD2692" s="8" t="s">
        <v>100</v>
      </c>
      <c r="BE2692" s="4">
        <v>10</v>
      </c>
      <c r="BF2692" s="8">
        <v>3465</v>
      </c>
      <c r="BG2692" s="7" t="s">
        <v>100</v>
      </c>
      <c r="BH2692" s="7" t="s">
        <v>100</v>
      </c>
      <c r="BI2692" s="7"/>
      <c r="BJ2692" s="4">
        <v>456</v>
      </c>
      <c r="BK2692" s="8">
        <v>92423.97</v>
      </c>
      <c r="BL2692" s="2" t="s">
        <v>9985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147</v>
      </c>
      <c r="BV2692" s="2" t="s">
        <v>97</v>
      </c>
      <c r="BW2692" s="2" t="s">
        <v>100</v>
      </c>
      <c r="BX2692" s="2" t="s">
        <v>100</v>
      </c>
      <c r="BY2692" s="2" t="s">
        <v>112</v>
      </c>
      <c r="BZ2692" s="2" t="s">
        <v>100</v>
      </c>
    </row>
    <row r="2693">
      <c r="A2693" s="2" t="s">
        <v>9986</v>
      </c>
      <c r="B2693" s="2" t="s">
        <v>7252</v>
      </c>
      <c r="C2693" s="2" t="s">
        <v>4677</v>
      </c>
      <c r="D2693" s="2" t="s">
        <v>9205</v>
      </c>
      <c r="E2693" s="2" t="s">
        <v>9206</v>
      </c>
      <c r="F2693" s="2" t="s">
        <v>9667</v>
      </c>
      <c r="G2693" s="2" t="s">
        <v>9667</v>
      </c>
      <c r="H2693" s="2" t="s">
        <v>9667</v>
      </c>
      <c r="I2693" s="2" t="s">
        <v>9206</v>
      </c>
      <c r="J2693" s="2" t="s">
        <v>6103</v>
      </c>
      <c r="K2693" s="2" t="s">
        <v>9721</v>
      </c>
      <c r="L2693" s="3">
        <v>310</v>
      </c>
      <c r="M2693" s="3">
        <v>325.5</v>
      </c>
      <c r="N2693" s="3">
        <v>649</v>
      </c>
      <c r="O2693" s="2" t="s">
        <v>550</v>
      </c>
      <c r="P2693" s="2" t="s">
        <v>198</v>
      </c>
      <c r="Q2693" s="2" t="s">
        <v>99</v>
      </c>
      <c r="R2693" s="2" t="s">
        <v>100</v>
      </c>
      <c r="S2693" s="2" t="s">
        <v>100</v>
      </c>
      <c r="T2693" s="2" t="s">
        <v>100</v>
      </c>
      <c r="U2693" s="2" t="s">
        <v>3531</v>
      </c>
      <c r="V2693" s="2" t="s">
        <v>601</v>
      </c>
      <c r="W2693" s="2" t="s">
        <v>6998</v>
      </c>
      <c r="X2693" s="2" t="s">
        <v>602</v>
      </c>
      <c r="Y2693" s="2" t="s">
        <v>9987</v>
      </c>
      <c r="Z2693" s="4"/>
      <c r="AA2693" s="4">
        <f>=ROUNDDOWN({0},0)</f>
      </c>
      <c r="AB2693" s="5">
        <v>0.2</v>
      </c>
      <c r="AC2693" s="2" t="s">
        <v>100</v>
      </c>
      <c r="AD2693" s="4"/>
      <c r="AE2693" s="4"/>
      <c r="AF2693" s="6">
        <v>74</v>
      </c>
      <c r="AG2693" s="6"/>
      <c r="AH2693" s="7">
        <v>0.5212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>
        <v>0</v>
      </c>
      <c r="AP2693" s="4"/>
      <c r="AQ2693" s="8"/>
      <c r="AR2693" s="4">
        <v>10</v>
      </c>
      <c r="AS2693" s="8">
        <v>3465</v>
      </c>
      <c r="AT2693" s="7">
        <v>-1</v>
      </c>
      <c r="AU2693" s="7">
        <v>-1</v>
      </c>
      <c r="AV2693" s="4"/>
      <c r="AW2693" s="8"/>
      <c r="AX2693" s="4">
        <v>10</v>
      </c>
      <c r="AY2693" s="8">
        <v>3465</v>
      </c>
      <c r="AZ2693" s="7">
        <v>-1</v>
      </c>
      <c r="BA2693" s="7">
        <v>-1</v>
      </c>
      <c r="BB2693" s="7"/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/>
      <c r="BJ2693" s="4"/>
      <c r="BK2693" s="8"/>
      <c r="BL2693" s="2" t="s">
        <v>9988</v>
      </c>
      <c r="BM2693" s="7"/>
      <c r="BN2693" s="7"/>
      <c r="BO2693" s="4"/>
      <c r="BP2693" s="8"/>
      <c r="BQ2693" s="4">
        <v>10</v>
      </c>
      <c r="BR2693" s="8">
        <v>3465</v>
      </c>
      <c r="BS2693" s="7">
        <v>-1</v>
      </c>
      <c r="BT2693" s="7">
        <v>-1</v>
      </c>
      <c r="BU2693" s="2" t="s">
        <v>109</v>
      </c>
      <c r="BV2693" s="2" t="s">
        <v>552</v>
      </c>
      <c r="BW2693" s="2" t="s">
        <v>573</v>
      </c>
      <c r="BX2693" s="2" t="s">
        <v>2686</v>
      </c>
      <c r="BY2693" s="2" t="s">
        <v>112</v>
      </c>
      <c r="BZ2693" s="2" t="s">
        <v>100</v>
      </c>
    </row>
    <row r="2694">
      <c r="A2694" s="2" t="s">
        <v>9989</v>
      </c>
      <c r="B2694" s="2" t="s">
        <v>7252</v>
      </c>
      <c r="C2694" s="2" t="s">
        <v>4677</v>
      </c>
      <c r="D2694" s="2" t="s">
        <v>9205</v>
      </c>
      <c r="E2694" s="2" t="s">
        <v>9206</v>
      </c>
      <c r="F2694" s="2" t="s">
        <v>9667</v>
      </c>
      <c r="G2694" s="2" t="s">
        <v>9667</v>
      </c>
      <c r="H2694" s="2" t="s">
        <v>9667</v>
      </c>
      <c r="I2694" s="2" t="s">
        <v>9206</v>
      </c>
      <c r="J2694" s="2" t="s">
        <v>6103</v>
      </c>
      <c r="K2694" s="2" t="s">
        <v>9643</v>
      </c>
      <c r="L2694" s="3">
        <v>310</v>
      </c>
      <c r="M2694" s="3">
        <v>325.5</v>
      </c>
      <c r="N2694" s="3">
        <v>649</v>
      </c>
      <c r="O2694" s="2" t="s">
        <v>229</v>
      </c>
      <c r="P2694" s="2" t="s">
        <v>198</v>
      </c>
      <c r="Q2694" s="2" t="s">
        <v>99</v>
      </c>
      <c r="R2694" s="2" t="s">
        <v>100</v>
      </c>
      <c r="S2694" s="2" t="s">
        <v>100</v>
      </c>
      <c r="T2694" s="2" t="s">
        <v>100</v>
      </c>
      <c r="U2694" s="2" t="s">
        <v>3531</v>
      </c>
      <c r="V2694" s="2" t="s">
        <v>601</v>
      </c>
      <c r="W2694" s="2" t="s">
        <v>6998</v>
      </c>
      <c r="X2694" s="2" t="s">
        <v>602</v>
      </c>
      <c r="Y2694" s="2" t="s">
        <v>8115</v>
      </c>
      <c r="Z2694" s="4">
        <v>114</v>
      </c>
      <c r="AA2694" s="4">
        <f>=ROUNDDOWN(21.1111111111111,0)</f>
      </c>
      <c r="AB2694" s="5">
        <v>5.4</v>
      </c>
      <c r="AC2694" s="2" t="s">
        <v>100</v>
      </c>
      <c r="AD2694" s="4"/>
      <c r="AE2694" s="4"/>
      <c r="AF2694" s="6">
        <v>74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/>
      <c r="AW2694" s="8"/>
      <c r="AX2694" s="4"/>
      <c r="AY2694" s="8"/>
      <c r="AZ2694" s="7"/>
      <c r="BA2694" s="7"/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/>
      <c r="BJ2694" s="4">
        <v>104</v>
      </c>
      <c r="BK2694" s="8">
        <v>21624.2</v>
      </c>
      <c r="BL2694" s="2" t="s">
        <v>9990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147</v>
      </c>
      <c r="BV2694" s="2" t="s">
        <v>97</v>
      </c>
      <c r="BW2694" s="2" t="s">
        <v>100</v>
      </c>
      <c r="BX2694" s="2" t="s">
        <v>100</v>
      </c>
      <c r="BY2694" s="2" t="s">
        <v>112</v>
      </c>
      <c r="BZ2694" s="2" t="s">
        <v>100</v>
      </c>
    </row>
    <row r="2695">
      <c r="A2695" s="2" t="s">
        <v>9991</v>
      </c>
      <c r="B2695" s="2" t="s">
        <v>7252</v>
      </c>
      <c r="C2695" s="2" t="s">
        <v>4677</v>
      </c>
      <c r="D2695" s="2" t="s">
        <v>9247</v>
      </c>
      <c r="E2695" s="2" t="s">
        <v>9248</v>
      </c>
      <c r="F2695" s="2" t="s">
        <v>9416</v>
      </c>
      <c r="G2695" s="2" t="s">
        <v>9416</v>
      </c>
      <c r="H2695" s="2" t="s">
        <v>9416</v>
      </c>
      <c r="I2695" s="2" t="s">
        <v>9992</v>
      </c>
      <c r="J2695" s="2" t="s">
        <v>6103</v>
      </c>
      <c r="K2695" s="2" t="s">
        <v>158</v>
      </c>
      <c r="L2695" s="3">
        <v>230.85</v>
      </c>
      <c r="M2695" s="3">
        <v>242.39</v>
      </c>
      <c r="N2695" s="3">
        <v>479</v>
      </c>
      <c r="O2695" s="2" t="s">
        <v>97</v>
      </c>
      <c r="P2695" s="2" t="s">
        <v>1265</v>
      </c>
      <c r="Q2695" s="2" t="s">
        <v>99</v>
      </c>
      <c r="R2695" s="2" t="s">
        <v>100</v>
      </c>
      <c r="S2695" s="2" t="s">
        <v>9993</v>
      </c>
      <c r="T2695" s="2" t="s">
        <v>100</v>
      </c>
      <c r="U2695" s="2" t="s">
        <v>100</v>
      </c>
      <c r="V2695" s="2" t="s">
        <v>601</v>
      </c>
      <c r="W2695" s="2" t="s">
        <v>6998</v>
      </c>
      <c r="X2695" s="2" t="s">
        <v>100</v>
      </c>
      <c r="Y2695" s="2" t="s">
        <v>9994</v>
      </c>
      <c r="Z2695" s="4">
        <v>58</v>
      </c>
      <c r="AA2695" s="4">
        <f>=ROUNDDOWN(14.5,0)</f>
      </c>
      <c r="AB2695" s="5">
        <v>4</v>
      </c>
      <c r="AC2695" s="2" t="s">
        <v>4396</v>
      </c>
      <c r="AD2695" s="4">
        <v>72</v>
      </c>
      <c r="AE2695" s="4">
        <v>100</v>
      </c>
      <c r="AF2695" s="6">
        <v>66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>
        <v>0</v>
      </c>
      <c r="AP2695" s="4"/>
      <c r="AQ2695" s="8"/>
      <c r="AR2695" s="4">
        <v>1</v>
      </c>
      <c r="AS2695" s="8">
        <v>299.25</v>
      </c>
      <c r="AT2695" s="7">
        <v>-1</v>
      </c>
      <c r="AU2695" s="7">
        <v>-1</v>
      </c>
      <c r="AV2695" s="4"/>
      <c r="AW2695" s="8"/>
      <c r="AX2695" s="4">
        <v>1</v>
      </c>
      <c r="AY2695" s="8">
        <v>299.25</v>
      </c>
      <c r="AZ2695" s="7">
        <v>-1</v>
      </c>
      <c r="BA2695" s="7">
        <v>-1</v>
      </c>
      <c r="BB2695" s="7"/>
      <c r="BC2695" s="4" t="s">
        <v>100</v>
      </c>
      <c r="BD2695" s="8" t="s">
        <v>100</v>
      </c>
      <c r="BE2695" s="4">
        <v>1</v>
      </c>
      <c r="BF2695" s="8">
        <v>299.25</v>
      </c>
      <c r="BG2695" s="7" t="s">
        <v>100</v>
      </c>
      <c r="BH2695" s="7" t="s">
        <v>100</v>
      </c>
      <c r="BI2695" s="7"/>
      <c r="BJ2695" s="4">
        <v>97</v>
      </c>
      <c r="BK2695" s="8">
        <v>20860.23</v>
      </c>
      <c r="BL2695" s="2" t="s">
        <v>9995</v>
      </c>
      <c r="BM2695" s="7"/>
      <c r="BN2695" s="7"/>
      <c r="BO2695" s="4"/>
      <c r="BP2695" s="8"/>
      <c r="BQ2695" s="4">
        <v>1</v>
      </c>
      <c r="BR2695" s="8">
        <v>299.25</v>
      </c>
      <c r="BS2695" s="7">
        <v>-1</v>
      </c>
      <c r="BT2695" s="7">
        <v>-1</v>
      </c>
      <c r="BU2695" s="2" t="s">
        <v>109</v>
      </c>
      <c r="BV2695" s="2" t="s">
        <v>97</v>
      </c>
      <c r="BW2695" s="2" t="s">
        <v>1733</v>
      </c>
      <c r="BX2695" s="2" t="s">
        <v>9996</v>
      </c>
      <c r="BY2695" s="2" t="s">
        <v>112</v>
      </c>
      <c r="BZ2695" s="2" t="s">
        <v>100</v>
      </c>
    </row>
    <row r="2696">
      <c r="A2696" s="2" t="s">
        <v>9997</v>
      </c>
      <c r="B2696" s="2" t="s">
        <v>7252</v>
      </c>
      <c r="C2696" s="2" t="s">
        <v>4677</v>
      </c>
      <c r="D2696" s="2" t="s">
        <v>9247</v>
      </c>
      <c r="E2696" s="2" t="s">
        <v>9248</v>
      </c>
      <c r="F2696" s="2" t="s">
        <v>9416</v>
      </c>
      <c r="G2696" s="2" t="s">
        <v>9416</v>
      </c>
      <c r="H2696" s="2" t="s">
        <v>100</v>
      </c>
      <c r="I2696" s="2" t="s">
        <v>9992</v>
      </c>
      <c r="J2696" s="2" t="s">
        <v>6103</v>
      </c>
      <c r="K2696" s="2" t="s">
        <v>1828</v>
      </c>
      <c r="L2696" s="3">
        <v>230.85</v>
      </c>
      <c r="M2696" s="3">
        <v>242.39</v>
      </c>
      <c r="N2696" s="3">
        <v>479</v>
      </c>
      <c r="O2696" s="2" t="s">
        <v>97</v>
      </c>
      <c r="P2696" s="2" t="s">
        <v>198</v>
      </c>
      <c r="Q2696" s="2" t="s">
        <v>99</v>
      </c>
      <c r="R2696" s="2" t="s">
        <v>100</v>
      </c>
      <c r="S2696" s="2" t="s">
        <v>9998</v>
      </c>
      <c r="T2696" s="2" t="s">
        <v>100</v>
      </c>
      <c r="U2696" s="2" t="s">
        <v>100</v>
      </c>
      <c r="V2696" s="2" t="s">
        <v>601</v>
      </c>
      <c r="W2696" s="2" t="s">
        <v>2195</v>
      </c>
      <c r="X2696" s="2" t="s">
        <v>100</v>
      </c>
      <c r="Y2696" s="2" t="s">
        <v>106</v>
      </c>
      <c r="Z2696" s="4">
        <v>13</v>
      </c>
      <c r="AA2696" s="4">
        <f>=ROUNDDOWN(6.5,0)</f>
      </c>
      <c r="AB2696" s="5">
        <v>2</v>
      </c>
      <c r="AC2696" s="2" t="s">
        <v>100</v>
      </c>
      <c r="AD2696" s="4"/>
      <c r="AE2696" s="4"/>
      <c r="AF2696" s="6">
        <v>65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/>
      <c r="AW2696" s="8"/>
      <c r="AX2696" s="4"/>
      <c r="AY2696" s="8"/>
      <c r="AZ2696" s="7"/>
      <c r="BA2696" s="7"/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/>
      <c r="BJ2696" s="4">
        <v>69</v>
      </c>
      <c r="BK2696" s="8">
        <v>14632.94</v>
      </c>
      <c r="BL2696" s="2" t="s">
        <v>9635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7683</v>
      </c>
      <c r="BV2696" s="2" t="s">
        <v>97</v>
      </c>
      <c r="BW2696" s="2" t="s">
        <v>100</v>
      </c>
      <c r="BX2696" s="2" t="s">
        <v>100</v>
      </c>
      <c r="BY2696" s="2" t="s">
        <v>112</v>
      </c>
      <c r="BZ2696" s="2" t="s">
        <v>100</v>
      </c>
    </row>
    <row r="2697">
      <c r="A2697" s="2" t="s">
        <v>9999</v>
      </c>
      <c r="B2697" s="2" t="s">
        <v>7252</v>
      </c>
      <c r="C2697" s="2" t="s">
        <v>4677</v>
      </c>
      <c r="D2697" s="2" t="s">
        <v>8158</v>
      </c>
      <c r="E2697" s="2" t="s">
        <v>8159</v>
      </c>
      <c r="F2697" s="2" t="s">
        <v>10000</v>
      </c>
      <c r="G2697" s="2" t="s">
        <v>10000</v>
      </c>
      <c r="H2697" s="2" t="s">
        <v>10000</v>
      </c>
      <c r="I2697" s="2" t="s">
        <v>8265</v>
      </c>
      <c r="J2697" s="2" t="s">
        <v>6103</v>
      </c>
      <c r="K2697" s="2" t="s">
        <v>1412</v>
      </c>
      <c r="L2697" s="3">
        <v>213.75</v>
      </c>
      <c r="M2697" s="3">
        <v>224.44</v>
      </c>
      <c r="N2697" s="3">
        <v>449</v>
      </c>
      <c r="O2697" s="2" t="s">
        <v>97</v>
      </c>
      <c r="P2697" s="2" t="s">
        <v>182</v>
      </c>
      <c r="Q2697" s="2" t="s">
        <v>99</v>
      </c>
      <c r="R2697" s="2" t="s">
        <v>100</v>
      </c>
      <c r="S2697" s="2" t="s">
        <v>100</v>
      </c>
      <c r="T2697" s="2" t="s">
        <v>100</v>
      </c>
      <c r="U2697" s="2" t="s">
        <v>3531</v>
      </c>
      <c r="V2697" s="2" t="s">
        <v>1752</v>
      </c>
      <c r="W2697" s="2" t="s">
        <v>104</v>
      </c>
      <c r="X2697" s="2" t="s">
        <v>759</v>
      </c>
      <c r="Y2697" s="2" t="s">
        <v>3373</v>
      </c>
      <c r="Z2697" s="4">
        <v>158</v>
      </c>
      <c r="AA2697" s="4">
        <f>=ROUNDDOWN(52.6666666666667,0)</f>
      </c>
      <c r="AB2697" s="5">
        <v>3</v>
      </c>
      <c r="AC2697" s="2" t="s">
        <v>100</v>
      </c>
      <c r="AD2697" s="4"/>
      <c r="AE2697" s="4"/>
      <c r="AF2697" s="6">
        <v>74</v>
      </c>
      <c r="AG2697" s="6"/>
      <c r="AH2697" s="7">
        <v>0.8061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/>
      <c r="BJ2697" s="4">
        <v>56</v>
      </c>
      <c r="BK2697" s="8">
        <v>12168.14</v>
      </c>
      <c r="BL2697" s="2" t="s">
        <v>10001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6185</v>
      </c>
      <c r="BV2697" s="2" t="s">
        <v>97</v>
      </c>
      <c r="BW2697" s="2" t="s">
        <v>100</v>
      </c>
      <c r="BX2697" s="2" t="s">
        <v>100</v>
      </c>
      <c r="BY2697" s="2" t="s">
        <v>112</v>
      </c>
      <c r="BZ2697" s="2" t="s">
        <v>100</v>
      </c>
    </row>
    <row r="2698">
      <c r="A2698" s="2" t="s">
        <v>10002</v>
      </c>
      <c r="B2698" s="2" t="s">
        <v>7252</v>
      </c>
      <c r="C2698" s="2" t="s">
        <v>4677</v>
      </c>
      <c r="D2698" s="2" t="s">
        <v>8158</v>
      </c>
      <c r="E2698" s="2" t="s">
        <v>8159</v>
      </c>
      <c r="F2698" s="2" t="s">
        <v>10000</v>
      </c>
      <c r="G2698" s="2" t="s">
        <v>10000</v>
      </c>
      <c r="H2698" s="2" t="s">
        <v>10000</v>
      </c>
      <c r="I2698" s="2" t="s">
        <v>8265</v>
      </c>
      <c r="J2698" s="2" t="s">
        <v>6103</v>
      </c>
      <c r="K2698" s="2" t="s">
        <v>8174</v>
      </c>
      <c r="L2698" s="3">
        <v>213.75</v>
      </c>
      <c r="M2698" s="3">
        <v>224.44</v>
      </c>
      <c r="N2698" s="3">
        <v>449</v>
      </c>
      <c r="O2698" s="2" t="s">
        <v>97</v>
      </c>
      <c r="P2698" s="2" t="s">
        <v>1166</v>
      </c>
      <c r="Q2698" s="2" t="s">
        <v>99</v>
      </c>
      <c r="R2698" s="2" t="s">
        <v>100</v>
      </c>
      <c r="S2698" s="2" t="s">
        <v>100</v>
      </c>
      <c r="T2698" s="2" t="s">
        <v>100</v>
      </c>
      <c r="U2698" s="2" t="s">
        <v>3531</v>
      </c>
      <c r="V2698" s="2" t="s">
        <v>1752</v>
      </c>
      <c r="W2698" s="2" t="s">
        <v>104</v>
      </c>
      <c r="X2698" s="2" t="s">
        <v>759</v>
      </c>
      <c r="Y2698" s="2" t="s">
        <v>5756</v>
      </c>
      <c r="Z2698" s="4">
        <v>108</v>
      </c>
      <c r="AA2698" s="4">
        <f>=ROUNDDOWN(54,0)</f>
      </c>
      <c r="AB2698" s="5">
        <v>2</v>
      </c>
      <c r="AC2698" s="2" t="s">
        <v>100</v>
      </c>
      <c r="AD2698" s="4"/>
      <c r="AE2698" s="4"/>
      <c r="AF2698" s="6">
        <v>74</v>
      </c>
      <c r="AG2698" s="6"/>
      <c r="AH2698" s="7">
        <v>0.8037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/>
      <c r="BJ2698" s="4">
        <v>12</v>
      </c>
      <c r="BK2698" s="8">
        <v>2457.34</v>
      </c>
      <c r="BL2698" s="2" t="s">
        <v>5499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147</v>
      </c>
      <c r="BV2698" s="2" t="s">
        <v>97</v>
      </c>
      <c r="BW2698" s="2" t="s">
        <v>100</v>
      </c>
      <c r="BX2698" s="2" t="s">
        <v>100</v>
      </c>
      <c r="BY2698" s="2" t="s">
        <v>112</v>
      </c>
      <c r="BZ2698" s="2" t="s">
        <v>100</v>
      </c>
    </row>
    <row r="2699">
      <c r="A2699" s="2" t="s">
        <v>10003</v>
      </c>
      <c r="B2699" s="2" t="s">
        <v>7252</v>
      </c>
      <c r="C2699" s="2" t="s">
        <v>4677</v>
      </c>
      <c r="D2699" s="2" t="s">
        <v>8158</v>
      </c>
      <c r="E2699" s="2" t="s">
        <v>8159</v>
      </c>
      <c r="F2699" s="2" t="s">
        <v>10000</v>
      </c>
      <c r="G2699" s="2" t="s">
        <v>10000</v>
      </c>
      <c r="H2699" s="2" t="s">
        <v>10000</v>
      </c>
      <c r="I2699" s="2" t="s">
        <v>8265</v>
      </c>
      <c r="J2699" s="2" t="s">
        <v>6103</v>
      </c>
      <c r="K2699" s="2" t="s">
        <v>2367</v>
      </c>
      <c r="L2699" s="3">
        <v>213.75</v>
      </c>
      <c r="M2699" s="3">
        <v>224.44</v>
      </c>
      <c r="N2699" s="3">
        <v>449</v>
      </c>
      <c r="O2699" s="2" t="s">
        <v>97</v>
      </c>
      <c r="P2699" s="2" t="s">
        <v>1166</v>
      </c>
      <c r="Q2699" s="2" t="s">
        <v>99</v>
      </c>
      <c r="R2699" s="2" t="s">
        <v>100</v>
      </c>
      <c r="S2699" s="2" t="s">
        <v>100</v>
      </c>
      <c r="T2699" s="2" t="s">
        <v>100</v>
      </c>
      <c r="U2699" s="2" t="s">
        <v>3531</v>
      </c>
      <c r="V2699" s="2" t="s">
        <v>1752</v>
      </c>
      <c r="W2699" s="2" t="s">
        <v>104</v>
      </c>
      <c r="X2699" s="2" t="s">
        <v>759</v>
      </c>
      <c r="Y2699" s="2" t="s">
        <v>4814</v>
      </c>
      <c r="Z2699" s="4">
        <v>94</v>
      </c>
      <c r="AA2699" s="4">
        <f>=ROUNDDOWN(31.3333333333333,0)</f>
      </c>
      <c r="AB2699" s="5">
        <v>3</v>
      </c>
      <c r="AC2699" s="2" t="s">
        <v>100</v>
      </c>
      <c r="AD2699" s="4"/>
      <c r="AE2699" s="4"/>
      <c r="AF2699" s="6">
        <v>74</v>
      </c>
      <c r="AG2699" s="6"/>
      <c r="AH2699" s="7">
        <v>0.914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/>
      <c r="BJ2699" s="4">
        <v>25</v>
      </c>
      <c r="BK2699" s="8">
        <v>5086.75</v>
      </c>
      <c r="BL2699" s="2" t="s">
        <v>10004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147</v>
      </c>
      <c r="BV2699" s="2" t="s">
        <v>97</v>
      </c>
      <c r="BW2699" s="2" t="s">
        <v>100</v>
      </c>
      <c r="BX2699" s="2" t="s">
        <v>100</v>
      </c>
      <c r="BY2699" s="2" t="s">
        <v>112</v>
      </c>
      <c r="BZ2699" s="2" t="s">
        <v>100</v>
      </c>
    </row>
    <row r="2700">
      <c r="A2700" s="2" t="s">
        <v>10005</v>
      </c>
      <c r="B2700" s="2" t="s">
        <v>7252</v>
      </c>
      <c r="C2700" s="2" t="s">
        <v>4677</v>
      </c>
      <c r="D2700" s="2" t="s">
        <v>8158</v>
      </c>
      <c r="E2700" s="2" t="s">
        <v>8159</v>
      </c>
      <c r="F2700" s="2" t="s">
        <v>10006</v>
      </c>
      <c r="G2700" s="2" t="s">
        <v>10006</v>
      </c>
      <c r="H2700" s="2" t="s">
        <v>10006</v>
      </c>
      <c r="I2700" s="2" t="s">
        <v>10007</v>
      </c>
      <c r="J2700" s="2" t="s">
        <v>6103</v>
      </c>
      <c r="K2700" s="2" t="s">
        <v>2367</v>
      </c>
      <c r="L2700" s="3">
        <v>239</v>
      </c>
      <c r="M2700" s="3">
        <v>250.95</v>
      </c>
      <c r="N2700" s="3">
        <v>499</v>
      </c>
      <c r="O2700" s="2" t="s">
        <v>97</v>
      </c>
      <c r="P2700" s="2" t="s">
        <v>8446</v>
      </c>
      <c r="Q2700" s="2" t="s">
        <v>99</v>
      </c>
      <c r="R2700" s="2" t="s">
        <v>100</v>
      </c>
      <c r="S2700" s="2" t="s">
        <v>100</v>
      </c>
      <c r="T2700" s="2" t="s">
        <v>100</v>
      </c>
      <c r="U2700" s="2" t="s">
        <v>3531</v>
      </c>
      <c r="V2700" s="2" t="s">
        <v>601</v>
      </c>
      <c r="W2700" s="2" t="s">
        <v>602</v>
      </c>
      <c r="X2700" s="2" t="s">
        <v>759</v>
      </c>
      <c r="Y2700" s="2" t="s">
        <v>100</v>
      </c>
      <c r="Z2700" s="4"/>
      <c r="AA2700" s="4">
        <f>=ROUNDDOWN({0},0)</f>
      </c>
      <c r="AB2700" s="5"/>
      <c r="AC2700" s="2" t="s">
        <v>9655</v>
      </c>
      <c r="AD2700" s="4">
        <v>71</v>
      </c>
      <c r="AE2700" s="4">
        <v>71</v>
      </c>
      <c r="AF2700" s="6">
        <v>74</v>
      </c>
      <c r="AG2700" s="6"/>
      <c r="AH2700" s="7">
        <v>0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/>
      <c r="BJ2700" s="4"/>
      <c r="BK2700" s="8"/>
      <c r="BL2700" s="2" t="s">
        <v>100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147</v>
      </c>
      <c r="BV2700" s="2" t="s">
        <v>97</v>
      </c>
      <c r="BW2700" s="2" t="s">
        <v>100</v>
      </c>
      <c r="BX2700" s="2" t="s">
        <v>100</v>
      </c>
      <c r="BY2700" s="2" t="s">
        <v>112</v>
      </c>
      <c r="BZ2700" s="2" t="s">
        <v>100</v>
      </c>
    </row>
    <row r="2701">
      <c r="A2701" s="2" t="s">
        <v>10008</v>
      </c>
      <c r="B2701" s="2" t="s">
        <v>7252</v>
      </c>
      <c r="C2701" s="2" t="s">
        <v>4677</v>
      </c>
      <c r="D2701" s="2" t="s">
        <v>8158</v>
      </c>
      <c r="E2701" s="2" t="s">
        <v>8159</v>
      </c>
      <c r="F2701" s="2" t="s">
        <v>10006</v>
      </c>
      <c r="G2701" s="2" t="s">
        <v>10006</v>
      </c>
      <c r="H2701" s="2" t="s">
        <v>10006</v>
      </c>
      <c r="I2701" s="2" t="s">
        <v>10007</v>
      </c>
      <c r="J2701" s="2" t="s">
        <v>6103</v>
      </c>
      <c r="K2701" s="2" t="s">
        <v>181</v>
      </c>
      <c r="L2701" s="3">
        <v>239</v>
      </c>
      <c r="M2701" s="3">
        <v>250.95</v>
      </c>
      <c r="N2701" s="3">
        <v>499</v>
      </c>
      <c r="O2701" s="2" t="s">
        <v>97</v>
      </c>
      <c r="P2701" s="2" t="s">
        <v>8446</v>
      </c>
      <c r="Q2701" s="2" t="s">
        <v>99</v>
      </c>
      <c r="R2701" s="2" t="s">
        <v>100</v>
      </c>
      <c r="S2701" s="2" t="s">
        <v>100</v>
      </c>
      <c r="T2701" s="2" t="s">
        <v>100</v>
      </c>
      <c r="U2701" s="2" t="s">
        <v>3531</v>
      </c>
      <c r="V2701" s="2" t="s">
        <v>601</v>
      </c>
      <c r="W2701" s="2" t="s">
        <v>602</v>
      </c>
      <c r="X2701" s="2" t="s">
        <v>759</v>
      </c>
      <c r="Y2701" s="2" t="s">
        <v>100</v>
      </c>
      <c r="Z2701" s="4"/>
      <c r="AA2701" s="4">
        <f>=ROUNDDOWN({0},0)</f>
      </c>
      <c r="AB2701" s="5"/>
      <c r="AC2701" s="2" t="s">
        <v>9655</v>
      </c>
      <c r="AD2701" s="4">
        <v>71</v>
      </c>
      <c r="AE2701" s="4">
        <v>71</v>
      </c>
      <c r="AF2701" s="6">
        <v>74</v>
      </c>
      <c r="AG2701" s="6"/>
      <c r="AH2701" s="7">
        <v>0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/>
      <c r="BJ2701" s="4"/>
      <c r="BK2701" s="8"/>
      <c r="BL2701" s="2" t="s">
        <v>100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147</v>
      </c>
      <c r="BV2701" s="2" t="s">
        <v>97</v>
      </c>
      <c r="BW2701" s="2" t="s">
        <v>100</v>
      </c>
      <c r="BX2701" s="2" t="s">
        <v>100</v>
      </c>
      <c r="BY2701" s="2" t="s">
        <v>112</v>
      </c>
      <c r="BZ2701" s="2" t="s">
        <v>100</v>
      </c>
    </row>
    <row r="2702">
      <c r="A2702" s="2" t="s">
        <v>10009</v>
      </c>
      <c r="B2702" s="2" t="s">
        <v>7252</v>
      </c>
      <c r="C2702" s="2" t="s">
        <v>4677</v>
      </c>
      <c r="D2702" s="2" t="s">
        <v>8158</v>
      </c>
      <c r="E2702" s="2" t="s">
        <v>8159</v>
      </c>
      <c r="F2702" s="2" t="s">
        <v>10010</v>
      </c>
      <c r="G2702" s="2" t="s">
        <v>10010</v>
      </c>
      <c r="H2702" s="2" t="s">
        <v>10010</v>
      </c>
      <c r="I2702" s="2" t="s">
        <v>10011</v>
      </c>
      <c r="J2702" s="2" t="s">
        <v>6103</v>
      </c>
      <c r="K2702" s="2" t="s">
        <v>8151</v>
      </c>
      <c r="L2702" s="3">
        <v>238</v>
      </c>
      <c r="M2702" s="3">
        <v>249.9</v>
      </c>
      <c r="N2702" s="3">
        <v>499</v>
      </c>
      <c r="O2702" s="2" t="s">
        <v>97</v>
      </c>
      <c r="P2702" s="2" t="s">
        <v>1265</v>
      </c>
      <c r="Q2702" s="2" t="s">
        <v>99</v>
      </c>
      <c r="R2702" s="2" t="s">
        <v>100</v>
      </c>
      <c r="S2702" s="2" t="s">
        <v>100</v>
      </c>
      <c r="T2702" s="2" t="s">
        <v>100</v>
      </c>
      <c r="U2702" s="2" t="s">
        <v>3531</v>
      </c>
      <c r="V2702" s="2" t="s">
        <v>601</v>
      </c>
      <c r="W2702" s="2" t="s">
        <v>2195</v>
      </c>
      <c r="X2702" s="2" t="s">
        <v>100</v>
      </c>
      <c r="Y2702" s="2" t="s">
        <v>8962</v>
      </c>
      <c r="Z2702" s="4">
        <v>92</v>
      </c>
      <c r="AA2702" s="4">
        <f>=ROUNDDOWN(30.6666666666667,0)</f>
      </c>
      <c r="AB2702" s="5">
        <v>3</v>
      </c>
      <c r="AC2702" s="2" t="s">
        <v>100</v>
      </c>
      <c r="AD2702" s="4"/>
      <c r="AE2702" s="4"/>
      <c r="AF2702" s="6">
        <v>66</v>
      </c>
      <c r="AG2702" s="6">
        <v>49</v>
      </c>
      <c r="AH2702" s="7">
        <v>0.9636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/>
      <c r="BD2702" s="8"/>
      <c r="BE2702" s="4"/>
      <c r="BF2702" s="8"/>
      <c r="BG2702" s="7"/>
      <c r="BH2702" s="7"/>
      <c r="BI2702" s="7"/>
      <c r="BJ2702" s="4">
        <v>54</v>
      </c>
      <c r="BK2702" s="8">
        <v>10561.71</v>
      </c>
      <c r="BL2702" s="2" t="s">
        <v>10012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8172</v>
      </c>
      <c r="BX2702" s="2" t="s">
        <v>4263</v>
      </c>
      <c r="BY2702" s="2" t="s">
        <v>112</v>
      </c>
      <c r="BZ2702" s="2" t="s">
        <v>100</v>
      </c>
    </row>
    <row r="2703">
      <c r="A2703" s="2" t="s">
        <v>10013</v>
      </c>
      <c r="B2703" s="2" t="s">
        <v>7252</v>
      </c>
      <c r="C2703" s="2" t="s">
        <v>4677</v>
      </c>
      <c r="D2703" s="2" t="s">
        <v>8680</v>
      </c>
      <c r="E2703" s="2" t="s">
        <v>8681</v>
      </c>
      <c r="F2703" s="2" t="s">
        <v>1489</v>
      </c>
      <c r="G2703" s="2" t="s">
        <v>1489</v>
      </c>
      <c r="H2703" s="2" t="s">
        <v>1489</v>
      </c>
      <c r="I2703" s="2" t="s">
        <v>10014</v>
      </c>
      <c r="J2703" s="2" t="s">
        <v>6103</v>
      </c>
      <c r="K2703" s="2" t="s">
        <v>10015</v>
      </c>
      <c r="L2703" s="3">
        <v>61.84</v>
      </c>
      <c r="M2703" s="3">
        <v>64.93</v>
      </c>
      <c r="N2703" s="3">
        <v>129</v>
      </c>
      <c r="O2703" s="2" t="s">
        <v>97</v>
      </c>
      <c r="P2703" s="2" t="s">
        <v>1265</v>
      </c>
      <c r="Q2703" s="2" t="s">
        <v>99</v>
      </c>
      <c r="R2703" s="2" t="s">
        <v>100</v>
      </c>
      <c r="S2703" s="2" t="s">
        <v>100</v>
      </c>
      <c r="T2703" s="2" t="s">
        <v>100</v>
      </c>
      <c r="U2703" s="2" t="s">
        <v>100</v>
      </c>
      <c r="V2703" s="2" t="s">
        <v>601</v>
      </c>
      <c r="W2703" s="2" t="s">
        <v>2195</v>
      </c>
      <c r="X2703" s="2" t="s">
        <v>100</v>
      </c>
      <c r="Y2703" s="2" t="s">
        <v>9540</v>
      </c>
      <c r="Z2703" s="4">
        <v>25</v>
      </c>
      <c r="AA2703" s="4">
        <f>=ROUNDDOWN(6.25,0)</f>
      </c>
      <c r="AB2703" s="5">
        <v>4</v>
      </c>
      <c r="AC2703" s="2" t="s">
        <v>430</v>
      </c>
      <c r="AD2703" s="4">
        <v>80</v>
      </c>
      <c r="AE2703" s="4">
        <v>80</v>
      </c>
      <c r="AF2703" s="6">
        <v>66</v>
      </c>
      <c r="AG2703" s="6"/>
      <c r="AH2703" s="7">
        <v>0.9818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/>
      <c r="BD2703" s="8"/>
      <c r="BE2703" s="4"/>
      <c r="BF2703" s="8"/>
      <c r="BG2703" s="7"/>
      <c r="BH2703" s="7"/>
      <c r="BI2703" s="7"/>
      <c r="BJ2703" s="4">
        <v>120</v>
      </c>
      <c r="BK2703" s="8">
        <v>7635.03</v>
      </c>
      <c r="BL2703" s="2" t="s">
        <v>10016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7841</v>
      </c>
      <c r="BX2703" s="2" t="s">
        <v>100</v>
      </c>
      <c r="BY2703" s="2" t="s">
        <v>112</v>
      </c>
      <c r="BZ2703" s="2" t="s">
        <v>100</v>
      </c>
    </row>
    <row r="2704">
      <c r="A2704" s="2" t="s">
        <v>10017</v>
      </c>
      <c r="B2704" s="2" t="s">
        <v>7252</v>
      </c>
      <c r="C2704" s="2" t="s">
        <v>4677</v>
      </c>
      <c r="D2704" s="2" t="s">
        <v>10018</v>
      </c>
      <c r="E2704" s="2" t="s">
        <v>7313</v>
      </c>
      <c r="F2704" s="2" t="s">
        <v>10019</v>
      </c>
      <c r="G2704" s="2" t="s">
        <v>10019</v>
      </c>
      <c r="H2704" s="2" t="s">
        <v>10019</v>
      </c>
      <c r="I2704" s="2" t="s">
        <v>10020</v>
      </c>
      <c r="J2704" s="2" t="s">
        <v>10021</v>
      </c>
      <c r="K2704" s="2" t="s">
        <v>4481</v>
      </c>
      <c r="L2704" s="3">
        <v>157.5</v>
      </c>
      <c r="M2704" s="3">
        <v>165.38</v>
      </c>
      <c r="N2704" s="3">
        <v>329</v>
      </c>
      <c r="O2704" s="2" t="s">
        <v>97</v>
      </c>
      <c r="P2704" s="2" t="s">
        <v>1166</v>
      </c>
      <c r="Q2704" s="2" t="s">
        <v>99</v>
      </c>
      <c r="R2704" s="2" t="s">
        <v>100</v>
      </c>
      <c r="S2704" s="2" t="s">
        <v>100</v>
      </c>
      <c r="T2704" s="2" t="s">
        <v>100</v>
      </c>
      <c r="U2704" s="2" t="s">
        <v>3531</v>
      </c>
      <c r="V2704" s="2" t="s">
        <v>1752</v>
      </c>
      <c r="W2704" s="2" t="s">
        <v>602</v>
      </c>
      <c r="X2704" s="2" t="s">
        <v>759</v>
      </c>
      <c r="Y2704" s="2" t="s">
        <v>3804</v>
      </c>
      <c r="Z2704" s="4">
        <v>37</v>
      </c>
      <c r="AA2704" s="4">
        <f>=ROUNDDOWN(18.5,0)</f>
      </c>
      <c r="AB2704" s="5">
        <v>2</v>
      </c>
      <c r="AC2704" s="2" t="s">
        <v>100</v>
      </c>
      <c r="AD2704" s="4"/>
      <c r="AE2704" s="4"/>
      <c r="AF2704" s="6">
        <v>74</v>
      </c>
      <c r="AG2704" s="6"/>
      <c r="AH2704" s="7">
        <v>1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/>
      <c r="BJ2704" s="4">
        <v>43</v>
      </c>
      <c r="BK2704" s="8">
        <v>7405.47</v>
      </c>
      <c r="BL2704" s="2" t="s">
        <v>7682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147</v>
      </c>
      <c r="BV2704" s="2" t="s">
        <v>97</v>
      </c>
      <c r="BW2704" s="2" t="s">
        <v>100</v>
      </c>
      <c r="BX2704" s="2" t="s">
        <v>100</v>
      </c>
      <c r="BY2704" s="2" t="s">
        <v>112</v>
      </c>
      <c r="BZ2704" s="2" t="s">
        <v>100</v>
      </c>
    </row>
    <row r="2705">
      <c r="A2705" s="2" t="s">
        <v>10022</v>
      </c>
      <c r="B2705" s="2" t="s">
        <v>7252</v>
      </c>
      <c r="C2705" s="2" t="s">
        <v>4677</v>
      </c>
      <c r="D2705" s="2" t="s">
        <v>10018</v>
      </c>
      <c r="E2705" s="2" t="s">
        <v>7313</v>
      </c>
      <c r="F2705" s="2" t="s">
        <v>10019</v>
      </c>
      <c r="G2705" s="2" t="s">
        <v>10019</v>
      </c>
      <c r="H2705" s="2" t="s">
        <v>10019</v>
      </c>
      <c r="I2705" s="2" t="s">
        <v>10023</v>
      </c>
      <c r="J2705" s="2" t="s">
        <v>10024</v>
      </c>
      <c r="K2705" s="2" t="s">
        <v>4481</v>
      </c>
      <c r="L2705" s="3">
        <v>166.5</v>
      </c>
      <c r="M2705" s="3">
        <v>174.83</v>
      </c>
      <c r="N2705" s="3">
        <v>349</v>
      </c>
      <c r="O2705" s="2" t="s">
        <v>97</v>
      </c>
      <c r="P2705" s="2" t="s">
        <v>1166</v>
      </c>
      <c r="Q2705" s="2" t="s">
        <v>99</v>
      </c>
      <c r="R2705" s="2" t="s">
        <v>100</v>
      </c>
      <c r="S2705" s="2" t="s">
        <v>100</v>
      </c>
      <c r="T2705" s="2" t="s">
        <v>100</v>
      </c>
      <c r="U2705" s="2" t="s">
        <v>3531</v>
      </c>
      <c r="V2705" s="2" t="s">
        <v>1752</v>
      </c>
      <c r="W2705" s="2" t="s">
        <v>602</v>
      </c>
      <c r="X2705" s="2" t="s">
        <v>759</v>
      </c>
      <c r="Y2705" s="2" t="s">
        <v>3804</v>
      </c>
      <c r="Z2705" s="4">
        <v>87</v>
      </c>
      <c r="AA2705" s="4">
        <f>=ROUNDDOWN(43.5,0)</f>
      </c>
      <c r="AB2705" s="5">
        <v>2</v>
      </c>
      <c r="AC2705" s="2" t="s">
        <v>100</v>
      </c>
      <c r="AD2705" s="4"/>
      <c r="AE2705" s="4"/>
      <c r="AF2705" s="6">
        <v>74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/>
      <c r="BJ2705" s="4">
        <v>32</v>
      </c>
      <c r="BK2705" s="8">
        <v>6576.63</v>
      </c>
      <c r="BL2705" s="2" t="s">
        <v>7682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147</v>
      </c>
      <c r="BV2705" s="2" t="s">
        <v>97</v>
      </c>
      <c r="BW2705" s="2" t="s">
        <v>100</v>
      </c>
      <c r="BX2705" s="2" t="s">
        <v>100</v>
      </c>
      <c r="BY2705" s="2" t="s">
        <v>112</v>
      </c>
      <c r="BZ2705" s="2" t="s">
        <v>100</v>
      </c>
    </row>
    <row r="2706">
      <c r="A2706" s="2" t="s">
        <v>10025</v>
      </c>
      <c r="B2706" s="2" t="s">
        <v>7252</v>
      </c>
      <c r="C2706" s="2" t="s">
        <v>4677</v>
      </c>
      <c r="D2706" s="2" t="s">
        <v>10018</v>
      </c>
      <c r="E2706" s="2" t="s">
        <v>7313</v>
      </c>
      <c r="F2706" s="2" t="s">
        <v>10019</v>
      </c>
      <c r="G2706" s="2" t="s">
        <v>10019</v>
      </c>
      <c r="H2706" s="2" t="s">
        <v>10019</v>
      </c>
      <c r="I2706" s="2" t="s">
        <v>10020</v>
      </c>
      <c r="J2706" s="2" t="s">
        <v>10021</v>
      </c>
      <c r="K2706" s="2" t="s">
        <v>10026</v>
      </c>
      <c r="L2706" s="3">
        <v>157.5</v>
      </c>
      <c r="M2706" s="3">
        <v>165.38</v>
      </c>
      <c r="N2706" s="3">
        <v>329</v>
      </c>
      <c r="O2706" s="2" t="s">
        <v>97</v>
      </c>
      <c r="P2706" s="2" t="s">
        <v>1265</v>
      </c>
      <c r="Q2706" s="2" t="s">
        <v>99</v>
      </c>
      <c r="R2706" s="2" t="s">
        <v>100</v>
      </c>
      <c r="S2706" s="2" t="s">
        <v>100</v>
      </c>
      <c r="T2706" s="2" t="s">
        <v>100</v>
      </c>
      <c r="U2706" s="2" t="s">
        <v>3531</v>
      </c>
      <c r="V2706" s="2" t="s">
        <v>1752</v>
      </c>
      <c r="W2706" s="2" t="s">
        <v>602</v>
      </c>
      <c r="X2706" s="2" t="s">
        <v>759</v>
      </c>
      <c r="Y2706" s="2" t="s">
        <v>10027</v>
      </c>
      <c r="Z2706" s="4">
        <v>95</v>
      </c>
      <c r="AA2706" s="4">
        <f>=ROUNDDOWN(31.6666666666667,0)</f>
      </c>
      <c r="AB2706" s="5">
        <v>3</v>
      </c>
      <c r="AC2706" s="2" t="s">
        <v>100</v>
      </c>
      <c r="AD2706" s="4"/>
      <c r="AE2706" s="4"/>
      <c r="AF2706" s="6">
        <v>74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/>
      <c r="BJ2706" s="4">
        <v>50</v>
      </c>
      <c r="BK2706" s="8">
        <v>9446.8</v>
      </c>
      <c r="BL2706" s="2" t="s">
        <v>10028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6185</v>
      </c>
      <c r="BV2706" s="2" t="s">
        <v>97</v>
      </c>
      <c r="BW2706" s="2" t="s">
        <v>100</v>
      </c>
      <c r="BX2706" s="2" t="s">
        <v>100</v>
      </c>
      <c r="BY2706" s="2" t="s">
        <v>112</v>
      </c>
      <c r="BZ2706" s="2" t="s">
        <v>100</v>
      </c>
    </row>
    <row r="2707">
      <c r="A2707" s="2" t="s">
        <v>10029</v>
      </c>
      <c r="B2707" s="2" t="s">
        <v>7252</v>
      </c>
      <c r="C2707" s="2" t="s">
        <v>4677</v>
      </c>
      <c r="D2707" s="2" t="s">
        <v>10018</v>
      </c>
      <c r="E2707" s="2" t="s">
        <v>7313</v>
      </c>
      <c r="F2707" s="2" t="s">
        <v>10019</v>
      </c>
      <c r="G2707" s="2" t="s">
        <v>10019</v>
      </c>
      <c r="H2707" s="2" t="s">
        <v>10019</v>
      </c>
      <c r="I2707" s="2" t="s">
        <v>10023</v>
      </c>
      <c r="J2707" s="2" t="s">
        <v>10024</v>
      </c>
      <c r="K2707" s="2" t="s">
        <v>10026</v>
      </c>
      <c r="L2707" s="3">
        <v>166.5</v>
      </c>
      <c r="M2707" s="3">
        <v>174.82</v>
      </c>
      <c r="N2707" s="3">
        <v>349</v>
      </c>
      <c r="O2707" s="2" t="s">
        <v>97</v>
      </c>
      <c r="P2707" s="2" t="s">
        <v>1265</v>
      </c>
      <c r="Q2707" s="2" t="s">
        <v>99</v>
      </c>
      <c r="R2707" s="2" t="s">
        <v>100</v>
      </c>
      <c r="S2707" s="2" t="s">
        <v>100</v>
      </c>
      <c r="T2707" s="2" t="s">
        <v>100</v>
      </c>
      <c r="U2707" s="2" t="s">
        <v>3531</v>
      </c>
      <c r="V2707" s="2" t="s">
        <v>1752</v>
      </c>
      <c r="W2707" s="2" t="s">
        <v>602</v>
      </c>
      <c r="X2707" s="2" t="s">
        <v>759</v>
      </c>
      <c r="Y2707" s="2" t="s">
        <v>10027</v>
      </c>
      <c r="Z2707" s="4">
        <v>38</v>
      </c>
      <c r="AA2707" s="4">
        <f>=ROUNDDOWN(12.6666666666667,0)</f>
      </c>
      <c r="AB2707" s="5">
        <v>3</v>
      </c>
      <c r="AC2707" s="2" t="s">
        <v>145</v>
      </c>
      <c r="AD2707" s="4">
        <v>72</v>
      </c>
      <c r="AE2707" s="4">
        <v>72</v>
      </c>
      <c r="AF2707" s="6">
        <v>74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/>
      <c r="BJ2707" s="4">
        <v>62</v>
      </c>
      <c r="BK2707" s="8">
        <v>12261.95</v>
      </c>
      <c r="BL2707" s="2" t="s">
        <v>10030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6185</v>
      </c>
      <c r="BV2707" s="2" t="s">
        <v>97</v>
      </c>
      <c r="BW2707" s="2" t="s">
        <v>100</v>
      </c>
      <c r="BX2707" s="2" t="s">
        <v>100</v>
      </c>
      <c r="BY2707" s="2" t="s">
        <v>112</v>
      </c>
      <c r="BZ2707" s="2" t="s">
        <v>100</v>
      </c>
    </row>
    <row r="2708">
      <c r="A2708" s="2" t="s">
        <v>10031</v>
      </c>
      <c r="B2708" s="2" t="s">
        <v>7252</v>
      </c>
      <c r="C2708" s="2" t="s">
        <v>4677</v>
      </c>
      <c r="D2708" s="2" t="s">
        <v>10018</v>
      </c>
      <c r="E2708" s="2" t="s">
        <v>8681</v>
      </c>
      <c r="F2708" s="2" t="s">
        <v>10019</v>
      </c>
      <c r="G2708" s="2" t="s">
        <v>10019</v>
      </c>
      <c r="H2708" s="2" t="s">
        <v>10019</v>
      </c>
      <c r="I2708" s="2" t="s">
        <v>10032</v>
      </c>
      <c r="J2708" s="2" t="s">
        <v>8681</v>
      </c>
      <c r="K2708" s="2" t="s">
        <v>4481</v>
      </c>
      <c r="L2708" s="3">
        <v>118.8</v>
      </c>
      <c r="M2708" s="3">
        <v>124.74</v>
      </c>
      <c r="N2708" s="3">
        <v>249</v>
      </c>
      <c r="O2708" s="2" t="s">
        <v>97</v>
      </c>
      <c r="P2708" s="2" t="s">
        <v>1166</v>
      </c>
      <c r="Q2708" s="2" t="s">
        <v>99</v>
      </c>
      <c r="R2708" s="2" t="s">
        <v>100</v>
      </c>
      <c r="S2708" s="2" t="s">
        <v>100</v>
      </c>
      <c r="T2708" s="2" t="s">
        <v>100</v>
      </c>
      <c r="U2708" s="2" t="s">
        <v>3531</v>
      </c>
      <c r="V2708" s="2" t="s">
        <v>1752</v>
      </c>
      <c r="W2708" s="2" t="s">
        <v>602</v>
      </c>
      <c r="X2708" s="2" t="s">
        <v>759</v>
      </c>
      <c r="Y2708" s="2" t="s">
        <v>3804</v>
      </c>
      <c r="Z2708" s="4">
        <v>21</v>
      </c>
      <c r="AA2708" s="4">
        <f>=ROUNDDOWN(26.25,0)</f>
      </c>
      <c r="AB2708" s="5">
        <v>0.8</v>
      </c>
      <c r="AC2708" s="2" t="s">
        <v>100</v>
      </c>
      <c r="AD2708" s="4"/>
      <c r="AE2708" s="4"/>
      <c r="AF2708" s="6">
        <v>74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/>
      <c r="AW2708" s="8"/>
      <c r="AX2708" s="4"/>
      <c r="AY2708" s="8"/>
      <c r="AZ2708" s="7"/>
      <c r="BA2708" s="7"/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/>
      <c r="BJ2708" s="4">
        <v>19</v>
      </c>
      <c r="BK2708" s="8">
        <v>2475.95</v>
      </c>
      <c r="BL2708" s="2" t="s">
        <v>7682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147</v>
      </c>
      <c r="BV2708" s="2" t="s">
        <v>97</v>
      </c>
      <c r="BW2708" s="2" t="s">
        <v>100</v>
      </c>
      <c r="BX2708" s="2" t="s">
        <v>100</v>
      </c>
      <c r="BY2708" s="2" t="s">
        <v>112</v>
      </c>
      <c r="BZ2708" s="2" t="s">
        <v>100</v>
      </c>
    </row>
    <row r="2709">
      <c r="A2709" s="2" t="s">
        <v>10033</v>
      </c>
      <c r="B2709" s="2" t="s">
        <v>7252</v>
      </c>
      <c r="C2709" s="2" t="s">
        <v>4677</v>
      </c>
      <c r="D2709" s="2" t="s">
        <v>10018</v>
      </c>
      <c r="E2709" s="2" t="s">
        <v>8681</v>
      </c>
      <c r="F2709" s="2" t="s">
        <v>10019</v>
      </c>
      <c r="G2709" s="2" t="s">
        <v>10019</v>
      </c>
      <c r="H2709" s="2" t="s">
        <v>10019</v>
      </c>
      <c r="I2709" s="2" t="s">
        <v>10032</v>
      </c>
      <c r="J2709" s="2" t="s">
        <v>8681</v>
      </c>
      <c r="K2709" s="2" t="s">
        <v>10026</v>
      </c>
      <c r="L2709" s="3">
        <v>118.8</v>
      </c>
      <c r="M2709" s="3">
        <v>124.74</v>
      </c>
      <c r="N2709" s="3">
        <v>249</v>
      </c>
      <c r="O2709" s="2" t="s">
        <v>97</v>
      </c>
      <c r="P2709" s="2" t="s">
        <v>1265</v>
      </c>
      <c r="Q2709" s="2" t="s">
        <v>99</v>
      </c>
      <c r="R2709" s="2" t="s">
        <v>100</v>
      </c>
      <c r="S2709" s="2" t="s">
        <v>100</v>
      </c>
      <c r="T2709" s="2" t="s">
        <v>100</v>
      </c>
      <c r="U2709" s="2" t="s">
        <v>3531</v>
      </c>
      <c r="V2709" s="2" t="s">
        <v>1752</v>
      </c>
      <c r="W2709" s="2" t="s">
        <v>602</v>
      </c>
      <c r="X2709" s="2" t="s">
        <v>759</v>
      </c>
      <c r="Y2709" s="2" t="s">
        <v>10027</v>
      </c>
      <c r="Z2709" s="4">
        <v>48</v>
      </c>
      <c r="AA2709" s="4">
        <f>=ROUNDDOWN(24,0)</f>
      </c>
      <c r="AB2709" s="5">
        <v>2</v>
      </c>
      <c r="AC2709" s="2" t="s">
        <v>100</v>
      </c>
      <c r="AD2709" s="4"/>
      <c r="AE2709" s="4"/>
      <c r="AF2709" s="6">
        <v>74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/>
      <c r="AW2709" s="8"/>
      <c r="AX2709" s="4"/>
      <c r="AY2709" s="8"/>
      <c r="AZ2709" s="7"/>
      <c r="BA2709" s="7"/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/>
      <c r="BJ2709" s="4">
        <v>24</v>
      </c>
      <c r="BK2709" s="8">
        <v>3221.16</v>
      </c>
      <c r="BL2709" s="2" t="s">
        <v>10034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147</v>
      </c>
      <c r="BV2709" s="2" t="s">
        <v>97</v>
      </c>
      <c r="BW2709" s="2" t="s">
        <v>100</v>
      </c>
      <c r="BX2709" s="2" t="s">
        <v>100</v>
      </c>
      <c r="BY2709" s="2" t="s">
        <v>112</v>
      </c>
      <c r="BZ2709" s="2" t="s">
        <v>100</v>
      </c>
    </row>
    <row r="2710">
      <c r="A2710" s="2" t="s">
        <v>10035</v>
      </c>
      <c r="B2710" s="2" t="s">
        <v>7252</v>
      </c>
      <c r="C2710" s="2" t="s">
        <v>4479</v>
      </c>
      <c r="D2710" s="2" t="s">
        <v>8575</v>
      </c>
      <c r="E2710" s="2" t="s">
        <v>8576</v>
      </c>
      <c r="F2710" s="2" t="s">
        <v>10036</v>
      </c>
      <c r="G2710" s="2" t="s">
        <v>10036</v>
      </c>
      <c r="H2710" s="2" t="s">
        <v>10036</v>
      </c>
      <c r="I2710" s="2" t="s">
        <v>10037</v>
      </c>
      <c r="J2710" s="2" t="s">
        <v>6103</v>
      </c>
      <c r="K2710" s="2" t="s">
        <v>6566</v>
      </c>
      <c r="L2710" s="3">
        <v>172.43</v>
      </c>
      <c r="M2710" s="3">
        <v>181.05</v>
      </c>
      <c r="N2710" s="3">
        <v>359</v>
      </c>
      <c r="O2710" s="2" t="s">
        <v>97</v>
      </c>
      <c r="P2710" s="2" t="s">
        <v>143</v>
      </c>
      <c r="Q2710" s="2" t="s">
        <v>99</v>
      </c>
      <c r="R2710" s="2" t="s">
        <v>100</v>
      </c>
      <c r="S2710" s="2" t="s">
        <v>10038</v>
      </c>
      <c r="T2710" s="2" t="s">
        <v>100</v>
      </c>
      <c r="U2710" s="2" t="s">
        <v>100</v>
      </c>
      <c r="V2710" s="2" t="s">
        <v>601</v>
      </c>
      <c r="W2710" s="2" t="s">
        <v>602</v>
      </c>
      <c r="X2710" s="2" t="s">
        <v>100</v>
      </c>
      <c r="Y2710" s="2" t="s">
        <v>106</v>
      </c>
      <c r="Z2710" s="4">
        <v>301</v>
      </c>
      <c r="AA2710" s="4">
        <f>=ROUNDDOWN(21.5,0)</f>
      </c>
      <c r="AB2710" s="5">
        <v>14</v>
      </c>
      <c r="AC2710" s="2" t="s">
        <v>2143</v>
      </c>
      <c r="AD2710" s="4">
        <v>220</v>
      </c>
      <c r="AE2710" s="4">
        <v>315</v>
      </c>
      <c r="AF2710" s="6">
        <v>66</v>
      </c>
      <c r="AG2710" s="6">
        <v>49</v>
      </c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>
        <v>0</v>
      </c>
      <c r="AP2710" s="4">
        <v>18</v>
      </c>
      <c r="AQ2710" s="8">
        <v>3258.9</v>
      </c>
      <c r="AR2710" s="4">
        <v>22</v>
      </c>
      <c r="AS2710" s="8">
        <v>3590.07</v>
      </c>
      <c r="AT2710" s="7">
        <v>-0.1818</v>
      </c>
      <c r="AU2710" s="7">
        <v>-0.0922</v>
      </c>
      <c r="AV2710" s="4">
        <v>18</v>
      </c>
      <c r="AW2710" s="8">
        <v>3258.9</v>
      </c>
      <c r="AX2710" s="4">
        <v>22</v>
      </c>
      <c r="AY2710" s="8">
        <v>3590.07</v>
      </c>
      <c r="AZ2710" s="7">
        <v>-0.1818</v>
      </c>
      <c r="BA2710" s="7">
        <v>-0.0922</v>
      </c>
      <c r="BB2710" s="7">
        <v>1</v>
      </c>
      <c r="BC2710" s="4">
        <v>18</v>
      </c>
      <c r="BD2710" s="8">
        <v>3258.9</v>
      </c>
      <c r="BE2710" s="4">
        <v>22</v>
      </c>
      <c r="BF2710" s="8">
        <v>3590.07</v>
      </c>
      <c r="BG2710" s="7">
        <v>-0.1818</v>
      </c>
      <c r="BH2710" s="7">
        <v>-0.0922</v>
      </c>
      <c r="BI2710" s="7">
        <v>1</v>
      </c>
      <c r="BJ2710" s="4">
        <v>320</v>
      </c>
      <c r="BK2710" s="8">
        <v>53689.95</v>
      </c>
      <c r="BL2710" s="2" t="s">
        <v>10039</v>
      </c>
      <c r="BM2710" s="7">
        <v>0.0562</v>
      </c>
      <c r="BN2710" s="7">
        <v>0.0607</v>
      </c>
      <c r="BO2710" s="4">
        <v>18</v>
      </c>
      <c r="BP2710" s="8">
        <v>3258.9</v>
      </c>
      <c r="BQ2710" s="4">
        <v>22</v>
      </c>
      <c r="BR2710" s="8">
        <v>3590.07</v>
      </c>
      <c r="BS2710" s="7">
        <v>-0.1818</v>
      </c>
      <c r="BT2710" s="7">
        <v>-0.0922</v>
      </c>
      <c r="BU2710" s="2" t="s">
        <v>109</v>
      </c>
      <c r="BV2710" s="2" t="s">
        <v>97</v>
      </c>
      <c r="BW2710" s="2" t="s">
        <v>8172</v>
      </c>
      <c r="BX2710" s="2" t="s">
        <v>4221</v>
      </c>
      <c r="BY2710" s="2" t="s">
        <v>112</v>
      </c>
      <c r="BZ2710" s="2" t="s">
        <v>100</v>
      </c>
    </row>
    <row r="2711">
      <c r="A2711" s="2" t="s">
        <v>10040</v>
      </c>
      <c r="B2711" s="2" t="s">
        <v>7252</v>
      </c>
      <c r="C2711" s="2" t="s">
        <v>4479</v>
      </c>
      <c r="D2711" s="2" t="s">
        <v>8575</v>
      </c>
      <c r="E2711" s="2" t="s">
        <v>8576</v>
      </c>
      <c r="F2711" s="2" t="s">
        <v>10041</v>
      </c>
      <c r="G2711" s="2" t="s">
        <v>10041</v>
      </c>
      <c r="H2711" s="2" t="s">
        <v>100</v>
      </c>
      <c r="I2711" s="2" t="s">
        <v>8576</v>
      </c>
      <c r="J2711" s="2" t="s">
        <v>6103</v>
      </c>
      <c r="K2711" s="2" t="s">
        <v>10042</v>
      </c>
      <c r="L2711" s="3">
        <v>310</v>
      </c>
      <c r="M2711" s="3">
        <v>325.5</v>
      </c>
      <c r="N2711" s="3">
        <v>649</v>
      </c>
      <c r="O2711" s="2" t="s">
        <v>97</v>
      </c>
      <c r="P2711" s="2" t="s">
        <v>182</v>
      </c>
      <c r="Q2711" s="2" t="s">
        <v>99</v>
      </c>
      <c r="R2711" s="2" t="s">
        <v>100</v>
      </c>
      <c r="S2711" s="2" t="s">
        <v>10043</v>
      </c>
      <c r="T2711" s="2" t="s">
        <v>100</v>
      </c>
      <c r="U2711" s="2" t="s">
        <v>100</v>
      </c>
      <c r="V2711" s="2" t="s">
        <v>601</v>
      </c>
      <c r="W2711" s="2" t="s">
        <v>405</v>
      </c>
      <c r="X2711" s="2" t="s">
        <v>100</v>
      </c>
      <c r="Y2711" s="2" t="s">
        <v>10044</v>
      </c>
      <c r="Z2711" s="4">
        <v>140</v>
      </c>
      <c r="AA2711" s="4">
        <f>=ROUNDDOWN(28,0)</f>
      </c>
      <c r="AB2711" s="5">
        <v>5</v>
      </c>
      <c r="AC2711" s="2" t="s">
        <v>751</v>
      </c>
      <c r="AD2711" s="4">
        <v>95</v>
      </c>
      <c r="AE2711" s="4">
        <v>95</v>
      </c>
      <c r="AF2711" s="6">
        <v>66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>
        <v>0</v>
      </c>
      <c r="AP2711" s="4">
        <v>8</v>
      </c>
      <c r="AQ2711" s="8">
        <v>2604</v>
      </c>
      <c r="AR2711" s="4">
        <v>9</v>
      </c>
      <c r="AS2711" s="8">
        <v>2604.02</v>
      </c>
      <c r="AT2711" s="7">
        <v>-0.1111</v>
      </c>
      <c r="AU2711" s="7"/>
      <c r="AV2711" s="4">
        <v>8</v>
      </c>
      <c r="AW2711" s="8">
        <v>2604</v>
      </c>
      <c r="AX2711" s="4">
        <v>9</v>
      </c>
      <c r="AY2711" s="8">
        <v>2604.02</v>
      </c>
      <c r="AZ2711" s="7">
        <v>-0.1111</v>
      </c>
      <c r="BA2711" s="7"/>
      <c r="BB2711" s="7">
        <v>1</v>
      </c>
      <c r="BC2711" s="4">
        <v>8</v>
      </c>
      <c r="BD2711" s="8">
        <v>2604</v>
      </c>
      <c r="BE2711" s="4">
        <v>9</v>
      </c>
      <c r="BF2711" s="8">
        <v>2604.02</v>
      </c>
      <c r="BG2711" s="7">
        <v>-0.1111</v>
      </c>
      <c r="BH2711" s="7"/>
      <c r="BI2711" s="7">
        <v>1</v>
      </c>
      <c r="BJ2711" s="4">
        <v>121</v>
      </c>
      <c r="BK2711" s="8">
        <v>35137.06</v>
      </c>
      <c r="BL2711" s="2" t="s">
        <v>10045</v>
      </c>
      <c r="BM2711" s="7">
        <v>0.0661</v>
      </c>
      <c r="BN2711" s="7">
        <v>0.0741</v>
      </c>
      <c r="BO2711" s="4">
        <v>8</v>
      </c>
      <c r="BP2711" s="8">
        <v>2604</v>
      </c>
      <c r="BQ2711" s="4">
        <v>9</v>
      </c>
      <c r="BR2711" s="8">
        <v>2604.02</v>
      </c>
      <c r="BS2711" s="7">
        <v>-0.1111</v>
      </c>
      <c r="BT2711" s="7"/>
      <c r="BU2711" s="2" t="s">
        <v>109</v>
      </c>
      <c r="BV2711" s="2" t="s">
        <v>97</v>
      </c>
      <c r="BW2711" s="2" t="s">
        <v>8172</v>
      </c>
      <c r="BX2711" s="2" t="s">
        <v>8311</v>
      </c>
      <c r="BY2711" s="2" t="s">
        <v>112</v>
      </c>
      <c r="BZ2711" s="2" t="s">
        <v>100</v>
      </c>
    </row>
    <row r="2712">
      <c r="A2712" s="2" t="s">
        <v>10046</v>
      </c>
      <c r="B2712" s="2" t="s">
        <v>7252</v>
      </c>
      <c r="C2712" s="2" t="s">
        <v>4479</v>
      </c>
      <c r="D2712" s="2" t="s">
        <v>8575</v>
      </c>
      <c r="E2712" s="2" t="s">
        <v>8653</v>
      </c>
      <c r="F2712" s="2" t="s">
        <v>10041</v>
      </c>
      <c r="G2712" s="2" t="s">
        <v>10041</v>
      </c>
      <c r="H2712" s="2" t="s">
        <v>100</v>
      </c>
      <c r="I2712" s="2" t="s">
        <v>8653</v>
      </c>
      <c r="J2712" s="2" t="s">
        <v>6103</v>
      </c>
      <c r="K2712" s="2" t="s">
        <v>10042</v>
      </c>
      <c r="L2712" s="3">
        <v>240</v>
      </c>
      <c r="M2712" s="3">
        <v>252</v>
      </c>
      <c r="N2712" s="3">
        <v>499</v>
      </c>
      <c r="O2712" s="2" t="s">
        <v>97</v>
      </c>
      <c r="P2712" s="2" t="s">
        <v>182</v>
      </c>
      <c r="Q2712" s="2" t="s">
        <v>99</v>
      </c>
      <c r="R2712" s="2" t="s">
        <v>100</v>
      </c>
      <c r="S2712" s="2" t="s">
        <v>10047</v>
      </c>
      <c r="T2712" s="2" t="s">
        <v>100</v>
      </c>
      <c r="U2712" s="2" t="s">
        <v>100</v>
      </c>
      <c r="V2712" s="2" t="s">
        <v>601</v>
      </c>
      <c r="W2712" s="2" t="s">
        <v>405</v>
      </c>
      <c r="X2712" s="2" t="s">
        <v>100</v>
      </c>
      <c r="Y2712" s="2" t="s">
        <v>1322</v>
      </c>
      <c r="Z2712" s="4">
        <v>131</v>
      </c>
      <c r="AA2712" s="4">
        <f>=ROUNDDOWN(26.2,0)</f>
      </c>
      <c r="AB2712" s="5">
        <v>5</v>
      </c>
      <c r="AC2712" s="2" t="s">
        <v>4093</v>
      </c>
      <c r="AD2712" s="4">
        <v>100</v>
      </c>
      <c r="AE2712" s="4">
        <v>100</v>
      </c>
      <c r="AF2712" s="6">
        <v>66</v>
      </c>
      <c r="AG2712" s="6">
        <v>49</v>
      </c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>
        <v>0</v>
      </c>
      <c r="AP2712" s="4">
        <v>5</v>
      </c>
      <c r="AQ2712" s="8">
        <v>1260</v>
      </c>
      <c r="AR2712" s="4">
        <v>8</v>
      </c>
      <c r="AS2712" s="8">
        <v>1701</v>
      </c>
      <c r="AT2712" s="7">
        <v>-0.375</v>
      </c>
      <c r="AU2712" s="7">
        <v>-0.2593</v>
      </c>
      <c r="AV2712" s="4">
        <v>5</v>
      </c>
      <c r="AW2712" s="8">
        <v>1260</v>
      </c>
      <c r="AX2712" s="4">
        <v>8</v>
      </c>
      <c r="AY2712" s="8">
        <v>1701</v>
      </c>
      <c r="AZ2712" s="7">
        <v>-0.375</v>
      </c>
      <c r="BA2712" s="7">
        <v>-0.2593</v>
      </c>
      <c r="BB2712" s="7">
        <v>1</v>
      </c>
      <c r="BC2712" s="4">
        <v>5</v>
      </c>
      <c r="BD2712" s="8">
        <v>1260</v>
      </c>
      <c r="BE2712" s="4">
        <v>8</v>
      </c>
      <c r="BF2712" s="8">
        <v>1701</v>
      </c>
      <c r="BG2712" s="7">
        <v>-0.375</v>
      </c>
      <c r="BH2712" s="7">
        <v>-0.2593</v>
      </c>
      <c r="BI2712" s="7">
        <v>1</v>
      </c>
      <c r="BJ2712" s="4">
        <v>114</v>
      </c>
      <c r="BK2712" s="8">
        <v>27406.2</v>
      </c>
      <c r="BL2712" s="2" t="s">
        <v>10048</v>
      </c>
      <c r="BM2712" s="7">
        <v>0.0439</v>
      </c>
      <c r="BN2712" s="7">
        <v>0.046</v>
      </c>
      <c r="BO2712" s="4">
        <v>5</v>
      </c>
      <c r="BP2712" s="8">
        <v>1260</v>
      </c>
      <c r="BQ2712" s="4">
        <v>8</v>
      </c>
      <c r="BR2712" s="8">
        <v>1701</v>
      </c>
      <c r="BS2712" s="7">
        <v>-0.375</v>
      </c>
      <c r="BT2712" s="7">
        <v>-0.2593</v>
      </c>
      <c r="BU2712" s="2" t="s">
        <v>109</v>
      </c>
      <c r="BV2712" s="2" t="s">
        <v>97</v>
      </c>
      <c r="BW2712" s="2" t="s">
        <v>8172</v>
      </c>
      <c r="BX2712" s="2" t="s">
        <v>10049</v>
      </c>
      <c r="BY2712" s="2" t="s">
        <v>112</v>
      </c>
      <c r="BZ2712" s="2" t="s">
        <v>100</v>
      </c>
    </row>
    <row r="2713">
      <c r="A2713" s="2" t="s">
        <v>10050</v>
      </c>
      <c r="B2713" s="2" t="s">
        <v>7252</v>
      </c>
      <c r="C2713" s="2" t="s">
        <v>4479</v>
      </c>
      <c r="D2713" s="2" t="s">
        <v>8575</v>
      </c>
      <c r="E2713" s="2" t="s">
        <v>8653</v>
      </c>
      <c r="F2713" s="2" t="s">
        <v>8606</v>
      </c>
      <c r="G2713" s="2" t="s">
        <v>100</v>
      </c>
      <c r="H2713" s="2" t="s">
        <v>100</v>
      </c>
      <c r="I2713" s="2" t="s">
        <v>8653</v>
      </c>
      <c r="J2713" s="2" t="s">
        <v>6103</v>
      </c>
      <c r="K2713" s="2" t="s">
        <v>10051</v>
      </c>
      <c r="L2713" s="3">
        <v>247.5</v>
      </c>
      <c r="M2713" s="3">
        <v>259.88</v>
      </c>
      <c r="N2713" s="3">
        <v>519</v>
      </c>
      <c r="O2713" s="2" t="s">
        <v>229</v>
      </c>
      <c r="P2713" s="2" t="s">
        <v>198</v>
      </c>
      <c r="Q2713" s="2" t="s">
        <v>99</v>
      </c>
      <c r="R2713" s="2" t="s">
        <v>100</v>
      </c>
      <c r="S2713" s="2" t="s">
        <v>10052</v>
      </c>
      <c r="T2713" s="2" t="s">
        <v>100</v>
      </c>
      <c r="U2713" s="2" t="s">
        <v>100</v>
      </c>
      <c r="V2713" s="2" t="s">
        <v>601</v>
      </c>
      <c r="W2713" s="2" t="s">
        <v>405</v>
      </c>
      <c r="X2713" s="2" t="s">
        <v>100</v>
      </c>
      <c r="Y2713" s="2" t="s">
        <v>8464</v>
      </c>
      <c r="Z2713" s="4">
        <v>19</v>
      </c>
      <c r="AA2713" s="4">
        <f>=ROUNDDOWN(6.33333333333333,0)</f>
      </c>
      <c r="AB2713" s="5">
        <v>3</v>
      </c>
      <c r="AC2713" s="2" t="s">
        <v>100</v>
      </c>
      <c r="AD2713" s="4"/>
      <c r="AE2713" s="4"/>
      <c r="AF2713" s="6">
        <v>74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/>
      <c r="AW2713" s="8"/>
      <c r="AX2713" s="4"/>
      <c r="AY2713" s="8"/>
      <c r="AZ2713" s="7"/>
      <c r="BA2713" s="7"/>
      <c r="BB2713" s="7"/>
      <c r="BC2713" s="4"/>
      <c r="BD2713" s="8"/>
      <c r="BE2713" s="4"/>
      <c r="BF2713" s="8"/>
      <c r="BG2713" s="7"/>
      <c r="BH2713" s="7"/>
      <c r="BI2713" s="7"/>
      <c r="BJ2713" s="4">
        <v>111</v>
      </c>
      <c r="BK2713" s="8">
        <v>18859.67</v>
      </c>
      <c r="BL2713" s="2" t="s">
        <v>10053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147</v>
      </c>
      <c r="BV2713" s="2" t="s">
        <v>97</v>
      </c>
      <c r="BW2713" s="2" t="s">
        <v>100</v>
      </c>
      <c r="BX2713" s="2" t="s">
        <v>100</v>
      </c>
      <c r="BY2713" s="2" t="s">
        <v>112</v>
      </c>
      <c r="BZ2713" s="2" t="s">
        <v>100</v>
      </c>
    </row>
    <row r="2714">
      <c r="A2714" s="2" t="s">
        <v>10054</v>
      </c>
      <c r="B2714" s="2" t="s">
        <v>7252</v>
      </c>
      <c r="C2714" s="2" t="s">
        <v>4479</v>
      </c>
      <c r="D2714" s="2" t="s">
        <v>8575</v>
      </c>
      <c r="E2714" s="2" t="s">
        <v>8637</v>
      </c>
      <c r="F2714" s="2" t="s">
        <v>10041</v>
      </c>
      <c r="G2714" s="2" t="s">
        <v>10041</v>
      </c>
      <c r="H2714" s="2" t="s">
        <v>100</v>
      </c>
      <c r="I2714" s="2" t="s">
        <v>8637</v>
      </c>
      <c r="J2714" s="2" t="s">
        <v>6103</v>
      </c>
      <c r="K2714" s="2" t="s">
        <v>10042</v>
      </c>
      <c r="L2714" s="3">
        <v>190</v>
      </c>
      <c r="M2714" s="3">
        <v>199.5</v>
      </c>
      <c r="N2714" s="3">
        <v>399</v>
      </c>
      <c r="O2714" s="2" t="s">
        <v>97</v>
      </c>
      <c r="P2714" s="2" t="s">
        <v>182</v>
      </c>
      <c r="Q2714" s="2" t="s">
        <v>99</v>
      </c>
      <c r="R2714" s="2" t="s">
        <v>100</v>
      </c>
      <c r="S2714" s="2" t="s">
        <v>10055</v>
      </c>
      <c r="T2714" s="2" t="s">
        <v>100</v>
      </c>
      <c r="U2714" s="2" t="s">
        <v>100</v>
      </c>
      <c r="V2714" s="2" t="s">
        <v>601</v>
      </c>
      <c r="W2714" s="2" t="s">
        <v>405</v>
      </c>
      <c r="X2714" s="2" t="s">
        <v>100</v>
      </c>
      <c r="Y2714" s="2" t="s">
        <v>1322</v>
      </c>
      <c r="Z2714" s="4">
        <v>222</v>
      </c>
      <c r="AA2714" s="4">
        <f>=ROUNDDOWN(37,0)</f>
      </c>
      <c r="AB2714" s="5">
        <v>6</v>
      </c>
      <c r="AC2714" s="2" t="s">
        <v>100</v>
      </c>
      <c r="AD2714" s="4"/>
      <c r="AE2714" s="4"/>
      <c r="AF2714" s="6">
        <v>66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>
        <v>0</v>
      </c>
      <c r="AP2714" s="4">
        <v>3</v>
      </c>
      <c r="AQ2714" s="8">
        <v>598.5</v>
      </c>
      <c r="AR2714" s="4">
        <v>19</v>
      </c>
      <c r="AS2714" s="8">
        <v>3291.8</v>
      </c>
      <c r="AT2714" s="7">
        <v>-0.8421</v>
      </c>
      <c r="AU2714" s="7">
        <v>-0.8182</v>
      </c>
      <c r="AV2714" s="4">
        <v>3</v>
      </c>
      <c r="AW2714" s="8">
        <v>598.5</v>
      </c>
      <c r="AX2714" s="4">
        <v>19</v>
      </c>
      <c r="AY2714" s="8">
        <v>3291.8</v>
      </c>
      <c r="AZ2714" s="7">
        <v>-0.8421</v>
      </c>
      <c r="BA2714" s="7">
        <v>-0.8182</v>
      </c>
      <c r="BB2714" s="7">
        <v>1</v>
      </c>
      <c r="BC2714" s="4">
        <v>3</v>
      </c>
      <c r="BD2714" s="8">
        <v>598.5</v>
      </c>
      <c r="BE2714" s="4">
        <v>19</v>
      </c>
      <c r="BF2714" s="8">
        <v>3291.8</v>
      </c>
      <c r="BG2714" s="7">
        <v>-0.8421</v>
      </c>
      <c r="BH2714" s="7">
        <v>-0.8182</v>
      </c>
      <c r="BI2714" s="7">
        <v>1</v>
      </c>
      <c r="BJ2714" s="4">
        <v>146</v>
      </c>
      <c r="BK2714" s="8">
        <v>26060.79</v>
      </c>
      <c r="BL2714" s="2" t="s">
        <v>10056</v>
      </c>
      <c r="BM2714" s="7">
        <v>0.0205</v>
      </c>
      <c r="BN2714" s="7">
        <v>0.023</v>
      </c>
      <c r="BO2714" s="4">
        <v>3</v>
      </c>
      <c r="BP2714" s="8">
        <v>598.5</v>
      </c>
      <c r="BQ2714" s="4">
        <v>19</v>
      </c>
      <c r="BR2714" s="8">
        <v>3291.8</v>
      </c>
      <c r="BS2714" s="7">
        <v>-0.8421</v>
      </c>
      <c r="BT2714" s="7">
        <v>-0.8182</v>
      </c>
      <c r="BU2714" s="2" t="s">
        <v>109</v>
      </c>
      <c r="BV2714" s="2" t="s">
        <v>97</v>
      </c>
      <c r="BW2714" s="2" t="s">
        <v>8172</v>
      </c>
      <c r="BX2714" s="2" t="s">
        <v>10057</v>
      </c>
      <c r="BY2714" s="2" t="s">
        <v>112</v>
      </c>
      <c r="BZ2714" s="2" t="s">
        <v>100</v>
      </c>
    </row>
    <row r="2715">
      <c r="A2715" s="2" t="s">
        <v>10058</v>
      </c>
      <c r="B2715" s="2" t="s">
        <v>7252</v>
      </c>
      <c r="C2715" s="2" t="s">
        <v>4479</v>
      </c>
      <c r="D2715" s="2" t="s">
        <v>9894</v>
      </c>
      <c r="E2715" s="2" t="s">
        <v>9895</v>
      </c>
      <c r="F2715" s="2" t="s">
        <v>485</v>
      </c>
      <c r="G2715" s="2" t="s">
        <v>485</v>
      </c>
      <c r="H2715" s="2" t="s">
        <v>485</v>
      </c>
      <c r="I2715" s="2" t="s">
        <v>10059</v>
      </c>
      <c r="J2715" s="2" t="s">
        <v>6103</v>
      </c>
      <c r="K2715" s="2" t="s">
        <v>10060</v>
      </c>
      <c r="L2715" s="3">
        <v>362.09</v>
      </c>
      <c r="M2715" s="3">
        <v>380.19</v>
      </c>
      <c r="N2715" s="3">
        <v>759</v>
      </c>
      <c r="O2715" s="2" t="s">
        <v>97</v>
      </c>
      <c r="P2715" s="2" t="s">
        <v>124</v>
      </c>
      <c r="Q2715" s="2" t="s">
        <v>99</v>
      </c>
      <c r="R2715" s="2" t="s">
        <v>100</v>
      </c>
      <c r="S2715" s="2" t="s">
        <v>10061</v>
      </c>
      <c r="T2715" s="2" t="s">
        <v>100</v>
      </c>
      <c r="U2715" s="2" t="s">
        <v>100</v>
      </c>
      <c r="V2715" s="2" t="s">
        <v>601</v>
      </c>
      <c r="W2715" s="2" t="s">
        <v>104</v>
      </c>
      <c r="X2715" s="2" t="s">
        <v>100</v>
      </c>
      <c r="Y2715" s="2" t="s">
        <v>2930</v>
      </c>
      <c r="Z2715" s="4">
        <v>605</v>
      </c>
      <c r="AA2715" s="4">
        <f>=ROUNDDOWN(21.6071428571429,0)</f>
      </c>
      <c r="AB2715" s="5">
        <v>28</v>
      </c>
      <c r="AC2715" s="2" t="s">
        <v>130</v>
      </c>
      <c r="AD2715" s="4">
        <v>48</v>
      </c>
      <c r="AE2715" s="4">
        <v>696</v>
      </c>
      <c r="AF2715" s="6">
        <v>74</v>
      </c>
      <c r="AG2715" s="6">
        <v>60</v>
      </c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>
        <v>0</v>
      </c>
      <c r="AP2715" s="4">
        <v>12</v>
      </c>
      <c r="AQ2715" s="8">
        <v>4562.4</v>
      </c>
      <c r="AR2715" s="4">
        <v>5</v>
      </c>
      <c r="AS2715" s="8">
        <v>1425.75</v>
      </c>
      <c r="AT2715" s="7">
        <v>1.4</v>
      </c>
      <c r="AU2715" s="7">
        <v>2.2</v>
      </c>
      <c r="AV2715" s="4">
        <v>12</v>
      </c>
      <c r="AW2715" s="8">
        <v>4562.4</v>
      </c>
      <c r="AX2715" s="4">
        <v>5</v>
      </c>
      <c r="AY2715" s="8">
        <v>1425.75</v>
      </c>
      <c r="AZ2715" s="7">
        <v>1.4</v>
      </c>
      <c r="BA2715" s="7">
        <v>2.2</v>
      </c>
      <c r="BB2715" s="7">
        <v>1</v>
      </c>
      <c r="BC2715" s="4">
        <v>12</v>
      </c>
      <c r="BD2715" s="8">
        <v>4562.4</v>
      </c>
      <c r="BE2715" s="4">
        <v>5</v>
      </c>
      <c r="BF2715" s="8">
        <v>1425.75</v>
      </c>
      <c r="BG2715" s="7">
        <v>1.4</v>
      </c>
      <c r="BH2715" s="7">
        <v>2.2</v>
      </c>
      <c r="BI2715" s="7">
        <v>1</v>
      </c>
      <c r="BJ2715" s="4">
        <v>534</v>
      </c>
      <c r="BK2715" s="8">
        <v>186534.63</v>
      </c>
      <c r="BL2715" s="2" t="s">
        <v>10062</v>
      </c>
      <c r="BM2715" s="7">
        <v>0.0225</v>
      </c>
      <c r="BN2715" s="7">
        <v>0.0245</v>
      </c>
      <c r="BO2715" s="4">
        <v>12</v>
      </c>
      <c r="BP2715" s="8">
        <v>4562.4</v>
      </c>
      <c r="BQ2715" s="4">
        <v>5</v>
      </c>
      <c r="BR2715" s="8">
        <v>1425.75</v>
      </c>
      <c r="BS2715" s="7">
        <v>1.4</v>
      </c>
      <c r="BT2715" s="7">
        <v>2.2</v>
      </c>
      <c r="BU2715" s="2" t="s">
        <v>109</v>
      </c>
      <c r="BV2715" s="2" t="s">
        <v>97</v>
      </c>
      <c r="BW2715" s="2" t="s">
        <v>6924</v>
      </c>
      <c r="BX2715" s="2" t="s">
        <v>7221</v>
      </c>
      <c r="BY2715" s="2" t="s">
        <v>112</v>
      </c>
      <c r="BZ2715" s="2" t="s">
        <v>100</v>
      </c>
    </row>
    <row r="2716">
      <c r="A2716" s="2" t="s">
        <v>10063</v>
      </c>
      <c r="B2716" s="2" t="s">
        <v>7252</v>
      </c>
      <c r="C2716" s="2" t="s">
        <v>4479</v>
      </c>
      <c r="D2716" s="2" t="s">
        <v>8965</v>
      </c>
      <c r="E2716" s="2" t="s">
        <v>8966</v>
      </c>
      <c r="F2716" s="2" t="s">
        <v>10064</v>
      </c>
      <c r="G2716" s="2" t="s">
        <v>10064</v>
      </c>
      <c r="H2716" s="2" t="s">
        <v>10064</v>
      </c>
      <c r="I2716" s="2" t="s">
        <v>10065</v>
      </c>
      <c r="J2716" s="2" t="s">
        <v>6103</v>
      </c>
      <c r="K2716" s="2" t="s">
        <v>10066</v>
      </c>
      <c r="L2716" s="3">
        <v>217.8</v>
      </c>
      <c r="M2716" s="3">
        <v>228.69</v>
      </c>
      <c r="N2716" s="3">
        <v>459</v>
      </c>
      <c r="O2716" s="2" t="s">
        <v>97</v>
      </c>
      <c r="P2716" s="2" t="s">
        <v>182</v>
      </c>
      <c r="Q2716" s="2" t="s">
        <v>99</v>
      </c>
      <c r="R2716" s="2" t="s">
        <v>100</v>
      </c>
      <c r="S2716" s="2" t="s">
        <v>100</v>
      </c>
      <c r="T2716" s="2" t="s">
        <v>100</v>
      </c>
      <c r="U2716" s="2" t="s">
        <v>3531</v>
      </c>
      <c r="V2716" s="2" t="s">
        <v>601</v>
      </c>
      <c r="W2716" s="2" t="s">
        <v>405</v>
      </c>
      <c r="X2716" s="2" t="s">
        <v>1288</v>
      </c>
      <c r="Y2716" s="2" t="s">
        <v>10067</v>
      </c>
      <c r="Z2716" s="4">
        <v>84</v>
      </c>
      <c r="AA2716" s="4">
        <f>=ROUNDDOWN(5.6,0)</f>
      </c>
      <c r="AB2716" s="5">
        <v>15</v>
      </c>
      <c r="AC2716" s="2" t="s">
        <v>919</v>
      </c>
      <c r="AD2716" s="4">
        <v>200</v>
      </c>
      <c r="AE2716" s="4">
        <v>200</v>
      </c>
      <c r="AF2716" s="6">
        <v>74</v>
      </c>
      <c r="AG2716" s="6"/>
      <c r="AH2716" s="7">
        <v>0.8061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>
        <v>0</v>
      </c>
      <c r="AP2716" s="4">
        <v>2</v>
      </c>
      <c r="AQ2716" s="8">
        <v>457.38</v>
      </c>
      <c r="AR2716" s="4"/>
      <c r="AS2716" s="8"/>
      <c r="AT2716" s="7"/>
      <c r="AU2716" s="7"/>
      <c r="AV2716" s="4">
        <v>2</v>
      </c>
      <c r="AW2716" s="8">
        <v>457.38</v>
      </c>
      <c r="AX2716" s="4"/>
      <c r="AY2716" s="8"/>
      <c r="AZ2716" s="7"/>
      <c r="BA2716" s="7"/>
      <c r="BB2716" s="7">
        <v>1</v>
      </c>
      <c r="BC2716" s="4">
        <v>2</v>
      </c>
      <c r="BD2716" s="8">
        <v>457.38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>
        <v>1</v>
      </c>
      <c r="BJ2716" s="4">
        <v>275</v>
      </c>
      <c r="BK2716" s="8">
        <v>62695.76</v>
      </c>
      <c r="BL2716" s="2" t="s">
        <v>10068</v>
      </c>
      <c r="BM2716" s="7">
        <v>0.0073</v>
      </c>
      <c r="BN2716" s="7">
        <v>0.0073</v>
      </c>
      <c r="BO2716" s="4">
        <v>2</v>
      </c>
      <c r="BP2716" s="8">
        <v>457.38</v>
      </c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7307</v>
      </c>
      <c r="BX2716" s="2" t="s">
        <v>1012</v>
      </c>
      <c r="BY2716" s="2" t="s">
        <v>112</v>
      </c>
      <c r="BZ2716" s="2" t="s">
        <v>100</v>
      </c>
    </row>
    <row r="2717">
      <c r="A2717" s="2" t="s">
        <v>10069</v>
      </c>
      <c r="B2717" s="2" t="s">
        <v>7252</v>
      </c>
      <c r="C2717" s="2" t="s">
        <v>4479</v>
      </c>
      <c r="D2717" s="2" t="s">
        <v>8965</v>
      </c>
      <c r="E2717" s="2" t="s">
        <v>8966</v>
      </c>
      <c r="F2717" s="2" t="s">
        <v>10064</v>
      </c>
      <c r="G2717" s="2" t="s">
        <v>10064</v>
      </c>
      <c r="H2717" s="2" t="s">
        <v>10064</v>
      </c>
      <c r="I2717" s="2" t="s">
        <v>10065</v>
      </c>
      <c r="J2717" s="2" t="s">
        <v>6103</v>
      </c>
      <c r="K2717" s="2" t="s">
        <v>10070</v>
      </c>
      <c r="L2717" s="3">
        <v>217.8</v>
      </c>
      <c r="M2717" s="3">
        <v>228.69</v>
      </c>
      <c r="N2717" s="3">
        <v>459</v>
      </c>
      <c r="O2717" s="2" t="s">
        <v>97</v>
      </c>
      <c r="P2717" s="2" t="s">
        <v>182</v>
      </c>
      <c r="Q2717" s="2" t="s">
        <v>99</v>
      </c>
      <c r="R2717" s="2" t="s">
        <v>100</v>
      </c>
      <c r="S2717" s="2" t="s">
        <v>100</v>
      </c>
      <c r="T2717" s="2" t="s">
        <v>100</v>
      </c>
      <c r="U2717" s="2" t="s">
        <v>3531</v>
      </c>
      <c r="V2717" s="2" t="s">
        <v>1752</v>
      </c>
      <c r="W2717" s="2" t="s">
        <v>405</v>
      </c>
      <c r="X2717" s="2" t="s">
        <v>1288</v>
      </c>
      <c r="Y2717" s="2" t="s">
        <v>10071</v>
      </c>
      <c r="Z2717" s="4">
        <v>68</v>
      </c>
      <c r="AA2717" s="4">
        <f>=ROUNDDOWN(7.55555555555556,0)</f>
      </c>
      <c r="AB2717" s="5">
        <v>9</v>
      </c>
      <c r="AC2717" s="2" t="s">
        <v>130</v>
      </c>
      <c r="AD2717" s="4">
        <v>70</v>
      </c>
      <c r="AE2717" s="4">
        <v>320</v>
      </c>
      <c r="AF2717" s="6">
        <v>74</v>
      </c>
      <c r="AG2717" s="6">
        <v>60</v>
      </c>
      <c r="AH2717" s="7">
        <v>0.7758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/>
      <c r="AW2717" s="8"/>
      <c r="AX2717" s="4"/>
      <c r="AY2717" s="8"/>
      <c r="AZ2717" s="7"/>
      <c r="BA2717" s="7"/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/>
      <c r="BJ2717" s="4">
        <v>156</v>
      </c>
      <c r="BK2717" s="8">
        <v>34653.33</v>
      </c>
      <c r="BL2717" s="2" t="s">
        <v>10072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8648</v>
      </c>
      <c r="BX2717" s="2" t="s">
        <v>100</v>
      </c>
      <c r="BY2717" s="2" t="s">
        <v>112</v>
      </c>
      <c r="BZ2717" s="2" t="s">
        <v>100</v>
      </c>
    </row>
    <row r="2718">
      <c r="A2718" s="2" t="s">
        <v>10073</v>
      </c>
      <c r="B2718" s="2" t="s">
        <v>7252</v>
      </c>
      <c r="C2718" s="2" t="s">
        <v>4479</v>
      </c>
      <c r="D2718" s="2" t="s">
        <v>8965</v>
      </c>
      <c r="E2718" s="2" t="s">
        <v>8966</v>
      </c>
      <c r="F2718" s="2" t="s">
        <v>10064</v>
      </c>
      <c r="G2718" s="2" t="s">
        <v>10064</v>
      </c>
      <c r="H2718" s="2" t="s">
        <v>10064</v>
      </c>
      <c r="I2718" s="2" t="s">
        <v>10065</v>
      </c>
      <c r="J2718" s="2" t="s">
        <v>6103</v>
      </c>
      <c r="K2718" s="2" t="s">
        <v>123</v>
      </c>
      <c r="L2718" s="3">
        <v>217.8</v>
      </c>
      <c r="M2718" s="3">
        <v>228.69</v>
      </c>
      <c r="N2718" s="3">
        <v>459</v>
      </c>
      <c r="O2718" s="2" t="s">
        <v>97</v>
      </c>
      <c r="P2718" s="2" t="s">
        <v>8446</v>
      </c>
      <c r="Q2718" s="2" t="s">
        <v>99</v>
      </c>
      <c r="R2718" s="2" t="s">
        <v>100</v>
      </c>
      <c r="S2718" s="2" t="s">
        <v>100</v>
      </c>
      <c r="T2718" s="2" t="s">
        <v>100</v>
      </c>
      <c r="U2718" s="2" t="s">
        <v>3531</v>
      </c>
      <c r="V2718" s="2" t="s">
        <v>1752</v>
      </c>
      <c r="W2718" s="2" t="s">
        <v>405</v>
      </c>
      <c r="X2718" s="2" t="s">
        <v>1288</v>
      </c>
      <c r="Y2718" s="2" t="s">
        <v>4814</v>
      </c>
      <c r="Z2718" s="4"/>
      <c r="AA2718" s="4">
        <f>=ROUNDDOWN({0},0)</f>
      </c>
      <c r="AB2718" s="5">
        <v>7</v>
      </c>
      <c r="AC2718" s="2" t="s">
        <v>7295</v>
      </c>
      <c r="AD2718" s="4">
        <v>130</v>
      </c>
      <c r="AE2718" s="4">
        <v>170</v>
      </c>
      <c r="AF2718" s="6">
        <v>74</v>
      </c>
      <c r="AG2718" s="6"/>
      <c r="AH2718" s="7">
        <v>0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/>
      <c r="AW2718" s="8"/>
      <c r="AX2718" s="4"/>
      <c r="AY2718" s="8"/>
      <c r="AZ2718" s="7"/>
      <c r="BA2718" s="7"/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/>
      <c r="BJ2718" s="4"/>
      <c r="BK2718" s="8"/>
      <c r="BL2718" s="2" t="s">
        <v>100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147</v>
      </c>
      <c r="BV2718" s="2" t="s">
        <v>97</v>
      </c>
      <c r="BW2718" s="2" t="s">
        <v>100</v>
      </c>
      <c r="BX2718" s="2" t="s">
        <v>100</v>
      </c>
      <c r="BY2718" s="2" t="s">
        <v>112</v>
      </c>
      <c r="BZ2718" s="2" t="s">
        <v>100</v>
      </c>
    </row>
    <row r="2719">
      <c r="A2719" s="2" t="s">
        <v>10074</v>
      </c>
      <c r="B2719" s="2" t="s">
        <v>7252</v>
      </c>
      <c r="C2719" s="2" t="s">
        <v>4479</v>
      </c>
      <c r="D2719" s="2" t="s">
        <v>7253</v>
      </c>
      <c r="E2719" s="2" t="s">
        <v>7254</v>
      </c>
      <c r="F2719" s="2" t="s">
        <v>10075</v>
      </c>
      <c r="G2719" s="2" t="s">
        <v>10075</v>
      </c>
      <c r="H2719" s="2" t="s">
        <v>10075</v>
      </c>
      <c r="I2719" s="2" t="s">
        <v>10076</v>
      </c>
      <c r="J2719" s="2" t="s">
        <v>6103</v>
      </c>
      <c r="K2719" s="2" t="s">
        <v>4743</v>
      </c>
      <c r="L2719" s="3">
        <v>212.85</v>
      </c>
      <c r="M2719" s="3">
        <v>223.49</v>
      </c>
      <c r="N2719" s="3">
        <v>449</v>
      </c>
      <c r="O2719" s="2" t="s">
        <v>97</v>
      </c>
      <c r="P2719" s="2" t="s">
        <v>182</v>
      </c>
      <c r="Q2719" s="2" t="s">
        <v>99</v>
      </c>
      <c r="R2719" s="2" t="s">
        <v>100</v>
      </c>
      <c r="S2719" s="2" t="s">
        <v>10077</v>
      </c>
      <c r="T2719" s="2" t="s">
        <v>100</v>
      </c>
      <c r="U2719" s="2" t="s">
        <v>3531</v>
      </c>
      <c r="V2719" s="2" t="s">
        <v>601</v>
      </c>
      <c r="W2719" s="2" t="s">
        <v>405</v>
      </c>
      <c r="X2719" s="2" t="s">
        <v>100</v>
      </c>
      <c r="Y2719" s="2" t="s">
        <v>8202</v>
      </c>
      <c r="Z2719" s="4">
        <v>33</v>
      </c>
      <c r="AA2719" s="4">
        <f>=ROUNDDOWN(11,0)</f>
      </c>
      <c r="AB2719" s="5">
        <v>3</v>
      </c>
      <c r="AC2719" s="2" t="s">
        <v>430</v>
      </c>
      <c r="AD2719" s="4">
        <v>96</v>
      </c>
      <c r="AE2719" s="4">
        <v>96</v>
      </c>
      <c r="AF2719" s="6">
        <v>66</v>
      </c>
      <c r="AG2719" s="6">
        <v>49</v>
      </c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>
        <v>0</v>
      </c>
      <c r="AP2719" s="4">
        <v>2</v>
      </c>
      <c r="AQ2719" s="8">
        <v>399</v>
      </c>
      <c r="AR2719" s="4"/>
      <c r="AS2719" s="8"/>
      <c r="AT2719" s="7"/>
      <c r="AU2719" s="7"/>
      <c r="AV2719" s="4">
        <v>2</v>
      </c>
      <c r="AW2719" s="8">
        <v>399</v>
      </c>
      <c r="AX2719" s="4"/>
      <c r="AY2719" s="8"/>
      <c r="AZ2719" s="7"/>
      <c r="BA2719" s="7"/>
      <c r="BB2719" s="7">
        <v>1</v>
      </c>
      <c r="BC2719" s="4">
        <v>2</v>
      </c>
      <c r="BD2719" s="8">
        <v>399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>
        <v>1</v>
      </c>
      <c r="BJ2719" s="4">
        <v>90</v>
      </c>
      <c r="BK2719" s="8">
        <v>18573.12</v>
      </c>
      <c r="BL2719" s="2" t="s">
        <v>10078</v>
      </c>
      <c r="BM2719" s="7">
        <v>0.0222</v>
      </c>
      <c r="BN2719" s="7">
        <v>0.0215</v>
      </c>
      <c r="BO2719" s="4">
        <v>2</v>
      </c>
      <c r="BP2719" s="8">
        <v>399</v>
      </c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3536</v>
      </c>
      <c r="BX2719" s="2" t="s">
        <v>3727</v>
      </c>
      <c r="BY2719" s="2" t="s">
        <v>112</v>
      </c>
      <c r="BZ2719" s="2" t="s">
        <v>100</v>
      </c>
    </row>
    <row r="2720">
      <c r="A2720" s="2" t="s">
        <v>10079</v>
      </c>
      <c r="B2720" s="2" t="s">
        <v>7252</v>
      </c>
      <c r="C2720" s="2" t="s">
        <v>4479</v>
      </c>
      <c r="D2720" s="2" t="s">
        <v>7253</v>
      </c>
      <c r="E2720" s="2" t="s">
        <v>7254</v>
      </c>
      <c r="F2720" s="2" t="s">
        <v>10075</v>
      </c>
      <c r="G2720" s="2" t="s">
        <v>10075</v>
      </c>
      <c r="H2720" s="2" t="s">
        <v>10075</v>
      </c>
      <c r="I2720" s="2" t="s">
        <v>10080</v>
      </c>
      <c r="J2720" s="2" t="s">
        <v>6103</v>
      </c>
      <c r="K2720" s="2" t="s">
        <v>10081</v>
      </c>
      <c r="L2720" s="3">
        <v>212.85</v>
      </c>
      <c r="M2720" s="3">
        <v>223.49</v>
      </c>
      <c r="N2720" s="3">
        <v>449</v>
      </c>
      <c r="O2720" s="2" t="s">
        <v>97</v>
      </c>
      <c r="P2720" s="2" t="s">
        <v>182</v>
      </c>
      <c r="Q2720" s="2" t="s">
        <v>99</v>
      </c>
      <c r="R2720" s="2" t="s">
        <v>100</v>
      </c>
      <c r="S2720" s="2" t="s">
        <v>100</v>
      </c>
      <c r="T2720" s="2" t="s">
        <v>100</v>
      </c>
      <c r="U2720" s="2" t="s">
        <v>3531</v>
      </c>
      <c r="V2720" s="2" t="s">
        <v>601</v>
      </c>
      <c r="W2720" s="2" t="s">
        <v>405</v>
      </c>
      <c r="X2720" s="2" t="s">
        <v>100</v>
      </c>
      <c r="Y2720" s="2" t="s">
        <v>9731</v>
      </c>
      <c r="Z2720" s="4">
        <v>89</v>
      </c>
      <c r="AA2720" s="4">
        <f>=ROUNDDOWN(12.7142857142857,0)</f>
      </c>
      <c r="AB2720" s="5">
        <v>7</v>
      </c>
      <c r="AC2720" s="2" t="s">
        <v>659</v>
      </c>
      <c r="AD2720" s="4">
        <v>96</v>
      </c>
      <c r="AE2720" s="4">
        <v>96</v>
      </c>
      <c r="AF2720" s="6">
        <v>66</v>
      </c>
      <c r="AG2720" s="6"/>
      <c r="AH2720" s="7">
        <v>0.9697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/>
      <c r="AW2720" s="8"/>
      <c r="AX2720" s="4"/>
      <c r="AY2720" s="8"/>
      <c r="AZ2720" s="7"/>
      <c r="BA2720" s="7"/>
      <c r="BB2720" s="7"/>
      <c r="BC2720" s="4" t="s">
        <v>100</v>
      </c>
      <c r="BD2720" s="8" t="s">
        <v>100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/>
      <c r="BJ2720" s="4">
        <v>155</v>
      </c>
      <c r="BK2720" s="8">
        <v>32205.88</v>
      </c>
      <c r="BL2720" s="2" t="s">
        <v>10082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6185</v>
      </c>
      <c r="BV2720" s="2" t="s">
        <v>97</v>
      </c>
      <c r="BW2720" s="2" t="s">
        <v>100</v>
      </c>
      <c r="BX2720" s="2" t="s">
        <v>100</v>
      </c>
      <c r="BY2720" s="2" t="s">
        <v>112</v>
      </c>
      <c r="BZ2720" s="2" t="s">
        <v>100</v>
      </c>
    </row>
    <row r="2721">
      <c r="A2721" s="2" t="s">
        <v>10083</v>
      </c>
      <c r="B2721" s="2" t="s">
        <v>7252</v>
      </c>
      <c r="C2721" s="2" t="s">
        <v>4479</v>
      </c>
      <c r="D2721" s="2" t="s">
        <v>7253</v>
      </c>
      <c r="E2721" s="2" t="s">
        <v>7254</v>
      </c>
      <c r="F2721" s="2" t="s">
        <v>3761</v>
      </c>
      <c r="G2721" s="2" t="s">
        <v>3761</v>
      </c>
      <c r="H2721" s="2" t="s">
        <v>3761</v>
      </c>
      <c r="I2721" s="2" t="s">
        <v>7254</v>
      </c>
      <c r="J2721" s="2" t="s">
        <v>6103</v>
      </c>
      <c r="K2721" s="2" t="s">
        <v>123</v>
      </c>
      <c r="L2721" s="3">
        <v>237.6</v>
      </c>
      <c r="M2721" s="3">
        <v>249.48</v>
      </c>
      <c r="N2721" s="3">
        <v>499</v>
      </c>
      <c r="O2721" s="2" t="s">
        <v>97</v>
      </c>
      <c r="P2721" s="2" t="s">
        <v>182</v>
      </c>
      <c r="Q2721" s="2" t="s">
        <v>99</v>
      </c>
      <c r="R2721" s="2" t="s">
        <v>100</v>
      </c>
      <c r="S2721" s="2" t="s">
        <v>100</v>
      </c>
      <c r="T2721" s="2" t="s">
        <v>100</v>
      </c>
      <c r="U2721" s="2" t="s">
        <v>100</v>
      </c>
      <c r="V2721" s="2" t="s">
        <v>601</v>
      </c>
      <c r="W2721" s="2" t="s">
        <v>405</v>
      </c>
      <c r="X2721" s="2" t="s">
        <v>100</v>
      </c>
      <c r="Y2721" s="2" t="s">
        <v>10044</v>
      </c>
      <c r="Z2721" s="4">
        <v>168</v>
      </c>
      <c r="AA2721" s="4">
        <f>=ROUNDDOWN(42,0)</f>
      </c>
      <c r="AB2721" s="5">
        <v>4</v>
      </c>
      <c r="AC2721" s="2" t="s">
        <v>100</v>
      </c>
      <c r="AD2721" s="4"/>
      <c r="AE2721" s="4"/>
      <c r="AF2721" s="6">
        <v>66</v>
      </c>
      <c r="AG2721" s="6">
        <v>49</v>
      </c>
      <c r="AH2721" s="7">
        <v>0.9697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/>
      <c r="AW2721" s="8"/>
      <c r="AX2721" s="4"/>
      <c r="AY2721" s="8"/>
      <c r="AZ2721" s="7"/>
      <c r="BA2721" s="7"/>
      <c r="BB2721" s="7"/>
      <c r="BC2721" s="4"/>
      <c r="BD2721" s="8"/>
      <c r="BE2721" s="4"/>
      <c r="BF2721" s="8"/>
      <c r="BG2721" s="7"/>
      <c r="BH2721" s="7"/>
      <c r="BI2721" s="7"/>
      <c r="BJ2721" s="4">
        <v>71</v>
      </c>
      <c r="BK2721" s="8">
        <v>16490.32</v>
      </c>
      <c r="BL2721" s="2" t="s">
        <v>10084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3536</v>
      </c>
      <c r="BX2721" s="2" t="s">
        <v>100</v>
      </c>
      <c r="BY2721" s="2" t="s">
        <v>112</v>
      </c>
      <c r="BZ2721" s="2" t="s">
        <v>100</v>
      </c>
    </row>
    <row r="2722">
      <c r="A2722" s="2" t="s">
        <v>10085</v>
      </c>
      <c r="B2722" s="2" t="s">
        <v>7252</v>
      </c>
      <c r="C2722" s="2" t="s">
        <v>4479</v>
      </c>
      <c r="D2722" s="2" t="s">
        <v>7253</v>
      </c>
      <c r="E2722" s="2" t="s">
        <v>7738</v>
      </c>
      <c r="F2722" s="2" t="s">
        <v>10086</v>
      </c>
      <c r="G2722" s="2" t="s">
        <v>10086</v>
      </c>
      <c r="H2722" s="2" t="s">
        <v>100</v>
      </c>
      <c r="I2722" s="2" t="s">
        <v>7313</v>
      </c>
      <c r="J2722" s="2" t="s">
        <v>6103</v>
      </c>
      <c r="K2722" s="2" t="s">
        <v>181</v>
      </c>
      <c r="L2722" s="3">
        <v>166.67</v>
      </c>
      <c r="M2722" s="3">
        <v>175</v>
      </c>
      <c r="N2722" s="3">
        <v>349</v>
      </c>
      <c r="O2722" s="2" t="s">
        <v>1148</v>
      </c>
      <c r="P2722" s="2" t="s">
        <v>198</v>
      </c>
      <c r="Q2722" s="2" t="s">
        <v>99</v>
      </c>
      <c r="R2722" s="2" t="s">
        <v>100</v>
      </c>
      <c r="S2722" s="2" t="s">
        <v>10087</v>
      </c>
      <c r="T2722" s="2" t="s">
        <v>100</v>
      </c>
      <c r="U2722" s="2" t="s">
        <v>100</v>
      </c>
      <c r="V2722" s="2" t="s">
        <v>601</v>
      </c>
      <c r="W2722" s="2" t="s">
        <v>405</v>
      </c>
      <c r="X2722" s="2" t="s">
        <v>100</v>
      </c>
      <c r="Y2722" s="2" t="s">
        <v>1322</v>
      </c>
      <c r="Z2722" s="4"/>
      <c r="AA2722" s="4">
        <f>=ROUNDDOWN({0},0)</f>
      </c>
      <c r="AB2722" s="5"/>
      <c r="AC2722" s="2" t="s">
        <v>100</v>
      </c>
      <c r="AD2722" s="4"/>
      <c r="AE2722" s="4"/>
      <c r="AF2722" s="6"/>
      <c r="AG2722" s="6"/>
      <c r="AH2722" s="7">
        <v>0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/>
      <c r="AW2722" s="8"/>
      <c r="AX2722" s="4"/>
      <c r="AY2722" s="8"/>
      <c r="AZ2722" s="7"/>
      <c r="BA2722" s="7"/>
      <c r="BB2722" s="7"/>
      <c r="BC2722" s="4"/>
      <c r="BD2722" s="8"/>
      <c r="BE2722" s="4"/>
      <c r="BF2722" s="8"/>
      <c r="BG2722" s="7"/>
      <c r="BH2722" s="7"/>
      <c r="BI2722" s="7"/>
      <c r="BJ2722" s="4"/>
      <c r="BK2722" s="8"/>
      <c r="BL2722" s="2" t="s">
        <v>100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147</v>
      </c>
      <c r="BV2722" s="2" t="s">
        <v>97</v>
      </c>
      <c r="BW2722" s="2" t="s">
        <v>100</v>
      </c>
      <c r="BX2722" s="2" t="s">
        <v>100</v>
      </c>
      <c r="BY2722" s="2" t="s">
        <v>112</v>
      </c>
      <c r="BZ2722" s="2" t="s">
        <v>100</v>
      </c>
    </row>
    <row r="2723">
      <c r="A2723" s="2" t="s">
        <v>10088</v>
      </c>
      <c r="B2723" s="2" t="s">
        <v>7252</v>
      </c>
      <c r="C2723" s="2" t="s">
        <v>4479</v>
      </c>
      <c r="D2723" s="2" t="s">
        <v>8817</v>
      </c>
      <c r="E2723" s="2" t="s">
        <v>8818</v>
      </c>
      <c r="F2723" s="2" t="s">
        <v>10089</v>
      </c>
      <c r="G2723" s="2" t="s">
        <v>10089</v>
      </c>
      <c r="H2723" s="2" t="s">
        <v>10089</v>
      </c>
      <c r="I2723" s="2" t="s">
        <v>10090</v>
      </c>
      <c r="J2723" s="2" t="s">
        <v>6103</v>
      </c>
      <c r="K2723" s="2" t="s">
        <v>7696</v>
      </c>
      <c r="L2723" s="3">
        <v>118.13</v>
      </c>
      <c r="M2723" s="3">
        <v>124.04</v>
      </c>
      <c r="N2723" s="3">
        <v>249</v>
      </c>
      <c r="O2723" s="2" t="s">
        <v>97</v>
      </c>
      <c r="P2723" s="2" t="s">
        <v>198</v>
      </c>
      <c r="Q2723" s="2" t="s">
        <v>99</v>
      </c>
      <c r="R2723" s="2" t="s">
        <v>100</v>
      </c>
      <c r="S2723" s="2" t="s">
        <v>100</v>
      </c>
      <c r="T2723" s="2" t="s">
        <v>100</v>
      </c>
      <c r="U2723" s="2" t="s">
        <v>3531</v>
      </c>
      <c r="V2723" s="2" t="s">
        <v>601</v>
      </c>
      <c r="W2723" s="2" t="s">
        <v>405</v>
      </c>
      <c r="X2723" s="2" t="s">
        <v>104</v>
      </c>
      <c r="Y2723" s="2" t="s">
        <v>7676</v>
      </c>
      <c r="Z2723" s="4">
        <v>43</v>
      </c>
      <c r="AA2723" s="4">
        <f>=ROUNDDOWN(21.5,0)</f>
      </c>
      <c r="AB2723" s="5">
        <v>2</v>
      </c>
      <c r="AC2723" s="2" t="s">
        <v>100</v>
      </c>
      <c r="AD2723" s="4"/>
      <c r="AE2723" s="4"/>
      <c r="AF2723" s="6">
        <v>66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>
        <v>0</v>
      </c>
      <c r="AP2723" s="4">
        <v>3</v>
      </c>
      <c r="AQ2723" s="8">
        <v>355.59</v>
      </c>
      <c r="AR2723" s="4">
        <v>2</v>
      </c>
      <c r="AS2723" s="8">
        <v>177.8</v>
      </c>
      <c r="AT2723" s="7">
        <v>0.5</v>
      </c>
      <c r="AU2723" s="7">
        <v>0.9999</v>
      </c>
      <c r="AV2723" s="4">
        <v>3</v>
      </c>
      <c r="AW2723" s="8">
        <v>355.59</v>
      </c>
      <c r="AX2723" s="4">
        <v>2</v>
      </c>
      <c r="AY2723" s="8">
        <v>177.8</v>
      </c>
      <c r="AZ2723" s="7">
        <v>0.5</v>
      </c>
      <c r="BA2723" s="7">
        <v>0.9999</v>
      </c>
      <c r="BB2723" s="7">
        <v>1</v>
      </c>
      <c r="BC2723" s="4">
        <v>3</v>
      </c>
      <c r="BD2723" s="8">
        <v>355.59</v>
      </c>
      <c r="BE2723" s="4">
        <v>14</v>
      </c>
      <c r="BF2723" s="8">
        <v>1363.12</v>
      </c>
      <c r="BG2723" s="7">
        <v>-0.7857</v>
      </c>
      <c r="BH2723" s="7">
        <v>-0.7391</v>
      </c>
      <c r="BI2723" s="7">
        <v>1</v>
      </c>
      <c r="BJ2723" s="4">
        <v>48</v>
      </c>
      <c r="BK2723" s="8">
        <v>5284.88</v>
      </c>
      <c r="BL2723" s="2" t="s">
        <v>10091</v>
      </c>
      <c r="BM2723" s="7">
        <v>0.0625</v>
      </c>
      <c r="BN2723" s="7">
        <v>0.0673</v>
      </c>
      <c r="BO2723" s="4">
        <v>3</v>
      </c>
      <c r="BP2723" s="8">
        <v>355.59</v>
      </c>
      <c r="BQ2723" s="4">
        <v>2</v>
      </c>
      <c r="BR2723" s="8">
        <v>177.8</v>
      </c>
      <c r="BS2723" s="7">
        <v>0.5</v>
      </c>
      <c r="BT2723" s="7">
        <v>0.9999</v>
      </c>
      <c r="BU2723" s="2" t="s">
        <v>109</v>
      </c>
      <c r="BV2723" s="2" t="s">
        <v>97</v>
      </c>
      <c r="BW2723" s="2" t="s">
        <v>573</v>
      </c>
      <c r="BX2723" s="2" t="s">
        <v>153</v>
      </c>
      <c r="BY2723" s="2" t="s">
        <v>112</v>
      </c>
      <c r="BZ2723" s="2" t="s">
        <v>100</v>
      </c>
    </row>
    <row r="2724">
      <c r="A2724" s="2" t="s">
        <v>10092</v>
      </c>
      <c r="B2724" s="2" t="s">
        <v>7252</v>
      </c>
      <c r="C2724" s="2" t="s">
        <v>4479</v>
      </c>
      <c r="D2724" s="2" t="s">
        <v>8817</v>
      </c>
      <c r="E2724" s="2" t="s">
        <v>8818</v>
      </c>
      <c r="F2724" s="2" t="s">
        <v>10089</v>
      </c>
      <c r="G2724" s="2" t="s">
        <v>10089</v>
      </c>
      <c r="H2724" s="2" t="s">
        <v>10089</v>
      </c>
      <c r="I2724" s="2" t="s">
        <v>10090</v>
      </c>
      <c r="J2724" s="2" t="s">
        <v>6103</v>
      </c>
      <c r="K2724" s="2" t="s">
        <v>9689</v>
      </c>
      <c r="L2724" s="3">
        <v>118.13</v>
      </c>
      <c r="M2724" s="3">
        <v>124.04</v>
      </c>
      <c r="N2724" s="3">
        <v>249</v>
      </c>
      <c r="O2724" s="2" t="s">
        <v>97</v>
      </c>
      <c r="P2724" s="2" t="s">
        <v>182</v>
      </c>
      <c r="Q2724" s="2" t="s">
        <v>99</v>
      </c>
      <c r="R2724" s="2" t="s">
        <v>100</v>
      </c>
      <c r="S2724" s="2" t="s">
        <v>10093</v>
      </c>
      <c r="T2724" s="2" t="s">
        <v>100</v>
      </c>
      <c r="U2724" s="2" t="s">
        <v>100</v>
      </c>
      <c r="V2724" s="2" t="s">
        <v>601</v>
      </c>
      <c r="W2724" s="2" t="s">
        <v>405</v>
      </c>
      <c r="X2724" s="2" t="s">
        <v>100</v>
      </c>
      <c r="Y2724" s="2" t="s">
        <v>106</v>
      </c>
      <c r="Z2724" s="4">
        <v>84</v>
      </c>
      <c r="AA2724" s="4">
        <f>=ROUNDDOWN(9.33333333333333,0)</f>
      </c>
      <c r="AB2724" s="5">
        <v>9</v>
      </c>
      <c r="AC2724" s="2" t="s">
        <v>589</v>
      </c>
      <c r="AD2724" s="4">
        <v>100</v>
      </c>
      <c r="AE2724" s="4">
        <v>100</v>
      </c>
      <c r="AF2724" s="6">
        <v>66</v>
      </c>
      <c r="AG2724" s="6">
        <v>49</v>
      </c>
      <c r="AH2724" s="7">
        <v>0.7697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>
        <v>0</v>
      </c>
      <c r="AP2724" s="4"/>
      <c r="AQ2724" s="8"/>
      <c r="AR2724" s="4">
        <v>12</v>
      </c>
      <c r="AS2724" s="8">
        <v>1185.32</v>
      </c>
      <c r="AT2724" s="7">
        <v>-1</v>
      </c>
      <c r="AU2724" s="7">
        <v>-1</v>
      </c>
      <c r="AV2724" s="4"/>
      <c r="AW2724" s="8"/>
      <c r="AX2724" s="4">
        <v>12</v>
      </c>
      <c r="AY2724" s="8">
        <v>1185.32</v>
      </c>
      <c r="AZ2724" s="7">
        <v>-1</v>
      </c>
      <c r="BA2724" s="7">
        <v>-1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/>
      <c r="BJ2724" s="4">
        <v>153</v>
      </c>
      <c r="BK2724" s="8">
        <v>17102.12</v>
      </c>
      <c r="BL2724" s="2" t="s">
        <v>10094</v>
      </c>
      <c r="BM2724" s="7"/>
      <c r="BN2724" s="7"/>
      <c r="BO2724" s="4"/>
      <c r="BP2724" s="8"/>
      <c r="BQ2724" s="4">
        <v>12</v>
      </c>
      <c r="BR2724" s="8">
        <v>1185.32</v>
      </c>
      <c r="BS2724" s="7">
        <v>-1</v>
      </c>
      <c r="BT2724" s="7">
        <v>-1</v>
      </c>
      <c r="BU2724" s="2" t="s">
        <v>109</v>
      </c>
      <c r="BV2724" s="2" t="s">
        <v>97</v>
      </c>
      <c r="BW2724" s="2" t="s">
        <v>7307</v>
      </c>
      <c r="BX2724" s="2" t="s">
        <v>2728</v>
      </c>
      <c r="BY2724" s="2" t="s">
        <v>112</v>
      </c>
      <c r="BZ2724" s="2" t="s">
        <v>100</v>
      </c>
    </row>
    <row r="2725">
      <c r="A2725" s="2" t="s">
        <v>10095</v>
      </c>
      <c r="B2725" s="2" t="s">
        <v>7252</v>
      </c>
      <c r="C2725" s="2" t="s">
        <v>4479</v>
      </c>
      <c r="D2725" s="2" t="s">
        <v>8817</v>
      </c>
      <c r="E2725" s="2" t="s">
        <v>8818</v>
      </c>
      <c r="F2725" s="2" t="s">
        <v>10096</v>
      </c>
      <c r="G2725" s="2" t="s">
        <v>100</v>
      </c>
      <c r="H2725" s="2" t="s">
        <v>100</v>
      </c>
      <c r="I2725" s="2" t="s">
        <v>10097</v>
      </c>
      <c r="J2725" s="2" t="s">
        <v>6103</v>
      </c>
      <c r="K2725" s="2" t="s">
        <v>333</v>
      </c>
      <c r="L2725" s="3">
        <v>256.03</v>
      </c>
      <c r="M2725" s="3">
        <v>268.83</v>
      </c>
      <c r="N2725" s="3">
        <v>529</v>
      </c>
      <c r="O2725" s="2" t="s">
        <v>97</v>
      </c>
      <c r="P2725" s="2" t="s">
        <v>182</v>
      </c>
      <c r="Q2725" s="2" t="s">
        <v>99</v>
      </c>
      <c r="R2725" s="2" t="s">
        <v>100</v>
      </c>
      <c r="S2725" s="2" t="s">
        <v>100</v>
      </c>
      <c r="T2725" s="2" t="s">
        <v>100</v>
      </c>
      <c r="U2725" s="2" t="s">
        <v>100</v>
      </c>
      <c r="V2725" s="2" t="s">
        <v>601</v>
      </c>
      <c r="W2725" s="2" t="s">
        <v>405</v>
      </c>
      <c r="X2725" s="2" t="s">
        <v>100</v>
      </c>
      <c r="Y2725" s="2" t="s">
        <v>1322</v>
      </c>
      <c r="Z2725" s="4">
        <v>400</v>
      </c>
      <c r="AA2725" s="4">
        <f>=ROUNDDOWN(50,0)</f>
      </c>
      <c r="AB2725" s="5">
        <v>8</v>
      </c>
      <c r="AC2725" s="2" t="s">
        <v>100</v>
      </c>
      <c r="AD2725" s="4"/>
      <c r="AE2725" s="4"/>
      <c r="AF2725" s="6">
        <v>66</v>
      </c>
      <c r="AG2725" s="6">
        <v>49</v>
      </c>
      <c r="AH2725" s="7">
        <v>0.8606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/>
      <c r="AW2725" s="8"/>
      <c r="AX2725" s="4"/>
      <c r="AY2725" s="8"/>
      <c r="AZ2725" s="7"/>
      <c r="BA2725" s="7"/>
      <c r="BB2725" s="7"/>
      <c r="BC2725" s="4"/>
      <c r="BD2725" s="8"/>
      <c r="BE2725" s="4"/>
      <c r="BF2725" s="8"/>
      <c r="BG2725" s="7"/>
      <c r="BH2725" s="7"/>
      <c r="BI2725" s="7"/>
      <c r="BJ2725" s="4">
        <v>133</v>
      </c>
      <c r="BK2725" s="8">
        <v>32292.02</v>
      </c>
      <c r="BL2725" s="2" t="s">
        <v>10098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6185</v>
      </c>
      <c r="BV2725" s="2" t="s">
        <v>97</v>
      </c>
      <c r="BW2725" s="2" t="s">
        <v>100</v>
      </c>
      <c r="BX2725" s="2" t="s">
        <v>100</v>
      </c>
      <c r="BY2725" s="2" t="s">
        <v>112</v>
      </c>
      <c r="BZ2725" s="2" t="s">
        <v>100</v>
      </c>
    </row>
    <row r="2726">
      <c r="A2726" s="2" t="s">
        <v>10099</v>
      </c>
      <c r="B2726" s="2" t="s">
        <v>7252</v>
      </c>
      <c r="C2726" s="2" t="s">
        <v>4479</v>
      </c>
      <c r="D2726" s="2" t="s">
        <v>8817</v>
      </c>
      <c r="E2726" s="2" t="s">
        <v>8818</v>
      </c>
      <c r="F2726" s="2" t="s">
        <v>10100</v>
      </c>
      <c r="G2726" s="2" t="s">
        <v>10100</v>
      </c>
      <c r="H2726" s="2" t="s">
        <v>10100</v>
      </c>
      <c r="I2726" s="2" t="s">
        <v>8854</v>
      </c>
      <c r="J2726" s="2" t="s">
        <v>6103</v>
      </c>
      <c r="K2726" s="2" t="s">
        <v>10101</v>
      </c>
      <c r="L2726" s="3">
        <v>200.36</v>
      </c>
      <c r="M2726" s="3">
        <v>210.38</v>
      </c>
      <c r="N2726" s="3">
        <v>419</v>
      </c>
      <c r="O2726" s="2" t="s">
        <v>97</v>
      </c>
      <c r="P2726" s="2" t="s">
        <v>143</v>
      </c>
      <c r="Q2726" s="2" t="s">
        <v>99</v>
      </c>
      <c r="R2726" s="2" t="s">
        <v>100</v>
      </c>
      <c r="S2726" s="2" t="s">
        <v>10102</v>
      </c>
      <c r="T2726" s="2" t="s">
        <v>100</v>
      </c>
      <c r="U2726" s="2" t="s">
        <v>100</v>
      </c>
      <c r="V2726" s="2" t="s">
        <v>601</v>
      </c>
      <c r="W2726" s="2" t="s">
        <v>602</v>
      </c>
      <c r="X2726" s="2" t="s">
        <v>100</v>
      </c>
      <c r="Y2726" s="2" t="s">
        <v>2930</v>
      </c>
      <c r="Z2726" s="4">
        <v>494</v>
      </c>
      <c r="AA2726" s="4">
        <f>=ROUNDDOWN(32.9333333333333,0)</f>
      </c>
      <c r="AB2726" s="5">
        <v>15</v>
      </c>
      <c r="AC2726" s="2" t="s">
        <v>130</v>
      </c>
      <c r="AD2726" s="4">
        <v>251</v>
      </c>
      <c r="AE2726" s="4">
        <v>411</v>
      </c>
      <c r="AF2726" s="6">
        <v>74</v>
      </c>
      <c r="AG2726" s="6">
        <v>60</v>
      </c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/>
      <c r="AW2726" s="8"/>
      <c r="AX2726" s="4"/>
      <c r="AY2726" s="8"/>
      <c r="AZ2726" s="7"/>
      <c r="BA2726" s="7"/>
      <c r="BB2726" s="7"/>
      <c r="BC2726" s="4"/>
      <c r="BD2726" s="8"/>
      <c r="BE2726" s="4"/>
      <c r="BF2726" s="8"/>
      <c r="BG2726" s="7"/>
      <c r="BH2726" s="7"/>
      <c r="BI2726" s="7"/>
      <c r="BJ2726" s="4">
        <v>339</v>
      </c>
      <c r="BK2726" s="8">
        <v>66900.39</v>
      </c>
      <c r="BL2726" s="2" t="s">
        <v>10103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97</v>
      </c>
      <c r="BW2726" s="2" t="s">
        <v>8648</v>
      </c>
      <c r="BX2726" s="2" t="s">
        <v>100</v>
      </c>
      <c r="BY2726" s="2" t="s">
        <v>112</v>
      </c>
      <c r="BZ2726" s="2" t="s">
        <v>100</v>
      </c>
    </row>
    <row r="2727">
      <c r="A2727" s="2" t="s">
        <v>10104</v>
      </c>
      <c r="B2727" s="2" t="s">
        <v>7252</v>
      </c>
      <c r="C2727" s="2" t="s">
        <v>4479</v>
      </c>
      <c r="D2727" s="2" t="s">
        <v>8817</v>
      </c>
      <c r="E2727" s="2" t="s">
        <v>8818</v>
      </c>
      <c r="F2727" s="2" t="s">
        <v>10105</v>
      </c>
      <c r="G2727" s="2" t="s">
        <v>10105</v>
      </c>
      <c r="H2727" s="2" t="s">
        <v>10105</v>
      </c>
      <c r="I2727" s="2" t="s">
        <v>10097</v>
      </c>
      <c r="J2727" s="2" t="s">
        <v>10106</v>
      </c>
      <c r="K2727" s="2" t="s">
        <v>158</v>
      </c>
      <c r="L2727" s="3">
        <v>214.2</v>
      </c>
      <c r="M2727" s="3">
        <v>224.91</v>
      </c>
      <c r="N2727" s="3">
        <v>449</v>
      </c>
      <c r="O2727" s="2" t="s">
        <v>97</v>
      </c>
      <c r="P2727" s="2" t="s">
        <v>143</v>
      </c>
      <c r="Q2727" s="2" t="s">
        <v>99</v>
      </c>
      <c r="R2727" s="2" t="s">
        <v>100</v>
      </c>
      <c r="S2727" s="2" t="s">
        <v>100</v>
      </c>
      <c r="T2727" s="2" t="s">
        <v>100</v>
      </c>
      <c r="U2727" s="2" t="s">
        <v>2104</v>
      </c>
      <c r="V2727" s="2" t="s">
        <v>601</v>
      </c>
      <c r="W2727" s="2" t="s">
        <v>405</v>
      </c>
      <c r="X2727" s="2" t="s">
        <v>100</v>
      </c>
      <c r="Y2727" s="2" t="s">
        <v>10107</v>
      </c>
      <c r="Z2727" s="4">
        <v>230</v>
      </c>
      <c r="AA2727" s="4">
        <f>=ROUNDDOWN(14.375,0)</f>
      </c>
      <c r="AB2727" s="5">
        <v>16</v>
      </c>
      <c r="AC2727" s="2" t="s">
        <v>7911</v>
      </c>
      <c r="AD2727" s="4">
        <v>110</v>
      </c>
      <c r="AE2727" s="4">
        <v>330</v>
      </c>
      <c r="AF2727" s="6">
        <v>66</v>
      </c>
      <c r="AG2727" s="6">
        <v>49</v>
      </c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/>
      <c r="AW2727" s="8"/>
      <c r="AX2727" s="4"/>
      <c r="AY2727" s="8"/>
      <c r="AZ2727" s="7"/>
      <c r="BA2727" s="7"/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/>
      <c r="BJ2727" s="4">
        <v>334</v>
      </c>
      <c r="BK2727" s="8">
        <v>73417.42</v>
      </c>
      <c r="BL2727" s="2" t="s">
        <v>10108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6185</v>
      </c>
      <c r="BV2727" s="2" t="s">
        <v>97</v>
      </c>
      <c r="BW2727" s="2" t="s">
        <v>100</v>
      </c>
      <c r="BX2727" s="2" t="s">
        <v>100</v>
      </c>
      <c r="BY2727" s="2" t="s">
        <v>112</v>
      </c>
      <c r="BZ2727" s="2" t="s">
        <v>100</v>
      </c>
    </row>
    <row r="2728">
      <c r="A2728" s="2" t="s">
        <v>10109</v>
      </c>
      <c r="B2728" s="2" t="s">
        <v>7252</v>
      </c>
      <c r="C2728" s="2" t="s">
        <v>4479</v>
      </c>
      <c r="D2728" s="2" t="s">
        <v>8817</v>
      </c>
      <c r="E2728" s="2" t="s">
        <v>8818</v>
      </c>
      <c r="F2728" s="2" t="s">
        <v>10105</v>
      </c>
      <c r="G2728" s="2" t="s">
        <v>10105</v>
      </c>
      <c r="H2728" s="2" t="s">
        <v>10105</v>
      </c>
      <c r="I2728" s="2" t="s">
        <v>10097</v>
      </c>
      <c r="J2728" s="2" t="s">
        <v>10106</v>
      </c>
      <c r="K2728" s="2" t="s">
        <v>2367</v>
      </c>
      <c r="L2728" s="3">
        <v>214.2</v>
      </c>
      <c r="M2728" s="3">
        <v>224.91</v>
      </c>
      <c r="N2728" s="3">
        <v>449</v>
      </c>
      <c r="O2728" s="2" t="s">
        <v>97</v>
      </c>
      <c r="P2728" s="2" t="s">
        <v>124</v>
      </c>
      <c r="Q2728" s="2" t="s">
        <v>99</v>
      </c>
      <c r="R2728" s="2" t="s">
        <v>100</v>
      </c>
      <c r="S2728" s="2" t="s">
        <v>100</v>
      </c>
      <c r="T2728" s="2" t="s">
        <v>100</v>
      </c>
      <c r="U2728" s="2" t="s">
        <v>2104</v>
      </c>
      <c r="V2728" s="2" t="s">
        <v>601</v>
      </c>
      <c r="W2728" s="2" t="s">
        <v>405</v>
      </c>
      <c r="X2728" s="2" t="s">
        <v>100</v>
      </c>
      <c r="Y2728" s="2" t="s">
        <v>819</v>
      </c>
      <c r="Z2728" s="4">
        <v>228</v>
      </c>
      <c r="AA2728" s="4">
        <f>=ROUNDDOWN(9.53974895397489,0)</f>
      </c>
      <c r="AB2728" s="5">
        <v>23.9</v>
      </c>
      <c r="AC2728" s="2" t="s">
        <v>7911</v>
      </c>
      <c r="AD2728" s="4">
        <v>195</v>
      </c>
      <c r="AE2728" s="4">
        <v>512</v>
      </c>
      <c r="AF2728" s="6">
        <v>66</v>
      </c>
      <c r="AG2728" s="6">
        <v>49</v>
      </c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/>
      <c r="AW2728" s="8"/>
      <c r="AX2728" s="4"/>
      <c r="AY2728" s="8"/>
      <c r="AZ2728" s="7"/>
      <c r="BA2728" s="7"/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/>
      <c r="BJ2728" s="4">
        <v>932</v>
      </c>
      <c r="BK2728" s="8">
        <v>187744.01</v>
      </c>
      <c r="BL2728" s="2" t="s">
        <v>10110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6185</v>
      </c>
      <c r="BV2728" s="2" t="s">
        <v>97</v>
      </c>
      <c r="BW2728" s="2" t="s">
        <v>100</v>
      </c>
      <c r="BX2728" s="2" t="s">
        <v>100</v>
      </c>
      <c r="BY2728" s="2" t="s">
        <v>112</v>
      </c>
      <c r="BZ2728" s="2" t="s">
        <v>100</v>
      </c>
    </row>
    <row r="2729">
      <c r="A2729" s="2" t="s">
        <v>10111</v>
      </c>
      <c r="B2729" s="2" t="s">
        <v>7252</v>
      </c>
      <c r="C2729" s="2" t="s">
        <v>4479</v>
      </c>
      <c r="D2729" s="2" t="s">
        <v>8817</v>
      </c>
      <c r="E2729" s="2" t="s">
        <v>8818</v>
      </c>
      <c r="F2729" s="2" t="s">
        <v>10105</v>
      </c>
      <c r="G2729" s="2" t="s">
        <v>10105</v>
      </c>
      <c r="H2729" s="2" t="s">
        <v>10105</v>
      </c>
      <c r="I2729" s="2" t="s">
        <v>10097</v>
      </c>
      <c r="J2729" s="2" t="s">
        <v>10106</v>
      </c>
      <c r="K2729" s="2" t="s">
        <v>3128</v>
      </c>
      <c r="L2729" s="3">
        <v>214.2</v>
      </c>
      <c r="M2729" s="3">
        <v>224.91</v>
      </c>
      <c r="N2729" s="3">
        <v>449</v>
      </c>
      <c r="O2729" s="2" t="s">
        <v>97</v>
      </c>
      <c r="P2729" s="2" t="s">
        <v>124</v>
      </c>
      <c r="Q2729" s="2" t="s">
        <v>99</v>
      </c>
      <c r="R2729" s="2" t="s">
        <v>100</v>
      </c>
      <c r="S2729" s="2" t="s">
        <v>100</v>
      </c>
      <c r="T2729" s="2" t="s">
        <v>100</v>
      </c>
      <c r="U2729" s="2" t="s">
        <v>2104</v>
      </c>
      <c r="V2729" s="2" t="s">
        <v>601</v>
      </c>
      <c r="W2729" s="2" t="s">
        <v>405</v>
      </c>
      <c r="X2729" s="2" t="s">
        <v>100</v>
      </c>
      <c r="Y2729" s="2" t="s">
        <v>10112</v>
      </c>
      <c r="Z2729" s="4">
        <v>318</v>
      </c>
      <c r="AA2729" s="4">
        <f>=ROUNDDOWN(36.1363636363636,0)</f>
      </c>
      <c r="AB2729" s="5">
        <v>8.8</v>
      </c>
      <c r="AC2729" s="2" t="s">
        <v>3645</v>
      </c>
      <c r="AD2729" s="4">
        <v>34</v>
      </c>
      <c r="AE2729" s="4">
        <v>34</v>
      </c>
      <c r="AF2729" s="6">
        <v>66</v>
      </c>
      <c r="AG2729" s="6">
        <v>49</v>
      </c>
      <c r="AH2729" s="7">
        <v>0.8061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/>
      <c r="AW2729" s="8"/>
      <c r="AX2729" s="4"/>
      <c r="AY2729" s="8"/>
      <c r="AZ2729" s="7"/>
      <c r="BA2729" s="7"/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/>
      <c r="BJ2729" s="4">
        <v>463</v>
      </c>
      <c r="BK2729" s="8">
        <v>93422.5</v>
      </c>
      <c r="BL2729" s="2" t="s">
        <v>10113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6185</v>
      </c>
      <c r="BV2729" s="2" t="s">
        <v>97</v>
      </c>
      <c r="BW2729" s="2" t="s">
        <v>100</v>
      </c>
      <c r="BX2729" s="2" t="s">
        <v>100</v>
      </c>
      <c r="BY2729" s="2" t="s">
        <v>112</v>
      </c>
      <c r="BZ2729" s="2" t="s">
        <v>100</v>
      </c>
    </row>
    <row r="2730">
      <c r="A2730" s="2" t="s">
        <v>10114</v>
      </c>
      <c r="B2730" s="2" t="s">
        <v>7252</v>
      </c>
      <c r="C2730" s="2" t="s">
        <v>4479</v>
      </c>
      <c r="D2730" s="2" t="s">
        <v>8817</v>
      </c>
      <c r="E2730" s="2" t="s">
        <v>8818</v>
      </c>
      <c r="F2730" s="2" t="s">
        <v>10105</v>
      </c>
      <c r="G2730" s="2" t="s">
        <v>10105</v>
      </c>
      <c r="H2730" s="2" t="s">
        <v>10105</v>
      </c>
      <c r="I2730" s="2" t="s">
        <v>10097</v>
      </c>
      <c r="J2730" s="2" t="s">
        <v>10106</v>
      </c>
      <c r="K2730" s="2" t="s">
        <v>10115</v>
      </c>
      <c r="L2730" s="3">
        <v>214.2</v>
      </c>
      <c r="M2730" s="3">
        <v>224.91</v>
      </c>
      <c r="N2730" s="3">
        <v>449</v>
      </c>
      <c r="O2730" s="2" t="s">
        <v>97</v>
      </c>
      <c r="P2730" s="2" t="s">
        <v>182</v>
      </c>
      <c r="Q2730" s="2" t="s">
        <v>99</v>
      </c>
      <c r="R2730" s="2" t="s">
        <v>100</v>
      </c>
      <c r="S2730" s="2" t="s">
        <v>100</v>
      </c>
      <c r="T2730" s="2" t="s">
        <v>100</v>
      </c>
      <c r="U2730" s="2" t="s">
        <v>2104</v>
      </c>
      <c r="V2730" s="2" t="s">
        <v>601</v>
      </c>
      <c r="W2730" s="2" t="s">
        <v>405</v>
      </c>
      <c r="X2730" s="2" t="s">
        <v>104</v>
      </c>
      <c r="Y2730" s="2" t="s">
        <v>3666</v>
      </c>
      <c r="Z2730" s="4">
        <v>182</v>
      </c>
      <c r="AA2730" s="4">
        <f>=ROUNDDOWN(13,0)</f>
      </c>
      <c r="AB2730" s="5">
        <v>14</v>
      </c>
      <c r="AC2730" s="2" t="s">
        <v>792</v>
      </c>
      <c r="AD2730" s="4">
        <v>150</v>
      </c>
      <c r="AE2730" s="4">
        <v>250</v>
      </c>
      <c r="AF2730" s="6">
        <v>66</v>
      </c>
      <c r="AG2730" s="6">
        <v>49</v>
      </c>
      <c r="AH2730" s="7">
        <v>0.9515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/>
      <c r="AW2730" s="8"/>
      <c r="AX2730" s="4"/>
      <c r="AY2730" s="8"/>
      <c r="AZ2730" s="7"/>
      <c r="BA2730" s="7"/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/>
      <c r="BJ2730" s="4">
        <v>236</v>
      </c>
      <c r="BK2730" s="8">
        <v>49599.35</v>
      </c>
      <c r="BL2730" s="2" t="s">
        <v>10116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6185</v>
      </c>
      <c r="BV2730" s="2" t="s">
        <v>97</v>
      </c>
      <c r="BW2730" s="2" t="s">
        <v>100</v>
      </c>
      <c r="BX2730" s="2" t="s">
        <v>100</v>
      </c>
      <c r="BY2730" s="2" t="s">
        <v>112</v>
      </c>
      <c r="BZ2730" s="2" t="s">
        <v>100</v>
      </c>
    </row>
    <row r="2731">
      <c r="A2731" s="2" t="s">
        <v>10117</v>
      </c>
      <c r="B2731" s="2" t="s">
        <v>7252</v>
      </c>
      <c r="C2731" s="2" t="s">
        <v>4479</v>
      </c>
      <c r="D2731" s="2" t="s">
        <v>8424</v>
      </c>
      <c r="E2731" s="2" t="s">
        <v>8425</v>
      </c>
      <c r="F2731" s="2" t="s">
        <v>10064</v>
      </c>
      <c r="G2731" s="2" t="s">
        <v>10064</v>
      </c>
      <c r="H2731" s="2" t="s">
        <v>10064</v>
      </c>
      <c r="I2731" s="2" t="s">
        <v>10118</v>
      </c>
      <c r="J2731" s="2" t="s">
        <v>6103</v>
      </c>
      <c r="K2731" s="2" t="s">
        <v>10119</v>
      </c>
      <c r="L2731" s="3">
        <v>134.18</v>
      </c>
      <c r="M2731" s="3">
        <v>140.89</v>
      </c>
      <c r="N2731" s="3">
        <v>279</v>
      </c>
      <c r="O2731" s="2" t="s">
        <v>97</v>
      </c>
      <c r="P2731" s="2" t="s">
        <v>8446</v>
      </c>
      <c r="Q2731" s="2" t="s">
        <v>99</v>
      </c>
      <c r="R2731" s="2" t="s">
        <v>100</v>
      </c>
      <c r="S2731" s="2" t="s">
        <v>100</v>
      </c>
      <c r="T2731" s="2" t="s">
        <v>100</v>
      </c>
      <c r="U2731" s="2" t="s">
        <v>3531</v>
      </c>
      <c r="V2731" s="2" t="s">
        <v>1752</v>
      </c>
      <c r="W2731" s="2" t="s">
        <v>405</v>
      </c>
      <c r="X2731" s="2" t="s">
        <v>1288</v>
      </c>
      <c r="Y2731" s="2" t="s">
        <v>4814</v>
      </c>
      <c r="Z2731" s="4"/>
      <c r="AA2731" s="4">
        <f>=ROUNDDOWN({0},0)</f>
      </c>
      <c r="AB2731" s="5">
        <v>7</v>
      </c>
      <c r="AC2731" s="2" t="s">
        <v>7295</v>
      </c>
      <c r="AD2731" s="4">
        <v>100</v>
      </c>
      <c r="AE2731" s="4">
        <v>100</v>
      </c>
      <c r="AF2731" s="6">
        <v>74</v>
      </c>
      <c r="AG2731" s="6"/>
      <c r="AH2731" s="7">
        <v>0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/>
      <c r="AW2731" s="8"/>
      <c r="AX2731" s="4"/>
      <c r="AY2731" s="8"/>
      <c r="AZ2731" s="7"/>
      <c r="BA2731" s="7"/>
      <c r="BB2731" s="7"/>
      <c r="BC2731" s="4"/>
      <c r="BD2731" s="8"/>
      <c r="BE2731" s="4"/>
      <c r="BF2731" s="8"/>
      <c r="BG2731" s="7"/>
      <c r="BH2731" s="7"/>
      <c r="BI2731" s="7"/>
      <c r="BJ2731" s="4"/>
      <c r="BK2731" s="8"/>
      <c r="BL2731" s="2" t="s">
        <v>100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147</v>
      </c>
      <c r="BV2731" s="2" t="s">
        <v>97</v>
      </c>
      <c r="BW2731" s="2" t="s">
        <v>100</v>
      </c>
      <c r="BX2731" s="2" t="s">
        <v>100</v>
      </c>
      <c r="BY2731" s="2" t="s">
        <v>112</v>
      </c>
      <c r="BZ2731" s="2" t="s">
        <v>100</v>
      </c>
    </row>
    <row r="2732">
      <c r="A2732" s="2" t="s">
        <v>10120</v>
      </c>
      <c r="B2732" s="2" t="s">
        <v>7252</v>
      </c>
      <c r="C2732" s="2" t="s">
        <v>4479</v>
      </c>
      <c r="D2732" s="2" t="s">
        <v>10121</v>
      </c>
      <c r="E2732" s="2" t="s">
        <v>10122</v>
      </c>
      <c r="F2732" s="2" t="s">
        <v>8032</v>
      </c>
      <c r="G2732" s="2" t="s">
        <v>100</v>
      </c>
      <c r="H2732" s="2" t="s">
        <v>100</v>
      </c>
      <c r="I2732" s="2" t="s">
        <v>10122</v>
      </c>
      <c r="J2732" s="2" t="s">
        <v>6103</v>
      </c>
      <c r="K2732" s="2" t="s">
        <v>9168</v>
      </c>
      <c r="L2732" s="3">
        <v>166.98</v>
      </c>
      <c r="M2732" s="3">
        <v>175.33</v>
      </c>
      <c r="N2732" s="3">
        <v>349</v>
      </c>
      <c r="O2732" s="2" t="s">
        <v>97</v>
      </c>
      <c r="P2732" s="2" t="s">
        <v>182</v>
      </c>
      <c r="Q2732" s="2" t="s">
        <v>99</v>
      </c>
      <c r="R2732" s="2" t="s">
        <v>100</v>
      </c>
      <c r="S2732" s="2" t="s">
        <v>10123</v>
      </c>
      <c r="T2732" s="2" t="s">
        <v>100</v>
      </c>
      <c r="U2732" s="2" t="s">
        <v>100</v>
      </c>
      <c r="V2732" s="2" t="s">
        <v>601</v>
      </c>
      <c r="W2732" s="2" t="s">
        <v>602</v>
      </c>
      <c r="X2732" s="2" t="s">
        <v>100</v>
      </c>
      <c r="Y2732" s="2" t="s">
        <v>3138</v>
      </c>
      <c r="Z2732" s="4">
        <v>147</v>
      </c>
      <c r="AA2732" s="4">
        <f>=ROUNDDOWN(24.5,0)</f>
      </c>
      <c r="AB2732" s="5">
        <v>6</v>
      </c>
      <c r="AC2732" s="2" t="s">
        <v>2143</v>
      </c>
      <c r="AD2732" s="4">
        <v>120</v>
      </c>
      <c r="AE2732" s="4">
        <v>220</v>
      </c>
      <c r="AF2732" s="6">
        <v>66</v>
      </c>
      <c r="AG2732" s="6">
        <v>49</v>
      </c>
      <c r="AH2732" s="7">
        <v>0.8606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>
        <v>0</v>
      </c>
      <c r="AP2732" s="4"/>
      <c r="AQ2732" s="8"/>
      <c r="AR2732" s="4">
        <v>5</v>
      </c>
      <c r="AS2732" s="8">
        <v>874.54</v>
      </c>
      <c r="AT2732" s="7">
        <v>-1</v>
      </c>
      <c r="AU2732" s="7">
        <v>-1</v>
      </c>
      <c r="AV2732" s="4"/>
      <c r="AW2732" s="8"/>
      <c r="AX2732" s="4">
        <v>5</v>
      </c>
      <c r="AY2732" s="8">
        <v>874.54</v>
      </c>
      <c r="AZ2732" s="7">
        <v>-1</v>
      </c>
      <c r="BA2732" s="7">
        <v>-1</v>
      </c>
      <c r="BB2732" s="7"/>
      <c r="BC2732" s="4"/>
      <c r="BD2732" s="8"/>
      <c r="BE2732" s="4">
        <v>5</v>
      </c>
      <c r="BF2732" s="8">
        <v>874.54</v>
      </c>
      <c r="BG2732" s="7">
        <v>-1</v>
      </c>
      <c r="BH2732" s="7">
        <v>-1</v>
      </c>
      <c r="BI2732" s="7"/>
      <c r="BJ2732" s="4">
        <v>113</v>
      </c>
      <c r="BK2732" s="8">
        <v>18162.48</v>
      </c>
      <c r="BL2732" s="2" t="s">
        <v>10124</v>
      </c>
      <c r="BM2732" s="7"/>
      <c r="BN2732" s="7"/>
      <c r="BO2732" s="4"/>
      <c r="BP2732" s="8"/>
      <c r="BQ2732" s="4">
        <v>5</v>
      </c>
      <c r="BR2732" s="8">
        <v>874.54</v>
      </c>
      <c r="BS2732" s="7">
        <v>-1</v>
      </c>
      <c r="BT2732" s="7">
        <v>-1</v>
      </c>
      <c r="BU2732" s="2" t="s">
        <v>109</v>
      </c>
      <c r="BV2732" s="2" t="s">
        <v>97</v>
      </c>
      <c r="BW2732" s="2" t="s">
        <v>8172</v>
      </c>
      <c r="BX2732" s="2" t="s">
        <v>10125</v>
      </c>
      <c r="BY2732" s="2" t="s">
        <v>112</v>
      </c>
      <c r="BZ2732" s="2" t="s">
        <v>100</v>
      </c>
    </row>
    <row r="2733">
      <c r="A2733" s="2" t="s">
        <v>10126</v>
      </c>
      <c r="B2733" s="2" t="s">
        <v>7252</v>
      </c>
      <c r="C2733" s="2" t="s">
        <v>4479</v>
      </c>
      <c r="D2733" s="2" t="s">
        <v>7786</v>
      </c>
      <c r="E2733" s="2" t="s">
        <v>8071</v>
      </c>
      <c r="F2733" s="2" t="s">
        <v>10089</v>
      </c>
      <c r="G2733" s="2" t="s">
        <v>10089</v>
      </c>
      <c r="H2733" s="2" t="s">
        <v>10089</v>
      </c>
      <c r="I2733" s="2" t="s">
        <v>10127</v>
      </c>
      <c r="J2733" s="2" t="s">
        <v>6103</v>
      </c>
      <c r="K2733" s="2" t="s">
        <v>2367</v>
      </c>
      <c r="L2733" s="3">
        <v>143</v>
      </c>
      <c r="M2733" s="3">
        <v>150.15</v>
      </c>
      <c r="N2733" s="3">
        <v>299</v>
      </c>
      <c r="O2733" s="2" t="s">
        <v>229</v>
      </c>
      <c r="P2733" s="2" t="s">
        <v>198</v>
      </c>
      <c r="Q2733" s="2" t="s">
        <v>99</v>
      </c>
      <c r="R2733" s="2" t="s">
        <v>100</v>
      </c>
      <c r="S2733" s="2" t="s">
        <v>100</v>
      </c>
      <c r="T2733" s="2" t="s">
        <v>100</v>
      </c>
      <c r="U2733" s="2" t="s">
        <v>100</v>
      </c>
      <c r="V2733" s="2" t="s">
        <v>1752</v>
      </c>
      <c r="W2733" s="2" t="s">
        <v>104</v>
      </c>
      <c r="X2733" s="2" t="s">
        <v>100</v>
      </c>
      <c r="Y2733" s="2" t="s">
        <v>10128</v>
      </c>
      <c r="Z2733" s="4">
        <v>573</v>
      </c>
      <c r="AA2733" s="4">
        <f>=ROUNDDOWN(573,0)</f>
      </c>
      <c r="AB2733" s="5">
        <v>1</v>
      </c>
      <c r="AC2733" s="2" t="s">
        <v>100</v>
      </c>
      <c r="AD2733" s="4"/>
      <c r="AE2733" s="4"/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/>
      <c r="AW2733" s="8"/>
      <c r="AX2733" s="4"/>
      <c r="AY2733" s="8"/>
      <c r="AZ2733" s="7"/>
      <c r="BA2733" s="7"/>
      <c r="BB2733" s="7"/>
      <c r="BC2733" s="4"/>
      <c r="BD2733" s="8"/>
      <c r="BE2733" s="4"/>
      <c r="BF2733" s="8"/>
      <c r="BG2733" s="7"/>
      <c r="BH2733" s="7"/>
      <c r="BI2733" s="7"/>
      <c r="BJ2733" s="4">
        <v>21</v>
      </c>
      <c r="BK2733" s="8">
        <v>2822.68</v>
      </c>
      <c r="BL2733" s="2" t="s">
        <v>2184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147</v>
      </c>
      <c r="BV2733" s="2" t="s">
        <v>97</v>
      </c>
      <c r="BW2733" s="2" t="s">
        <v>100</v>
      </c>
      <c r="BX2733" s="2" t="s">
        <v>100</v>
      </c>
      <c r="BY2733" s="2" t="s">
        <v>112</v>
      </c>
      <c r="BZ2733" s="2" t="s">
        <v>100</v>
      </c>
    </row>
    <row r="2734">
      <c r="A2734" s="2" t="s">
        <v>10129</v>
      </c>
      <c r="B2734" s="2" t="s">
        <v>7252</v>
      </c>
      <c r="C2734" s="2" t="s">
        <v>4479</v>
      </c>
      <c r="D2734" s="2" t="s">
        <v>7786</v>
      </c>
      <c r="E2734" s="2" t="s">
        <v>7787</v>
      </c>
      <c r="F2734" s="2" t="s">
        <v>10105</v>
      </c>
      <c r="G2734" s="2" t="s">
        <v>10105</v>
      </c>
      <c r="H2734" s="2" t="s">
        <v>10105</v>
      </c>
      <c r="I2734" s="2" t="s">
        <v>10127</v>
      </c>
      <c r="J2734" s="2" t="s">
        <v>6103</v>
      </c>
      <c r="K2734" s="2" t="s">
        <v>2367</v>
      </c>
      <c r="L2734" s="3">
        <v>143</v>
      </c>
      <c r="M2734" s="3">
        <v>150.15</v>
      </c>
      <c r="N2734" s="3">
        <v>299</v>
      </c>
      <c r="O2734" s="2" t="s">
        <v>229</v>
      </c>
      <c r="P2734" s="2" t="s">
        <v>198</v>
      </c>
      <c r="Q2734" s="2" t="s">
        <v>99</v>
      </c>
      <c r="R2734" s="2" t="s">
        <v>100</v>
      </c>
      <c r="S2734" s="2" t="s">
        <v>100</v>
      </c>
      <c r="T2734" s="2" t="s">
        <v>100</v>
      </c>
      <c r="U2734" s="2" t="s">
        <v>100</v>
      </c>
      <c r="V2734" s="2" t="s">
        <v>1752</v>
      </c>
      <c r="W2734" s="2" t="s">
        <v>104</v>
      </c>
      <c r="X2734" s="2" t="s">
        <v>100</v>
      </c>
      <c r="Y2734" s="2" t="s">
        <v>2285</v>
      </c>
      <c r="Z2734" s="4">
        <v>1135</v>
      </c>
      <c r="AA2734" s="4">
        <f>=ROUNDDOWN(405.357142857143,0)</f>
      </c>
      <c r="AB2734" s="5">
        <v>2.8</v>
      </c>
      <c r="AC2734" s="2" t="s">
        <v>100</v>
      </c>
      <c r="AD2734" s="4"/>
      <c r="AE2734" s="4"/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/>
      <c r="AW2734" s="8"/>
      <c r="AX2734" s="4"/>
      <c r="AY2734" s="8"/>
      <c r="AZ2734" s="7"/>
      <c r="BA2734" s="7"/>
      <c r="BB2734" s="7"/>
      <c r="BC2734" s="4"/>
      <c r="BD2734" s="8"/>
      <c r="BE2734" s="4"/>
      <c r="BF2734" s="8"/>
      <c r="BG2734" s="7"/>
      <c r="BH2734" s="7"/>
      <c r="BI2734" s="7"/>
      <c r="BJ2734" s="4">
        <v>45</v>
      </c>
      <c r="BK2734" s="8">
        <v>5971.79</v>
      </c>
      <c r="BL2734" s="2" t="s">
        <v>10130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147</v>
      </c>
      <c r="BV2734" s="2" t="s">
        <v>97</v>
      </c>
      <c r="BW2734" s="2" t="s">
        <v>100</v>
      </c>
      <c r="BX2734" s="2" t="s">
        <v>100</v>
      </c>
      <c r="BY2734" s="2" t="s">
        <v>112</v>
      </c>
      <c r="BZ2734" s="2" t="s">
        <v>100</v>
      </c>
    </row>
    <row r="2735">
      <c r="A2735" s="2" t="s">
        <v>10131</v>
      </c>
      <c r="B2735" s="2" t="s">
        <v>7252</v>
      </c>
      <c r="C2735" s="2" t="s">
        <v>4479</v>
      </c>
      <c r="D2735" s="2" t="s">
        <v>9266</v>
      </c>
      <c r="E2735" s="2" t="s">
        <v>9267</v>
      </c>
      <c r="F2735" s="2" t="s">
        <v>10064</v>
      </c>
      <c r="G2735" s="2" t="s">
        <v>10064</v>
      </c>
      <c r="H2735" s="2" t="s">
        <v>10064</v>
      </c>
      <c r="I2735" s="2" t="s">
        <v>9267</v>
      </c>
      <c r="J2735" s="2" t="s">
        <v>95</v>
      </c>
      <c r="K2735" s="2" t="s">
        <v>10070</v>
      </c>
      <c r="L2735" s="3">
        <v>370</v>
      </c>
      <c r="M2735" s="3">
        <v>388.5</v>
      </c>
      <c r="N2735" s="3">
        <v>769</v>
      </c>
      <c r="O2735" s="2" t="s">
        <v>97</v>
      </c>
      <c r="P2735" s="2" t="s">
        <v>124</v>
      </c>
      <c r="Q2735" s="2" t="s">
        <v>99</v>
      </c>
      <c r="R2735" s="2" t="s">
        <v>100</v>
      </c>
      <c r="S2735" s="2" t="s">
        <v>100</v>
      </c>
      <c r="T2735" s="2" t="s">
        <v>100</v>
      </c>
      <c r="U2735" s="2" t="s">
        <v>3531</v>
      </c>
      <c r="V2735" s="2" t="s">
        <v>601</v>
      </c>
      <c r="W2735" s="2" t="s">
        <v>405</v>
      </c>
      <c r="X2735" s="2" t="s">
        <v>1288</v>
      </c>
      <c r="Y2735" s="2" t="s">
        <v>10132</v>
      </c>
      <c r="Z2735" s="4">
        <v>273</v>
      </c>
      <c r="AA2735" s="4">
        <f>=ROUNDDOWN(19.5,0)</f>
      </c>
      <c r="AB2735" s="5">
        <v>14</v>
      </c>
      <c r="AC2735" s="2" t="s">
        <v>7295</v>
      </c>
      <c r="AD2735" s="4">
        <v>310</v>
      </c>
      <c r="AE2735" s="4">
        <v>310</v>
      </c>
      <c r="AF2735" s="6">
        <v>74</v>
      </c>
      <c r="AG2735" s="6">
        <v>60</v>
      </c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/>
      <c r="AW2735" s="8"/>
      <c r="AX2735" s="4"/>
      <c r="AY2735" s="8"/>
      <c r="AZ2735" s="7"/>
      <c r="BA2735" s="7"/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/>
      <c r="BJ2735" s="4">
        <v>391</v>
      </c>
      <c r="BK2735" s="8">
        <v>146040.54</v>
      </c>
      <c r="BL2735" s="2" t="s">
        <v>8050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6185</v>
      </c>
      <c r="BV2735" s="2" t="s">
        <v>97</v>
      </c>
      <c r="BW2735" s="2" t="s">
        <v>100</v>
      </c>
      <c r="BX2735" s="2" t="s">
        <v>100</v>
      </c>
      <c r="BY2735" s="2" t="s">
        <v>112</v>
      </c>
      <c r="BZ2735" s="2" t="s">
        <v>100</v>
      </c>
    </row>
    <row r="2736">
      <c r="A2736" s="2" t="s">
        <v>10133</v>
      </c>
      <c r="B2736" s="2" t="s">
        <v>7252</v>
      </c>
      <c r="C2736" s="2" t="s">
        <v>4479</v>
      </c>
      <c r="D2736" s="2" t="s">
        <v>9266</v>
      </c>
      <c r="E2736" s="2" t="s">
        <v>9267</v>
      </c>
      <c r="F2736" s="2" t="s">
        <v>10064</v>
      </c>
      <c r="G2736" s="2" t="s">
        <v>10064</v>
      </c>
      <c r="H2736" s="2" t="s">
        <v>10064</v>
      </c>
      <c r="I2736" s="2" t="s">
        <v>9267</v>
      </c>
      <c r="J2736" s="2" t="s">
        <v>95</v>
      </c>
      <c r="K2736" s="2" t="s">
        <v>10066</v>
      </c>
      <c r="L2736" s="3">
        <v>370</v>
      </c>
      <c r="M2736" s="3">
        <v>388.5</v>
      </c>
      <c r="N2736" s="3">
        <v>769</v>
      </c>
      <c r="O2736" s="2" t="s">
        <v>97</v>
      </c>
      <c r="P2736" s="2" t="s">
        <v>124</v>
      </c>
      <c r="Q2736" s="2" t="s">
        <v>99</v>
      </c>
      <c r="R2736" s="2" t="s">
        <v>100</v>
      </c>
      <c r="S2736" s="2" t="s">
        <v>10134</v>
      </c>
      <c r="T2736" s="2" t="s">
        <v>100</v>
      </c>
      <c r="U2736" s="2" t="s">
        <v>100</v>
      </c>
      <c r="V2736" s="2" t="s">
        <v>601</v>
      </c>
      <c r="W2736" s="2" t="s">
        <v>405</v>
      </c>
      <c r="X2736" s="2" t="s">
        <v>1288</v>
      </c>
      <c r="Y2736" s="2" t="s">
        <v>106</v>
      </c>
      <c r="Z2736" s="4">
        <v>449</v>
      </c>
      <c r="AA2736" s="4">
        <f>=ROUNDDOWN(18.7083333333333,0)</f>
      </c>
      <c r="AB2736" s="5">
        <v>24</v>
      </c>
      <c r="AC2736" s="2" t="s">
        <v>100</v>
      </c>
      <c r="AD2736" s="4"/>
      <c r="AE2736" s="4"/>
      <c r="AF2736" s="6">
        <v>74</v>
      </c>
      <c r="AG2736" s="6">
        <v>60</v>
      </c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/>
      <c r="AW2736" s="8"/>
      <c r="AX2736" s="4"/>
      <c r="AY2736" s="8"/>
      <c r="AZ2736" s="7"/>
      <c r="BA2736" s="7"/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/>
      <c r="BJ2736" s="4">
        <v>462</v>
      </c>
      <c r="BK2736" s="8">
        <v>168063.59</v>
      </c>
      <c r="BL2736" s="2" t="s">
        <v>10135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6185</v>
      </c>
      <c r="BV2736" s="2" t="s">
        <v>97</v>
      </c>
      <c r="BW2736" s="2" t="s">
        <v>100</v>
      </c>
      <c r="BX2736" s="2" t="s">
        <v>100</v>
      </c>
      <c r="BY2736" s="2" t="s">
        <v>112</v>
      </c>
      <c r="BZ2736" s="2" t="s">
        <v>100</v>
      </c>
    </row>
    <row r="2737">
      <c r="A2737" s="2" t="s">
        <v>10136</v>
      </c>
      <c r="B2737" s="2" t="s">
        <v>7252</v>
      </c>
      <c r="C2737" s="2" t="s">
        <v>4479</v>
      </c>
      <c r="D2737" s="2" t="s">
        <v>9266</v>
      </c>
      <c r="E2737" s="2" t="s">
        <v>9267</v>
      </c>
      <c r="F2737" s="2" t="s">
        <v>10064</v>
      </c>
      <c r="G2737" s="2" t="s">
        <v>10064</v>
      </c>
      <c r="H2737" s="2" t="s">
        <v>10064</v>
      </c>
      <c r="I2737" s="2" t="s">
        <v>9267</v>
      </c>
      <c r="J2737" s="2" t="s">
        <v>95</v>
      </c>
      <c r="K2737" s="2" t="s">
        <v>123</v>
      </c>
      <c r="L2737" s="3">
        <v>370</v>
      </c>
      <c r="M2737" s="3">
        <v>388.5</v>
      </c>
      <c r="N2737" s="3">
        <v>769</v>
      </c>
      <c r="O2737" s="2" t="s">
        <v>97</v>
      </c>
      <c r="P2737" s="2" t="s">
        <v>8446</v>
      </c>
      <c r="Q2737" s="2" t="s">
        <v>99</v>
      </c>
      <c r="R2737" s="2" t="s">
        <v>100</v>
      </c>
      <c r="S2737" s="2" t="s">
        <v>100</v>
      </c>
      <c r="T2737" s="2" t="s">
        <v>100</v>
      </c>
      <c r="U2737" s="2" t="s">
        <v>3531</v>
      </c>
      <c r="V2737" s="2" t="s">
        <v>601</v>
      </c>
      <c r="W2737" s="2" t="s">
        <v>405</v>
      </c>
      <c r="X2737" s="2" t="s">
        <v>1288</v>
      </c>
      <c r="Y2737" s="2" t="s">
        <v>4814</v>
      </c>
      <c r="Z2737" s="4"/>
      <c r="AA2737" s="4">
        <f>=ROUNDDOWN({0},0)</f>
      </c>
      <c r="AB2737" s="5">
        <v>7</v>
      </c>
      <c r="AC2737" s="2" t="s">
        <v>10137</v>
      </c>
      <c r="AD2737" s="4">
        <v>260</v>
      </c>
      <c r="AE2737" s="4">
        <v>340</v>
      </c>
      <c r="AF2737" s="6">
        <v>74</v>
      </c>
      <c r="AG2737" s="6"/>
      <c r="AH2737" s="7">
        <v>0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/>
      <c r="BJ2737" s="4"/>
      <c r="BK2737" s="8"/>
      <c r="BL2737" s="2" t="s">
        <v>100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147</v>
      </c>
      <c r="BV2737" s="2" t="s">
        <v>97</v>
      </c>
      <c r="BW2737" s="2" t="s">
        <v>100</v>
      </c>
      <c r="BX2737" s="2" t="s">
        <v>100</v>
      </c>
      <c r="BY2737" s="2" t="s">
        <v>112</v>
      </c>
      <c r="BZ2737" s="2" t="s">
        <v>100</v>
      </c>
    </row>
    <row r="2738">
      <c r="A2738" s="2" t="s">
        <v>10138</v>
      </c>
      <c r="B2738" s="2" t="s">
        <v>7252</v>
      </c>
      <c r="C2738" s="2" t="s">
        <v>4479</v>
      </c>
      <c r="D2738" s="2" t="s">
        <v>9266</v>
      </c>
      <c r="E2738" s="2" t="s">
        <v>9267</v>
      </c>
      <c r="F2738" s="2" t="s">
        <v>10064</v>
      </c>
      <c r="G2738" s="2" t="s">
        <v>10064</v>
      </c>
      <c r="H2738" s="2" t="s">
        <v>10064</v>
      </c>
      <c r="I2738" s="2" t="s">
        <v>9267</v>
      </c>
      <c r="J2738" s="2" t="s">
        <v>114</v>
      </c>
      <c r="K2738" s="2" t="s">
        <v>123</v>
      </c>
      <c r="L2738" s="3">
        <v>430</v>
      </c>
      <c r="M2738" s="3">
        <v>451.5</v>
      </c>
      <c r="N2738" s="3">
        <v>899</v>
      </c>
      <c r="O2738" s="2" t="s">
        <v>97</v>
      </c>
      <c r="P2738" s="2" t="s">
        <v>8446</v>
      </c>
      <c r="Q2738" s="2" t="s">
        <v>9931</v>
      </c>
      <c r="R2738" s="2" t="s">
        <v>100</v>
      </c>
      <c r="S2738" s="2" t="s">
        <v>100</v>
      </c>
      <c r="T2738" s="2" t="s">
        <v>100</v>
      </c>
      <c r="U2738" s="2" t="s">
        <v>3531</v>
      </c>
      <c r="V2738" s="2" t="s">
        <v>601</v>
      </c>
      <c r="W2738" s="2" t="s">
        <v>405</v>
      </c>
      <c r="X2738" s="2" t="s">
        <v>1288</v>
      </c>
      <c r="Y2738" s="2" t="s">
        <v>100</v>
      </c>
      <c r="Z2738" s="4"/>
      <c r="AA2738" s="4">
        <f>=ROUNDDOWN({0},0)</f>
      </c>
      <c r="AB2738" s="5"/>
      <c r="AC2738" s="2" t="s">
        <v>10137</v>
      </c>
      <c r="AD2738" s="4">
        <v>200</v>
      </c>
      <c r="AE2738" s="4">
        <v>264</v>
      </c>
      <c r="AF2738" s="6">
        <v>74</v>
      </c>
      <c r="AG2738" s="6"/>
      <c r="AH2738" s="7">
        <v>0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/>
      <c r="BJ2738" s="4"/>
      <c r="BK2738" s="8"/>
      <c r="BL2738" s="2" t="s">
        <v>100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147</v>
      </c>
      <c r="BV2738" s="2" t="s">
        <v>97</v>
      </c>
      <c r="BW2738" s="2" t="s">
        <v>100</v>
      </c>
      <c r="BX2738" s="2" t="s">
        <v>100</v>
      </c>
      <c r="BY2738" s="2" t="s">
        <v>112</v>
      </c>
      <c r="BZ2738" s="2" t="s">
        <v>100</v>
      </c>
    </row>
    <row r="2739">
      <c r="A2739" s="2" t="s">
        <v>10139</v>
      </c>
      <c r="B2739" s="2" t="s">
        <v>7252</v>
      </c>
      <c r="C2739" s="2" t="s">
        <v>4479</v>
      </c>
      <c r="D2739" s="2" t="s">
        <v>9266</v>
      </c>
      <c r="E2739" s="2" t="s">
        <v>1608</v>
      </c>
      <c r="F2739" s="2" t="s">
        <v>10140</v>
      </c>
      <c r="G2739" s="2" t="s">
        <v>10140</v>
      </c>
      <c r="H2739" s="2" t="s">
        <v>10140</v>
      </c>
      <c r="I2739" s="2" t="s">
        <v>100</v>
      </c>
      <c r="J2739" s="2" t="s">
        <v>10141</v>
      </c>
      <c r="K2739" s="2" t="s">
        <v>142</v>
      </c>
      <c r="L2739" s="3">
        <v>81.19</v>
      </c>
      <c r="M2739" s="3"/>
      <c r="N2739" s="3"/>
      <c r="O2739" s="2" t="s">
        <v>550</v>
      </c>
      <c r="P2739" s="2" t="s">
        <v>100</v>
      </c>
      <c r="Q2739" s="2" t="s">
        <v>100</v>
      </c>
      <c r="R2739" s="2" t="s">
        <v>100</v>
      </c>
      <c r="S2739" s="2" t="s">
        <v>100</v>
      </c>
      <c r="T2739" s="2" t="s">
        <v>100</v>
      </c>
      <c r="U2739" s="2" t="s">
        <v>100</v>
      </c>
      <c r="V2739" s="2" t="s">
        <v>100</v>
      </c>
      <c r="W2739" s="2" t="s">
        <v>100</v>
      </c>
      <c r="X2739" s="2" t="s">
        <v>100</v>
      </c>
      <c r="Y2739" s="2" t="s">
        <v>100</v>
      </c>
      <c r="Z2739" s="4"/>
      <c r="AA2739" s="4">
        <f>=ROUNDDOWN({0},0)</f>
      </c>
      <c r="AB2739" s="5"/>
      <c r="AC2739" s="2" t="s">
        <v>100</v>
      </c>
      <c r="AD2739" s="4"/>
      <c r="AE2739" s="4"/>
      <c r="AF2739" s="6"/>
      <c r="AG2739" s="6"/>
      <c r="AH2739" s="7">
        <v>0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/>
      <c r="BD2739" s="8"/>
      <c r="BE2739" s="4"/>
      <c r="BF2739" s="8"/>
      <c r="BG2739" s="7"/>
      <c r="BH2739" s="7"/>
      <c r="BI2739" s="7"/>
      <c r="BJ2739" s="4"/>
      <c r="BK2739" s="8"/>
      <c r="BL2739" s="2" t="s">
        <v>100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100</v>
      </c>
      <c r="BV2739" s="2" t="s">
        <v>100</v>
      </c>
      <c r="BW2739" s="2" t="s">
        <v>100</v>
      </c>
      <c r="BX2739" s="2" t="s">
        <v>100</v>
      </c>
      <c r="BY2739" s="2" t="s">
        <v>100</v>
      </c>
      <c r="BZ2739" s="2" t="s">
        <v>100</v>
      </c>
    </row>
    <row r="2740">
      <c r="A2740" s="2" t="s">
        <v>10142</v>
      </c>
      <c r="B2740" s="2" t="s">
        <v>7252</v>
      </c>
      <c r="C2740" s="2" t="s">
        <v>4479</v>
      </c>
      <c r="D2740" s="2" t="s">
        <v>9266</v>
      </c>
      <c r="E2740" s="2" t="s">
        <v>1608</v>
      </c>
      <c r="F2740" s="2" t="s">
        <v>8032</v>
      </c>
      <c r="G2740" s="2" t="s">
        <v>8032</v>
      </c>
      <c r="H2740" s="2" t="s">
        <v>8032</v>
      </c>
      <c r="I2740" s="2" t="s">
        <v>100</v>
      </c>
      <c r="J2740" s="2" t="s">
        <v>10143</v>
      </c>
      <c r="K2740" s="2" t="s">
        <v>142</v>
      </c>
      <c r="L2740" s="3">
        <v>180.71</v>
      </c>
      <c r="M2740" s="3"/>
      <c r="N2740" s="3"/>
      <c r="O2740" s="2" t="s">
        <v>229</v>
      </c>
      <c r="P2740" s="2" t="s">
        <v>100</v>
      </c>
      <c r="Q2740" s="2" t="s">
        <v>100</v>
      </c>
      <c r="R2740" s="2" t="s">
        <v>100</v>
      </c>
      <c r="S2740" s="2" t="s">
        <v>100</v>
      </c>
      <c r="T2740" s="2" t="s">
        <v>100</v>
      </c>
      <c r="U2740" s="2" t="s">
        <v>100</v>
      </c>
      <c r="V2740" s="2" t="s">
        <v>100</v>
      </c>
      <c r="W2740" s="2" t="s">
        <v>100</v>
      </c>
      <c r="X2740" s="2" t="s">
        <v>100</v>
      </c>
      <c r="Y2740" s="2" t="s">
        <v>100</v>
      </c>
      <c r="Z2740" s="4"/>
      <c r="AA2740" s="4">
        <f>=ROUNDDOWN({0},0)</f>
      </c>
      <c r="AB2740" s="5"/>
      <c r="AC2740" s="2" t="s">
        <v>100</v>
      </c>
      <c r="AD2740" s="4"/>
      <c r="AE2740" s="4"/>
      <c r="AF2740" s="6"/>
      <c r="AG2740" s="6"/>
      <c r="AH2740" s="7">
        <v>0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/>
      <c r="BD2740" s="8"/>
      <c r="BE2740" s="4"/>
      <c r="BF2740" s="8"/>
      <c r="BG2740" s="7"/>
      <c r="BH2740" s="7"/>
      <c r="BI2740" s="7"/>
      <c r="BJ2740" s="4"/>
      <c r="BK2740" s="8"/>
      <c r="BL2740" s="2" t="s">
        <v>100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100</v>
      </c>
      <c r="BV2740" s="2" t="s">
        <v>100</v>
      </c>
      <c r="BW2740" s="2" t="s">
        <v>100</v>
      </c>
      <c r="BX2740" s="2" t="s">
        <v>100</v>
      </c>
      <c r="BY2740" s="2" t="s">
        <v>100</v>
      </c>
      <c r="BZ2740" s="2" t="s">
        <v>100</v>
      </c>
    </row>
    <row r="2741">
      <c r="A2741" s="2" t="s">
        <v>10144</v>
      </c>
      <c r="B2741" s="2" t="s">
        <v>7252</v>
      </c>
      <c r="C2741" s="2" t="s">
        <v>4479</v>
      </c>
      <c r="D2741" s="2" t="s">
        <v>9299</v>
      </c>
      <c r="E2741" s="2" t="s">
        <v>9300</v>
      </c>
      <c r="F2741" s="2" t="s">
        <v>10089</v>
      </c>
      <c r="G2741" s="2" t="s">
        <v>10089</v>
      </c>
      <c r="H2741" s="2" t="s">
        <v>10089</v>
      </c>
      <c r="I2741" s="2" t="s">
        <v>10145</v>
      </c>
      <c r="J2741" s="2" t="s">
        <v>6103</v>
      </c>
      <c r="K2741" s="2" t="s">
        <v>10070</v>
      </c>
      <c r="L2741" s="3">
        <v>218.5</v>
      </c>
      <c r="M2741" s="3">
        <v>229.42</v>
      </c>
      <c r="N2741" s="3">
        <v>459</v>
      </c>
      <c r="O2741" s="2" t="s">
        <v>97</v>
      </c>
      <c r="P2741" s="2" t="s">
        <v>182</v>
      </c>
      <c r="Q2741" s="2" t="s">
        <v>99</v>
      </c>
      <c r="R2741" s="2" t="s">
        <v>100</v>
      </c>
      <c r="S2741" s="2" t="s">
        <v>100</v>
      </c>
      <c r="T2741" s="2" t="s">
        <v>100</v>
      </c>
      <c r="U2741" s="2" t="s">
        <v>3531</v>
      </c>
      <c r="V2741" s="2" t="s">
        <v>601</v>
      </c>
      <c r="W2741" s="2" t="s">
        <v>405</v>
      </c>
      <c r="X2741" s="2" t="s">
        <v>104</v>
      </c>
      <c r="Y2741" s="2" t="s">
        <v>3655</v>
      </c>
      <c r="Z2741" s="4">
        <v>185</v>
      </c>
      <c r="AA2741" s="4">
        <f>=ROUNDDOWN(61.6666666666667,0)</f>
      </c>
      <c r="AB2741" s="5">
        <v>3</v>
      </c>
      <c r="AC2741" s="2" t="s">
        <v>100</v>
      </c>
      <c r="AD2741" s="4"/>
      <c r="AE2741" s="4"/>
      <c r="AF2741" s="6">
        <v>74</v>
      </c>
      <c r="AG2741" s="6">
        <v>60</v>
      </c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204</v>
      </c>
      <c r="BK2741" s="8">
        <v>43823.59</v>
      </c>
      <c r="BL2741" s="2" t="s">
        <v>10146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6185</v>
      </c>
      <c r="BV2741" s="2" t="s">
        <v>97</v>
      </c>
      <c r="BW2741" s="2" t="s">
        <v>100</v>
      </c>
      <c r="BX2741" s="2" t="s">
        <v>100</v>
      </c>
      <c r="BY2741" s="2" t="s">
        <v>112</v>
      </c>
      <c r="BZ2741" s="2" t="s">
        <v>100</v>
      </c>
    </row>
    <row r="2742">
      <c r="A2742" s="2" t="s">
        <v>10147</v>
      </c>
      <c r="B2742" s="2" t="s">
        <v>7252</v>
      </c>
      <c r="C2742" s="2" t="s">
        <v>4479</v>
      </c>
      <c r="D2742" s="2" t="s">
        <v>9299</v>
      </c>
      <c r="E2742" s="2" t="s">
        <v>9300</v>
      </c>
      <c r="F2742" s="2" t="s">
        <v>10089</v>
      </c>
      <c r="G2742" s="2" t="s">
        <v>10089</v>
      </c>
      <c r="H2742" s="2" t="s">
        <v>10089</v>
      </c>
      <c r="I2742" s="2" t="s">
        <v>10145</v>
      </c>
      <c r="J2742" s="2" t="s">
        <v>6103</v>
      </c>
      <c r="K2742" s="2" t="s">
        <v>333</v>
      </c>
      <c r="L2742" s="3">
        <v>218.5</v>
      </c>
      <c r="M2742" s="3">
        <v>229.42</v>
      </c>
      <c r="N2742" s="3">
        <v>459</v>
      </c>
      <c r="O2742" s="2" t="s">
        <v>97</v>
      </c>
      <c r="P2742" s="2" t="s">
        <v>182</v>
      </c>
      <c r="Q2742" s="2" t="s">
        <v>99</v>
      </c>
      <c r="R2742" s="2" t="s">
        <v>100</v>
      </c>
      <c r="S2742" s="2" t="s">
        <v>10148</v>
      </c>
      <c r="T2742" s="2" t="s">
        <v>100</v>
      </c>
      <c r="U2742" s="2" t="s">
        <v>100</v>
      </c>
      <c r="V2742" s="2" t="s">
        <v>601</v>
      </c>
      <c r="W2742" s="2" t="s">
        <v>405</v>
      </c>
      <c r="X2742" s="2" t="s">
        <v>100</v>
      </c>
      <c r="Y2742" s="2" t="s">
        <v>8464</v>
      </c>
      <c r="Z2742" s="4">
        <v>270</v>
      </c>
      <c r="AA2742" s="4">
        <f>=ROUNDDOWN(38.5714285714286,0)</f>
      </c>
      <c r="AB2742" s="5">
        <v>7</v>
      </c>
      <c r="AC2742" s="2" t="s">
        <v>100</v>
      </c>
      <c r="AD2742" s="4"/>
      <c r="AE2742" s="4"/>
      <c r="AF2742" s="6">
        <v>74</v>
      </c>
      <c r="AG2742" s="6">
        <v>60</v>
      </c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140</v>
      </c>
      <c r="BK2742" s="8">
        <v>28925.5</v>
      </c>
      <c r="BL2742" s="2" t="s">
        <v>10149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6185</v>
      </c>
      <c r="BV2742" s="2" t="s">
        <v>97</v>
      </c>
      <c r="BW2742" s="2" t="s">
        <v>9759</v>
      </c>
      <c r="BX2742" s="2" t="s">
        <v>100</v>
      </c>
      <c r="BY2742" s="2" t="s">
        <v>112</v>
      </c>
      <c r="BZ2742" s="2" t="s">
        <v>100</v>
      </c>
    </row>
    <row r="2743">
      <c r="A2743" s="2" t="s">
        <v>10150</v>
      </c>
      <c r="B2743" s="2" t="s">
        <v>7252</v>
      </c>
      <c r="C2743" s="2" t="s">
        <v>4479</v>
      </c>
      <c r="D2743" s="2" t="s">
        <v>9802</v>
      </c>
      <c r="E2743" s="2" t="s">
        <v>9803</v>
      </c>
      <c r="F2743" s="2" t="s">
        <v>10064</v>
      </c>
      <c r="G2743" s="2" t="s">
        <v>10064</v>
      </c>
      <c r="H2743" s="2" t="s">
        <v>10064</v>
      </c>
      <c r="I2743" s="2" t="s">
        <v>9803</v>
      </c>
      <c r="J2743" s="2" t="s">
        <v>6103</v>
      </c>
      <c r="K2743" s="2" t="s">
        <v>10070</v>
      </c>
      <c r="L2743" s="3">
        <v>109.25</v>
      </c>
      <c r="M2743" s="3">
        <v>114.71</v>
      </c>
      <c r="N2743" s="3">
        <v>229</v>
      </c>
      <c r="O2743" s="2" t="s">
        <v>97</v>
      </c>
      <c r="P2743" s="2" t="s">
        <v>124</v>
      </c>
      <c r="Q2743" s="2" t="s">
        <v>99</v>
      </c>
      <c r="R2743" s="2" t="s">
        <v>100</v>
      </c>
      <c r="S2743" s="2" t="s">
        <v>100</v>
      </c>
      <c r="T2743" s="2" t="s">
        <v>100</v>
      </c>
      <c r="U2743" s="2" t="s">
        <v>3531</v>
      </c>
      <c r="V2743" s="2" t="s">
        <v>601</v>
      </c>
      <c r="W2743" s="2" t="s">
        <v>405</v>
      </c>
      <c r="X2743" s="2" t="s">
        <v>1288</v>
      </c>
      <c r="Y2743" s="2" t="s">
        <v>10067</v>
      </c>
      <c r="Z2743" s="4">
        <v>1518</v>
      </c>
      <c r="AA2743" s="4">
        <f>=ROUNDDOWN(16.6813186813187,0)</f>
      </c>
      <c r="AB2743" s="5">
        <v>91</v>
      </c>
      <c r="AC2743" s="2" t="s">
        <v>130</v>
      </c>
      <c r="AD2743" s="4">
        <v>340</v>
      </c>
      <c r="AE2743" s="4">
        <v>2130</v>
      </c>
      <c r="AF2743" s="6">
        <v>74</v>
      </c>
      <c r="AG2743" s="6">
        <v>60</v>
      </c>
      <c r="AH2743" s="7">
        <v>0.7758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>
        <v>0</v>
      </c>
      <c r="AP2743" s="4"/>
      <c r="AQ2743" s="8"/>
      <c r="AR2743" s="4">
        <v>2</v>
      </c>
      <c r="AS2743" s="8">
        <v>229.42</v>
      </c>
      <c r="AT2743" s="7">
        <v>-1</v>
      </c>
      <c r="AU2743" s="7">
        <v>-1</v>
      </c>
      <c r="AV2743" s="4"/>
      <c r="AW2743" s="8"/>
      <c r="AX2743" s="4">
        <v>2</v>
      </c>
      <c r="AY2743" s="8">
        <v>229.42</v>
      </c>
      <c r="AZ2743" s="7">
        <v>-1</v>
      </c>
      <c r="BA2743" s="7">
        <v>-1</v>
      </c>
      <c r="BB2743" s="7"/>
      <c r="BC2743" s="4" t="s">
        <v>100</v>
      </c>
      <c r="BD2743" s="8" t="s">
        <v>100</v>
      </c>
      <c r="BE2743" s="4">
        <v>2</v>
      </c>
      <c r="BF2743" s="8">
        <v>229.42</v>
      </c>
      <c r="BG2743" s="7" t="s">
        <v>100</v>
      </c>
      <c r="BH2743" s="7" t="s">
        <v>100</v>
      </c>
      <c r="BI2743" s="7"/>
      <c r="BJ2743" s="4">
        <v>1687</v>
      </c>
      <c r="BK2743" s="8">
        <v>181750.29</v>
      </c>
      <c r="BL2743" s="2" t="s">
        <v>10151</v>
      </c>
      <c r="BM2743" s="7"/>
      <c r="BN2743" s="7"/>
      <c r="BO2743" s="4"/>
      <c r="BP2743" s="8"/>
      <c r="BQ2743" s="4">
        <v>2</v>
      </c>
      <c r="BR2743" s="8">
        <v>229.42</v>
      </c>
      <c r="BS2743" s="7">
        <v>-1</v>
      </c>
      <c r="BT2743" s="7">
        <v>-1</v>
      </c>
      <c r="BU2743" s="2" t="s">
        <v>109</v>
      </c>
      <c r="BV2743" s="2" t="s">
        <v>97</v>
      </c>
      <c r="BW2743" s="2" t="s">
        <v>7676</v>
      </c>
      <c r="BX2743" s="2" t="s">
        <v>3598</v>
      </c>
      <c r="BY2743" s="2" t="s">
        <v>112</v>
      </c>
      <c r="BZ2743" s="2" t="s">
        <v>100</v>
      </c>
    </row>
    <row r="2744">
      <c r="A2744" s="2" t="s">
        <v>10152</v>
      </c>
      <c r="B2744" s="2" t="s">
        <v>7252</v>
      </c>
      <c r="C2744" s="2" t="s">
        <v>4479</v>
      </c>
      <c r="D2744" s="2" t="s">
        <v>9802</v>
      </c>
      <c r="E2744" s="2" t="s">
        <v>9803</v>
      </c>
      <c r="F2744" s="2" t="s">
        <v>10064</v>
      </c>
      <c r="G2744" s="2" t="s">
        <v>10064</v>
      </c>
      <c r="H2744" s="2" t="s">
        <v>10064</v>
      </c>
      <c r="I2744" s="2" t="s">
        <v>9803</v>
      </c>
      <c r="J2744" s="2" t="s">
        <v>6103</v>
      </c>
      <c r="K2744" s="2" t="s">
        <v>10066</v>
      </c>
      <c r="L2744" s="3">
        <v>109.25</v>
      </c>
      <c r="M2744" s="3">
        <v>114.71</v>
      </c>
      <c r="N2744" s="3">
        <v>229</v>
      </c>
      <c r="O2744" s="2" t="s">
        <v>97</v>
      </c>
      <c r="P2744" s="2" t="s">
        <v>124</v>
      </c>
      <c r="Q2744" s="2" t="s">
        <v>99</v>
      </c>
      <c r="R2744" s="2" t="s">
        <v>100</v>
      </c>
      <c r="S2744" s="2" t="s">
        <v>10153</v>
      </c>
      <c r="T2744" s="2" t="s">
        <v>100</v>
      </c>
      <c r="U2744" s="2" t="s">
        <v>100</v>
      </c>
      <c r="V2744" s="2" t="s">
        <v>601</v>
      </c>
      <c r="W2744" s="2" t="s">
        <v>405</v>
      </c>
      <c r="X2744" s="2" t="s">
        <v>1288</v>
      </c>
      <c r="Y2744" s="2" t="s">
        <v>106</v>
      </c>
      <c r="Z2744" s="4">
        <v>1096</v>
      </c>
      <c r="AA2744" s="4">
        <f>=ROUNDDOWN(8.83870967741935,0)</f>
      </c>
      <c r="AB2744" s="5">
        <v>124</v>
      </c>
      <c r="AC2744" s="2" t="s">
        <v>130</v>
      </c>
      <c r="AD2744" s="4">
        <v>400</v>
      </c>
      <c r="AE2744" s="4">
        <v>3800</v>
      </c>
      <c r="AF2744" s="6">
        <v>74</v>
      </c>
      <c r="AG2744" s="6">
        <v>60</v>
      </c>
      <c r="AH2744" s="7">
        <v>0.7939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>
        <v>2325</v>
      </c>
      <c r="BK2744" s="8">
        <v>250435.84</v>
      </c>
      <c r="BL2744" s="2" t="s">
        <v>10154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97</v>
      </c>
      <c r="BW2744" s="2" t="s">
        <v>6669</v>
      </c>
      <c r="BX2744" s="2" t="s">
        <v>100</v>
      </c>
      <c r="BY2744" s="2" t="s">
        <v>112</v>
      </c>
      <c r="BZ2744" s="2" t="s">
        <v>100</v>
      </c>
    </row>
    <row r="2745">
      <c r="A2745" s="2" t="s">
        <v>10155</v>
      </c>
      <c r="B2745" s="2" t="s">
        <v>7252</v>
      </c>
      <c r="C2745" s="2" t="s">
        <v>4479</v>
      </c>
      <c r="D2745" s="2" t="s">
        <v>9802</v>
      </c>
      <c r="E2745" s="2" t="s">
        <v>9803</v>
      </c>
      <c r="F2745" s="2" t="s">
        <v>10064</v>
      </c>
      <c r="G2745" s="2" t="s">
        <v>10064</v>
      </c>
      <c r="H2745" s="2" t="s">
        <v>10064</v>
      </c>
      <c r="I2745" s="2" t="s">
        <v>9803</v>
      </c>
      <c r="J2745" s="2" t="s">
        <v>6103</v>
      </c>
      <c r="K2745" s="2" t="s">
        <v>123</v>
      </c>
      <c r="L2745" s="3">
        <v>109.25</v>
      </c>
      <c r="M2745" s="3">
        <v>114.71</v>
      </c>
      <c r="N2745" s="3">
        <v>229</v>
      </c>
      <c r="O2745" s="2" t="s">
        <v>97</v>
      </c>
      <c r="P2745" s="2" t="s">
        <v>8446</v>
      </c>
      <c r="Q2745" s="2" t="s">
        <v>99</v>
      </c>
      <c r="R2745" s="2" t="s">
        <v>100</v>
      </c>
      <c r="S2745" s="2" t="s">
        <v>100</v>
      </c>
      <c r="T2745" s="2" t="s">
        <v>100</v>
      </c>
      <c r="U2745" s="2" t="s">
        <v>3531</v>
      </c>
      <c r="V2745" s="2" t="s">
        <v>601</v>
      </c>
      <c r="W2745" s="2" t="s">
        <v>405</v>
      </c>
      <c r="X2745" s="2" t="s">
        <v>1288</v>
      </c>
      <c r="Y2745" s="2" t="s">
        <v>4814</v>
      </c>
      <c r="Z2745" s="4"/>
      <c r="AA2745" s="4">
        <f>=ROUNDDOWN({0},0)</f>
      </c>
      <c r="AB2745" s="5">
        <v>7</v>
      </c>
      <c r="AC2745" s="2" t="s">
        <v>2538</v>
      </c>
      <c r="AD2745" s="4">
        <v>240</v>
      </c>
      <c r="AE2745" s="4">
        <v>1246</v>
      </c>
      <c r="AF2745" s="6">
        <v>74</v>
      </c>
      <c r="AG2745" s="6"/>
      <c r="AH2745" s="7">
        <v>0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/>
      <c r="BK2745" s="8"/>
      <c r="BL2745" s="2" t="s">
        <v>100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147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10156</v>
      </c>
      <c r="B2746" s="2" t="s">
        <v>7252</v>
      </c>
      <c r="C2746" s="2" t="s">
        <v>4479</v>
      </c>
      <c r="D2746" s="2" t="s">
        <v>9802</v>
      </c>
      <c r="E2746" s="2" t="s">
        <v>9803</v>
      </c>
      <c r="F2746" s="2" t="s">
        <v>485</v>
      </c>
      <c r="G2746" s="2" t="s">
        <v>485</v>
      </c>
      <c r="H2746" s="2" t="s">
        <v>485</v>
      </c>
      <c r="I2746" s="2" t="s">
        <v>9803</v>
      </c>
      <c r="J2746" s="2" t="s">
        <v>6103</v>
      </c>
      <c r="K2746" s="2" t="s">
        <v>10060</v>
      </c>
      <c r="L2746" s="3">
        <v>178.17</v>
      </c>
      <c r="M2746" s="3">
        <v>187.08</v>
      </c>
      <c r="N2746" s="3">
        <v>379</v>
      </c>
      <c r="O2746" s="2" t="s">
        <v>97</v>
      </c>
      <c r="P2746" s="2" t="s">
        <v>182</v>
      </c>
      <c r="Q2746" s="2" t="s">
        <v>99</v>
      </c>
      <c r="R2746" s="2" t="s">
        <v>100</v>
      </c>
      <c r="S2746" s="2" t="s">
        <v>10157</v>
      </c>
      <c r="T2746" s="2" t="s">
        <v>100</v>
      </c>
      <c r="U2746" s="2" t="s">
        <v>100</v>
      </c>
      <c r="V2746" s="2" t="s">
        <v>601</v>
      </c>
      <c r="W2746" s="2" t="s">
        <v>104</v>
      </c>
      <c r="X2746" s="2" t="s">
        <v>100</v>
      </c>
      <c r="Y2746" s="2" t="s">
        <v>106</v>
      </c>
      <c r="Z2746" s="4">
        <v>259</v>
      </c>
      <c r="AA2746" s="4">
        <f>=ROUNDDOWN(28.7777777777778,0)</f>
      </c>
      <c r="AB2746" s="5">
        <v>9</v>
      </c>
      <c r="AC2746" s="2" t="s">
        <v>919</v>
      </c>
      <c r="AD2746" s="4">
        <v>60</v>
      </c>
      <c r="AE2746" s="4">
        <v>120</v>
      </c>
      <c r="AF2746" s="6">
        <v>74</v>
      </c>
      <c r="AG2746" s="6">
        <v>60</v>
      </c>
      <c r="AH2746" s="7">
        <v>0.9879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 t="s">
        <v>100</v>
      </c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205</v>
      </c>
      <c r="BK2746" s="8">
        <v>34922.1</v>
      </c>
      <c r="BL2746" s="2" t="s">
        <v>10158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97</v>
      </c>
      <c r="BW2746" s="2" t="s">
        <v>6577</v>
      </c>
      <c r="BX2746" s="2" t="s">
        <v>100</v>
      </c>
      <c r="BY2746" s="2" t="s">
        <v>112</v>
      </c>
      <c r="BZ2746" s="2" t="s">
        <v>100</v>
      </c>
    </row>
    <row r="2747">
      <c r="A2747" s="2" t="s">
        <v>10159</v>
      </c>
      <c r="B2747" s="2" t="s">
        <v>7252</v>
      </c>
      <c r="C2747" s="2" t="s">
        <v>4479</v>
      </c>
      <c r="D2747" s="2" t="s">
        <v>9802</v>
      </c>
      <c r="E2747" s="2" t="s">
        <v>9803</v>
      </c>
      <c r="F2747" s="2" t="s">
        <v>485</v>
      </c>
      <c r="G2747" s="2" t="s">
        <v>485</v>
      </c>
      <c r="H2747" s="2" t="s">
        <v>485</v>
      </c>
      <c r="I2747" s="2" t="s">
        <v>10160</v>
      </c>
      <c r="J2747" s="2" t="s">
        <v>6103</v>
      </c>
      <c r="K2747" s="2" t="s">
        <v>10060</v>
      </c>
      <c r="L2747" s="3">
        <v>178.17</v>
      </c>
      <c r="M2747" s="3">
        <v>187.08</v>
      </c>
      <c r="N2747" s="3">
        <v>379</v>
      </c>
      <c r="O2747" s="2" t="s">
        <v>97</v>
      </c>
      <c r="P2747" s="2" t="s">
        <v>124</v>
      </c>
      <c r="Q2747" s="2" t="s">
        <v>99</v>
      </c>
      <c r="R2747" s="2" t="s">
        <v>100</v>
      </c>
      <c r="S2747" s="2" t="s">
        <v>100</v>
      </c>
      <c r="T2747" s="2" t="s">
        <v>100</v>
      </c>
      <c r="U2747" s="2" t="s">
        <v>100</v>
      </c>
      <c r="V2747" s="2" t="s">
        <v>601</v>
      </c>
      <c r="W2747" s="2" t="s">
        <v>104</v>
      </c>
      <c r="X2747" s="2" t="s">
        <v>100</v>
      </c>
      <c r="Y2747" s="2" t="s">
        <v>10161</v>
      </c>
      <c r="Z2747" s="4">
        <v>365</v>
      </c>
      <c r="AA2747" s="4">
        <f>=ROUNDDOWN(11.0606060606061,0)</f>
      </c>
      <c r="AB2747" s="5">
        <v>33</v>
      </c>
      <c r="AC2747" s="2" t="s">
        <v>356</v>
      </c>
      <c r="AD2747" s="4">
        <v>96</v>
      </c>
      <c r="AE2747" s="4">
        <v>630</v>
      </c>
      <c r="AF2747" s="6">
        <v>74</v>
      </c>
      <c r="AG2747" s="6">
        <v>60</v>
      </c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 t="s">
        <v>100</v>
      </c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>
        <v>523</v>
      </c>
      <c r="BK2747" s="8">
        <v>92979.37</v>
      </c>
      <c r="BL2747" s="2" t="s">
        <v>10162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97</v>
      </c>
      <c r="BW2747" s="2" t="s">
        <v>5147</v>
      </c>
      <c r="BX2747" s="2" t="s">
        <v>100</v>
      </c>
      <c r="BY2747" s="2" t="s">
        <v>112</v>
      </c>
      <c r="BZ2747" s="2" t="s">
        <v>100</v>
      </c>
    </row>
    <row r="2748">
      <c r="A2748" s="2" t="s">
        <v>10163</v>
      </c>
      <c r="B2748" s="2" t="s">
        <v>7252</v>
      </c>
      <c r="C2748" s="2" t="s">
        <v>4479</v>
      </c>
      <c r="D2748" s="2" t="s">
        <v>10018</v>
      </c>
      <c r="E2748" s="2" t="s">
        <v>10164</v>
      </c>
      <c r="F2748" s="2" t="s">
        <v>10165</v>
      </c>
      <c r="G2748" s="2" t="s">
        <v>100</v>
      </c>
      <c r="H2748" s="2" t="s">
        <v>100</v>
      </c>
      <c r="I2748" s="2" t="s">
        <v>10166</v>
      </c>
      <c r="J2748" s="2" t="s">
        <v>6103</v>
      </c>
      <c r="K2748" s="2" t="s">
        <v>333</v>
      </c>
      <c r="L2748" s="3">
        <v>213.75</v>
      </c>
      <c r="M2748" s="3">
        <v>225</v>
      </c>
      <c r="N2748" s="3">
        <v>449</v>
      </c>
      <c r="O2748" s="2" t="s">
        <v>550</v>
      </c>
      <c r="P2748" s="2" t="s">
        <v>198</v>
      </c>
      <c r="Q2748" s="2" t="s">
        <v>99</v>
      </c>
      <c r="R2748" s="2" t="s">
        <v>100</v>
      </c>
      <c r="S2748" s="2" t="s">
        <v>10167</v>
      </c>
      <c r="T2748" s="2" t="s">
        <v>100</v>
      </c>
      <c r="U2748" s="2" t="s">
        <v>100</v>
      </c>
      <c r="V2748" s="2" t="s">
        <v>601</v>
      </c>
      <c r="W2748" s="2" t="s">
        <v>104</v>
      </c>
      <c r="X2748" s="2" t="s">
        <v>100</v>
      </c>
      <c r="Y2748" s="2" t="s">
        <v>5951</v>
      </c>
      <c r="Z2748" s="4">
        <v>41</v>
      </c>
      <c r="AA2748" s="4">
        <f>=ROUNDDOWN({0},0)</f>
      </c>
      <c r="AB2748" s="5"/>
      <c r="AC2748" s="2" t="s">
        <v>100</v>
      </c>
      <c r="AD2748" s="4"/>
      <c r="AE2748" s="4"/>
      <c r="AF2748" s="6">
        <v>75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/>
      <c r="AW2748" s="8"/>
      <c r="AX2748" s="4"/>
      <c r="AY2748" s="8"/>
      <c r="AZ2748" s="7"/>
      <c r="BA2748" s="7"/>
      <c r="BB2748" s="7"/>
      <c r="BC2748" s="4"/>
      <c r="BD2748" s="8"/>
      <c r="BE2748" s="4"/>
      <c r="BF2748" s="8"/>
      <c r="BG2748" s="7"/>
      <c r="BH2748" s="7"/>
      <c r="BI2748" s="7"/>
      <c r="BJ2748" s="4"/>
      <c r="BK2748" s="8"/>
      <c r="BL2748" s="2" t="s">
        <v>10168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147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10169</v>
      </c>
      <c r="B2749" s="2" t="s">
        <v>7252</v>
      </c>
      <c r="C2749" s="2" t="s">
        <v>6851</v>
      </c>
      <c r="D2749" s="2" t="s">
        <v>7253</v>
      </c>
      <c r="E2749" s="2" t="s">
        <v>7254</v>
      </c>
      <c r="F2749" s="2" t="s">
        <v>10170</v>
      </c>
      <c r="G2749" s="2" t="s">
        <v>10170</v>
      </c>
      <c r="H2749" s="2" t="s">
        <v>10170</v>
      </c>
      <c r="I2749" s="2" t="s">
        <v>10171</v>
      </c>
      <c r="J2749" s="2" t="s">
        <v>6103</v>
      </c>
      <c r="K2749" s="2" t="s">
        <v>1412</v>
      </c>
      <c r="L2749" s="3">
        <v>286.69</v>
      </c>
      <c r="M2749" s="3">
        <v>301.02</v>
      </c>
      <c r="N2749" s="3">
        <v>599</v>
      </c>
      <c r="O2749" s="2" t="s">
        <v>97</v>
      </c>
      <c r="P2749" s="2" t="s">
        <v>124</v>
      </c>
      <c r="Q2749" s="2" t="s">
        <v>99</v>
      </c>
      <c r="R2749" s="2" t="s">
        <v>100</v>
      </c>
      <c r="S2749" s="2" t="s">
        <v>10172</v>
      </c>
      <c r="T2749" s="2" t="s">
        <v>100</v>
      </c>
      <c r="U2749" s="2" t="s">
        <v>100</v>
      </c>
      <c r="V2749" s="2" t="s">
        <v>601</v>
      </c>
      <c r="W2749" s="2" t="s">
        <v>1288</v>
      </c>
      <c r="X2749" s="2" t="s">
        <v>6859</v>
      </c>
      <c r="Y2749" s="2" t="s">
        <v>6183</v>
      </c>
      <c r="Z2749" s="4">
        <v>562</v>
      </c>
      <c r="AA2749" s="4">
        <f>=ROUNDDOWN(37.4666666666667,0)</f>
      </c>
      <c r="AB2749" s="5">
        <v>15</v>
      </c>
      <c r="AC2749" s="2" t="s">
        <v>100</v>
      </c>
      <c r="AD2749" s="4"/>
      <c r="AE2749" s="4"/>
      <c r="AF2749" s="6">
        <v>66</v>
      </c>
      <c r="AG2749" s="6">
        <v>49</v>
      </c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>
        <v>0</v>
      </c>
      <c r="AP2749" s="4">
        <v>9</v>
      </c>
      <c r="AQ2749" s="8">
        <v>2249.1</v>
      </c>
      <c r="AR2749" s="4">
        <v>1</v>
      </c>
      <c r="AS2749" s="8">
        <v>187.43</v>
      </c>
      <c r="AT2749" s="7">
        <v>8</v>
      </c>
      <c r="AU2749" s="7">
        <v>10.9997</v>
      </c>
      <c r="AV2749" s="4">
        <v>9</v>
      </c>
      <c r="AW2749" s="8">
        <v>2249.1</v>
      </c>
      <c r="AX2749" s="4">
        <v>1</v>
      </c>
      <c r="AY2749" s="8">
        <v>187.43</v>
      </c>
      <c r="AZ2749" s="7">
        <v>8</v>
      </c>
      <c r="BA2749" s="7">
        <v>10.9997</v>
      </c>
      <c r="BB2749" s="7">
        <v>1</v>
      </c>
      <c r="BC2749" s="4">
        <v>9</v>
      </c>
      <c r="BD2749" s="8">
        <v>2249.1</v>
      </c>
      <c r="BE2749" s="4">
        <v>1</v>
      </c>
      <c r="BF2749" s="8">
        <v>187.43</v>
      </c>
      <c r="BG2749" s="7">
        <v>8</v>
      </c>
      <c r="BH2749" s="7">
        <v>10.9997</v>
      </c>
      <c r="BI2749" s="7">
        <v>1</v>
      </c>
      <c r="BJ2749" s="4">
        <v>373</v>
      </c>
      <c r="BK2749" s="8">
        <v>98083.15</v>
      </c>
      <c r="BL2749" s="2" t="s">
        <v>10173</v>
      </c>
      <c r="BM2749" s="7">
        <v>0.0241</v>
      </c>
      <c r="BN2749" s="7">
        <v>0.0229</v>
      </c>
      <c r="BO2749" s="4">
        <v>9</v>
      </c>
      <c r="BP2749" s="8">
        <v>2249.1</v>
      </c>
      <c r="BQ2749" s="4">
        <v>1</v>
      </c>
      <c r="BR2749" s="8">
        <v>187.43</v>
      </c>
      <c r="BS2749" s="7">
        <v>8</v>
      </c>
      <c r="BT2749" s="7">
        <v>10.9997</v>
      </c>
      <c r="BU2749" s="2" t="s">
        <v>109</v>
      </c>
      <c r="BV2749" s="2" t="s">
        <v>97</v>
      </c>
      <c r="BW2749" s="2" t="s">
        <v>3536</v>
      </c>
      <c r="BX2749" s="2" t="s">
        <v>9384</v>
      </c>
      <c r="BY2749" s="2" t="s">
        <v>112</v>
      </c>
      <c r="BZ2749" s="2" t="s">
        <v>100</v>
      </c>
    </row>
    <row r="2750">
      <c r="A2750" s="2" t="s">
        <v>10174</v>
      </c>
      <c r="B2750" s="2" t="s">
        <v>7252</v>
      </c>
      <c r="C2750" s="2" t="s">
        <v>6851</v>
      </c>
      <c r="D2750" s="2" t="s">
        <v>7253</v>
      </c>
      <c r="E2750" s="2" t="s">
        <v>7254</v>
      </c>
      <c r="F2750" s="2" t="s">
        <v>10170</v>
      </c>
      <c r="G2750" s="2" t="s">
        <v>10170</v>
      </c>
      <c r="H2750" s="2" t="s">
        <v>10170</v>
      </c>
      <c r="I2750" s="2" t="s">
        <v>7313</v>
      </c>
      <c r="J2750" s="2" t="s">
        <v>6103</v>
      </c>
      <c r="K2750" s="2" t="s">
        <v>2553</v>
      </c>
      <c r="L2750" s="3">
        <v>286.69</v>
      </c>
      <c r="M2750" s="3">
        <v>301.02</v>
      </c>
      <c r="N2750" s="3">
        <v>599</v>
      </c>
      <c r="O2750" s="2" t="s">
        <v>97</v>
      </c>
      <c r="P2750" s="2" t="s">
        <v>182</v>
      </c>
      <c r="Q2750" s="2" t="s">
        <v>99</v>
      </c>
      <c r="R2750" s="2" t="s">
        <v>100</v>
      </c>
      <c r="S2750" s="2" t="s">
        <v>100</v>
      </c>
      <c r="T2750" s="2" t="s">
        <v>100</v>
      </c>
      <c r="U2750" s="2" t="s">
        <v>3531</v>
      </c>
      <c r="V2750" s="2" t="s">
        <v>991</v>
      </c>
      <c r="W2750" s="2" t="s">
        <v>104</v>
      </c>
      <c r="X2750" s="2" t="s">
        <v>6859</v>
      </c>
      <c r="Y2750" s="2" t="s">
        <v>10175</v>
      </c>
      <c r="Z2750" s="4">
        <v>218</v>
      </c>
      <c r="AA2750" s="4">
        <f>=ROUNDDOWN(24.2222222222222,0)</f>
      </c>
      <c r="AB2750" s="5">
        <v>9</v>
      </c>
      <c r="AC2750" s="2" t="s">
        <v>100</v>
      </c>
      <c r="AD2750" s="4"/>
      <c r="AE2750" s="4"/>
      <c r="AF2750" s="6">
        <v>66</v>
      </c>
      <c r="AG2750" s="6">
        <v>49</v>
      </c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/>
      <c r="AW2750" s="8"/>
      <c r="AX2750" s="4"/>
      <c r="AY2750" s="8"/>
      <c r="AZ2750" s="7"/>
      <c r="BA2750" s="7"/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206</v>
      </c>
      <c r="BK2750" s="8">
        <v>54023.96</v>
      </c>
      <c r="BL2750" s="2" t="s">
        <v>10176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6185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10177</v>
      </c>
      <c r="B2751" s="2" t="s">
        <v>7252</v>
      </c>
      <c r="C2751" s="2" t="s">
        <v>6851</v>
      </c>
      <c r="D2751" s="2" t="s">
        <v>7253</v>
      </c>
      <c r="E2751" s="2" t="s">
        <v>7254</v>
      </c>
      <c r="F2751" s="2" t="s">
        <v>10178</v>
      </c>
      <c r="G2751" s="2" t="s">
        <v>10178</v>
      </c>
      <c r="H2751" s="2" t="s">
        <v>10178</v>
      </c>
      <c r="I2751" s="2" t="s">
        <v>7313</v>
      </c>
      <c r="J2751" s="2" t="s">
        <v>6103</v>
      </c>
      <c r="K2751" s="2" t="s">
        <v>2367</v>
      </c>
      <c r="L2751" s="3">
        <v>193.5</v>
      </c>
      <c r="M2751" s="3">
        <v>203.18</v>
      </c>
      <c r="N2751" s="3">
        <v>399</v>
      </c>
      <c r="O2751" s="2" t="s">
        <v>97</v>
      </c>
      <c r="P2751" s="2" t="s">
        <v>198</v>
      </c>
      <c r="Q2751" s="2" t="s">
        <v>99</v>
      </c>
      <c r="R2751" s="2" t="s">
        <v>100</v>
      </c>
      <c r="S2751" s="2" t="s">
        <v>100</v>
      </c>
      <c r="T2751" s="2" t="s">
        <v>100</v>
      </c>
      <c r="U2751" s="2" t="s">
        <v>100</v>
      </c>
      <c r="V2751" s="2" t="s">
        <v>601</v>
      </c>
      <c r="W2751" s="2" t="s">
        <v>1288</v>
      </c>
      <c r="X2751" s="2" t="s">
        <v>6859</v>
      </c>
      <c r="Y2751" s="2" t="s">
        <v>8115</v>
      </c>
      <c r="Z2751" s="4">
        <v>30</v>
      </c>
      <c r="AA2751" s="4">
        <f>=ROUNDDOWN(15.7894736842105,0)</f>
      </c>
      <c r="AB2751" s="5">
        <v>1.9</v>
      </c>
      <c r="AC2751" s="2" t="s">
        <v>100</v>
      </c>
      <c r="AD2751" s="4"/>
      <c r="AE2751" s="4"/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>
        <v>0</v>
      </c>
      <c r="AP2751" s="4">
        <v>5</v>
      </c>
      <c r="AQ2751" s="8">
        <v>1015.9</v>
      </c>
      <c r="AR2751" s="4"/>
      <c r="AS2751" s="8"/>
      <c r="AT2751" s="7"/>
      <c r="AU2751" s="7"/>
      <c r="AV2751" s="4">
        <v>5</v>
      </c>
      <c r="AW2751" s="8">
        <v>1015.9</v>
      </c>
      <c r="AX2751" s="4"/>
      <c r="AY2751" s="8"/>
      <c r="AZ2751" s="7"/>
      <c r="BA2751" s="7"/>
      <c r="BB2751" s="7">
        <v>1</v>
      </c>
      <c r="BC2751" s="4">
        <v>5</v>
      </c>
      <c r="BD2751" s="8">
        <v>1015.9</v>
      </c>
      <c r="BE2751" s="4"/>
      <c r="BF2751" s="8"/>
      <c r="BG2751" s="7"/>
      <c r="BH2751" s="7"/>
      <c r="BI2751" s="7">
        <v>1</v>
      </c>
      <c r="BJ2751" s="4">
        <v>74</v>
      </c>
      <c r="BK2751" s="8">
        <v>14766.02</v>
      </c>
      <c r="BL2751" s="2" t="s">
        <v>10179</v>
      </c>
      <c r="BM2751" s="7">
        <v>0.0676</v>
      </c>
      <c r="BN2751" s="7">
        <v>0.0688</v>
      </c>
      <c r="BO2751" s="4">
        <v>5</v>
      </c>
      <c r="BP2751" s="8">
        <v>1015.9</v>
      </c>
      <c r="BQ2751" s="4"/>
      <c r="BR2751" s="8"/>
      <c r="BS2751" s="7"/>
      <c r="BT2751" s="7"/>
      <c r="BU2751" s="2" t="s">
        <v>109</v>
      </c>
      <c r="BV2751" s="2" t="s">
        <v>97</v>
      </c>
      <c r="BW2751" s="2" t="s">
        <v>8648</v>
      </c>
      <c r="BX2751" s="2" t="s">
        <v>10180</v>
      </c>
      <c r="BY2751" s="2" t="s">
        <v>112</v>
      </c>
      <c r="BZ2751" s="2" t="s">
        <v>100</v>
      </c>
    </row>
    <row r="2752">
      <c r="A2752" s="2" t="s">
        <v>10181</v>
      </c>
      <c r="B2752" s="2" t="s">
        <v>7252</v>
      </c>
      <c r="C2752" s="2" t="s">
        <v>6851</v>
      </c>
      <c r="D2752" s="2" t="s">
        <v>7253</v>
      </c>
      <c r="E2752" s="2" t="s">
        <v>7254</v>
      </c>
      <c r="F2752" s="2" t="s">
        <v>1537</v>
      </c>
      <c r="G2752" s="2" t="s">
        <v>1537</v>
      </c>
      <c r="H2752" s="2" t="s">
        <v>1537</v>
      </c>
      <c r="I2752" s="2" t="s">
        <v>10171</v>
      </c>
      <c r="J2752" s="2" t="s">
        <v>6103</v>
      </c>
      <c r="K2752" s="2" t="s">
        <v>1412</v>
      </c>
      <c r="L2752" s="3">
        <v>256.5</v>
      </c>
      <c r="M2752" s="3">
        <v>269.32</v>
      </c>
      <c r="N2752" s="3">
        <v>549</v>
      </c>
      <c r="O2752" s="2" t="s">
        <v>97</v>
      </c>
      <c r="P2752" s="2" t="s">
        <v>182</v>
      </c>
      <c r="Q2752" s="2" t="s">
        <v>99</v>
      </c>
      <c r="R2752" s="2" t="s">
        <v>100</v>
      </c>
      <c r="S2752" s="2" t="s">
        <v>10182</v>
      </c>
      <c r="T2752" s="2" t="s">
        <v>100</v>
      </c>
      <c r="U2752" s="2" t="s">
        <v>3531</v>
      </c>
      <c r="V2752" s="2" t="s">
        <v>1752</v>
      </c>
      <c r="W2752" s="2" t="s">
        <v>1288</v>
      </c>
      <c r="X2752" s="2" t="s">
        <v>6859</v>
      </c>
      <c r="Y2752" s="2" t="s">
        <v>10183</v>
      </c>
      <c r="Z2752" s="4">
        <v>173</v>
      </c>
      <c r="AA2752" s="4">
        <f>=ROUNDDOWN(17.3,0)</f>
      </c>
      <c r="AB2752" s="5">
        <v>10</v>
      </c>
      <c r="AC2752" s="2" t="s">
        <v>8850</v>
      </c>
      <c r="AD2752" s="4">
        <v>100</v>
      </c>
      <c r="AE2752" s="4">
        <v>100</v>
      </c>
      <c r="AF2752" s="6">
        <v>66</v>
      </c>
      <c r="AG2752" s="6">
        <v>49</v>
      </c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>
        <v>0</v>
      </c>
      <c r="AP2752" s="4">
        <v>3</v>
      </c>
      <c r="AQ2752" s="8">
        <v>807.99</v>
      </c>
      <c r="AR2752" s="4">
        <v>4</v>
      </c>
      <c r="AS2752" s="8">
        <v>1197</v>
      </c>
      <c r="AT2752" s="7">
        <v>-0.25</v>
      </c>
      <c r="AU2752" s="7">
        <v>-0.325</v>
      </c>
      <c r="AV2752" s="4">
        <v>3</v>
      </c>
      <c r="AW2752" s="8">
        <v>807.99</v>
      </c>
      <c r="AX2752" s="4">
        <v>4</v>
      </c>
      <c r="AY2752" s="8">
        <v>1197</v>
      </c>
      <c r="AZ2752" s="7">
        <v>-0.25</v>
      </c>
      <c r="BA2752" s="7">
        <v>-0.325</v>
      </c>
      <c r="BB2752" s="7">
        <v>1</v>
      </c>
      <c r="BC2752" s="4">
        <v>3</v>
      </c>
      <c r="BD2752" s="8">
        <v>807.99</v>
      </c>
      <c r="BE2752" s="4">
        <v>4</v>
      </c>
      <c r="BF2752" s="8">
        <v>1197</v>
      </c>
      <c r="BG2752" s="7">
        <v>-0.25</v>
      </c>
      <c r="BH2752" s="7">
        <v>-0.325</v>
      </c>
      <c r="BI2752" s="7">
        <v>1</v>
      </c>
      <c r="BJ2752" s="4">
        <v>221</v>
      </c>
      <c r="BK2752" s="8">
        <v>59947.37</v>
      </c>
      <c r="BL2752" s="2" t="s">
        <v>10184</v>
      </c>
      <c r="BM2752" s="7">
        <v>0.0136</v>
      </c>
      <c r="BN2752" s="7">
        <v>0.0135</v>
      </c>
      <c r="BO2752" s="4">
        <v>3</v>
      </c>
      <c r="BP2752" s="8">
        <v>807.99</v>
      </c>
      <c r="BQ2752" s="4">
        <v>4</v>
      </c>
      <c r="BR2752" s="8">
        <v>1197</v>
      </c>
      <c r="BS2752" s="7">
        <v>-0.25</v>
      </c>
      <c r="BT2752" s="7">
        <v>-0.325</v>
      </c>
      <c r="BU2752" s="2" t="s">
        <v>109</v>
      </c>
      <c r="BV2752" s="2" t="s">
        <v>97</v>
      </c>
      <c r="BW2752" s="2" t="s">
        <v>4745</v>
      </c>
      <c r="BX2752" s="2" t="s">
        <v>10185</v>
      </c>
      <c r="BY2752" s="2" t="s">
        <v>112</v>
      </c>
      <c r="BZ2752" s="2" t="s">
        <v>100</v>
      </c>
    </row>
    <row r="2753">
      <c r="A2753" s="2" t="s">
        <v>10186</v>
      </c>
      <c r="B2753" s="2" t="s">
        <v>7252</v>
      </c>
      <c r="C2753" s="2" t="s">
        <v>6851</v>
      </c>
      <c r="D2753" s="2" t="s">
        <v>7253</v>
      </c>
      <c r="E2753" s="2" t="s">
        <v>7254</v>
      </c>
      <c r="F2753" s="2" t="s">
        <v>1537</v>
      </c>
      <c r="G2753" s="2" t="s">
        <v>1537</v>
      </c>
      <c r="H2753" s="2" t="s">
        <v>1537</v>
      </c>
      <c r="I2753" s="2" t="s">
        <v>10171</v>
      </c>
      <c r="J2753" s="2" t="s">
        <v>6103</v>
      </c>
      <c r="K2753" s="2" t="s">
        <v>323</v>
      </c>
      <c r="L2753" s="3">
        <v>256.5</v>
      </c>
      <c r="M2753" s="3">
        <v>269.32</v>
      </c>
      <c r="N2753" s="3">
        <v>549</v>
      </c>
      <c r="O2753" s="2" t="s">
        <v>97</v>
      </c>
      <c r="P2753" s="2" t="s">
        <v>1265</v>
      </c>
      <c r="Q2753" s="2" t="s">
        <v>99</v>
      </c>
      <c r="R2753" s="2" t="s">
        <v>100</v>
      </c>
      <c r="S2753" s="2" t="s">
        <v>100</v>
      </c>
      <c r="T2753" s="2" t="s">
        <v>100</v>
      </c>
      <c r="U2753" s="2" t="s">
        <v>3531</v>
      </c>
      <c r="V2753" s="2" t="s">
        <v>1752</v>
      </c>
      <c r="W2753" s="2" t="s">
        <v>405</v>
      </c>
      <c r="X2753" s="2" t="s">
        <v>6908</v>
      </c>
      <c r="Y2753" s="2" t="s">
        <v>370</v>
      </c>
      <c r="Z2753" s="4">
        <v>72</v>
      </c>
      <c r="AA2753" s="4">
        <f>=ROUNDDOWN(36,0)</f>
      </c>
      <c r="AB2753" s="5">
        <v>2</v>
      </c>
      <c r="AC2753" s="2" t="s">
        <v>100</v>
      </c>
      <c r="AD2753" s="4"/>
      <c r="AE2753" s="4"/>
      <c r="AF2753" s="6">
        <v>66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/>
      <c r="AW2753" s="8"/>
      <c r="AX2753" s="4"/>
      <c r="AY2753" s="8"/>
      <c r="AZ2753" s="7"/>
      <c r="BA2753" s="7"/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>
        <v>52</v>
      </c>
      <c r="BK2753" s="8">
        <v>13916.76</v>
      </c>
      <c r="BL2753" s="2" t="s">
        <v>10187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147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10188</v>
      </c>
      <c r="B2754" s="2" t="s">
        <v>7252</v>
      </c>
      <c r="C2754" s="2" t="s">
        <v>6851</v>
      </c>
      <c r="D2754" s="2" t="s">
        <v>7253</v>
      </c>
      <c r="E2754" s="2" t="s">
        <v>7254</v>
      </c>
      <c r="F2754" s="2" t="s">
        <v>1537</v>
      </c>
      <c r="G2754" s="2" t="s">
        <v>1537</v>
      </c>
      <c r="H2754" s="2" t="s">
        <v>1537</v>
      </c>
      <c r="I2754" s="2" t="s">
        <v>10171</v>
      </c>
      <c r="J2754" s="2" t="s">
        <v>6103</v>
      </c>
      <c r="K2754" s="2" t="s">
        <v>123</v>
      </c>
      <c r="L2754" s="3">
        <v>256.5</v>
      </c>
      <c r="M2754" s="3">
        <v>269.32</v>
      </c>
      <c r="N2754" s="3">
        <v>549</v>
      </c>
      <c r="O2754" s="2" t="s">
        <v>97</v>
      </c>
      <c r="P2754" s="2" t="s">
        <v>182</v>
      </c>
      <c r="Q2754" s="2" t="s">
        <v>99</v>
      </c>
      <c r="R2754" s="2" t="s">
        <v>100</v>
      </c>
      <c r="S2754" s="2" t="s">
        <v>100</v>
      </c>
      <c r="T2754" s="2" t="s">
        <v>100</v>
      </c>
      <c r="U2754" s="2" t="s">
        <v>3531</v>
      </c>
      <c r="V2754" s="2" t="s">
        <v>1752</v>
      </c>
      <c r="W2754" s="2" t="s">
        <v>104</v>
      </c>
      <c r="X2754" s="2" t="s">
        <v>6859</v>
      </c>
      <c r="Y2754" s="2" t="s">
        <v>7928</v>
      </c>
      <c r="Z2754" s="4">
        <v>147</v>
      </c>
      <c r="AA2754" s="4">
        <f>=ROUNDDOWN(24.5,0)</f>
      </c>
      <c r="AB2754" s="5">
        <v>6</v>
      </c>
      <c r="AC2754" s="2" t="s">
        <v>936</v>
      </c>
      <c r="AD2754" s="4">
        <v>98</v>
      </c>
      <c r="AE2754" s="4">
        <v>200</v>
      </c>
      <c r="AF2754" s="6">
        <v>66</v>
      </c>
      <c r="AG2754" s="6">
        <v>49</v>
      </c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/>
      <c r="AW2754" s="8"/>
      <c r="AX2754" s="4"/>
      <c r="AY2754" s="8"/>
      <c r="AZ2754" s="7"/>
      <c r="BA2754" s="7"/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>
        <v>130</v>
      </c>
      <c r="BK2754" s="8">
        <v>33971.56</v>
      </c>
      <c r="BL2754" s="2" t="s">
        <v>10189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6185</v>
      </c>
      <c r="BV2754" s="2" t="s">
        <v>97</v>
      </c>
      <c r="BW2754" s="2" t="s">
        <v>100</v>
      </c>
      <c r="BX2754" s="2" t="s">
        <v>100</v>
      </c>
      <c r="BY2754" s="2" t="s">
        <v>112</v>
      </c>
      <c r="BZ2754" s="2" t="s">
        <v>100</v>
      </c>
    </row>
    <row r="2755">
      <c r="A2755" s="2" t="s">
        <v>10190</v>
      </c>
      <c r="B2755" s="2" t="s">
        <v>7252</v>
      </c>
      <c r="C2755" s="2" t="s">
        <v>6851</v>
      </c>
      <c r="D2755" s="2" t="s">
        <v>7253</v>
      </c>
      <c r="E2755" s="2" t="s">
        <v>7254</v>
      </c>
      <c r="F2755" s="2" t="s">
        <v>10191</v>
      </c>
      <c r="G2755" s="2" t="s">
        <v>10191</v>
      </c>
      <c r="H2755" s="2" t="s">
        <v>10191</v>
      </c>
      <c r="I2755" s="2" t="s">
        <v>10192</v>
      </c>
      <c r="J2755" s="2" t="s">
        <v>6103</v>
      </c>
      <c r="K2755" s="2" t="s">
        <v>158</v>
      </c>
      <c r="L2755" s="3">
        <v>247.5</v>
      </c>
      <c r="M2755" s="3">
        <v>259.88</v>
      </c>
      <c r="N2755" s="3">
        <v>519</v>
      </c>
      <c r="O2755" s="2" t="s">
        <v>97</v>
      </c>
      <c r="P2755" s="2" t="s">
        <v>182</v>
      </c>
      <c r="Q2755" s="2" t="s">
        <v>99</v>
      </c>
      <c r="R2755" s="2" t="s">
        <v>100</v>
      </c>
      <c r="S2755" s="2" t="s">
        <v>100</v>
      </c>
      <c r="T2755" s="2" t="s">
        <v>100</v>
      </c>
      <c r="U2755" s="2" t="s">
        <v>3531</v>
      </c>
      <c r="V2755" s="2" t="s">
        <v>601</v>
      </c>
      <c r="W2755" s="2" t="s">
        <v>602</v>
      </c>
      <c r="X2755" s="2" t="s">
        <v>6854</v>
      </c>
      <c r="Y2755" s="2" t="s">
        <v>10193</v>
      </c>
      <c r="Z2755" s="4">
        <v>70</v>
      </c>
      <c r="AA2755" s="4">
        <f>=ROUNDDOWN(14.5833333333333,0)</f>
      </c>
      <c r="AB2755" s="5">
        <v>4.8</v>
      </c>
      <c r="AC2755" s="2" t="s">
        <v>533</v>
      </c>
      <c r="AD2755" s="4">
        <v>100</v>
      </c>
      <c r="AE2755" s="4">
        <v>100</v>
      </c>
      <c r="AF2755" s="6">
        <v>66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/>
      <c r="AW2755" s="8"/>
      <c r="AX2755" s="4"/>
      <c r="AY2755" s="8"/>
      <c r="AZ2755" s="7"/>
      <c r="BA2755" s="7"/>
      <c r="BB2755" s="7"/>
      <c r="BC2755" s="4" t="s">
        <v>100</v>
      </c>
      <c r="BD2755" s="8" t="s">
        <v>100</v>
      </c>
      <c r="BE2755" s="4">
        <v>2</v>
      </c>
      <c r="BF2755" s="8">
        <v>374.86</v>
      </c>
      <c r="BG2755" s="7" t="s">
        <v>100</v>
      </c>
      <c r="BH2755" s="7" t="s">
        <v>100</v>
      </c>
      <c r="BI2755" s="7"/>
      <c r="BJ2755" s="4">
        <v>88</v>
      </c>
      <c r="BK2755" s="8">
        <v>19926.17</v>
      </c>
      <c r="BL2755" s="2" t="s">
        <v>10194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6185</v>
      </c>
      <c r="BV2755" s="2" t="s">
        <v>97</v>
      </c>
      <c r="BW2755" s="2" t="s">
        <v>100</v>
      </c>
      <c r="BX2755" s="2" t="s">
        <v>100</v>
      </c>
      <c r="BY2755" s="2" t="s">
        <v>112</v>
      </c>
      <c r="BZ2755" s="2" t="s">
        <v>100</v>
      </c>
    </row>
    <row r="2756">
      <c r="A2756" s="2" t="s">
        <v>10195</v>
      </c>
      <c r="B2756" s="2" t="s">
        <v>7252</v>
      </c>
      <c r="C2756" s="2" t="s">
        <v>6851</v>
      </c>
      <c r="D2756" s="2" t="s">
        <v>7253</v>
      </c>
      <c r="E2756" s="2" t="s">
        <v>7254</v>
      </c>
      <c r="F2756" s="2" t="s">
        <v>10191</v>
      </c>
      <c r="G2756" s="2" t="s">
        <v>10191</v>
      </c>
      <c r="H2756" s="2" t="s">
        <v>10191</v>
      </c>
      <c r="I2756" s="2" t="s">
        <v>10192</v>
      </c>
      <c r="J2756" s="2" t="s">
        <v>6103</v>
      </c>
      <c r="K2756" s="2" t="s">
        <v>7696</v>
      </c>
      <c r="L2756" s="3">
        <v>247.5</v>
      </c>
      <c r="M2756" s="3">
        <v>259.88</v>
      </c>
      <c r="N2756" s="3">
        <v>519</v>
      </c>
      <c r="O2756" s="2" t="s">
        <v>97</v>
      </c>
      <c r="P2756" s="2" t="s">
        <v>182</v>
      </c>
      <c r="Q2756" s="2" t="s">
        <v>99</v>
      </c>
      <c r="R2756" s="2" t="s">
        <v>100</v>
      </c>
      <c r="S2756" s="2" t="s">
        <v>10196</v>
      </c>
      <c r="T2756" s="2" t="s">
        <v>100</v>
      </c>
      <c r="U2756" s="2" t="s">
        <v>3531</v>
      </c>
      <c r="V2756" s="2" t="s">
        <v>601</v>
      </c>
      <c r="W2756" s="2" t="s">
        <v>1190</v>
      </c>
      <c r="X2756" s="2" t="s">
        <v>6854</v>
      </c>
      <c r="Y2756" s="2" t="s">
        <v>4346</v>
      </c>
      <c r="Z2756" s="4">
        <v>101</v>
      </c>
      <c r="AA2756" s="4">
        <f>=ROUNDDOWN(10.1,0)</f>
      </c>
      <c r="AB2756" s="5">
        <v>10</v>
      </c>
      <c r="AC2756" s="2" t="s">
        <v>382</v>
      </c>
      <c r="AD2756" s="4">
        <v>100</v>
      </c>
      <c r="AE2756" s="4">
        <v>230</v>
      </c>
      <c r="AF2756" s="6">
        <v>66</v>
      </c>
      <c r="AG2756" s="6"/>
      <c r="AH2756" s="7">
        <v>0.9939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>
        <v>0</v>
      </c>
      <c r="AP2756" s="4"/>
      <c r="AQ2756" s="8"/>
      <c r="AR2756" s="4">
        <v>2</v>
      </c>
      <c r="AS2756" s="8">
        <v>374.86</v>
      </c>
      <c r="AT2756" s="7">
        <v>-1</v>
      </c>
      <c r="AU2756" s="7">
        <v>-1</v>
      </c>
      <c r="AV2756" s="4"/>
      <c r="AW2756" s="8"/>
      <c r="AX2756" s="4">
        <v>2</v>
      </c>
      <c r="AY2756" s="8">
        <v>374.86</v>
      </c>
      <c r="AZ2756" s="7">
        <v>-1</v>
      </c>
      <c r="BA2756" s="7">
        <v>-1</v>
      </c>
      <c r="BB2756" s="7"/>
      <c r="BC2756" s="4" t="s">
        <v>100</v>
      </c>
      <c r="BD2756" s="8" t="s">
        <v>100</v>
      </c>
      <c r="BE2756" s="4" t="s">
        <v>100</v>
      </c>
      <c r="BF2756" s="8" t="s">
        <v>100</v>
      </c>
      <c r="BG2756" s="7" t="s">
        <v>100</v>
      </c>
      <c r="BH2756" s="7" t="s">
        <v>100</v>
      </c>
      <c r="BI2756" s="7"/>
      <c r="BJ2756" s="4">
        <v>207</v>
      </c>
      <c r="BK2756" s="8">
        <v>47253.26</v>
      </c>
      <c r="BL2756" s="2" t="s">
        <v>10197</v>
      </c>
      <c r="BM2756" s="7"/>
      <c r="BN2756" s="7"/>
      <c r="BO2756" s="4"/>
      <c r="BP2756" s="8"/>
      <c r="BQ2756" s="4">
        <v>2</v>
      </c>
      <c r="BR2756" s="8">
        <v>374.86</v>
      </c>
      <c r="BS2756" s="7">
        <v>-1</v>
      </c>
      <c r="BT2756" s="7">
        <v>-1</v>
      </c>
      <c r="BU2756" s="2" t="s">
        <v>109</v>
      </c>
      <c r="BV2756" s="2" t="s">
        <v>97</v>
      </c>
      <c r="BW2756" s="2" t="s">
        <v>3536</v>
      </c>
      <c r="BX2756" s="2" t="s">
        <v>1025</v>
      </c>
      <c r="BY2756" s="2" t="s">
        <v>112</v>
      </c>
      <c r="BZ2756" s="2" t="s">
        <v>100</v>
      </c>
    </row>
    <row r="2757">
      <c r="A2757" s="2" t="s">
        <v>10198</v>
      </c>
      <c r="B2757" s="2" t="s">
        <v>7252</v>
      </c>
      <c r="C2757" s="2" t="s">
        <v>6851</v>
      </c>
      <c r="D2757" s="2" t="s">
        <v>7253</v>
      </c>
      <c r="E2757" s="2" t="s">
        <v>7254</v>
      </c>
      <c r="F2757" s="2" t="s">
        <v>10199</v>
      </c>
      <c r="G2757" s="2" t="s">
        <v>10199</v>
      </c>
      <c r="H2757" s="2" t="s">
        <v>10199</v>
      </c>
      <c r="I2757" s="2" t="s">
        <v>7313</v>
      </c>
      <c r="J2757" s="2" t="s">
        <v>6103</v>
      </c>
      <c r="K2757" s="2" t="s">
        <v>1412</v>
      </c>
      <c r="L2757" s="3">
        <v>193.5</v>
      </c>
      <c r="M2757" s="3">
        <v>203.18</v>
      </c>
      <c r="N2757" s="3">
        <v>399</v>
      </c>
      <c r="O2757" s="2" t="s">
        <v>229</v>
      </c>
      <c r="P2757" s="2" t="s">
        <v>198</v>
      </c>
      <c r="Q2757" s="2" t="s">
        <v>99</v>
      </c>
      <c r="R2757" s="2" t="s">
        <v>100</v>
      </c>
      <c r="S2757" s="2" t="s">
        <v>100</v>
      </c>
      <c r="T2757" s="2" t="s">
        <v>100</v>
      </c>
      <c r="U2757" s="2" t="s">
        <v>3531</v>
      </c>
      <c r="V2757" s="2" t="s">
        <v>601</v>
      </c>
      <c r="W2757" s="2" t="s">
        <v>602</v>
      </c>
      <c r="X2757" s="2" t="s">
        <v>6854</v>
      </c>
      <c r="Y2757" s="2" t="s">
        <v>9135</v>
      </c>
      <c r="Z2757" s="4"/>
      <c r="AA2757" s="4">
        <f>=ROUNDDOWN({0},0)</f>
      </c>
      <c r="AB2757" s="5">
        <v>0.7</v>
      </c>
      <c r="AC2757" s="2" t="s">
        <v>100</v>
      </c>
      <c r="AD2757" s="4"/>
      <c r="AE2757" s="4"/>
      <c r="AF2757" s="6">
        <v>66</v>
      </c>
      <c r="AG2757" s="6"/>
      <c r="AH2757" s="7">
        <v>0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>
        <v>0</v>
      </c>
      <c r="AP2757" s="4"/>
      <c r="AQ2757" s="8"/>
      <c r="AR2757" s="4">
        <v>13</v>
      </c>
      <c r="AS2757" s="8">
        <v>2347.87</v>
      </c>
      <c r="AT2757" s="7">
        <v>-1</v>
      </c>
      <c r="AU2757" s="7">
        <v>-1</v>
      </c>
      <c r="AV2757" s="4"/>
      <c r="AW2757" s="8"/>
      <c r="AX2757" s="4">
        <v>13</v>
      </c>
      <c r="AY2757" s="8">
        <v>2347.87</v>
      </c>
      <c r="AZ2757" s="7">
        <v>-1</v>
      </c>
      <c r="BA2757" s="7">
        <v>-1</v>
      </c>
      <c r="BB2757" s="7"/>
      <c r="BC2757" s="4"/>
      <c r="BD2757" s="8"/>
      <c r="BE2757" s="4">
        <v>13</v>
      </c>
      <c r="BF2757" s="8">
        <v>2347.87</v>
      </c>
      <c r="BG2757" s="7">
        <v>-1</v>
      </c>
      <c r="BH2757" s="7">
        <v>-1</v>
      </c>
      <c r="BI2757" s="7"/>
      <c r="BJ2757" s="4"/>
      <c r="BK2757" s="8"/>
      <c r="BL2757" s="2" t="s">
        <v>10200</v>
      </c>
      <c r="BM2757" s="7"/>
      <c r="BN2757" s="7"/>
      <c r="BO2757" s="4"/>
      <c r="BP2757" s="8"/>
      <c r="BQ2757" s="4">
        <v>13</v>
      </c>
      <c r="BR2757" s="8">
        <v>2347.87</v>
      </c>
      <c r="BS2757" s="7">
        <v>-1</v>
      </c>
      <c r="BT2757" s="7">
        <v>-1</v>
      </c>
      <c r="BU2757" s="2" t="s">
        <v>109</v>
      </c>
      <c r="BV2757" s="2" t="s">
        <v>552</v>
      </c>
      <c r="BW2757" s="2" t="s">
        <v>7676</v>
      </c>
      <c r="BX2757" s="2" t="s">
        <v>10201</v>
      </c>
      <c r="BY2757" s="2" t="s">
        <v>112</v>
      </c>
      <c r="BZ2757" s="2" t="s">
        <v>100</v>
      </c>
    </row>
    <row r="2758">
      <c r="A2758" s="2" t="s">
        <v>10202</v>
      </c>
      <c r="B2758" s="2" t="s">
        <v>7252</v>
      </c>
      <c r="C2758" s="2" t="s">
        <v>6851</v>
      </c>
      <c r="D2758" s="2" t="s">
        <v>7253</v>
      </c>
      <c r="E2758" s="2" t="s">
        <v>7254</v>
      </c>
      <c r="F2758" s="2" t="s">
        <v>10203</v>
      </c>
      <c r="G2758" s="2" t="s">
        <v>10203</v>
      </c>
      <c r="H2758" s="2" t="s">
        <v>10203</v>
      </c>
      <c r="I2758" s="2" t="s">
        <v>10204</v>
      </c>
      <c r="J2758" s="2" t="s">
        <v>6103</v>
      </c>
      <c r="K2758" s="2" t="s">
        <v>2367</v>
      </c>
      <c r="L2758" s="3">
        <v>215</v>
      </c>
      <c r="M2758" s="3">
        <v>225.75</v>
      </c>
      <c r="N2758" s="3">
        <v>449</v>
      </c>
      <c r="O2758" s="2" t="s">
        <v>97</v>
      </c>
      <c r="P2758" s="2" t="s">
        <v>1166</v>
      </c>
      <c r="Q2758" s="2" t="s">
        <v>99</v>
      </c>
      <c r="R2758" s="2" t="s">
        <v>100</v>
      </c>
      <c r="S2758" s="2" t="s">
        <v>100</v>
      </c>
      <c r="T2758" s="2" t="s">
        <v>100</v>
      </c>
      <c r="U2758" s="2" t="s">
        <v>3531</v>
      </c>
      <c r="V2758" s="2" t="s">
        <v>1752</v>
      </c>
      <c r="W2758" s="2" t="s">
        <v>10205</v>
      </c>
      <c r="X2758" s="2" t="s">
        <v>6859</v>
      </c>
      <c r="Y2758" s="2" t="s">
        <v>6445</v>
      </c>
      <c r="Z2758" s="4">
        <v>22</v>
      </c>
      <c r="AA2758" s="4">
        <f>=ROUNDDOWN(5.5,0)</f>
      </c>
      <c r="AB2758" s="5">
        <v>4</v>
      </c>
      <c r="AC2758" s="2" t="s">
        <v>4093</v>
      </c>
      <c r="AD2758" s="4">
        <v>97</v>
      </c>
      <c r="AE2758" s="4">
        <v>100</v>
      </c>
      <c r="AF2758" s="6">
        <v>66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/>
      <c r="BD2758" s="8"/>
      <c r="BE2758" s="4"/>
      <c r="BF2758" s="8"/>
      <c r="BG2758" s="7"/>
      <c r="BH2758" s="7"/>
      <c r="BI2758" s="7"/>
      <c r="BJ2758" s="4">
        <v>76</v>
      </c>
      <c r="BK2758" s="8">
        <v>18112.15</v>
      </c>
      <c r="BL2758" s="2" t="s">
        <v>10206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6185</v>
      </c>
      <c r="BV2758" s="2" t="s">
        <v>97</v>
      </c>
      <c r="BW2758" s="2" t="s">
        <v>100</v>
      </c>
      <c r="BX2758" s="2" t="s">
        <v>100</v>
      </c>
      <c r="BY2758" s="2" t="s">
        <v>112</v>
      </c>
      <c r="BZ2758" s="2" t="s">
        <v>100</v>
      </c>
    </row>
    <row r="2759">
      <c r="A2759" s="2" t="s">
        <v>10207</v>
      </c>
      <c r="B2759" s="2" t="s">
        <v>7252</v>
      </c>
      <c r="C2759" s="2" t="s">
        <v>6851</v>
      </c>
      <c r="D2759" s="2" t="s">
        <v>7253</v>
      </c>
      <c r="E2759" s="2" t="s">
        <v>7254</v>
      </c>
      <c r="F2759" s="2" t="s">
        <v>10208</v>
      </c>
      <c r="G2759" s="2" t="s">
        <v>10208</v>
      </c>
      <c r="H2759" s="2" t="s">
        <v>10208</v>
      </c>
      <c r="I2759" s="2" t="s">
        <v>7313</v>
      </c>
      <c r="J2759" s="2" t="s">
        <v>6103</v>
      </c>
      <c r="K2759" s="2" t="s">
        <v>2066</v>
      </c>
      <c r="L2759" s="3">
        <v>207</v>
      </c>
      <c r="M2759" s="3">
        <v>217.35</v>
      </c>
      <c r="N2759" s="3">
        <v>439</v>
      </c>
      <c r="O2759" s="2" t="s">
        <v>97</v>
      </c>
      <c r="P2759" s="2" t="s">
        <v>198</v>
      </c>
      <c r="Q2759" s="2" t="s">
        <v>99</v>
      </c>
      <c r="R2759" s="2" t="s">
        <v>100</v>
      </c>
      <c r="S2759" s="2" t="s">
        <v>100</v>
      </c>
      <c r="T2759" s="2" t="s">
        <v>100</v>
      </c>
      <c r="U2759" s="2" t="s">
        <v>100</v>
      </c>
      <c r="V2759" s="2" t="s">
        <v>601</v>
      </c>
      <c r="W2759" s="2" t="s">
        <v>602</v>
      </c>
      <c r="X2759" s="2" t="s">
        <v>6854</v>
      </c>
      <c r="Y2759" s="2" t="s">
        <v>7859</v>
      </c>
      <c r="Z2759" s="4">
        <v>21</v>
      </c>
      <c r="AA2759" s="4">
        <f>=ROUNDDOWN(5.25,0)</f>
      </c>
      <c r="AB2759" s="5">
        <v>4</v>
      </c>
      <c r="AC2759" s="2" t="s">
        <v>100</v>
      </c>
      <c r="AD2759" s="4"/>
      <c r="AE2759" s="4"/>
      <c r="AF2759" s="6">
        <v>65</v>
      </c>
      <c r="AG2759" s="6">
        <v>48</v>
      </c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/>
      <c r="BD2759" s="8"/>
      <c r="BE2759" s="4"/>
      <c r="BF2759" s="8"/>
      <c r="BG2759" s="7"/>
      <c r="BH2759" s="7"/>
      <c r="BI2759" s="7"/>
      <c r="BJ2759" s="4">
        <v>97</v>
      </c>
      <c r="BK2759" s="8">
        <v>18422.78</v>
      </c>
      <c r="BL2759" s="2" t="s">
        <v>10209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4745</v>
      </c>
      <c r="BX2759" s="2" t="s">
        <v>10210</v>
      </c>
      <c r="BY2759" s="2" t="s">
        <v>112</v>
      </c>
      <c r="BZ2759" s="2" t="s">
        <v>100</v>
      </c>
    </row>
    <row r="2760">
      <c r="A2760" s="2" t="s">
        <v>10211</v>
      </c>
      <c r="B2760" s="2" t="s">
        <v>7252</v>
      </c>
      <c r="C2760" s="2" t="s">
        <v>6851</v>
      </c>
      <c r="D2760" s="2" t="s">
        <v>7253</v>
      </c>
      <c r="E2760" s="2" t="s">
        <v>7254</v>
      </c>
      <c r="F2760" s="2" t="s">
        <v>10212</v>
      </c>
      <c r="G2760" s="2" t="s">
        <v>10212</v>
      </c>
      <c r="H2760" s="2" t="s">
        <v>10212</v>
      </c>
      <c r="I2760" s="2" t="s">
        <v>7313</v>
      </c>
      <c r="J2760" s="2" t="s">
        <v>6103</v>
      </c>
      <c r="K2760" s="2" t="s">
        <v>2367</v>
      </c>
      <c r="L2760" s="3">
        <v>175.75</v>
      </c>
      <c r="M2760" s="3">
        <v>184.54</v>
      </c>
      <c r="N2760" s="3">
        <v>369</v>
      </c>
      <c r="O2760" s="2" t="s">
        <v>97</v>
      </c>
      <c r="P2760" s="2" t="s">
        <v>182</v>
      </c>
      <c r="Q2760" s="2" t="s">
        <v>99</v>
      </c>
      <c r="R2760" s="2" t="s">
        <v>100</v>
      </c>
      <c r="S2760" s="2" t="s">
        <v>100</v>
      </c>
      <c r="T2760" s="2" t="s">
        <v>100</v>
      </c>
      <c r="U2760" s="2" t="s">
        <v>3531</v>
      </c>
      <c r="V2760" s="2" t="s">
        <v>601</v>
      </c>
      <c r="W2760" s="2" t="s">
        <v>1190</v>
      </c>
      <c r="X2760" s="2" t="s">
        <v>6854</v>
      </c>
      <c r="Y2760" s="2" t="s">
        <v>3721</v>
      </c>
      <c r="Z2760" s="4">
        <v>364</v>
      </c>
      <c r="AA2760" s="4">
        <f>=ROUNDDOWN(45.5,0)</f>
      </c>
      <c r="AB2760" s="5">
        <v>8</v>
      </c>
      <c r="AC2760" s="2" t="s">
        <v>100</v>
      </c>
      <c r="AD2760" s="4"/>
      <c r="AE2760" s="4"/>
      <c r="AF2760" s="6">
        <v>66</v>
      </c>
      <c r="AG2760" s="6">
        <v>49</v>
      </c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>
        <v>0</v>
      </c>
      <c r="AP2760" s="4"/>
      <c r="AQ2760" s="8"/>
      <c r="AR2760" s="4">
        <v>24</v>
      </c>
      <c r="AS2760" s="8">
        <v>3370</v>
      </c>
      <c r="AT2760" s="7">
        <v>-1</v>
      </c>
      <c r="AU2760" s="7">
        <v>-1</v>
      </c>
      <c r="AV2760" s="4"/>
      <c r="AW2760" s="8"/>
      <c r="AX2760" s="4">
        <v>24</v>
      </c>
      <c r="AY2760" s="8">
        <v>3370</v>
      </c>
      <c r="AZ2760" s="7">
        <v>-1</v>
      </c>
      <c r="BA2760" s="7">
        <v>-1</v>
      </c>
      <c r="BB2760" s="7"/>
      <c r="BC2760" s="4" t="s">
        <v>100</v>
      </c>
      <c r="BD2760" s="8" t="s">
        <v>100</v>
      </c>
      <c r="BE2760" s="4">
        <v>24</v>
      </c>
      <c r="BF2760" s="8">
        <v>3370</v>
      </c>
      <c r="BG2760" s="7" t="s">
        <v>100</v>
      </c>
      <c r="BH2760" s="7" t="s">
        <v>100</v>
      </c>
      <c r="BI2760" s="7"/>
      <c r="BJ2760" s="4">
        <v>177</v>
      </c>
      <c r="BK2760" s="8">
        <v>31329.28</v>
      </c>
      <c r="BL2760" s="2" t="s">
        <v>10213</v>
      </c>
      <c r="BM2760" s="7"/>
      <c r="BN2760" s="7"/>
      <c r="BO2760" s="4"/>
      <c r="BP2760" s="8"/>
      <c r="BQ2760" s="4">
        <v>24</v>
      </c>
      <c r="BR2760" s="8">
        <v>3370</v>
      </c>
      <c r="BS2760" s="7">
        <v>-1</v>
      </c>
      <c r="BT2760" s="7">
        <v>-1</v>
      </c>
      <c r="BU2760" s="2" t="s">
        <v>109</v>
      </c>
      <c r="BV2760" s="2" t="s">
        <v>97</v>
      </c>
      <c r="BW2760" s="2" t="s">
        <v>10214</v>
      </c>
      <c r="BX2760" s="2" t="s">
        <v>254</v>
      </c>
      <c r="BY2760" s="2" t="s">
        <v>112</v>
      </c>
      <c r="BZ2760" s="2" t="s">
        <v>100</v>
      </c>
    </row>
    <row r="2761">
      <c r="A2761" s="2" t="s">
        <v>10215</v>
      </c>
      <c r="B2761" s="2" t="s">
        <v>7252</v>
      </c>
      <c r="C2761" s="2" t="s">
        <v>6851</v>
      </c>
      <c r="D2761" s="2" t="s">
        <v>7253</v>
      </c>
      <c r="E2761" s="2" t="s">
        <v>7254</v>
      </c>
      <c r="F2761" s="2" t="s">
        <v>10212</v>
      </c>
      <c r="G2761" s="2" t="s">
        <v>10212</v>
      </c>
      <c r="H2761" s="2" t="s">
        <v>10212</v>
      </c>
      <c r="I2761" s="2" t="s">
        <v>7313</v>
      </c>
      <c r="J2761" s="2" t="s">
        <v>6103</v>
      </c>
      <c r="K2761" s="2" t="s">
        <v>622</v>
      </c>
      <c r="L2761" s="3">
        <v>175.75</v>
      </c>
      <c r="M2761" s="3">
        <v>184.54</v>
      </c>
      <c r="N2761" s="3">
        <v>369</v>
      </c>
      <c r="O2761" s="2" t="s">
        <v>97</v>
      </c>
      <c r="P2761" s="2" t="s">
        <v>182</v>
      </c>
      <c r="Q2761" s="2" t="s">
        <v>99</v>
      </c>
      <c r="R2761" s="2" t="s">
        <v>100</v>
      </c>
      <c r="S2761" s="2" t="s">
        <v>100</v>
      </c>
      <c r="T2761" s="2" t="s">
        <v>100</v>
      </c>
      <c r="U2761" s="2" t="s">
        <v>3531</v>
      </c>
      <c r="V2761" s="2" t="s">
        <v>601</v>
      </c>
      <c r="W2761" s="2" t="s">
        <v>6854</v>
      </c>
      <c r="X2761" s="2" t="s">
        <v>1190</v>
      </c>
      <c r="Y2761" s="2" t="s">
        <v>5380</v>
      </c>
      <c r="Z2761" s="4">
        <v>95</v>
      </c>
      <c r="AA2761" s="4">
        <f>=ROUNDDOWN(59.375,0)</f>
      </c>
      <c r="AB2761" s="5">
        <v>1.6</v>
      </c>
      <c r="AC2761" s="2" t="s">
        <v>766</v>
      </c>
      <c r="AD2761" s="4">
        <v>100</v>
      </c>
      <c r="AE2761" s="4">
        <v>100</v>
      </c>
      <c r="AF2761" s="6">
        <v>66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49</v>
      </c>
      <c r="BK2761" s="8">
        <v>7844.52</v>
      </c>
      <c r="BL2761" s="2" t="s">
        <v>10216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6185</v>
      </c>
      <c r="BV2761" s="2" t="s">
        <v>97</v>
      </c>
      <c r="BW2761" s="2" t="s">
        <v>100</v>
      </c>
      <c r="BX2761" s="2" t="s">
        <v>100</v>
      </c>
      <c r="BY2761" s="2" t="s">
        <v>112</v>
      </c>
      <c r="BZ2761" s="2" t="s">
        <v>100</v>
      </c>
    </row>
    <row r="2762">
      <c r="A2762" s="2" t="s">
        <v>10217</v>
      </c>
      <c r="B2762" s="2" t="s">
        <v>7252</v>
      </c>
      <c r="C2762" s="2" t="s">
        <v>6851</v>
      </c>
      <c r="D2762" s="2" t="s">
        <v>7253</v>
      </c>
      <c r="E2762" s="2" t="s">
        <v>7313</v>
      </c>
      <c r="F2762" s="2" t="s">
        <v>10218</v>
      </c>
      <c r="G2762" s="2" t="s">
        <v>10218</v>
      </c>
      <c r="H2762" s="2" t="s">
        <v>10218</v>
      </c>
      <c r="I2762" s="2" t="s">
        <v>7313</v>
      </c>
      <c r="J2762" s="2" t="s">
        <v>6103</v>
      </c>
      <c r="K2762" s="2" t="s">
        <v>7943</v>
      </c>
      <c r="L2762" s="3">
        <v>250</v>
      </c>
      <c r="M2762" s="3">
        <v>262.5</v>
      </c>
      <c r="N2762" s="3">
        <v>519</v>
      </c>
      <c r="O2762" s="2" t="s">
        <v>229</v>
      </c>
      <c r="P2762" s="2" t="s">
        <v>198</v>
      </c>
      <c r="Q2762" s="2" t="s">
        <v>99</v>
      </c>
      <c r="R2762" s="2" t="s">
        <v>100</v>
      </c>
      <c r="S2762" s="2" t="s">
        <v>100</v>
      </c>
      <c r="T2762" s="2" t="s">
        <v>100</v>
      </c>
      <c r="U2762" s="2" t="s">
        <v>100</v>
      </c>
      <c r="V2762" s="2" t="s">
        <v>601</v>
      </c>
      <c r="W2762" s="2" t="s">
        <v>602</v>
      </c>
      <c r="X2762" s="2" t="s">
        <v>6854</v>
      </c>
      <c r="Y2762" s="2" t="s">
        <v>10219</v>
      </c>
      <c r="Z2762" s="4">
        <v>48</v>
      </c>
      <c r="AA2762" s="4">
        <f>=ROUNDDOWN({0},0)</f>
      </c>
      <c r="AB2762" s="5"/>
      <c r="AC2762" s="2" t="s">
        <v>100</v>
      </c>
      <c r="AD2762" s="4"/>
      <c r="AE2762" s="4"/>
      <c r="AF2762" s="6">
        <v>66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/>
      <c r="AW2762" s="8"/>
      <c r="AX2762" s="4"/>
      <c r="AY2762" s="8"/>
      <c r="AZ2762" s="7"/>
      <c r="BA2762" s="7"/>
      <c r="BB2762" s="7"/>
      <c r="BC2762" s="4"/>
      <c r="BD2762" s="8"/>
      <c r="BE2762" s="4"/>
      <c r="BF2762" s="8"/>
      <c r="BG2762" s="7"/>
      <c r="BH2762" s="7"/>
      <c r="BI2762" s="7"/>
      <c r="BJ2762" s="4">
        <v>3</v>
      </c>
      <c r="BK2762" s="8">
        <v>787.5</v>
      </c>
      <c r="BL2762" s="2" t="s">
        <v>5499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147</v>
      </c>
      <c r="BV2762" s="2" t="s">
        <v>97</v>
      </c>
      <c r="BW2762" s="2" t="s">
        <v>100</v>
      </c>
      <c r="BX2762" s="2" t="s">
        <v>100</v>
      </c>
      <c r="BY2762" s="2" t="s">
        <v>112</v>
      </c>
      <c r="BZ2762" s="2" t="s">
        <v>100</v>
      </c>
    </row>
    <row r="2763">
      <c r="A2763" s="2" t="s">
        <v>10220</v>
      </c>
      <c r="B2763" s="2" t="s">
        <v>7252</v>
      </c>
      <c r="C2763" s="2" t="s">
        <v>6851</v>
      </c>
      <c r="D2763" s="2" t="s">
        <v>7253</v>
      </c>
      <c r="E2763" s="2" t="s">
        <v>7313</v>
      </c>
      <c r="F2763" s="2" t="s">
        <v>10221</v>
      </c>
      <c r="G2763" s="2" t="s">
        <v>10221</v>
      </c>
      <c r="H2763" s="2" t="s">
        <v>10221</v>
      </c>
      <c r="I2763" s="2" t="s">
        <v>7568</v>
      </c>
      <c r="J2763" s="2" t="s">
        <v>6103</v>
      </c>
      <c r="K2763" s="2" t="s">
        <v>10222</v>
      </c>
      <c r="L2763" s="3">
        <v>190</v>
      </c>
      <c r="M2763" s="3">
        <v>199.5</v>
      </c>
      <c r="N2763" s="3">
        <v>399</v>
      </c>
      <c r="O2763" s="2" t="s">
        <v>229</v>
      </c>
      <c r="P2763" s="2" t="s">
        <v>198</v>
      </c>
      <c r="Q2763" s="2" t="s">
        <v>99</v>
      </c>
      <c r="R2763" s="2" t="s">
        <v>100</v>
      </c>
      <c r="S2763" s="2" t="s">
        <v>100</v>
      </c>
      <c r="T2763" s="2" t="s">
        <v>100</v>
      </c>
      <c r="U2763" s="2" t="s">
        <v>3531</v>
      </c>
      <c r="V2763" s="2" t="s">
        <v>1752</v>
      </c>
      <c r="W2763" s="2" t="s">
        <v>1288</v>
      </c>
      <c r="X2763" s="2" t="s">
        <v>6859</v>
      </c>
      <c r="Y2763" s="2" t="s">
        <v>10223</v>
      </c>
      <c r="Z2763" s="4">
        <v>41</v>
      </c>
      <c r="AA2763" s="4">
        <f>=ROUNDDOWN(37.2727272727273,0)</f>
      </c>
      <c r="AB2763" s="5">
        <v>1.1</v>
      </c>
      <c r="AC2763" s="2" t="s">
        <v>100</v>
      </c>
      <c r="AD2763" s="4"/>
      <c r="AE2763" s="4"/>
      <c r="AF2763" s="6">
        <v>65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/>
      <c r="BD2763" s="8"/>
      <c r="BE2763" s="4"/>
      <c r="BF2763" s="8"/>
      <c r="BG2763" s="7"/>
      <c r="BH2763" s="7"/>
      <c r="BI2763" s="7"/>
      <c r="BJ2763" s="4">
        <v>29</v>
      </c>
      <c r="BK2763" s="8">
        <v>3497.98</v>
      </c>
      <c r="BL2763" s="2" t="s">
        <v>10224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147</v>
      </c>
      <c r="BV2763" s="2" t="s">
        <v>97</v>
      </c>
      <c r="BW2763" s="2" t="s">
        <v>100</v>
      </c>
      <c r="BX2763" s="2" t="s">
        <v>100</v>
      </c>
      <c r="BY2763" s="2" t="s">
        <v>112</v>
      </c>
      <c r="BZ2763" s="2" t="s">
        <v>100</v>
      </c>
    </row>
    <row r="2764">
      <c r="A2764" s="2" t="s">
        <v>10225</v>
      </c>
      <c r="B2764" s="2" t="s">
        <v>7252</v>
      </c>
      <c r="C2764" s="2" t="s">
        <v>6851</v>
      </c>
      <c r="D2764" s="2" t="s">
        <v>7253</v>
      </c>
      <c r="E2764" s="2" t="s">
        <v>7313</v>
      </c>
      <c r="F2764" s="2" t="s">
        <v>5403</v>
      </c>
      <c r="G2764" s="2" t="s">
        <v>5403</v>
      </c>
      <c r="H2764" s="2" t="s">
        <v>5403</v>
      </c>
      <c r="I2764" s="2" t="s">
        <v>10226</v>
      </c>
      <c r="J2764" s="2" t="s">
        <v>6103</v>
      </c>
      <c r="K2764" s="2" t="s">
        <v>8678</v>
      </c>
      <c r="L2764" s="3">
        <v>260</v>
      </c>
      <c r="M2764" s="3">
        <v>273</v>
      </c>
      <c r="N2764" s="3">
        <v>549</v>
      </c>
      <c r="O2764" s="2" t="s">
        <v>97</v>
      </c>
      <c r="P2764" s="2" t="s">
        <v>1166</v>
      </c>
      <c r="Q2764" s="2" t="s">
        <v>99</v>
      </c>
      <c r="R2764" s="2" t="s">
        <v>100</v>
      </c>
      <c r="S2764" s="2" t="s">
        <v>100</v>
      </c>
      <c r="T2764" s="2" t="s">
        <v>100</v>
      </c>
      <c r="U2764" s="2" t="s">
        <v>3531</v>
      </c>
      <c r="V2764" s="2" t="s">
        <v>1752</v>
      </c>
      <c r="W2764" s="2" t="s">
        <v>405</v>
      </c>
      <c r="X2764" s="2" t="s">
        <v>6908</v>
      </c>
      <c r="Y2764" s="2" t="s">
        <v>3161</v>
      </c>
      <c r="Z2764" s="4">
        <v>88</v>
      </c>
      <c r="AA2764" s="4">
        <f>=ROUNDDOWN(17.6,0)</f>
      </c>
      <c r="AB2764" s="5">
        <v>5</v>
      </c>
      <c r="AC2764" s="2" t="s">
        <v>9634</v>
      </c>
      <c r="AD2764" s="4">
        <v>100</v>
      </c>
      <c r="AE2764" s="4">
        <v>100</v>
      </c>
      <c r="AF2764" s="6">
        <v>66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/>
      <c r="BD2764" s="8"/>
      <c r="BE2764" s="4"/>
      <c r="BF2764" s="8"/>
      <c r="BG2764" s="7"/>
      <c r="BH2764" s="7"/>
      <c r="BI2764" s="7"/>
      <c r="BJ2764" s="4">
        <v>12</v>
      </c>
      <c r="BK2764" s="8">
        <v>3280.64</v>
      </c>
      <c r="BL2764" s="2" t="s">
        <v>5499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147</v>
      </c>
      <c r="BV2764" s="2" t="s">
        <v>97</v>
      </c>
      <c r="BW2764" s="2" t="s">
        <v>100</v>
      </c>
      <c r="BX2764" s="2" t="s">
        <v>100</v>
      </c>
      <c r="BY2764" s="2" t="s">
        <v>112</v>
      </c>
      <c r="BZ2764" s="2" t="s">
        <v>100</v>
      </c>
    </row>
    <row r="2765">
      <c r="A2765" s="2" t="s">
        <v>10227</v>
      </c>
      <c r="B2765" s="2" t="s">
        <v>7252</v>
      </c>
      <c r="C2765" s="2" t="s">
        <v>6851</v>
      </c>
      <c r="D2765" s="2" t="s">
        <v>7253</v>
      </c>
      <c r="E2765" s="2" t="s">
        <v>7313</v>
      </c>
      <c r="F2765" s="2" t="s">
        <v>10228</v>
      </c>
      <c r="G2765" s="2" t="s">
        <v>10228</v>
      </c>
      <c r="H2765" s="2" t="s">
        <v>10228</v>
      </c>
      <c r="I2765" s="2" t="s">
        <v>7568</v>
      </c>
      <c r="J2765" s="2" t="s">
        <v>6103</v>
      </c>
      <c r="K2765" s="2" t="s">
        <v>622</v>
      </c>
      <c r="L2765" s="3">
        <v>210</v>
      </c>
      <c r="M2765" s="3">
        <v>220.5</v>
      </c>
      <c r="N2765" s="3">
        <v>439</v>
      </c>
      <c r="O2765" s="2" t="s">
        <v>229</v>
      </c>
      <c r="P2765" s="2" t="s">
        <v>198</v>
      </c>
      <c r="Q2765" s="2" t="s">
        <v>99</v>
      </c>
      <c r="R2765" s="2" t="s">
        <v>100</v>
      </c>
      <c r="S2765" s="2" t="s">
        <v>100</v>
      </c>
      <c r="T2765" s="2" t="s">
        <v>100</v>
      </c>
      <c r="U2765" s="2" t="s">
        <v>3531</v>
      </c>
      <c r="V2765" s="2" t="s">
        <v>1752</v>
      </c>
      <c r="W2765" s="2" t="s">
        <v>602</v>
      </c>
      <c r="X2765" s="2" t="s">
        <v>6854</v>
      </c>
      <c r="Y2765" s="2" t="s">
        <v>10223</v>
      </c>
      <c r="Z2765" s="4">
        <v>62</v>
      </c>
      <c r="AA2765" s="4">
        <f>=ROUNDDOWN(68.8888888888889,0)</f>
      </c>
      <c r="AB2765" s="5">
        <v>0.9</v>
      </c>
      <c r="AC2765" s="2" t="s">
        <v>100</v>
      </c>
      <c r="AD2765" s="4"/>
      <c r="AE2765" s="4"/>
      <c r="AF2765" s="6">
        <v>65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/>
      <c r="BD2765" s="8"/>
      <c r="BE2765" s="4"/>
      <c r="BF2765" s="8"/>
      <c r="BG2765" s="7"/>
      <c r="BH2765" s="7"/>
      <c r="BI2765" s="7"/>
      <c r="BJ2765" s="4">
        <v>18</v>
      </c>
      <c r="BK2765" s="8">
        <v>3429.42</v>
      </c>
      <c r="BL2765" s="2" t="s">
        <v>7736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147</v>
      </c>
      <c r="BV2765" s="2" t="s">
        <v>97</v>
      </c>
      <c r="BW2765" s="2" t="s">
        <v>100</v>
      </c>
      <c r="BX2765" s="2" t="s">
        <v>100</v>
      </c>
      <c r="BY2765" s="2" t="s">
        <v>112</v>
      </c>
      <c r="BZ2765" s="2" t="s">
        <v>100</v>
      </c>
    </row>
    <row r="2766">
      <c r="A2766" s="2" t="s">
        <v>10229</v>
      </c>
      <c r="B2766" s="2" t="s">
        <v>7252</v>
      </c>
      <c r="C2766" s="2" t="s">
        <v>6851</v>
      </c>
      <c r="D2766" s="2" t="s">
        <v>7253</v>
      </c>
      <c r="E2766" s="2" t="s">
        <v>7744</v>
      </c>
      <c r="F2766" s="2" t="s">
        <v>10230</v>
      </c>
      <c r="G2766" s="2" t="s">
        <v>10230</v>
      </c>
      <c r="H2766" s="2" t="s">
        <v>10230</v>
      </c>
      <c r="I2766" s="2" t="s">
        <v>7449</v>
      </c>
      <c r="J2766" s="2" t="s">
        <v>6103</v>
      </c>
      <c r="K2766" s="2" t="s">
        <v>10231</v>
      </c>
      <c r="L2766" s="3">
        <v>215</v>
      </c>
      <c r="M2766" s="3">
        <v>225.75</v>
      </c>
      <c r="N2766" s="3">
        <v>449</v>
      </c>
      <c r="O2766" s="2" t="s">
        <v>97</v>
      </c>
      <c r="P2766" s="2" t="s">
        <v>1166</v>
      </c>
      <c r="Q2766" s="2" t="s">
        <v>99</v>
      </c>
      <c r="R2766" s="2" t="s">
        <v>100</v>
      </c>
      <c r="S2766" s="2" t="s">
        <v>100</v>
      </c>
      <c r="T2766" s="2" t="s">
        <v>100</v>
      </c>
      <c r="U2766" s="2" t="s">
        <v>3531</v>
      </c>
      <c r="V2766" s="2" t="s">
        <v>1752</v>
      </c>
      <c r="W2766" s="2" t="s">
        <v>405</v>
      </c>
      <c r="X2766" s="2" t="s">
        <v>6908</v>
      </c>
      <c r="Y2766" s="2" t="s">
        <v>4814</v>
      </c>
      <c r="Z2766" s="4">
        <v>100</v>
      </c>
      <c r="AA2766" s="4">
        <f>=ROUNDDOWN(76.9230769230769,0)</f>
      </c>
      <c r="AB2766" s="5">
        <v>1.3</v>
      </c>
      <c r="AC2766" s="2" t="s">
        <v>100</v>
      </c>
      <c r="AD2766" s="4"/>
      <c r="AE2766" s="4"/>
      <c r="AF2766" s="6">
        <v>74</v>
      </c>
      <c r="AG2766" s="6"/>
      <c r="AH2766" s="7">
        <v>0.914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/>
      <c r="BD2766" s="8"/>
      <c r="BE2766" s="4"/>
      <c r="BF2766" s="8"/>
      <c r="BG2766" s="7"/>
      <c r="BH2766" s="7"/>
      <c r="BI2766" s="7"/>
      <c r="BJ2766" s="4">
        <v>3</v>
      </c>
      <c r="BK2766" s="8">
        <v>695.31</v>
      </c>
      <c r="BL2766" s="2" t="s">
        <v>10232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147</v>
      </c>
      <c r="BV2766" s="2" t="s">
        <v>97</v>
      </c>
      <c r="BW2766" s="2" t="s">
        <v>100</v>
      </c>
      <c r="BX2766" s="2" t="s">
        <v>100</v>
      </c>
      <c r="BY2766" s="2" t="s">
        <v>112</v>
      </c>
      <c r="BZ2766" s="2" t="s">
        <v>100</v>
      </c>
    </row>
    <row r="2767">
      <c r="A2767" s="2" t="s">
        <v>10233</v>
      </c>
      <c r="B2767" s="2" t="s">
        <v>7252</v>
      </c>
      <c r="C2767" s="2" t="s">
        <v>6851</v>
      </c>
      <c r="D2767" s="2" t="s">
        <v>7253</v>
      </c>
      <c r="E2767" s="2" t="s">
        <v>7744</v>
      </c>
      <c r="F2767" s="2" t="s">
        <v>10234</v>
      </c>
      <c r="G2767" s="2" t="s">
        <v>10234</v>
      </c>
      <c r="H2767" s="2" t="s">
        <v>10234</v>
      </c>
      <c r="I2767" s="2" t="s">
        <v>7680</v>
      </c>
      <c r="J2767" s="2" t="s">
        <v>6103</v>
      </c>
      <c r="K2767" s="2" t="s">
        <v>8230</v>
      </c>
      <c r="L2767" s="3">
        <v>162.45</v>
      </c>
      <c r="M2767" s="3">
        <v>170.57</v>
      </c>
      <c r="N2767" s="3">
        <v>339</v>
      </c>
      <c r="O2767" s="2" t="s">
        <v>229</v>
      </c>
      <c r="P2767" s="2" t="s">
        <v>198</v>
      </c>
      <c r="Q2767" s="2" t="s">
        <v>99</v>
      </c>
      <c r="R2767" s="2" t="s">
        <v>100</v>
      </c>
      <c r="S2767" s="2" t="s">
        <v>100</v>
      </c>
      <c r="T2767" s="2" t="s">
        <v>100</v>
      </c>
      <c r="U2767" s="2" t="s">
        <v>3531</v>
      </c>
      <c r="V2767" s="2" t="s">
        <v>601</v>
      </c>
      <c r="W2767" s="2" t="s">
        <v>602</v>
      </c>
      <c r="X2767" s="2" t="s">
        <v>6854</v>
      </c>
      <c r="Y2767" s="2" t="s">
        <v>6440</v>
      </c>
      <c r="Z2767" s="4">
        <v>66</v>
      </c>
      <c r="AA2767" s="4">
        <f>=ROUNDDOWN(27.5,0)</f>
      </c>
      <c r="AB2767" s="5">
        <v>2.4</v>
      </c>
      <c r="AC2767" s="2" t="s">
        <v>100</v>
      </c>
      <c r="AD2767" s="4"/>
      <c r="AE2767" s="4"/>
      <c r="AF2767" s="6">
        <v>65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/>
      <c r="BD2767" s="8"/>
      <c r="BE2767" s="4"/>
      <c r="BF2767" s="8"/>
      <c r="BG2767" s="7"/>
      <c r="BH2767" s="7"/>
      <c r="BI2767" s="7"/>
      <c r="BJ2767" s="4">
        <v>18</v>
      </c>
      <c r="BK2767" s="8">
        <v>2125.52</v>
      </c>
      <c r="BL2767" s="2" t="s">
        <v>10235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7683</v>
      </c>
      <c r="BV2767" s="2" t="s">
        <v>97</v>
      </c>
      <c r="BW2767" s="2" t="s">
        <v>100</v>
      </c>
      <c r="BX2767" s="2" t="s">
        <v>100</v>
      </c>
      <c r="BY2767" s="2" t="s">
        <v>112</v>
      </c>
      <c r="BZ2767" s="2" t="s">
        <v>100</v>
      </c>
    </row>
    <row r="2768">
      <c r="A2768" s="2" t="s">
        <v>10236</v>
      </c>
      <c r="B2768" s="2" t="s">
        <v>7252</v>
      </c>
      <c r="C2768" s="2" t="s">
        <v>6851</v>
      </c>
      <c r="D2768" s="2" t="s">
        <v>7253</v>
      </c>
      <c r="E2768" s="2" t="s">
        <v>7744</v>
      </c>
      <c r="F2768" s="2" t="s">
        <v>1983</v>
      </c>
      <c r="G2768" s="2" t="s">
        <v>1983</v>
      </c>
      <c r="H2768" s="2" t="s">
        <v>1983</v>
      </c>
      <c r="I2768" s="2" t="s">
        <v>7313</v>
      </c>
      <c r="J2768" s="2" t="s">
        <v>6103</v>
      </c>
      <c r="K2768" s="2" t="s">
        <v>123</v>
      </c>
      <c r="L2768" s="3">
        <v>238</v>
      </c>
      <c r="M2768" s="3">
        <v>249.9</v>
      </c>
      <c r="N2768" s="3">
        <v>499</v>
      </c>
      <c r="O2768" s="2" t="s">
        <v>97</v>
      </c>
      <c r="P2768" s="2" t="s">
        <v>182</v>
      </c>
      <c r="Q2768" s="2" t="s">
        <v>99</v>
      </c>
      <c r="R2768" s="2" t="s">
        <v>100</v>
      </c>
      <c r="S2768" s="2" t="s">
        <v>100</v>
      </c>
      <c r="T2768" s="2" t="s">
        <v>100</v>
      </c>
      <c r="U2768" s="2" t="s">
        <v>3531</v>
      </c>
      <c r="V2768" s="2" t="s">
        <v>1752</v>
      </c>
      <c r="W2768" s="2" t="s">
        <v>10237</v>
      </c>
      <c r="X2768" s="2" t="s">
        <v>405</v>
      </c>
      <c r="Y2768" s="2" t="s">
        <v>7514</v>
      </c>
      <c r="Z2768" s="4">
        <v>2</v>
      </c>
      <c r="AA2768" s="4">
        <f>=ROUNDDOWN(0.166666666666667,0)</f>
      </c>
      <c r="AB2768" s="5">
        <v>12</v>
      </c>
      <c r="AC2768" s="2" t="s">
        <v>4396</v>
      </c>
      <c r="AD2768" s="4">
        <v>100</v>
      </c>
      <c r="AE2768" s="4">
        <v>250</v>
      </c>
      <c r="AF2768" s="6">
        <v>66</v>
      </c>
      <c r="AG2768" s="6"/>
      <c r="AH2768" s="7">
        <v>0.5333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/>
      <c r="BD2768" s="8"/>
      <c r="BE2768" s="4"/>
      <c r="BF2768" s="8"/>
      <c r="BG2768" s="7"/>
      <c r="BH2768" s="7"/>
      <c r="BI2768" s="7"/>
      <c r="BJ2768" s="4">
        <v>73</v>
      </c>
      <c r="BK2768" s="8">
        <v>18758.64</v>
      </c>
      <c r="BL2768" s="2" t="s">
        <v>7517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6185</v>
      </c>
      <c r="BV2768" s="2" t="s">
        <v>97</v>
      </c>
      <c r="BW2768" s="2" t="s">
        <v>100</v>
      </c>
      <c r="BX2768" s="2" t="s">
        <v>100</v>
      </c>
      <c r="BY2768" s="2" t="s">
        <v>112</v>
      </c>
      <c r="BZ2768" s="2" t="s">
        <v>100</v>
      </c>
    </row>
    <row r="2769">
      <c r="A2769" s="2" t="s">
        <v>10238</v>
      </c>
      <c r="B2769" s="2" t="s">
        <v>7252</v>
      </c>
      <c r="C2769" s="2" t="s">
        <v>6851</v>
      </c>
      <c r="D2769" s="2" t="s">
        <v>7253</v>
      </c>
      <c r="E2769" s="2" t="s">
        <v>1608</v>
      </c>
      <c r="F2769" s="2" t="s">
        <v>10239</v>
      </c>
      <c r="G2769" s="2" t="s">
        <v>10239</v>
      </c>
      <c r="H2769" s="2" t="s">
        <v>10239</v>
      </c>
      <c r="I2769" s="2" t="s">
        <v>7680</v>
      </c>
      <c r="J2769" s="2" t="s">
        <v>6103</v>
      </c>
      <c r="K2769" s="2" t="s">
        <v>7696</v>
      </c>
      <c r="L2769" s="3">
        <v>214.2</v>
      </c>
      <c r="M2769" s="3">
        <v>224.91</v>
      </c>
      <c r="N2769" s="3">
        <v>449</v>
      </c>
      <c r="O2769" s="2" t="s">
        <v>229</v>
      </c>
      <c r="P2769" s="2" t="s">
        <v>198</v>
      </c>
      <c r="Q2769" s="2" t="s">
        <v>99</v>
      </c>
      <c r="R2769" s="2" t="s">
        <v>100</v>
      </c>
      <c r="S2769" s="2" t="s">
        <v>100</v>
      </c>
      <c r="T2769" s="2" t="s">
        <v>100</v>
      </c>
      <c r="U2769" s="2" t="s">
        <v>3531</v>
      </c>
      <c r="V2769" s="2" t="s">
        <v>1752</v>
      </c>
      <c r="W2769" s="2" t="s">
        <v>104</v>
      </c>
      <c r="X2769" s="2" t="s">
        <v>6859</v>
      </c>
      <c r="Y2769" s="2" t="s">
        <v>5527</v>
      </c>
      <c r="Z2769" s="4">
        <v>104</v>
      </c>
      <c r="AA2769" s="4">
        <f>=ROUNDDOWN(52,0)</f>
      </c>
      <c r="AB2769" s="5">
        <v>2</v>
      </c>
      <c r="AC2769" s="2" t="s">
        <v>100</v>
      </c>
      <c r="AD2769" s="4"/>
      <c r="AE2769" s="4"/>
      <c r="AF2769" s="6">
        <v>74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/>
      <c r="BD2769" s="8"/>
      <c r="BE2769" s="4"/>
      <c r="BF2769" s="8"/>
      <c r="BG2769" s="7"/>
      <c r="BH2769" s="7"/>
      <c r="BI2769" s="7"/>
      <c r="BJ2769" s="4">
        <v>10</v>
      </c>
      <c r="BK2769" s="8">
        <v>2406.59</v>
      </c>
      <c r="BL2769" s="2" t="s">
        <v>10240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147</v>
      </c>
      <c r="BV2769" s="2" t="s">
        <v>97</v>
      </c>
      <c r="BW2769" s="2" t="s">
        <v>100</v>
      </c>
      <c r="BX2769" s="2" t="s">
        <v>100</v>
      </c>
      <c r="BY2769" s="2" t="s">
        <v>112</v>
      </c>
      <c r="BZ2769" s="2" t="s">
        <v>100</v>
      </c>
    </row>
    <row r="2770">
      <c r="A2770" s="2" t="s">
        <v>10241</v>
      </c>
      <c r="B2770" s="2" t="s">
        <v>7252</v>
      </c>
      <c r="C2770" s="2" t="s">
        <v>6851</v>
      </c>
      <c r="D2770" s="2" t="s">
        <v>8575</v>
      </c>
      <c r="E2770" s="2" t="s">
        <v>10242</v>
      </c>
      <c r="F2770" s="2" t="s">
        <v>10243</v>
      </c>
      <c r="G2770" s="2" t="s">
        <v>10243</v>
      </c>
      <c r="H2770" s="2" t="s">
        <v>10243</v>
      </c>
      <c r="I2770" s="2" t="s">
        <v>10244</v>
      </c>
      <c r="J2770" s="2" t="s">
        <v>6103</v>
      </c>
      <c r="K2770" s="2" t="s">
        <v>10245</v>
      </c>
      <c r="L2770" s="3">
        <v>103.5</v>
      </c>
      <c r="M2770" s="3">
        <v>108.68</v>
      </c>
      <c r="N2770" s="3">
        <v>219</v>
      </c>
      <c r="O2770" s="2" t="s">
        <v>97</v>
      </c>
      <c r="P2770" s="2" t="s">
        <v>182</v>
      </c>
      <c r="Q2770" s="2" t="s">
        <v>99</v>
      </c>
      <c r="R2770" s="2" t="s">
        <v>100</v>
      </c>
      <c r="S2770" s="2" t="s">
        <v>10246</v>
      </c>
      <c r="T2770" s="2" t="s">
        <v>100</v>
      </c>
      <c r="U2770" s="2" t="s">
        <v>3531</v>
      </c>
      <c r="V2770" s="2" t="s">
        <v>1752</v>
      </c>
      <c r="W2770" s="2" t="s">
        <v>1288</v>
      </c>
      <c r="X2770" s="2" t="s">
        <v>6859</v>
      </c>
      <c r="Y2770" s="2" t="s">
        <v>8393</v>
      </c>
      <c r="Z2770" s="4">
        <v>249</v>
      </c>
      <c r="AA2770" s="4">
        <f>=ROUNDDOWN(20.75,0)</f>
      </c>
      <c r="AB2770" s="5">
        <v>12</v>
      </c>
      <c r="AC2770" s="2" t="s">
        <v>480</v>
      </c>
      <c r="AD2770" s="4">
        <v>120</v>
      </c>
      <c r="AE2770" s="4">
        <v>120</v>
      </c>
      <c r="AF2770" s="6">
        <v>66</v>
      </c>
      <c r="AG2770" s="6">
        <v>49</v>
      </c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>
        <v>0</v>
      </c>
      <c r="AP2770" s="4">
        <v>4</v>
      </c>
      <c r="AQ2770" s="8">
        <v>434.72</v>
      </c>
      <c r="AR2770" s="4">
        <v>9</v>
      </c>
      <c r="AS2770" s="8">
        <v>956.96</v>
      </c>
      <c r="AT2770" s="7">
        <v>-0.5556</v>
      </c>
      <c r="AU2770" s="7">
        <v>-0.5457</v>
      </c>
      <c r="AV2770" s="4">
        <v>4</v>
      </c>
      <c r="AW2770" s="8">
        <v>434.72</v>
      </c>
      <c r="AX2770" s="4">
        <v>9</v>
      </c>
      <c r="AY2770" s="8">
        <v>956.96</v>
      </c>
      <c r="AZ2770" s="7">
        <v>-0.5556</v>
      </c>
      <c r="BA2770" s="7">
        <v>-0.5457</v>
      </c>
      <c r="BB2770" s="7">
        <v>1</v>
      </c>
      <c r="BC2770" s="4">
        <v>4</v>
      </c>
      <c r="BD2770" s="8">
        <v>434.72</v>
      </c>
      <c r="BE2770" s="4">
        <v>9</v>
      </c>
      <c r="BF2770" s="8">
        <v>956.96</v>
      </c>
      <c r="BG2770" s="7">
        <v>-0.5556</v>
      </c>
      <c r="BH2770" s="7">
        <v>-0.5457</v>
      </c>
      <c r="BI2770" s="7">
        <v>1</v>
      </c>
      <c r="BJ2770" s="4">
        <v>251</v>
      </c>
      <c r="BK2770" s="8">
        <v>28989.89</v>
      </c>
      <c r="BL2770" s="2" t="s">
        <v>10247</v>
      </c>
      <c r="BM2770" s="7">
        <v>0.0159</v>
      </c>
      <c r="BN2770" s="7">
        <v>0.015</v>
      </c>
      <c r="BO2770" s="4">
        <v>4</v>
      </c>
      <c r="BP2770" s="8">
        <v>434.72</v>
      </c>
      <c r="BQ2770" s="4">
        <v>9</v>
      </c>
      <c r="BR2770" s="8">
        <v>956.96</v>
      </c>
      <c r="BS2770" s="7">
        <v>-0.5556</v>
      </c>
      <c r="BT2770" s="7">
        <v>-0.5457</v>
      </c>
      <c r="BU2770" s="2" t="s">
        <v>109</v>
      </c>
      <c r="BV2770" s="2" t="s">
        <v>97</v>
      </c>
      <c r="BW2770" s="2" t="s">
        <v>4745</v>
      </c>
      <c r="BX2770" s="2" t="s">
        <v>10185</v>
      </c>
      <c r="BY2770" s="2" t="s">
        <v>112</v>
      </c>
      <c r="BZ2770" s="2" t="s">
        <v>100</v>
      </c>
    </row>
    <row r="2771">
      <c r="A2771" s="2" t="s">
        <v>10248</v>
      </c>
      <c r="B2771" s="2" t="s">
        <v>7252</v>
      </c>
      <c r="C2771" s="2" t="s">
        <v>6851</v>
      </c>
      <c r="D2771" s="2" t="s">
        <v>8575</v>
      </c>
      <c r="E2771" s="2" t="s">
        <v>10242</v>
      </c>
      <c r="F2771" s="2" t="s">
        <v>1738</v>
      </c>
      <c r="G2771" s="2" t="s">
        <v>1738</v>
      </c>
      <c r="H2771" s="2" t="s">
        <v>1738</v>
      </c>
      <c r="I2771" s="2" t="s">
        <v>10244</v>
      </c>
      <c r="J2771" s="2" t="s">
        <v>6103</v>
      </c>
      <c r="K2771" s="2" t="s">
        <v>10245</v>
      </c>
      <c r="L2771" s="3">
        <v>112.2</v>
      </c>
      <c r="M2771" s="3">
        <v>117.81</v>
      </c>
      <c r="N2771" s="3">
        <v>239</v>
      </c>
      <c r="O2771" s="2" t="s">
        <v>97</v>
      </c>
      <c r="P2771" s="2" t="s">
        <v>182</v>
      </c>
      <c r="Q2771" s="2" t="s">
        <v>99</v>
      </c>
      <c r="R2771" s="2" t="s">
        <v>100</v>
      </c>
      <c r="S2771" s="2" t="s">
        <v>10249</v>
      </c>
      <c r="T2771" s="2" t="s">
        <v>100</v>
      </c>
      <c r="U2771" s="2" t="s">
        <v>3531</v>
      </c>
      <c r="V2771" s="2" t="s">
        <v>601</v>
      </c>
      <c r="W2771" s="2" t="s">
        <v>1288</v>
      </c>
      <c r="X2771" s="2" t="s">
        <v>6859</v>
      </c>
      <c r="Y2771" s="2" t="s">
        <v>8393</v>
      </c>
      <c r="Z2771" s="4">
        <v>191</v>
      </c>
      <c r="AA2771" s="4">
        <f>=ROUNDDOWN(15.9166666666667,0)</f>
      </c>
      <c r="AB2771" s="5">
        <v>12</v>
      </c>
      <c r="AC2771" s="2" t="s">
        <v>2152</v>
      </c>
      <c r="AD2771" s="4">
        <v>116</v>
      </c>
      <c r="AE2771" s="4">
        <v>216</v>
      </c>
      <c r="AF2771" s="6">
        <v>66</v>
      </c>
      <c r="AG2771" s="6">
        <v>49</v>
      </c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>
        <v>0</v>
      </c>
      <c r="AP2771" s="4">
        <v>2</v>
      </c>
      <c r="AQ2771" s="8">
        <v>235.62</v>
      </c>
      <c r="AR2771" s="4">
        <v>5</v>
      </c>
      <c r="AS2771" s="8">
        <v>592.52</v>
      </c>
      <c r="AT2771" s="7">
        <v>-0.6</v>
      </c>
      <c r="AU2771" s="7">
        <v>-0.6023</v>
      </c>
      <c r="AV2771" s="4">
        <v>2</v>
      </c>
      <c r="AW2771" s="8">
        <v>235.62</v>
      </c>
      <c r="AX2771" s="4">
        <v>5</v>
      </c>
      <c r="AY2771" s="8">
        <v>592.52</v>
      </c>
      <c r="AZ2771" s="7">
        <v>-0.6</v>
      </c>
      <c r="BA2771" s="7">
        <v>-0.6023</v>
      </c>
      <c r="BB2771" s="7">
        <v>1</v>
      </c>
      <c r="BC2771" s="4">
        <v>2</v>
      </c>
      <c r="BD2771" s="8">
        <v>235.62</v>
      </c>
      <c r="BE2771" s="4">
        <v>5</v>
      </c>
      <c r="BF2771" s="8">
        <v>592.52</v>
      </c>
      <c r="BG2771" s="7">
        <v>-0.6</v>
      </c>
      <c r="BH2771" s="7">
        <v>-0.6023</v>
      </c>
      <c r="BI2771" s="7">
        <v>1</v>
      </c>
      <c r="BJ2771" s="4">
        <v>272</v>
      </c>
      <c r="BK2771" s="8">
        <v>32046.21</v>
      </c>
      <c r="BL2771" s="2" t="s">
        <v>10250</v>
      </c>
      <c r="BM2771" s="7">
        <v>0.0074</v>
      </c>
      <c r="BN2771" s="7">
        <v>0.0074</v>
      </c>
      <c r="BO2771" s="4">
        <v>2</v>
      </c>
      <c r="BP2771" s="8">
        <v>235.62</v>
      </c>
      <c r="BQ2771" s="4">
        <v>5</v>
      </c>
      <c r="BR2771" s="8">
        <v>592.52</v>
      </c>
      <c r="BS2771" s="7">
        <v>-0.6</v>
      </c>
      <c r="BT2771" s="7">
        <v>-0.6023</v>
      </c>
      <c r="BU2771" s="2" t="s">
        <v>109</v>
      </c>
      <c r="BV2771" s="2" t="s">
        <v>97</v>
      </c>
      <c r="BW2771" s="2" t="s">
        <v>4745</v>
      </c>
      <c r="BX2771" s="2" t="s">
        <v>7886</v>
      </c>
      <c r="BY2771" s="2" t="s">
        <v>112</v>
      </c>
      <c r="BZ2771" s="2" t="s">
        <v>100</v>
      </c>
    </row>
    <row r="2772">
      <c r="A2772" s="2" t="s">
        <v>10251</v>
      </c>
      <c r="B2772" s="2" t="s">
        <v>7252</v>
      </c>
      <c r="C2772" s="2" t="s">
        <v>6851</v>
      </c>
      <c r="D2772" s="2" t="s">
        <v>8575</v>
      </c>
      <c r="E2772" s="2" t="s">
        <v>10242</v>
      </c>
      <c r="F2772" s="2" t="s">
        <v>10252</v>
      </c>
      <c r="G2772" s="2" t="s">
        <v>10252</v>
      </c>
      <c r="H2772" s="2" t="s">
        <v>10252</v>
      </c>
      <c r="I2772" s="2" t="s">
        <v>10244</v>
      </c>
      <c r="J2772" s="2" t="s">
        <v>6103</v>
      </c>
      <c r="K2772" s="2" t="s">
        <v>10253</v>
      </c>
      <c r="L2772" s="3">
        <v>85.5</v>
      </c>
      <c r="M2772" s="3">
        <v>89.78</v>
      </c>
      <c r="N2772" s="3">
        <v>179</v>
      </c>
      <c r="O2772" s="2" t="s">
        <v>97</v>
      </c>
      <c r="P2772" s="2" t="s">
        <v>1265</v>
      </c>
      <c r="Q2772" s="2" t="s">
        <v>99</v>
      </c>
      <c r="R2772" s="2" t="s">
        <v>100</v>
      </c>
      <c r="S2772" s="2" t="s">
        <v>10254</v>
      </c>
      <c r="T2772" s="2" t="s">
        <v>100</v>
      </c>
      <c r="U2772" s="2" t="s">
        <v>3531</v>
      </c>
      <c r="V2772" s="2" t="s">
        <v>601</v>
      </c>
      <c r="W2772" s="2" t="s">
        <v>1288</v>
      </c>
      <c r="X2772" s="2" t="s">
        <v>6859</v>
      </c>
      <c r="Y2772" s="2" t="s">
        <v>3191</v>
      </c>
      <c r="Z2772" s="4">
        <v>139</v>
      </c>
      <c r="AA2772" s="4">
        <f>=ROUNDDOWN(23.1666666666667,0)</f>
      </c>
      <c r="AB2772" s="5">
        <v>6</v>
      </c>
      <c r="AC2772" s="2" t="s">
        <v>100</v>
      </c>
      <c r="AD2772" s="4"/>
      <c r="AE2772" s="4"/>
      <c r="AF2772" s="6">
        <v>74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>
        <v>0</v>
      </c>
      <c r="AP2772" s="4"/>
      <c r="AQ2772" s="8"/>
      <c r="AR2772" s="4">
        <v>4</v>
      </c>
      <c r="AS2772" s="8">
        <v>399</v>
      </c>
      <c r="AT2772" s="7">
        <v>-1</v>
      </c>
      <c r="AU2772" s="7">
        <v>-1</v>
      </c>
      <c r="AV2772" s="4"/>
      <c r="AW2772" s="8"/>
      <c r="AX2772" s="4">
        <v>4</v>
      </c>
      <c r="AY2772" s="8">
        <v>399</v>
      </c>
      <c r="AZ2772" s="7">
        <v>-1</v>
      </c>
      <c r="BA2772" s="7">
        <v>-1</v>
      </c>
      <c r="BB2772" s="7"/>
      <c r="BC2772" s="4"/>
      <c r="BD2772" s="8"/>
      <c r="BE2772" s="4">
        <v>4</v>
      </c>
      <c r="BF2772" s="8">
        <v>399</v>
      </c>
      <c r="BG2772" s="7">
        <v>-1</v>
      </c>
      <c r="BH2772" s="7">
        <v>-1</v>
      </c>
      <c r="BI2772" s="7"/>
      <c r="BJ2772" s="4">
        <v>94</v>
      </c>
      <c r="BK2772" s="8">
        <v>8774.06</v>
      </c>
      <c r="BL2772" s="2" t="s">
        <v>10255</v>
      </c>
      <c r="BM2772" s="7"/>
      <c r="BN2772" s="7"/>
      <c r="BO2772" s="4"/>
      <c r="BP2772" s="8"/>
      <c r="BQ2772" s="4">
        <v>4</v>
      </c>
      <c r="BR2772" s="8">
        <v>399</v>
      </c>
      <c r="BS2772" s="7">
        <v>-1</v>
      </c>
      <c r="BT2772" s="7">
        <v>-1</v>
      </c>
      <c r="BU2772" s="2" t="s">
        <v>109</v>
      </c>
      <c r="BV2772" s="2" t="s">
        <v>97</v>
      </c>
      <c r="BW2772" s="2" t="s">
        <v>4745</v>
      </c>
      <c r="BX2772" s="2" t="s">
        <v>4723</v>
      </c>
      <c r="BY2772" s="2" t="s">
        <v>112</v>
      </c>
      <c r="BZ2772" s="2" t="s">
        <v>100</v>
      </c>
    </row>
    <row r="2773">
      <c r="A2773" s="2" t="s">
        <v>10256</v>
      </c>
      <c r="B2773" s="2" t="s">
        <v>7252</v>
      </c>
      <c r="C2773" s="2" t="s">
        <v>6851</v>
      </c>
      <c r="D2773" s="2" t="s">
        <v>8575</v>
      </c>
      <c r="E2773" s="2" t="s">
        <v>10242</v>
      </c>
      <c r="F2773" s="2" t="s">
        <v>10257</v>
      </c>
      <c r="G2773" s="2" t="s">
        <v>10257</v>
      </c>
      <c r="H2773" s="2" t="s">
        <v>10257</v>
      </c>
      <c r="I2773" s="2" t="s">
        <v>10258</v>
      </c>
      <c r="J2773" s="2" t="s">
        <v>6103</v>
      </c>
      <c r="K2773" s="2" t="s">
        <v>8609</v>
      </c>
      <c r="L2773" s="3">
        <v>85.63</v>
      </c>
      <c r="M2773" s="3">
        <v>89.91</v>
      </c>
      <c r="N2773" s="3">
        <v>179</v>
      </c>
      <c r="O2773" s="2" t="s">
        <v>97</v>
      </c>
      <c r="P2773" s="2" t="s">
        <v>1265</v>
      </c>
      <c r="Q2773" s="2" t="s">
        <v>99</v>
      </c>
      <c r="R2773" s="2" t="s">
        <v>100</v>
      </c>
      <c r="S2773" s="2" t="s">
        <v>10259</v>
      </c>
      <c r="T2773" s="2" t="s">
        <v>100</v>
      </c>
      <c r="U2773" s="2" t="s">
        <v>3531</v>
      </c>
      <c r="V2773" s="2" t="s">
        <v>601</v>
      </c>
      <c r="W2773" s="2" t="s">
        <v>104</v>
      </c>
      <c r="X2773" s="2" t="s">
        <v>6859</v>
      </c>
      <c r="Y2773" s="2" t="s">
        <v>10260</v>
      </c>
      <c r="Z2773" s="4">
        <v>111</v>
      </c>
      <c r="AA2773" s="4">
        <f>=ROUNDDOWN(18.5,0)</f>
      </c>
      <c r="AB2773" s="5">
        <v>6</v>
      </c>
      <c r="AC2773" s="2" t="s">
        <v>751</v>
      </c>
      <c r="AD2773" s="4">
        <v>95</v>
      </c>
      <c r="AE2773" s="4">
        <v>95</v>
      </c>
      <c r="AF2773" s="6">
        <v>66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>
        <v>0</v>
      </c>
      <c r="AP2773" s="4"/>
      <c r="AQ2773" s="8"/>
      <c r="AR2773" s="4">
        <v>4</v>
      </c>
      <c r="AS2773" s="8">
        <v>399.6</v>
      </c>
      <c r="AT2773" s="7">
        <v>-1</v>
      </c>
      <c r="AU2773" s="7">
        <v>-1</v>
      </c>
      <c r="AV2773" s="4"/>
      <c r="AW2773" s="8"/>
      <c r="AX2773" s="4">
        <v>4</v>
      </c>
      <c r="AY2773" s="8">
        <v>399.6</v>
      </c>
      <c r="AZ2773" s="7">
        <v>-1</v>
      </c>
      <c r="BA2773" s="7">
        <v>-1</v>
      </c>
      <c r="BB2773" s="7"/>
      <c r="BC2773" s="4"/>
      <c r="BD2773" s="8"/>
      <c r="BE2773" s="4">
        <v>4</v>
      </c>
      <c r="BF2773" s="8">
        <v>399.6</v>
      </c>
      <c r="BG2773" s="7">
        <v>-1</v>
      </c>
      <c r="BH2773" s="7">
        <v>-1</v>
      </c>
      <c r="BI2773" s="7"/>
      <c r="BJ2773" s="4">
        <v>98</v>
      </c>
      <c r="BK2773" s="8">
        <v>9585.3</v>
      </c>
      <c r="BL2773" s="2" t="s">
        <v>10261</v>
      </c>
      <c r="BM2773" s="7"/>
      <c r="BN2773" s="7"/>
      <c r="BO2773" s="4"/>
      <c r="BP2773" s="8"/>
      <c r="BQ2773" s="4">
        <v>4</v>
      </c>
      <c r="BR2773" s="8">
        <v>399.6</v>
      </c>
      <c r="BS2773" s="7">
        <v>-1</v>
      </c>
      <c r="BT2773" s="7">
        <v>-1</v>
      </c>
      <c r="BU2773" s="2" t="s">
        <v>109</v>
      </c>
      <c r="BV2773" s="2" t="s">
        <v>97</v>
      </c>
      <c r="BW2773" s="2" t="s">
        <v>4745</v>
      </c>
      <c r="BX2773" s="2" t="s">
        <v>10262</v>
      </c>
      <c r="BY2773" s="2" t="s">
        <v>112</v>
      </c>
      <c r="BZ2773" s="2" t="s">
        <v>100</v>
      </c>
    </row>
    <row r="2774">
      <c r="A2774" s="2" t="s">
        <v>10263</v>
      </c>
      <c r="B2774" s="2" t="s">
        <v>7252</v>
      </c>
      <c r="C2774" s="2" t="s">
        <v>6851</v>
      </c>
      <c r="D2774" s="2" t="s">
        <v>8575</v>
      </c>
      <c r="E2774" s="2" t="s">
        <v>8576</v>
      </c>
      <c r="F2774" s="2" t="s">
        <v>10264</v>
      </c>
      <c r="G2774" s="2" t="s">
        <v>10264</v>
      </c>
      <c r="H2774" s="2" t="s">
        <v>10264</v>
      </c>
      <c r="I2774" s="2" t="s">
        <v>10265</v>
      </c>
      <c r="J2774" s="2" t="s">
        <v>6103</v>
      </c>
      <c r="K2774" s="2" t="s">
        <v>10266</v>
      </c>
      <c r="L2774" s="3">
        <v>185</v>
      </c>
      <c r="M2774" s="3">
        <v>194.25</v>
      </c>
      <c r="N2774" s="3">
        <v>399</v>
      </c>
      <c r="O2774" s="2" t="s">
        <v>97</v>
      </c>
      <c r="P2774" s="2" t="s">
        <v>1166</v>
      </c>
      <c r="Q2774" s="2" t="s">
        <v>99</v>
      </c>
      <c r="R2774" s="2" t="s">
        <v>100</v>
      </c>
      <c r="S2774" s="2" t="s">
        <v>100</v>
      </c>
      <c r="T2774" s="2" t="s">
        <v>100</v>
      </c>
      <c r="U2774" s="2" t="s">
        <v>3531</v>
      </c>
      <c r="V2774" s="2" t="s">
        <v>1752</v>
      </c>
      <c r="W2774" s="2" t="s">
        <v>10267</v>
      </c>
      <c r="X2774" s="2" t="s">
        <v>6859</v>
      </c>
      <c r="Y2774" s="2" t="s">
        <v>5756</v>
      </c>
      <c r="Z2774" s="4">
        <v>89</v>
      </c>
      <c r="AA2774" s="4">
        <f>=ROUNDDOWN(68.4615384615385,0)</f>
      </c>
      <c r="AB2774" s="5">
        <v>1.3</v>
      </c>
      <c r="AC2774" s="2" t="s">
        <v>100</v>
      </c>
      <c r="AD2774" s="4"/>
      <c r="AE2774" s="4"/>
      <c r="AF2774" s="6">
        <v>74</v>
      </c>
      <c r="AG2774" s="6"/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/>
      <c r="AW2774" s="8"/>
      <c r="AX2774" s="4"/>
      <c r="AY2774" s="8"/>
      <c r="AZ2774" s="7"/>
      <c r="BA2774" s="7"/>
      <c r="BB2774" s="7"/>
      <c r="BC2774" s="4"/>
      <c r="BD2774" s="8"/>
      <c r="BE2774" s="4"/>
      <c r="BF2774" s="8"/>
      <c r="BG2774" s="7"/>
      <c r="BH2774" s="7"/>
      <c r="BI2774" s="7"/>
      <c r="BJ2774" s="4">
        <v>10</v>
      </c>
      <c r="BK2774" s="8">
        <v>1874.62</v>
      </c>
      <c r="BL2774" s="2" t="s">
        <v>10268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147</v>
      </c>
      <c r="BV2774" s="2" t="s">
        <v>97</v>
      </c>
      <c r="BW2774" s="2" t="s">
        <v>100</v>
      </c>
      <c r="BX2774" s="2" t="s">
        <v>100</v>
      </c>
      <c r="BY2774" s="2" t="s">
        <v>112</v>
      </c>
      <c r="BZ2774" s="2" t="s">
        <v>100</v>
      </c>
    </row>
    <row r="2775">
      <c r="A2775" s="2" t="s">
        <v>10269</v>
      </c>
      <c r="B2775" s="2" t="s">
        <v>7252</v>
      </c>
      <c r="C2775" s="2" t="s">
        <v>6851</v>
      </c>
      <c r="D2775" s="2" t="s">
        <v>8575</v>
      </c>
      <c r="E2775" s="2" t="s">
        <v>8576</v>
      </c>
      <c r="F2775" s="2" t="s">
        <v>10270</v>
      </c>
      <c r="G2775" s="2" t="s">
        <v>10270</v>
      </c>
      <c r="H2775" s="2" t="s">
        <v>10270</v>
      </c>
      <c r="I2775" s="2" t="s">
        <v>10271</v>
      </c>
      <c r="J2775" s="2" t="s">
        <v>6103</v>
      </c>
      <c r="K2775" s="2" t="s">
        <v>123</v>
      </c>
      <c r="L2775" s="3">
        <v>175</v>
      </c>
      <c r="M2775" s="3">
        <v>183.75</v>
      </c>
      <c r="N2775" s="3">
        <v>369</v>
      </c>
      <c r="O2775" s="2" t="s">
        <v>97</v>
      </c>
      <c r="P2775" s="2" t="s">
        <v>182</v>
      </c>
      <c r="Q2775" s="2" t="s">
        <v>99</v>
      </c>
      <c r="R2775" s="2" t="s">
        <v>100</v>
      </c>
      <c r="S2775" s="2" t="s">
        <v>100</v>
      </c>
      <c r="T2775" s="2" t="s">
        <v>100</v>
      </c>
      <c r="U2775" s="2" t="s">
        <v>3531</v>
      </c>
      <c r="V2775" s="2" t="s">
        <v>601</v>
      </c>
      <c r="W2775" s="2" t="s">
        <v>1288</v>
      </c>
      <c r="X2775" s="2" t="s">
        <v>6859</v>
      </c>
      <c r="Y2775" s="2" t="s">
        <v>10272</v>
      </c>
      <c r="Z2775" s="4">
        <v>94</v>
      </c>
      <c r="AA2775" s="4">
        <f>=ROUNDDOWN(18.8,0)</f>
      </c>
      <c r="AB2775" s="5">
        <v>5</v>
      </c>
      <c r="AC2775" s="2" t="s">
        <v>8536</v>
      </c>
      <c r="AD2775" s="4">
        <v>100</v>
      </c>
      <c r="AE2775" s="4">
        <v>100</v>
      </c>
      <c r="AF2775" s="6">
        <v>74</v>
      </c>
      <c r="AG2775" s="6"/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/>
      <c r="AW2775" s="8"/>
      <c r="AX2775" s="4"/>
      <c r="AY2775" s="8"/>
      <c r="AZ2775" s="7"/>
      <c r="BA2775" s="7"/>
      <c r="BB2775" s="7"/>
      <c r="BC2775" s="4"/>
      <c r="BD2775" s="8"/>
      <c r="BE2775" s="4"/>
      <c r="BF2775" s="8"/>
      <c r="BG2775" s="7"/>
      <c r="BH2775" s="7"/>
      <c r="BI2775" s="7"/>
      <c r="BJ2775" s="4">
        <v>107</v>
      </c>
      <c r="BK2775" s="8">
        <v>19711.11</v>
      </c>
      <c r="BL2775" s="2" t="s">
        <v>10273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6185</v>
      </c>
      <c r="BV2775" s="2" t="s">
        <v>97</v>
      </c>
      <c r="BW2775" s="2" t="s">
        <v>100</v>
      </c>
      <c r="BX2775" s="2" t="s">
        <v>100</v>
      </c>
      <c r="BY2775" s="2" t="s">
        <v>112</v>
      </c>
      <c r="BZ2775" s="2" t="s">
        <v>100</v>
      </c>
    </row>
    <row r="2776">
      <c r="A2776" s="2" t="s">
        <v>10274</v>
      </c>
      <c r="B2776" s="2" t="s">
        <v>7252</v>
      </c>
      <c r="C2776" s="2" t="s">
        <v>6851</v>
      </c>
      <c r="D2776" s="2" t="s">
        <v>8575</v>
      </c>
      <c r="E2776" s="2" t="s">
        <v>8576</v>
      </c>
      <c r="F2776" s="2" t="s">
        <v>10230</v>
      </c>
      <c r="G2776" s="2" t="s">
        <v>10230</v>
      </c>
      <c r="H2776" s="2" t="s">
        <v>10230</v>
      </c>
      <c r="I2776" s="2" t="s">
        <v>9614</v>
      </c>
      <c r="J2776" s="2" t="s">
        <v>6103</v>
      </c>
      <c r="K2776" s="2" t="s">
        <v>323</v>
      </c>
      <c r="L2776" s="3">
        <v>212</v>
      </c>
      <c r="M2776" s="3">
        <v>222.6</v>
      </c>
      <c r="N2776" s="3">
        <v>449</v>
      </c>
      <c r="O2776" s="2" t="s">
        <v>97</v>
      </c>
      <c r="P2776" s="2" t="s">
        <v>1166</v>
      </c>
      <c r="Q2776" s="2" t="s">
        <v>99</v>
      </c>
      <c r="R2776" s="2" t="s">
        <v>100</v>
      </c>
      <c r="S2776" s="2" t="s">
        <v>100</v>
      </c>
      <c r="T2776" s="2" t="s">
        <v>100</v>
      </c>
      <c r="U2776" s="2" t="s">
        <v>3531</v>
      </c>
      <c r="V2776" s="2" t="s">
        <v>1752</v>
      </c>
      <c r="W2776" s="2" t="s">
        <v>10275</v>
      </c>
      <c r="X2776" s="2" t="s">
        <v>6908</v>
      </c>
      <c r="Y2776" s="2" t="s">
        <v>648</v>
      </c>
      <c r="Z2776" s="4">
        <v>88</v>
      </c>
      <c r="AA2776" s="4">
        <f>=ROUNDDOWN(80,0)</f>
      </c>
      <c r="AB2776" s="5">
        <v>1.1</v>
      </c>
      <c r="AC2776" s="2" t="s">
        <v>100</v>
      </c>
      <c r="AD2776" s="4"/>
      <c r="AE2776" s="4"/>
      <c r="AF2776" s="6">
        <v>76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/>
      <c r="AW2776" s="8"/>
      <c r="AX2776" s="4"/>
      <c r="AY2776" s="8"/>
      <c r="AZ2776" s="7"/>
      <c r="BA2776" s="7"/>
      <c r="BB2776" s="7"/>
      <c r="BC2776" s="4"/>
      <c r="BD2776" s="8"/>
      <c r="BE2776" s="4"/>
      <c r="BF2776" s="8"/>
      <c r="BG2776" s="7"/>
      <c r="BH2776" s="7"/>
      <c r="BI2776" s="7"/>
      <c r="BJ2776" s="4">
        <v>9</v>
      </c>
      <c r="BK2776" s="8">
        <v>2128.06</v>
      </c>
      <c r="BL2776" s="2" t="s">
        <v>10276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147</v>
      </c>
      <c r="BV2776" s="2" t="s">
        <v>97</v>
      </c>
      <c r="BW2776" s="2" t="s">
        <v>100</v>
      </c>
      <c r="BX2776" s="2" t="s">
        <v>100</v>
      </c>
      <c r="BY2776" s="2" t="s">
        <v>112</v>
      </c>
      <c r="BZ2776" s="2" t="s">
        <v>100</v>
      </c>
    </row>
    <row r="2777">
      <c r="A2777" s="2" t="s">
        <v>10277</v>
      </c>
      <c r="B2777" s="2" t="s">
        <v>7252</v>
      </c>
      <c r="C2777" s="2" t="s">
        <v>6851</v>
      </c>
      <c r="D2777" s="2" t="s">
        <v>8575</v>
      </c>
      <c r="E2777" s="2" t="s">
        <v>8653</v>
      </c>
      <c r="F2777" s="2" t="s">
        <v>10278</v>
      </c>
      <c r="G2777" s="2" t="s">
        <v>10278</v>
      </c>
      <c r="H2777" s="2" t="s">
        <v>10278</v>
      </c>
      <c r="I2777" s="2" t="s">
        <v>10279</v>
      </c>
      <c r="J2777" s="2" t="s">
        <v>10280</v>
      </c>
      <c r="K2777" s="2" t="s">
        <v>10245</v>
      </c>
      <c r="L2777" s="3">
        <v>215</v>
      </c>
      <c r="M2777" s="3">
        <v>225.75</v>
      </c>
      <c r="N2777" s="3">
        <v>449</v>
      </c>
      <c r="O2777" s="2" t="s">
        <v>97</v>
      </c>
      <c r="P2777" s="2" t="s">
        <v>1166</v>
      </c>
      <c r="Q2777" s="2" t="s">
        <v>99</v>
      </c>
      <c r="R2777" s="2" t="s">
        <v>100</v>
      </c>
      <c r="S2777" s="2" t="s">
        <v>100</v>
      </c>
      <c r="T2777" s="2" t="s">
        <v>100</v>
      </c>
      <c r="U2777" s="2" t="s">
        <v>3531</v>
      </c>
      <c r="V2777" s="2" t="s">
        <v>1752</v>
      </c>
      <c r="W2777" s="2" t="s">
        <v>405</v>
      </c>
      <c r="X2777" s="2" t="s">
        <v>6859</v>
      </c>
      <c r="Y2777" s="2" t="s">
        <v>9817</v>
      </c>
      <c r="Z2777" s="4">
        <v>38</v>
      </c>
      <c r="AA2777" s="4">
        <f>=ROUNDDOWN(7.6,0)</f>
      </c>
      <c r="AB2777" s="5">
        <v>5</v>
      </c>
      <c r="AC2777" s="2" t="s">
        <v>1060</v>
      </c>
      <c r="AD2777" s="4">
        <v>100</v>
      </c>
      <c r="AE2777" s="4">
        <v>100</v>
      </c>
      <c r="AF2777" s="6">
        <v>74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61</v>
      </c>
      <c r="BK2777" s="8">
        <v>14288.15</v>
      </c>
      <c r="BL2777" s="2" t="s">
        <v>7682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6185</v>
      </c>
      <c r="BV2777" s="2" t="s">
        <v>97</v>
      </c>
      <c r="BW2777" s="2" t="s">
        <v>100</v>
      </c>
      <c r="BX2777" s="2" t="s">
        <v>100</v>
      </c>
      <c r="BY2777" s="2" t="s">
        <v>112</v>
      </c>
      <c r="BZ2777" s="2" t="s">
        <v>100</v>
      </c>
    </row>
    <row r="2778">
      <c r="A2778" s="2" t="s">
        <v>10281</v>
      </c>
      <c r="B2778" s="2" t="s">
        <v>7252</v>
      </c>
      <c r="C2778" s="2" t="s">
        <v>6851</v>
      </c>
      <c r="D2778" s="2" t="s">
        <v>8575</v>
      </c>
      <c r="E2778" s="2" t="s">
        <v>8653</v>
      </c>
      <c r="F2778" s="2" t="s">
        <v>10278</v>
      </c>
      <c r="G2778" s="2" t="s">
        <v>10278</v>
      </c>
      <c r="H2778" s="2" t="s">
        <v>10278</v>
      </c>
      <c r="I2778" s="2" t="s">
        <v>10282</v>
      </c>
      <c r="J2778" s="2" t="s">
        <v>10283</v>
      </c>
      <c r="K2778" s="2" t="s">
        <v>10245</v>
      </c>
      <c r="L2778" s="3">
        <v>190</v>
      </c>
      <c r="M2778" s="3">
        <v>199.5</v>
      </c>
      <c r="N2778" s="3">
        <v>399</v>
      </c>
      <c r="O2778" s="2" t="s">
        <v>97</v>
      </c>
      <c r="P2778" s="2" t="s">
        <v>143</v>
      </c>
      <c r="Q2778" s="2" t="s">
        <v>99</v>
      </c>
      <c r="R2778" s="2" t="s">
        <v>100</v>
      </c>
      <c r="S2778" s="2" t="s">
        <v>100</v>
      </c>
      <c r="T2778" s="2" t="s">
        <v>100</v>
      </c>
      <c r="U2778" s="2" t="s">
        <v>3531</v>
      </c>
      <c r="V2778" s="2" t="s">
        <v>1752</v>
      </c>
      <c r="W2778" s="2" t="s">
        <v>405</v>
      </c>
      <c r="X2778" s="2" t="s">
        <v>6859</v>
      </c>
      <c r="Y2778" s="2" t="s">
        <v>4328</v>
      </c>
      <c r="Z2778" s="4">
        <v>75</v>
      </c>
      <c r="AA2778" s="4">
        <f>=ROUNDDOWN(7.5,0)</f>
      </c>
      <c r="AB2778" s="5">
        <v>10</v>
      </c>
      <c r="AC2778" s="2" t="s">
        <v>2143</v>
      </c>
      <c r="AD2778" s="4">
        <v>150</v>
      </c>
      <c r="AE2778" s="4">
        <v>350</v>
      </c>
      <c r="AF2778" s="6">
        <v>74</v>
      </c>
      <c r="AG2778" s="6">
        <v>60</v>
      </c>
      <c r="AH2778" s="7">
        <v>0.8667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100</v>
      </c>
      <c r="AW2778" s="8" t="s">
        <v>100</v>
      </c>
      <c r="AX2778" s="4" t="s">
        <v>100</v>
      </c>
      <c r="AY2778" s="8" t="s">
        <v>100</v>
      </c>
      <c r="AZ2778" s="7" t="s">
        <v>100</v>
      </c>
      <c r="BA2778" s="7" t="s">
        <v>100</v>
      </c>
      <c r="BB2778" s="7"/>
      <c r="BC2778" s="4" t="s">
        <v>100</v>
      </c>
      <c r="BD2778" s="8" t="s">
        <v>100</v>
      </c>
      <c r="BE2778" s="4" t="s">
        <v>100</v>
      </c>
      <c r="BF2778" s="8" t="s">
        <v>100</v>
      </c>
      <c r="BG2778" s="7" t="s">
        <v>100</v>
      </c>
      <c r="BH2778" s="7" t="s">
        <v>100</v>
      </c>
      <c r="BI2778" s="7"/>
      <c r="BJ2778" s="4">
        <v>249</v>
      </c>
      <c r="BK2778" s="8">
        <v>52577</v>
      </c>
      <c r="BL2778" s="2" t="s">
        <v>10284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6185</v>
      </c>
      <c r="BV2778" s="2" t="s">
        <v>97</v>
      </c>
      <c r="BW2778" s="2" t="s">
        <v>100</v>
      </c>
      <c r="BX2778" s="2" t="s">
        <v>100</v>
      </c>
      <c r="BY2778" s="2" t="s">
        <v>112</v>
      </c>
      <c r="BZ2778" s="2" t="s">
        <v>100</v>
      </c>
    </row>
    <row r="2779">
      <c r="A2779" s="2" t="s">
        <v>10285</v>
      </c>
      <c r="B2779" s="2" t="s">
        <v>7252</v>
      </c>
      <c r="C2779" s="2" t="s">
        <v>6851</v>
      </c>
      <c r="D2779" s="2" t="s">
        <v>8575</v>
      </c>
      <c r="E2779" s="2" t="s">
        <v>8653</v>
      </c>
      <c r="F2779" s="2" t="s">
        <v>10286</v>
      </c>
      <c r="G2779" s="2" t="s">
        <v>10286</v>
      </c>
      <c r="H2779" s="2" t="s">
        <v>10286</v>
      </c>
      <c r="I2779" s="2" t="s">
        <v>10287</v>
      </c>
      <c r="J2779" s="2" t="s">
        <v>6103</v>
      </c>
      <c r="K2779" s="2" t="s">
        <v>323</v>
      </c>
      <c r="L2779" s="3">
        <v>168</v>
      </c>
      <c r="M2779" s="3">
        <v>176.4</v>
      </c>
      <c r="N2779" s="3">
        <v>359</v>
      </c>
      <c r="O2779" s="2" t="s">
        <v>97</v>
      </c>
      <c r="P2779" s="2" t="s">
        <v>182</v>
      </c>
      <c r="Q2779" s="2" t="s">
        <v>99</v>
      </c>
      <c r="R2779" s="2" t="s">
        <v>100</v>
      </c>
      <c r="S2779" s="2" t="s">
        <v>100</v>
      </c>
      <c r="T2779" s="2" t="s">
        <v>100</v>
      </c>
      <c r="U2779" s="2" t="s">
        <v>3531</v>
      </c>
      <c r="V2779" s="2" t="s">
        <v>1752</v>
      </c>
      <c r="W2779" s="2" t="s">
        <v>405</v>
      </c>
      <c r="X2779" s="2" t="s">
        <v>6908</v>
      </c>
      <c r="Y2779" s="2" t="s">
        <v>10288</v>
      </c>
      <c r="Z2779" s="4">
        <v>39</v>
      </c>
      <c r="AA2779" s="4">
        <f>=ROUNDDOWN(7.8,0)</f>
      </c>
      <c r="AB2779" s="5">
        <v>5</v>
      </c>
      <c r="AC2779" s="2" t="s">
        <v>7295</v>
      </c>
      <c r="AD2779" s="4">
        <v>130</v>
      </c>
      <c r="AE2779" s="4">
        <v>245</v>
      </c>
      <c r="AF2779" s="6">
        <v>76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/>
      <c r="AW2779" s="8"/>
      <c r="AX2779" s="4"/>
      <c r="AY2779" s="8"/>
      <c r="AZ2779" s="7"/>
      <c r="BA2779" s="7"/>
      <c r="BB2779" s="7"/>
      <c r="BC2779" s="4"/>
      <c r="BD2779" s="8"/>
      <c r="BE2779" s="4"/>
      <c r="BF2779" s="8"/>
      <c r="BG2779" s="7"/>
      <c r="BH2779" s="7"/>
      <c r="BI2779" s="7"/>
      <c r="BJ2779" s="4">
        <v>87</v>
      </c>
      <c r="BK2779" s="8">
        <v>15524.27</v>
      </c>
      <c r="BL2779" s="2" t="s">
        <v>10289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6185</v>
      </c>
      <c r="BV2779" s="2" t="s">
        <v>97</v>
      </c>
      <c r="BW2779" s="2" t="s">
        <v>100</v>
      </c>
      <c r="BX2779" s="2" t="s">
        <v>100</v>
      </c>
      <c r="BY2779" s="2" t="s">
        <v>112</v>
      </c>
      <c r="BZ2779" s="2" t="s">
        <v>100</v>
      </c>
    </row>
    <row r="2780">
      <c r="A2780" s="2" t="s">
        <v>10290</v>
      </c>
      <c r="B2780" s="2" t="s">
        <v>7252</v>
      </c>
      <c r="C2780" s="2" t="s">
        <v>6851</v>
      </c>
      <c r="D2780" s="2" t="s">
        <v>8575</v>
      </c>
      <c r="E2780" s="2" t="s">
        <v>8653</v>
      </c>
      <c r="F2780" s="2" t="s">
        <v>1826</v>
      </c>
      <c r="G2780" s="2" t="s">
        <v>1826</v>
      </c>
      <c r="H2780" s="2" t="s">
        <v>1826</v>
      </c>
      <c r="I2780" s="2" t="s">
        <v>10291</v>
      </c>
      <c r="J2780" s="2" t="s">
        <v>6103</v>
      </c>
      <c r="K2780" s="2" t="s">
        <v>9544</v>
      </c>
      <c r="L2780" s="3">
        <v>250</v>
      </c>
      <c r="M2780" s="3">
        <v>262.5</v>
      </c>
      <c r="N2780" s="3">
        <v>529</v>
      </c>
      <c r="O2780" s="2" t="s">
        <v>97</v>
      </c>
      <c r="P2780" s="2" t="s">
        <v>1166</v>
      </c>
      <c r="Q2780" s="2" t="s">
        <v>99</v>
      </c>
      <c r="R2780" s="2" t="s">
        <v>100</v>
      </c>
      <c r="S2780" s="2" t="s">
        <v>100</v>
      </c>
      <c r="T2780" s="2" t="s">
        <v>100</v>
      </c>
      <c r="U2780" s="2" t="s">
        <v>3531</v>
      </c>
      <c r="V2780" s="2" t="s">
        <v>1752</v>
      </c>
      <c r="W2780" s="2" t="s">
        <v>10292</v>
      </c>
      <c r="X2780" s="2" t="s">
        <v>6908</v>
      </c>
      <c r="Y2780" s="2" t="s">
        <v>10293</v>
      </c>
      <c r="Z2780" s="4">
        <v>77</v>
      </c>
      <c r="AA2780" s="4">
        <f>=ROUNDDOWN(38.5,0)</f>
      </c>
      <c r="AB2780" s="5">
        <v>2</v>
      </c>
      <c r="AC2780" s="2" t="s">
        <v>100</v>
      </c>
      <c r="AD2780" s="4"/>
      <c r="AE2780" s="4"/>
      <c r="AF2780" s="6">
        <v>66</v>
      </c>
      <c r="AG2780" s="6"/>
      <c r="AH2780" s="7">
        <v>0.8393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/>
      <c r="BD2780" s="8"/>
      <c r="BE2780" s="4"/>
      <c r="BF2780" s="8"/>
      <c r="BG2780" s="7"/>
      <c r="BH2780" s="7"/>
      <c r="BI2780" s="7"/>
      <c r="BJ2780" s="4">
        <v>21</v>
      </c>
      <c r="BK2780" s="8">
        <v>5633.79</v>
      </c>
      <c r="BL2780" s="2" t="s">
        <v>7682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147</v>
      </c>
      <c r="BV2780" s="2" t="s">
        <v>97</v>
      </c>
      <c r="BW2780" s="2" t="s">
        <v>100</v>
      </c>
      <c r="BX2780" s="2" t="s">
        <v>100</v>
      </c>
      <c r="BY2780" s="2" t="s">
        <v>112</v>
      </c>
      <c r="BZ2780" s="2" t="s">
        <v>100</v>
      </c>
    </row>
    <row r="2781">
      <c r="A2781" s="2" t="s">
        <v>10294</v>
      </c>
      <c r="B2781" s="2" t="s">
        <v>7252</v>
      </c>
      <c r="C2781" s="2" t="s">
        <v>6851</v>
      </c>
      <c r="D2781" s="2" t="s">
        <v>8575</v>
      </c>
      <c r="E2781" s="2" t="s">
        <v>8637</v>
      </c>
      <c r="F2781" s="2" t="s">
        <v>10295</v>
      </c>
      <c r="G2781" s="2" t="s">
        <v>10295</v>
      </c>
      <c r="H2781" s="2" t="s">
        <v>10295</v>
      </c>
      <c r="I2781" s="2" t="s">
        <v>8637</v>
      </c>
      <c r="J2781" s="2" t="s">
        <v>6103</v>
      </c>
      <c r="K2781" s="2" t="s">
        <v>123</v>
      </c>
      <c r="L2781" s="3">
        <v>165</v>
      </c>
      <c r="M2781" s="3">
        <v>173.25</v>
      </c>
      <c r="N2781" s="3">
        <v>349</v>
      </c>
      <c r="O2781" s="2" t="s">
        <v>229</v>
      </c>
      <c r="P2781" s="2" t="s">
        <v>198</v>
      </c>
      <c r="Q2781" s="2" t="s">
        <v>99</v>
      </c>
      <c r="R2781" s="2" t="s">
        <v>100</v>
      </c>
      <c r="S2781" s="2" t="s">
        <v>100</v>
      </c>
      <c r="T2781" s="2" t="s">
        <v>100</v>
      </c>
      <c r="U2781" s="2" t="s">
        <v>3531</v>
      </c>
      <c r="V2781" s="2" t="s">
        <v>601</v>
      </c>
      <c r="W2781" s="2" t="s">
        <v>1288</v>
      </c>
      <c r="X2781" s="2" t="s">
        <v>6859</v>
      </c>
      <c r="Y2781" s="2" t="s">
        <v>2151</v>
      </c>
      <c r="Z2781" s="4"/>
      <c r="AA2781" s="4">
        <f>=ROUNDDOWN({0},0)</f>
      </c>
      <c r="AB2781" s="5"/>
      <c r="AC2781" s="2" t="s">
        <v>100</v>
      </c>
      <c r="AD2781" s="4"/>
      <c r="AE2781" s="4"/>
      <c r="AF2781" s="6">
        <v>65</v>
      </c>
      <c r="AG2781" s="6"/>
      <c r="AH2781" s="7">
        <v>0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>
        <v>0</v>
      </c>
      <c r="AP2781" s="4"/>
      <c r="AQ2781" s="8"/>
      <c r="AR2781" s="4">
        <v>2</v>
      </c>
      <c r="AS2781" s="8">
        <v>346.5</v>
      </c>
      <c r="AT2781" s="7">
        <v>-1</v>
      </c>
      <c r="AU2781" s="7">
        <v>-1</v>
      </c>
      <c r="AV2781" s="4"/>
      <c r="AW2781" s="8"/>
      <c r="AX2781" s="4">
        <v>2</v>
      </c>
      <c r="AY2781" s="8">
        <v>346.5</v>
      </c>
      <c r="AZ2781" s="7">
        <v>-1</v>
      </c>
      <c r="BA2781" s="7">
        <v>-1</v>
      </c>
      <c r="BB2781" s="7"/>
      <c r="BC2781" s="4"/>
      <c r="BD2781" s="8"/>
      <c r="BE2781" s="4">
        <v>2</v>
      </c>
      <c r="BF2781" s="8">
        <v>346.5</v>
      </c>
      <c r="BG2781" s="7">
        <v>-1</v>
      </c>
      <c r="BH2781" s="7">
        <v>-1</v>
      </c>
      <c r="BI2781" s="7"/>
      <c r="BJ2781" s="4"/>
      <c r="BK2781" s="8"/>
      <c r="BL2781" s="2" t="s">
        <v>10296</v>
      </c>
      <c r="BM2781" s="7"/>
      <c r="BN2781" s="7"/>
      <c r="BO2781" s="4"/>
      <c r="BP2781" s="8"/>
      <c r="BQ2781" s="4">
        <v>2</v>
      </c>
      <c r="BR2781" s="8">
        <v>346.5</v>
      </c>
      <c r="BS2781" s="7">
        <v>-1</v>
      </c>
      <c r="BT2781" s="7">
        <v>-1</v>
      </c>
      <c r="BU2781" s="2" t="s">
        <v>109</v>
      </c>
      <c r="BV2781" s="2" t="s">
        <v>552</v>
      </c>
      <c r="BW2781" s="2" t="s">
        <v>7307</v>
      </c>
      <c r="BX2781" s="2" t="s">
        <v>213</v>
      </c>
      <c r="BY2781" s="2" t="s">
        <v>112</v>
      </c>
      <c r="BZ2781" s="2" t="s">
        <v>100</v>
      </c>
    </row>
    <row r="2782">
      <c r="A2782" s="2" t="s">
        <v>10297</v>
      </c>
      <c r="B2782" s="2" t="s">
        <v>7252</v>
      </c>
      <c r="C2782" s="2" t="s">
        <v>6851</v>
      </c>
      <c r="D2782" s="2" t="s">
        <v>8575</v>
      </c>
      <c r="E2782" s="2" t="s">
        <v>8676</v>
      </c>
      <c r="F2782" s="2" t="s">
        <v>1359</v>
      </c>
      <c r="G2782" s="2" t="s">
        <v>1359</v>
      </c>
      <c r="H2782" s="2" t="s">
        <v>1359</v>
      </c>
      <c r="I2782" s="2" t="s">
        <v>10298</v>
      </c>
      <c r="J2782" s="2" t="s">
        <v>6103</v>
      </c>
      <c r="K2782" s="2" t="s">
        <v>142</v>
      </c>
      <c r="L2782" s="3">
        <v>160</v>
      </c>
      <c r="M2782" s="3">
        <v>168</v>
      </c>
      <c r="N2782" s="3">
        <v>339</v>
      </c>
      <c r="O2782" s="2" t="s">
        <v>229</v>
      </c>
      <c r="P2782" s="2" t="s">
        <v>198</v>
      </c>
      <c r="Q2782" s="2" t="s">
        <v>99</v>
      </c>
      <c r="R2782" s="2" t="s">
        <v>100</v>
      </c>
      <c r="S2782" s="2" t="s">
        <v>100</v>
      </c>
      <c r="T2782" s="2" t="s">
        <v>100</v>
      </c>
      <c r="U2782" s="2" t="s">
        <v>3531</v>
      </c>
      <c r="V2782" s="2" t="s">
        <v>601</v>
      </c>
      <c r="W2782" s="2" t="s">
        <v>602</v>
      </c>
      <c r="X2782" s="2" t="s">
        <v>6854</v>
      </c>
      <c r="Y2782" s="2" t="s">
        <v>7663</v>
      </c>
      <c r="Z2782" s="4">
        <v>178</v>
      </c>
      <c r="AA2782" s="4">
        <f>=ROUNDDOWN({0},0)</f>
      </c>
      <c r="AB2782" s="5"/>
      <c r="AC2782" s="2" t="s">
        <v>100</v>
      </c>
      <c r="AD2782" s="4"/>
      <c r="AE2782" s="4"/>
      <c r="AF2782" s="6">
        <v>74</v>
      </c>
      <c r="AG2782" s="6">
        <v>60</v>
      </c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/>
      <c r="BD2782" s="8"/>
      <c r="BE2782" s="4"/>
      <c r="BF2782" s="8"/>
      <c r="BG2782" s="7"/>
      <c r="BH2782" s="7"/>
      <c r="BI2782" s="7"/>
      <c r="BJ2782" s="4">
        <v>5</v>
      </c>
      <c r="BK2782" s="8">
        <v>898.28</v>
      </c>
      <c r="BL2782" s="2" t="s">
        <v>10299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147</v>
      </c>
      <c r="BV2782" s="2" t="s">
        <v>97</v>
      </c>
      <c r="BW2782" s="2" t="s">
        <v>100</v>
      </c>
      <c r="BX2782" s="2" t="s">
        <v>100</v>
      </c>
      <c r="BY2782" s="2" t="s">
        <v>112</v>
      </c>
      <c r="BZ2782" s="2" t="s">
        <v>100</v>
      </c>
    </row>
    <row r="2783">
      <c r="A2783" s="2" t="s">
        <v>10300</v>
      </c>
      <c r="B2783" s="2" t="s">
        <v>7252</v>
      </c>
      <c r="C2783" s="2" t="s">
        <v>6851</v>
      </c>
      <c r="D2783" s="2" t="s">
        <v>8575</v>
      </c>
      <c r="E2783" s="2" t="s">
        <v>8676</v>
      </c>
      <c r="F2783" s="2" t="s">
        <v>10286</v>
      </c>
      <c r="G2783" s="2" t="s">
        <v>10286</v>
      </c>
      <c r="H2783" s="2" t="s">
        <v>10286</v>
      </c>
      <c r="I2783" s="2" t="s">
        <v>10301</v>
      </c>
      <c r="J2783" s="2" t="s">
        <v>6103</v>
      </c>
      <c r="K2783" s="2" t="s">
        <v>323</v>
      </c>
      <c r="L2783" s="3">
        <v>168</v>
      </c>
      <c r="M2783" s="3">
        <v>176.4</v>
      </c>
      <c r="N2783" s="3">
        <v>359</v>
      </c>
      <c r="O2783" s="2" t="s">
        <v>97</v>
      </c>
      <c r="P2783" s="2" t="s">
        <v>182</v>
      </c>
      <c r="Q2783" s="2" t="s">
        <v>99</v>
      </c>
      <c r="R2783" s="2" t="s">
        <v>100</v>
      </c>
      <c r="S2783" s="2" t="s">
        <v>100</v>
      </c>
      <c r="T2783" s="2" t="s">
        <v>100</v>
      </c>
      <c r="U2783" s="2" t="s">
        <v>3531</v>
      </c>
      <c r="V2783" s="2" t="s">
        <v>1752</v>
      </c>
      <c r="W2783" s="2" t="s">
        <v>405</v>
      </c>
      <c r="X2783" s="2" t="s">
        <v>6908</v>
      </c>
      <c r="Y2783" s="2" t="s">
        <v>10288</v>
      </c>
      <c r="Z2783" s="4">
        <v>24</v>
      </c>
      <c r="AA2783" s="4">
        <f>=ROUNDDOWN(4,0)</f>
      </c>
      <c r="AB2783" s="5">
        <v>6</v>
      </c>
      <c r="AC2783" s="2" t="s">
        <v>7295</v>
      </c>
      <c r="AD2783" s="4">
        <v>140</v>
      </c>
      <c r="AE2783" s="4">
        <v>300</v>
      </c>
      <c r="AF2783" s="6">
        <v>76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/>
      <c r="BD2783" s="8"/>
      <c r="BE2783" s="4"/>
      <c r="BF2783" s="8"/>
      <c r="BG2783" s="7"/>
      <c r="BH2783" s="7"/>
      <c r="BI2783" s="7"/>
      <c r="BJ2783" s="4">
        <v>112</v>
      </c>
      <c r="BK2783" s="8">
        <v>20477.67</v>
      </c>
      <c r="BL2783" s="2" t="s">
        <v>10302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6185</v>
      </c>
      <c r="BV2783" s="2" t="s">
        <v>97</v>
      </c>
      <c r="BW2783" s="2" t="s">
        <v>100</v>
      </c>
      <c r="BX2783" s="2" t="s">
        <v>100</v>
      </c>
      <c r="BY2783" s="2" t="s">
        <v>112</v>
      </c>
      <c r="BZ2783" s="2" t="s">
        <v>100</v>
      </c>
    </row>
    <row r="2784">
      <c r="A2784" s="2" t="s">
        <v>10303</v>
      </c>
      <c r="B2784" s="2" t="s">
        <v>7252</v>
      </c>
      <c r="C2784" s="2" t="s">
        <v>6851</v>
      </c>
      <c r="D2784" s="2" t="s">
        <v>8575</v>
      </c>
      <c r="E2784" s="2" t="s">
        <v>8676</v>
      </c>
      <c r="F2784" s="2" t="s">
        <v>10304</v>
      </c>
      <c r="G2784" s="2" t="s">
        <v>10304</v>
      </c>
      <c r="H2784" s="2" t="s">
        <v>10304</v>
      </c>
      <c r="I2784" s="2" t="s">
        <v>10305</v>
      </c>
      <c r="J2784" s="2" t="s">
        <v>6103</v>
      </c>
      <c r="K2784" s="2" t="s">
        <v>323</v>
      </c>
      <c r="L2784" s="3">
        <v>165</v>
      </c>
      <c r="M2784" s="3">
        <v>173.25</v>
      </c>
      <c r="N2784" s="3">
        <v>349</v>
      </c>
      <c r="O2784" s="2" t="s">
        <v>97</v>
      </c>
      <c r="P2784" s="2" t="s">
        <v>143</v>
      </c>
      <c r="Q2784" s="2" t="s">
        <v>99</v>
      </c>
      <c r="R2784" s="2" t="s">
        <v>100</v>
      </c>
      <c r="S2784" s="2" t="s">
        <v>100</v>
      </c>
      <c r="T2784" s="2" t="s">
        <v>100</v>
      </c>
      <c r="U2784" s="2" t="s">
        <v>3531</v>
      </c>
      <c r="V2784" s="2" t="s">
        <v>1752</v>
      </c>
      <c r="W2784" s="2" t="s">
        <v>602</v>
      </c>
      <c r="X2784" s="2" t="s">
        <v>6854</v>
      </c>
      <c r="Y2784" s="2" t="s">
        <v>2979</v>
      </c>
      <c r="Z2784" s="4">
        <v>132</v>
      </c>
      <c r="AA2784" s="4">
        <f>=ROUNDDOWN(7.76470588235294,0)</f>
      </c>
      <c r="AB2784" s="5">
        <v>17</v>
      </c>
      <c r="AC2784" s="2" t="s">
        <v>2143</v>
      </c>
      <c r="AD2784" s="4">
        <v>150</v>
      </c>
      <c r="AE2784" s="4">
        <v>496</v>
      </c>
      <c r="AF2784" s="6">
        <v>74</v>
      </c>
      <c r="AG2784" s="6">
        <v>60</v>
      </c>
      <c r="AH2784" s="7">
        <v>0.9818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/>
      <c r="AW2784" s="8"/>
      <c r="AX2784" s="4"/>
      <c r="AY2784" s="8"/>
      <c r="AZ2784" s="7"/>
      <c r="BA2784" s="7"/>
      <c r="BB2784" s="7"/>
      <c r="BC2784" s="4"/>
      <c r="BD2784" s="8"/>
      <c r="BE2784" s="4"/>
      <c r="BF2784" s="8"/>
      <c r="BG2784" s="7"/>
      <c r="BH2784" s="7"/>
      <c r="BI2784" s="7"/>
      <c r="BJ2784" s="4">
        <v>369</v>
      </c>
      <c r="BK2784" s="8">
        <v>62424.95</v>
      </c>
      <c r="BL2784" s="2" t="s">
        <v>10306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6185</v>
      </c>
      <c r="BV2784" s="2" t="s">
        <v>97</v>
      </c>
      <c r="BW2784" s="2" t="s">
        <v>100</v>
      </c>
      <c r="BX2784" s="2" t="s">
        <v>100</v>
      </c>
      <c r="BY2784" s="2" t="s">
        <v>112</v>
      </c>
      <c r="BZ2784" s="2" t="s">
        <v>100</v>
      </c>
    </row>
    <row r="2785">
      <c r="A2785" s="2" t="s">
        <v>10307</v>
      </c>
      <c r="B2785" s="2" t="s">
        <v>7252</v>
      </c>
      <c r="C2785" s="2" t="s">
        <v>6851</v>
      </c>
      <c r="D2785" s="2" t="s">
        <v>8424</v>
      </c>
      <c r="E2785" s="2" t="s">
        <v>8548</v>
      </c>
      <c r="F2785" s="2" t="s">
        <v>10308</v>
      </c>
      <c r="G2785" s="2" t="s">
        <v>10308</v>
      </c>
      <c r="H2785" s="2" t="s">
        <v>10309</v>
      </c>
      <c r="I2785" s="2" t="s">
        <v>10310</v>
      </c>
      <c r="J2785" s="2" t="s">
        <v>6103</v>
      </c>
      <c r="K2785" s="2" t="s">
        <v>7696</v>
      </c>
      <c r="L2785" s="3">
        <v>119.7</v>
      </c>
      <c r="M2785" s="3">
        <v>125.68</v>
      </c>
      <c r="N2785" s="3">
        <v>249</v>
      </c>
      <c r="O2785" s="2" t="s">
        <v>97</v>
      </c>
      <c r="P2785" s="2" t="s">
        <v>182</v>
      </c>
      <c r="Q2785" s="2" t="s">
        <v>99</v>
      </c>
      <c r="R2785" s="2" t="s">
        <v>100</v>
      </c>
      <c r="S2785" s="2" t="s">
        <v>100</v>
      </c>
      <c r="T2785" s="2" t="s">
        <v>100</v>
      </c>
      <c r="U2785" s="2" t="s">
        <v>3531</v>
      </c>
      <c r="V2785" s="2" t="s">
        <v>1752</v>
      </c>
      <c r="W2785" s="2" t="s">
        <v>104</v>
      </c>
      <c r="X2785" s="2" t="s">
        <v>6859</v>
      </c>
      <c r="Y2785" s="2" t="s">
        <v>5336</v>
      </c>
      <c r="Z2785" s="4">
        <v>141</v>
      </c>
      <c r="AA2785" s="4">
        <f>=ROUNDDOWN(15.6666666666667,0)</f>
      </c>
      <c r="AB2785" s="5">
        <v>9</v>
      </c>
      <c r="AC2785" s="2" t="s">
        <v>2120</v>
      </c>
      <c r="AD2785" s="4">
        <v>100</v>
      </c>
      <c r="AE2785" s="4">
        <v>100</v>
      </c>
      <c r="AF2785" s="6">
        <v>76</v>
      </c>
      <c r="AG2785" s="6">
        <v>67</v>
      </c>
      <c r="AH2785" s="7">
        <v>0.8667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/>
      <c r="AW2785" s="8"/>
      <c r="AX2785" s="4"/>
      <c r="AY2785" s="8"/>
      <c r="AZ2785" s="7"/>
      <c r="BA2785" s="7"/>
      <c r="BB2785" s="7"/>
      <c r="BC2785" s="4"/>
      <c r="BD2785" s="8"/>
      <c r="BE2785" s="4"/>
      <c r="BF2785" s="8"/>
      <c r="BG2785" s="7"/>
      <c r="BH2785" s="7"/>
      <c r="BI2785" s="7"/>
      <c r="BJ2785" s="4">
        <v>172</v>
      </c>
      <c r="BK2785" s="8">
        <v>22168.52</v>
      </c>
      <c r="BL2785" s="2" t="s">
        <v>10311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6185</v>
      </c>
      <c r="BV2785" s="2" t="s">
        <v>97</v>
      </c>
      <c r="BW2785" s="2" t="s">
        <v>100</v>
      </c>
      <c r="BX2785" s="2" t="s">
        <v>100</v>
      </c>
      <c r="BY2785" s="2" t="s">
        <v>112</v>
      </c>
      <c r="BZ2785" s="2" t="s">
        <v>100</v>
      </c>
    </row>
    <row r="2786">
      <c r="A2786" s="2" t="s">
        <v>10312</v>
      </c>
      <c r="B2786" s="2" t="s">
        <v>7252</v>
      </c>
      <c r="C2786" s="2" t="s">
        <v>6851</v>
      </c>
      <c r="D2786" s="2" t="s">
        <v>8424</v>
      </c>
      <c r="E2786" s="2" t="s">
        <v>8548</v>
      </c>
      <c r="F2786" s="2" t="s">
        <v>10313</v>
      </c>
      <c r="G2786" s="2" t="s">
        <v>10313</v>
      </c>
      <c r="H2786" s="2" t="s">
        <v>10313</v>
      </c>
      <c r="I2786" s="2" t="s">
        <v>10314</v>
      </c>
      <c r="J2786" s="2" t="s">
        <v>6103</v>
      </c>
      <c r="K2786" s="2" t="s">
        <v>635</v>
      </c>
      <c r="L2786" s="3">
        <v>140.25</v>
      </c>
      <c r="M2786" s="3">
        <v>147.26</v>
      </c>
      <c r="N2786" s="3">
        <v>299</v>
      </c>
      <c r="O2786" s="2" t="s">
        <v>97</v>
      </c>
      <c r="P2786" s="2" t="s">
        <v>1265</v>
      </c>
      <c r="Q2786" s="2" t="s">
        <v>99</v>
      </c>
      <c r="R2786" s="2" t="s">
        <v>100</v>
      </c>
      <c r="S2786" s="2" t="s">
        <v>100</v>
      </c>
      <c r="T2786" s="2" t="s">
        <v>100</v>
      </c>
      <c r="U2786" s="2" t="s">
        <v>3531</v>
      </c>
      <c r="V2786" s="2" t="s">
        <v>1752</v>
      </c>
      <c r="W2786" s="2" t="s">
        <v>100</v>
      </c>
      <c r="X2786" s="2" t="s">
        <v>6859</v>
      </c>
      <c r="Y2786" s="2" t="s">
        <v>10315</v>
      </c>
      <c r="Z2786" s="4">
        <v>2</v>
      </c>
      <c r="AA2786" s="4">
        <f>=ROUNDDOWN(0.666666666666667,0)</f>
      </c>
      <c r="AB2786" s="5">
        <v>3</v>
      </c>
      <c r="AC2786" s="2" t="s">
        <v>735</v>
      </c>
      <c r="AD2786" s="4">
        <v>100</v>
      </c>
      <c r="AE2786" s="4">
        <v>100</v>
      </c>
      <c r="AF2786" s="6">
        <v>74</v>
      </c>
      <c r="AG2786" s="6"/>
      <c r="AH2786" s="7">
        <v>0.9394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/>
      <c r="AW2786" s="8"/>
      <c r="AX2786" s="4"/>
      <c r="AY2786" s="8"/>
      <c r="AZ2786" s="7"/>
      <c r="BA2786" s="7"/>
      <c r="BB2786" s="7"/>
      <c r="BC2786" s="4"/>
      <c r="BD2786" s="8"/>
      <c r="BE2786" s="4"/>
      <c r="BF2786" s="8"/>
      <c r="BG2786" s="7"/>
      <c r="BH2786" s="7"/>
      <c r="BI2786" s="7"/>
      <c r="BJ2786" s="4">
        <v>72</v>
      </c>
      <c r="BK2786" s="8">
        <v>11174.71</v>
      </c>
      <c r="BL2786" s="2" t="s">
        <v>10316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147</v>
      </c>
      <c r="BV2786" s="2" t="s">
        <v>97</v>
      </c>
      <c r="BW2786" s="2" t="s">
        <v>100</v>
      </c>
      <c r="BX2786" s="2" t="s">
        <v>100</v>
      </c>
      <c r="BY2786" s="2" t="s">
        <v>112</v>
      </c>
      <c r="BZ2786" s="2" t="s">
        <v>100</v>
      </c>
    </row>
    <row r="2787">
      <c r="A2787" s="2" t="s">
        <v>10317</v>
      </c>
      <c r="B2787" s="2" t="s">
        <v>7252</v>
      </c>
      <c r="C2787" s="2" t="s">
        <v>6851</v>
      </c>
      <c r="D2787" s="2" t="s">
        <v>8424</v>
      </c>
      <c r="E2787" s="2" t="s">
        <v>8548</v>
      </c>
      <c r="F2787" s="2" t="s">
        <v>10318</v>
      </c>
      <c r="G2787" s="2" t="s">
        <v>10318</v>
      </c>
      <c r="H2787" s="2" t="s">
        <v>10318</v>
      </c>
      <c r="I2787" s="2" t="s">
        <v>10319</v>
      </c>
      <c r="J2787" s="2" t="s">
        <v>6103</v>
      </c>
      <c r="K2787" s="2" t="s">
        <v>333</v>
      </c>
      <c r="L2787" s="3">
        <v>140.25</v>
      </c>
      <c r="M2787" s="3">
        <v>147.26</v>
      </c>
      <c r="N2787" s="3">
        <v>299</v>
      </c>
      <c r="O2787" s="2" t="s">
        <v>97</v>
      </c>
      <c r="P2787" s="2" t="s">
        <v>198</v>
      </c>
      <c r="Q2787" s="2" t="s">
        <v>99</v>
      </c>
      <c r="R2787" s="2" t="s">
        <v>100</v>
      </c>
      <c r="S2787" s="2" t="s">
        <v>100</v>
      </c>
      <c r="T2787" s="2" t="s">
        <v>100</v>
      </c>
      <c r="U2787" s="2" t="s">
        <v>3531</v>
      </c>
      <c r="V2787" s="2" t="s">
        <v>601</v>
      </c>
      <c r="W2787" s="2" t="s">
        <v>602</v>
      </c>
      <c r="X2787" s="2" t="s">
        <v>6854</v>
      </c>
      <c r="Y2787" s="2" t="s">
        <v>7934</v>
      </c>
      <c r="Z2787" s="4">
        <v>56</v>
      </c>
      <c r="AA2787" s="4">
        <f>=ROUNDDOWN(18.6666666666667,0)</f>
      </c>
      <c r="AB2787" s="5">
        <v>3</v>
      </c>
      <c r="AC2787" s="2" t="s">
        <v>100</v>
      </c>
      <c r="AD2787" s="4"/>
      <c r="AE2787" s="4"/>
      <c r="AF2787" s="6">
        <v>66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>
        <v>0</v>
      </c>
      <c r="AP2787" s="4"/>
      <c r="AQ2787" s="8"/>
      <c r="AR2787" s="4">
        <v>8</v>
      </c>
      <c r="AS2787" s="8">
        <v>1234.41</v>
      </c>
      <c r="AT2787" s="7">
        <v>-1</v>
      </c>
      <c r="AU2787" s="7">
        <v>-1</v>
      </c>
      <c r="AV2787" s="4"/>
      <c r="AW2787" s="8"/>
      <c r="AX2787" s="4">
        <v>8</v>
      </c>
      <c r="AY2787" s="8">
        <v>1234.41</v>
      </c>
      <c r="AZ2787" s="7">
        <v>-1</v>
      </c>
      <c r="BA2787" s="7">
        <v>-1</v>
      </c>
      <c r="BB2787" s="7"/>
      <c r="BC2787" s="4"/>
      <c r="BD2787" s="8"/>
      <c r="BE2787" s="4">
        <v>8</v>
      </c>
      <c r="BF2787" s="8">
        <v>1234.41</v>
      </c>
      <c r="BG2787" s="7">
        <v>-1</v>
      </c>
      <c r="BH2787" s="7">
        <v>-1</v>
      </c>
      <c r="BI2787" s="7"/>
      <c r="BJ2787" s="4">
        <v>68</v>
      </c>
      <c r="BK2787" s="8">
        <v>10491.55</v>
      </c>
      <c r="BL2787" s="2" t="s">
        <v>10320</v>
      </c>
      <c r="BM2787" s="7"/>
      <c r="BN2787" s="7"/>
      <c r="BO2787" s="4"/>
      <c r="BP2787" s="8"/>
      <c r="BQ2787" s="4">
        <v>8</v>
      </c>
      <c r="BR2787" s="8">
        <v>1234.41</v>
      </c>
      <c r="BS2787" s="7">
        <v>-1</v>
      </c>
      <c r="BT2787" s="7">
        <v>-1</v>
      </c>
      <c r="BU2787" s="2" t="s">
        <v>109</v>
      </c>
      <c r="BV2787" s="2" t="s">
        <v>97</v>
      </c>
      <c r="BW2787" s="2" t="s">
        <v>4745</v>
      </c>
      <c r="BX2787" s="2" t="s">
        <v>10321</v>
      </c>
      <c r="BY2787" s="2" t="s">
        <v>112</v>
      </c>
      <c r="BZ2787" s="2" t="s">
        <v>100</v>
      </c>
    </row>
    <row r="2788">
      <c r="A2788" s="2" t="s">
        <v>10322</v>
      </c>
      <c r="B2788" s="2" t="s">
        <v>7252</v>
      </c>
      <c r="C2788" s="2" t="s">
        <v>6851</v>
      </c>
      <c r="D2788" s="2" t="s">
        <v>8424</v>
      </c>
      <c r="E2788" s="2" t="s">
        <v>8548</v>
      </c>
      <c r="F2788" s="2" t="s">
        <v>10323</v>
      </c>
      <c r="G2788" s="2" t="s">
        <v>10323</v>
      </c>
      <c r="H2788" s="2" t="s">
        <v>10323</v>
      </c>
      <c r="I2788" s="2" t="s">
        <v>8558</v>
      </c>
      <c r="J2788" s="2" t="s">
        <v>6103</v>
      </c>
      <c r="K2788" s="2" t="s">
        <v>7696</v>
      </c>
      <c r="L2788" s="3">
        <v>119</v>
      </c>
      <c r="M2788" s="3">
        <v>124.95</v>
      </c>
      <c r="N2788" s="3">
        <v>249</v>
      </c>
      <c r="O2788" s="2" t="s">
        <v>97</v>
      </c>
      <c r="P2788" s="2" t="s">
        <v>1265</v>
      </c>
      <c r="Q2788" s="2" t="s">
        <v>99</v>
      </c>
      <c r="R2788" s="2" t="s">
        <v>100</v>
      </c>
      <c r="S2788" s="2" t="s">
        <v>100</v>
      </c>
      <c r="T2788" s="2" t="s">
        <v>100</v>
      </c>
      <c r="U2788" s="2" t="s">
        <v>3531</v>
      </c>
      <c r="V2788" s="2" t="s">
        <v>601</v>
      </c>
      <c r="W2788" s="2" t="s">
        <v>602</v>
      </c>
      <c r="X2788" s="2" t="s">
        <v>6854</v>
      </c>
      <c r="Y2788" s="2" t="s">
        <v>5336</v>
      </c>
      <c r="Z2788" s="4">
        <v>20</v>
      </c>
      <c r="AA2788" s="4">
        <f>=ROUNDDOWN(5,0)</f>
      </c>
      <c r="AB2788" s="5">
        <v>4</v>
      </c>
      <c r="AC2788" s="2" t="s">
        <v>1221</v>
      </c>
      <c r="AD2788" s="4">
        <v>100</v>
      </c>
      <c r="AE2788" s="4">
        <v>100</v>
      </c>
      <c r="AF2788" s="6">
        <v>76</v>
      </c>
      <c r="AG2788" s="6"/>
      <c r="AH2788" s="7">
        <v>0.9394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/>
      <c r="AW2788" s="8"/>
      <c r="AX2788" s="4"/>
      <c r="AY2788" s="8"/>
      <c r="AZ2788" s="7"/>
      <c r="BA2788" s="7"/>
      <c r="BB2788" s="7"/>
      <c r="BC2788" s="4"/>
      <c r="BD2788" s="8"/>
      <c r="BE2788" s="4"/>
      <c r="BF2788" s="8"/>
      <c r="BG2788" s="7"/>
      <c r="BH2788" s="7"/>
      <c r="BI2788" s="7"/>
      <c r="BJ2788" s="4">
        <v>86</v>
      </c>
      <c r="BK2788" s="8">
        <v>11566.3</v>
      </c>
      <c r="BL2788" s="2" t="s">
        <v>10324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147</v>
      </c>
      <c r="BV2788" s="2" t="s">
        <v>97</v>
      </c>
      <c r="BW2788" s="2" t="s">
        <v>100</v>
      </c>
      <c r="BX2788" s="2" t="s">
        <v>100</v>
      </c>
      <c r="BY2788" s="2" t="s">
        <v>112</v>
      </c>
      <c r="BZ2788" s="2" t="s">
        <v>100</v>
      </c>
    </row>
    <row r="2789">
      <c r="A2789" s="2" t="s">
        <v>10325</v>
      </c>
      <c r="B2789" s="2" t="s">
        <v>7252</v>
      </c>
      <c r="C2789" s="2" t="s">
        <v>6851</v>
      </c>
      <c r="D2789" s="2" t="s">
        <v>8424</v>
      </c>
      <c r="E2789" s="2" t="s">
        <v>8425</v>
      </c>
      <c r="F2789" s="2" t="s">
        <v>10326</v>
      </c>
      <c r="G2789" s="2" t="s">
        <v>10326</v>
      </c>
      <c r="H2789" s="2" t="s">
        <v>10326</v>
      </c>
      <c r="I2789" s="2" t="s">
        <v>8548</v>
      </c>
      <c r="J2789" s="2" t="s">
        <v>6103</v>
      </c>
      <c r="K2789" s="2" t="s">
        <v>635</v>
      </c>
      <c r="L2789" s="3">
        <v>110</v>
      </c>
      <c r="M2789" s="3">
        <v>115.5</v>
      </c>
      <c r="N2789" s="3">
        <v>229</v>
      </c>
      <c r="O2789" s="2" t="s">
        <v>229</v>
      </c>
      <c r="P2789" s="2" t="s">
        <v>198</v>
      </c>
      <c r="Q2789" s="2" t="s">
        <v>99</v>
      </c>
      <c r="R2789" s="2" t="s">
        <v>100</v>
      </c>
      <c r="S2789" s="2" t="s">
        <v>100</v>
      </c>
      <c r="T2789" s="2" t="s">
        <v>100</v>
      </c>
      <c r="U2789" s="2" t="s">
        <v>3531</v>
      </c>
      <c r="V2789" s="2" t="s">
        <v>1752</v>
      </c>
      <c r="W2789" s="2" t="s">
        <v>602</v>
      </c>
      <c r="X2789" s="2" t="s">
        <v>6854</v>
      </c>
      <c r="Y2789" s="2" t="s">
        <v>1805</v>
      </c>
      <c r="Z2789" s="4">
        <v>157</v>
      </c>
      <c r="AA2789" s="4">
        <f>=ROUNDDOWN(785,0)</f>
      </c>
      <c r="AB2789" s="5">
        <v>0.2</v>
      </c>
      <c r="AC2789" s="2" t="s">
        <v>100</v>
      </c>
      <c r="AD2789" s="4"/>
      <c r="AE2789" s="4"/>
      <c r="AF2789" s="6">
        <v>66</v>
      </c>
      <c r="AG2789" s="6"/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/>
      <c r="AW2789" s="8"/>
      <c r="AX2789" s="4"/>
      <c r="AY2789" s="8"/>
      <c r="AZ2789" s="7"/>
      <c r="BA2789" s="7"/>
      <c r="BB2789" s="7"/>
      <c r="BC2789" s="4"/>
      <c r="BD2789" s="8"/>
      <c r="BE2789" s="4"/>
      <c r="BF2789" s="8"/>
      <c r="BG2789" s="7"/>
      <c r="BH2789" s="7"/>
      <c r="BI2789" s="7"/>
      <c r="BJ2789" s="4">
        <v>10</v>
      </c>
      <c r="BK2789" s="8">
        <v>912.58</v>
      </c>
      <c r="BL2789" s="2" t="s">
        <v>10327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147</v>
      </c>
      <c r="BV2789" s="2" t="s">
        <v>97</v>
      </c>
      <c r="BW2789" s="2" t="s">
        <v>100</v>
      </c>
      <c r="BX2789" s="2" t="s">
        <v>100</v>
      </c>
      <c r="BY2789" s="2" t="s">
        <v>112</v>
      </c>
      <c r="BZ2789" s="2" t="s">
        <v>100</v>
      </c>
    </row>
    <row r="2790">
      <c r="A2790" s="2" t="s">
        <v>10328</v>
      </c>
      <c r="B2790" s="2" t="s">
        <v>7252</v>
      </c>
      <c r="C2790" s="2" t="s">
        <v>6851</v>
      </c>
      <c r="D2790" s="2" t="s">
        <v>8424</v>
      </c>
      <c r="E2790" s="2" t="s">
        <v>8425</v>
      </c>
      <c r="F2790" s="2" t="s">
        <v>10329</v>
      </c>
      <c r="G2790" s="2" t="s">
        <v>10329</v>
      </c>
      <c r="H2790" s="2" t="s">
        <v>10329</v>
      </c>
      <c r="I2790" s="2" t="s">
        <v>8451</v>
      </c>
      <c r="J2790" s="2" t="s">
        <v>6103</v>
      </c>
      <c r="K2790" s="2" t="s">
        <v>1412</v>
      </c>
      <c r="L2790" s="3">
        <v>171</v>
      </c>
      <c r="M2790" s="3">
        <v>179.55</v>
      </c>
      <c r="N2790" s="3">
        <v>359</v>
      </c>
      <c r="O2790" s="2" t="s">
        <v>97</v>
      </c>
      <c r="P2790" s="2" t="s">
        <v>8446</v>
      </c>
      <c r="Q2790" s="2" t="s">
        <v>99</v>
      </c>
      <c r="R2790" s="2" t="s">
        <v>100</v>
      </c>
      <c r="S2790" s="2" t="s">
        <v>100</v>
      </c>
      <c r="T2790" s="2" t="s">
        <v>100</v>
      </c>
      <c r="U2790" s="2" t="s">
        <v>3531</v>
      </c>
      <c r="V2790" s="2" t="s">
        <v>561</v>
      </c>
      <c r="W2790" s="2" t="s">
        <v>1288</v>
      </c>
      <c r="X2790" s="2" t="s">
        <v>6859</v>
      </c>
      <c r="Y2790" s="2" t="s">
        <v>100</v>
      </c>
      <c r="Z2790" s="4"/>
      <c r="AA2790" s="4">
        <f>=ROUNDDOWN({0},0)</f>
      </c>
      <c r="AB2790" s="5">
        <v>2</v>
      </c>
      <c r="AC2790" s="2" t="s">
        <v>100</v>
      </c>
      <c r="AD2790" s="4"/>
      <c r="AE2790" s="4"/>
      <c r="AF2790" s="6">
        <v>66</v>
      </c>
      <c r="AG2790" s="6"/>
      <c r="AH2790" s="7">
        <v>0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/>
      <c r="AW2790" s="8"/>
      <c r="AX2790" s="4"/>
      <c r="AY2790" s="8"/>
      <c r="AZ2790" s="7"/>
      <c r="BA2790" s="7"/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/>
      <c r="BJ2790" s="4"/>
      <c r="BK2790" s="8"/>
      <c r="BL2790" s="2" t="s">
        <v>100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147</v>
      </c>
      <c r="BV2790" s="2" t="s">
        <v>97</v>
      </c>
      <c r="BW2790" s="2" t="s">
        <v>100</v>
      </c>
      <c r="BX2790" s="2" t="s">
        <v>100</v>
      </c>
      <c r="BY2790" s="2" t="s">
        <v>112</v>
      </c>
      <c r="BZ2790" s="2" t="s">
        <v>100</v>
      </c>
    </row>
    <row r="2791">
      <c r="A2791" s="2" t="s">
        <v>10330</v>
      </c>
      <c r="B2791" s="2" t="s">
        <v>7252</v>
      </c>
      <c r="C2791" s="2" t="s">
        <v>6851</v>
      </c>
      <c r="D2791" s="2" t="s">
        <v>8424</v>
      </c>
      <c r="E2791" s="2" t="s">
        <v>8425</v>
      </c>
      <c r="F2791" s="2" t="s">
        <v>10329</v>
      </c>
      <c r="G2791" s="2" t="s">
        <v>10329</v>
      </c>
      <c r="H2791" s="2" t="s">
        <v>10329</v>
      </c>
      <c r="I2791" s="2" t="s">
        <v>8451</v>
      </c>
      <c r="J2791" s="2" t="s">
        <v>6103</v>
      </c>
      <c r="K2791" s="2" t="s">
        <v>7611</v>
      </c>
      <c r="L2791" s="3">
        <v>171</v>
      </c>
      <c r="M2791" s="3">
        <v>179.55</v>
      </c>
      <c r="N2791" s="3">
        <v>359</v>
      </c>
      <c r="O2791" s="2" t="s">
        <v>97</v>
      </c>
      <c r="P2791" s="2" t="s">
        <v>1265</v>
      </c>
      <c r="Q2791" s="2" t="s">
        <v>99</v>
      </c>
      <c r="R2791" s="2" t="s">
        <v>100</v>
      </c>
      <c r="S2791" s="2" t="s">
        <v>100</v>
      </c>
      <c r="T2791" s="2" t="s">
        <v>100</v>
      </c>
      <c r="U2791" s="2" t="s">
        <v>3531</v>
      </c>
      <c r="V2791" s="2" t="s">
        <v>561</v>
      </c>
      <c r="W2791" s="2" t="s">
        <v>1288</v>
      </c>
      <c r="X2791" s="2" t="s">
        <v>6859</v>
      </c>
      <c r="Y2791" s="2" t="s">
        <v>173</v>
      </c>
      <c r="Z2791" s="4">
        <v>69</v>
      </c>
      <c r="AA2791" s="4">
        <f>=ROUNDDOWN(26.5384615384615,0)</f>
      </c>
      <c r="AB2791" s="5">
        <v>2.6</v>
      </c>
      <c r="AC2791" s="2" t="s">
        <v>100</v>
      </c>
      <c r="AD2791" s="4"/>
      <c r="AE2791" s="4"/>
      <c r="AF2791" s="6">
        <v>66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/>
      <c r="AW2791" s="8"/>
      <c r="AX2791" s="4"/>
      <c r="AY2791" s="8"/>
      <c r="AZ2791" s="7"/>
      <c r="BA2791" s="7"/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/>
      <c r="BJ2791" s="4">
        <v>61</v>
      </c>
      <c r="BK2791" s="8">
        <v>10969.25</v>
      </c>
      <c r="BL2791" s="2" t="s">
        <v>10331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97</v>
      </c>
      <c r="BW2791" s="2" t="s">
        <v>8648</v>
      </c>
      <c r="BX2791" s="2" t="s">
        <v>100</v>
      </c>
      <c r="BY2791" s="2" t="s">
        <v>112</v>
      </c>
      <c r="BZ2791" s="2" t="s">
        <v>100</v>
      </c>
    </row>
    <row r="2792">
      <c r="A2792" s="2" t="s">
        <v>10332</v>
      </c>
      <c r="B2792" s="2" t="s">
        <v>7252</v>
      </c>
      <c r="C2792" s="2" t="s">
        <v>6851</v>
      </c>
      <c r="D2792" s="2" t="s">
        <v>8424</v>
      </c>
      <c r="E2792" s="2" t="s">
        <v>8425</v>
      </c>
      <c r="F2792" s="2" t="s">
        <v>1537</v>
      </c>
      <c r="G2792" s="2" t="s">
        <v>1537</v>
      </c>
      <c r="H2792" s="2" t="s">
        <v>1537</v>
      </c>
      <c r="I2792" s="2" t="s">
        <v>8429</v>
      </c>
      <c r="J2792" s="2" t="s">
        <v>6103</v>
      </c>
      <c r="K2792" s="2" t="s">
        <v>123</v>
      </c>
      <c r="L2792" s="3">
        <v>190</v>
      </c>
      <c r="M2792" s="3">
        <v>199.5</v>
      </c>
      <c r="N2792" s="3">
        <v>399</v>
      </c>
      <c r="O2792" s="2" t="s">
        <v>97</v>
      </c>
      <c r="P2792" s="2" t="s">
        <v>182</v>
      </c>
      <c r="Q2792" s="2" t="s">
        <v>99</v>
      </c>
      <c r="R2792" s="2" t="s">
        <v>100</v>
      </c>
      <c r="S2792" s="2" t="s">
        <v>100</v>
      </c>
      <c r="T2792" s="2" t="s">
        <v>100</v>
      </c>
      <c r="U2792" s="2" t="s">
        <v>3531</v>
      </c>
      <c r="V2792" s="2" t="s">
        <v>601</v>
      </c>
      <c r="W2792" s="2" t="s">
        <v>1288</v>
      </c>
      <c r="X2792" s="2" t="s">
        <v>6859</v>
      </c>
      <c r="Y2792" s="2" t="s">
        <v>10333</v>
      </c>
      <c r="Z2792" s="4">
        <v>125</v>
      </c>
      <c r="AA2792" s="4">
        <f>=ROUNDDOWN(25,0)</f>
      </c>
      <c r="AB2792" s="5">
        <v>5</v>
      </c>
      <c r="AC2792" s="2" t="s">
        <v>100</v>
      </c>
      <c r="AD2792" s="4"/>
      <c r="AE2792" s="4"/>
      <c r="AF2792" s="6">
        <v>66</v>
      </c>
      <c r="AG2792" s="6"/>
      <c r="AH2792" s="7">
        <v>0.9152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/>
      <c r="AW2792" s="8"/>
      <c r="AX2792" s="4"/>
      <c r="AY2792" s="8"/>
      <c r="AZ2792" s="7"/>
      <c r="BA2792" s="7"/>
      <c r="BB2792" s="7"/>
      <c r="BC2792" s="4"/>
      <c r="BD2792" s="8"/>
      <c r="BE2792" s="4"/>
      <c r="BF2792" s="8"/>
      <c r="BG2792" s="7"/>
      <c r="BH2792" s="7"/>
      <c r="BI2792" s="7"/>
      <c r="BJ2792" s="4">
        <v>77</v>
      </c>
      <c r="BK2792" s="8">
        <v>15497.53</v>
      </c>
      <c r="BL2792" s="2" t="s">
        <v>10334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6185</v>
      </c>
      <c r="BV2792" s="2" t="s">
        <v>97</v>
      </c>
      <c r="BW2792" s="2" t="s">
        <v>100</v>
      </c>
      <c r="BX2792" s="2" t="s">
        <v>100</v>
      </c>
      <c r="BY2792" s="2" t="s">
        <v>112</v>
      </c>
      <c r="BZ2792" s="2" t="s">
        <v>100</v>
      </c>
    </row>
    <row r="2793">
      <c r="A2793" s="2" t="s">
        <v>10335</v>
      </c>
      <c r="B2793" s="2" t="s">
        <v>7252</v>
      </c>
      <c r="C2793" s="2" t="s">
        <v>6851</v>
      </c>
      <c r="D2793" s="2" t="s">
        <v>8424</v>
      </c>
      <c r="E2793" s="2" t="s">
        <v>8425</v>
      </c>
      <c r="F2793" s="2" t="s">
        <v>4390</v>
      </c>
      <c r="G2793" s="2" t="s">
        <v>10336</v>
      </c>
      <c r="H2793" s="2" t="s">
        <v>4390</v>
      </c>
      <c r="I2793" s="2" t="s">
        <v>8429</v>
      </c>
      <c r="J2793" s="2" t="s">
        <v>6103</v>
      </c>
      <c r="K2793" s="2" t="s">
        <v>10337</v>
      </c>
      <c r="L2793" s="3">
        <v>148.5</v>
      </c>
      <c r="M2793" s="3">
        <v>155.92</v>
      </c>
      <c r="N2793" s="3">
        <v>309</v>
      </c>
      <c r="O2793" s="2" t="s">
        <v>550</v>
      </c>
      <c r="P2793" s="2" t="s">
        <v>198</v>
      </c>
      <c r="Q2793" s="2" t="s">
        <v>99</v>
      </c>
      <c r="R2793" s="2" t="s">
        <v>100</v>
      </c>
      <c r="S2793" s="2" t="s">
        <v>100</v>
      </c>
      <c r="T2793" s="2" t="s">
        <v>100</v>
      </c>
      <c r="U2793" s="2" t="s">
        <v>100</v>
      </c>
      <c r="V2793" s="2" t="s">
        <v>601</v>
      </c>
      <c r="W2793" s="2" t="s">
        <v>104</v>
      </c>
      <c r="X2793" s="2" t="s">
        <v>6854</v>
      </c>
      <c r="Y2793" s="2" t="s">
        <v>9362</v>
      </c>
      <c r="Z2793" s="4">
        <v>1</v>
      </c>
      <c r="AA2793" s="4">
        <f>=ROUNDDOWN(3.33333333333333,0)</f>
      </c>
      <c r="AB2793" s="5">
        <v>0.3</v>
      </c>
      <c r="AC2793" s="2" t="s">
        <v>100</v>
      </c>
      <c r="AD2793" s="4"/>
      <c r="AE2793" s="4"/>
      <c r="AF2793" s="6">
        <v>66</v>
      </c>
      <c r="AG2793" s="6"/>
      <c r="AH2793" s="7">
        <v>0.8788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>
        <v>0</v>
      </c>
      <c r="AP2793" s="4"/>
      <c r="AQ2793" s="8"/>
      <c r="AR2793" s="4">
        <v>3</v>
      </c>
      <c r="AS2793" s="8">
        <v>463.45</v>
      </c>
      <c r="AT2793" s="7">
        <v>-1</v>
      </c>
      <c r="AU2793" s="7">
        <v>-1</v>
      </c>
      <c r="AV2793" s="4"/>
      <c r="AW2793" s="8"/>
      <c r="AX2793" s="4">
        <v>3</v>
      </c>
      <c r="AY2793" s="8">
        <v>463.45</v>
      </c>
      <c r="AZ2793" s="7">
        <v>-1</v>
      </c>
      <c r="BA2793" s="7">
        <v>-1</v>
      </c>
      <c r="BB2793" s="7"/>
      <c r="BC2793" s="4"/>
      <c r="BD2793" s="8"/>
      <c r="BE2793" s="4">
        <v>3</v>
      </c>
      <c r="BF2793" s="8">
        <v>463.45</v>
      </c>
      <c r="BG2793" s="7">
        <v>-1</v>
      </c>
      <c r="BH2793" s="7">
        <v>-1</v>
      </c>
      <c r="BI2793" s="7"/>
      <c r="BJ2793" s="4">
        <v>2</v>
      </c>
      <c r="BK2793" s="8">
        <v>346.5</v>
      </c>
      <c r="BL2793" s="2" t="s">
        <v>10338</v>
      </c>
      <c r="BM2793" s="7"/>
      <c r="BN2793" s="7"/>
      <c r="BO2793" s="4"/>
      <c r="BP2793" s="8"/>
      <c r="BQ2793" s="4">
        <v>3</v>
      </c>
      <c r="BR2793" s="8">
        <v>463.45</v>
      </c>
      <c r="BS2793" s="7">
        <v>-1</v>
      </c>
      <c r="BT2793" s="7">
        <v>-1</v>
      </c>
      <c r="BU2793" s="2" t="s">
        <v>109</v>
      </c>
      <c r="BV2793" s="2" t="s">
        <v>552</v>
      </c>
      <c r="BW2793" s="2" t="s">
        <v>9362</v>
      </c>
      <c r="BX2793" s="2" t="s">
        <v>133</v>
      </c>
      <c r="BY2793" s="2" t="s">
        <v>112</v>
      </c>
      <c r="BZ2793" s="2" t="s">
        <v>100</v>
      </c>
    </row>
    <row r="2794">
      <c r="A2794" s="2" t="s">
        <v>10339</v>
      </c>
      <c r="B2794" s="2" t="s">
        <v>7252</v>
      </c>
      <c r="C2794" s="2" t="s">
        <v>6851</v>
      </c>
      <c r="D2794" s="2" t="s">
        <v>8965</v>
      </c>
      <c r="E2794" s="2" t="s">
        <v>7738</v>
      </c>
      <c r="F2794" s="2" t="s">
        <v>8338</v>
      </c>
      <c r="G2794" s="2" t="s">
        <v>8338</v>
      </c>
      <c r="H2794" s="2" t="s">
        <v>8338</v>
      </c>
      <c r="I2794" s="2" t="s">
        <v>10340</v>
      </c>
      <c r="J2794" s="2" t="s">
        <v>6103</v>
      </c>
      <c r="K2794" s="2" t="s">
        <v>10341</v>
      </c>
      <c r="L2794" s="3">
        <v>270</v>
      </c>
      <c r="M2794" s="3">
        <v>283.5</v>
      </c>
      <c r="N2794" s="3">
        <v>559</v>
      </c>
      <c r="O2794" s="2" t="s">
        <v>97</v>
      </c>
      <c r="P2794" s="2" t="s">
        <v>1166</v>
      </c>
      <c r="Q2794" s="2" t="s">
        <v>99</v>
      </c>
      <c r="R2794" s="2" t="s">
        <v>100</v>
      </c>
      <c r="S2794" s="2" t="s">
        <v>100</v>
      </c>
      <c r="T2794" s="2" t="s">
        <v>100</v>
      </c>
      <c r="U2794" s="2" t="s">
        <v>3531</v>
      </c>
      <c r="V2794" s="2" t="s">
        <v>1752</v>
      </c>
      <c r="W2794" s="2" t="s">
        <v>759</v>
      </c>
      <c r="X2794" s="2" t="s">
        <v>6908</v>
      </c>
      <c r="Y2794" s="2" t="s">
        <v>10342</v>
      </c>
      <c r="Z2794" s="4">
        <v>96</v>
      </c>
      <c r="AA2794" s="4">
        <f>=ROUNDDOWN({0},0)</f>
      </c>
      <c r="AB2794" s="5"/>
      <c r="AC2794" s="2" t="s">
        <v>100</v>
      </c>
      <c r="AD2794" s="4"/>
      <c r="AE2794" s="4"/>
      <c r="AF2794" s="6">
        <v>74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/>
      <c r="AW2794" s="8"/>
      <c r="AX2794" s="4"/>
      <c r="AY2794" s="8"/>
      <c r="AZ2794" s="7"/>
      <c r="BA2794" s="7"/>
      <c r="BB2794" s="7"/>
      <c r="BC2794" s="4"/>
      <c r="BD2794" s="8"/>
      <c r="BE2794" s="4"/>
      <c r="BF2794" s="8"/>
      <c r="BG2794" s="7"/>
      <c r="BH2794" s="7"/>
      <c r="BI2794" s="7"/>
      <c r="BJ2794" s="4"/>
      <c r="BK2794" s="8"/>
      <c r="BL2794" s="2" t="s">
        <v>100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147</v>
      </c>
      <c r="BV2794" s="2" t="s">
        <v>97</v>
      </c>
      <c r="BW2794" s="2" t="s">
        <v>100</v>
      </c>
      <c r="BX2794" s="2" t="s">
        <v>100</v>
      </c>
      <c r="BY2794" s="2" t="s">
        <v>112</v>
      </c>
      <c r="BZ2794" s="2" t="s">
        <v>100</v>
      </c>
    </row>
    <row r="2795">
      <c r="A2795" s="2" t="s">
        <v>10343</v>
      </c>
      <c r="B2795" s="2" t="s">
        <v>7252</v>
      </c>
      <c r="C2795" s="2" t="s">
        <v>6851</v>
      </c>
      <c r="D2795" s="2" t="s">
        <v>8965</v>
      </c>
      <c r="E2795" s="2" t="s">
        <v>9004</v>
      </c>
      <c r="F2795" s="2" t="s">
        <v>10344</v>
      </c>
      <c r="G2795" s="2" t="s">
        <v>10344</v>
      </c>
      <c r="H2795" s="2" t="s">
        <v>10344</v>
      </c>
      <c r="I2795" s="2" t="s">
        <v>9871</v>
      </c>
      <c r="J2795" s="2" t="s">
        <v>6103</v>
      </c>
      <c r="K2795" s="2" t="s">
        <v>9049</v>
      </c>
      <c r="L2795" s="3">
        <v>238.5</v>
      </c>
      <c r="M2795" s="3">
        <v>250.42</v>
      </c>
      <c r="N2795" s="3">
        <v>499</v>
      </c>
      <c r="O2795" s="2" t="s">
        <v>97</v>
      </c>
      <c r="P2795" s="2" t="s">
        <v>1265</v>
      </c>
      <c r="Q2795" s="2" t="s">
        <v>99</v>
      </c>
      <c r="R2795" s="2" t="s">
        <v>100</v>
      </c>
      <c r="S2795" s="2" t="s">
        <v>100</v>
      </c>
      <c r="T2795" s="2" t="s">
        <v>100</v>
      </c>
      <c r="U2795" s="2" t="s">
        <v>3531</v>
      </c>
      <c r="V2795" s="2" t="s">
        <v>601</v>
      </c>
      <c r="W2795" s="2" t="s">
        <v>602</v>
      </c>
      <c r="X2795" s="2" t="s">
        <v>6854</v>
      </c>
      <c r="Y2795" s="2" t="s">
        <v>10345</v>
      </c>
      <c r="Z2795" s="4">
        <v>141</v>
      </c>
      <c r="AA2795" s="4">
        <f>=ROUNDDOWN(35.25,0)</f>
      </c>
      <c r="AB2795" s="5">
        <v>4</v>
      </c>
      <c r="AC2795" s="2" t="s">
        <v>100</v>
      </c>
      <c r="AD2795" s="4"/>
      <c r="AE2795" s="4"/>
      <c r="AF2795" s="6">
        <v>74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>
        <v>0</v>
      </c>
      <c r="AP2795" s="4"/>
      <c r="AQ2795" s="8"/>
      <c r="AR2795" s="4">
        <v>2</v>
      </c>
      <c r="AS2795" s="8">
        <v>556.5</v>
      </c>
      <c r="AT2795" s="7">
        <v>-1</v>
      </c>
      <c r="AU2795" s="7">
        <v>-1</v>
      </c>
      <c r="AV2795" s="4"/>
      <c r="AW2795" s="8"/>
      <c r="AX2795" s="4">
        <v>2</v>
      </c>
      <c r="AY2795" s="8">
        <v>556.5</v>
      </c>
      <c r="AZ2795" s="7">
        <v>-1</v>
      </c>
      <c r="BA2795" s="7">
        <v>-1</v>
      </c>
      <c r="BB2795" s="7"/>
      <c r="BC2795" s="4"/>
      <c r="BD2795" s="8"/>
      <c r="BE2795" s="4">
        <v>2</v>
      </c>
      <c r="BF2795" s="8">
        <v>556.5</v>
      </c>
      <c r="BG2795" s="7">
        <v>-1</v>
      </c>
      <c r="BH2795" s="7">
        <v>-1</v>
      </c>
      <c r="BI2795" s="7"/>
      <c r="BJ2795" s="4">
        <v>90</v>
      </c>
      <c r="BK2795" s="8">
        <v>23004.52</v>
      </c>
      <c r="BL2795" s="2" t="s">
        <v>10346</v>
      </c>
      <c r="BM2795" s="7"/>
      <c r="BN2795" s="7"/>
      <c r="BO2795" s="4"/>
      <c r="BP2795" s="8"/>
      <c r="BQ2795" s="4">
        <v>2</v>
      </c>
      <c r="BR2795" s="8">
        <v>556.5</v>
      </c>
      <c r="BS2795" s="7">
        <v>-1</v>
      </c>
      <c r="BT2795" s="7">
        <v>-1</v>
      </c>
      <c r="BU2795" s="2" t="s">
        <v>109</v>
      </c>
      <c r="BV2795" s="2" t="s">
        <v>97</v>
      </c>
      <c r="BW2795" s="2" t="s">
        <v>7676</v>
      </c>
      <c r="BX2795" s="2" t="s">
        <v>9216</v>
      </c>
      <c r="BY2795" s="2" t="s">
        <v>112</v>
      </c>
      <c r="BZ2795" s="2" t="s">
        <v>100</v>
      </c>
    </row>
    <row r="2796">
      <c r="A2796" s="2" t="s">
        <v>10347</v>
      </c>
      <c r="B2796" s="2" t="s">
        <v>7252</v>
      </c>
      <c r="C2796" s="2" t="s">
        <v>6851</v>
      </c>
      <c r="D2796" s="2" t="s">
        <v>8965</v>
      </c>
      <c r="E2796" s="2" t="s">
        <v>8966</v>
      </c>
      <c r="F2796" s="2" t="s">
        <v>10264</v>
      </c>
      <c r="G2796" s="2" t="s">
        <v>10264</v>
      </c>
      <c r="H2796" s="2" t="s">
        <v>10264</v>
      </c>
      <c r="I2796" s="2" t="s">
        <v>10348</v>
      </c>
      <c r="J2796" s="2" t="s">
        <v>6103</v>
      </c>
      <c r="K2796" s="2" t="s">
        <v>10245</v>
      </c>
      <c r="L2796" s="3">
        <v>285</v>
      </c>
      <c r="M2796" s="3">
        <v>299.25</v>
      </c>
      <c r="N2796" s="3">
        <v>599</v>
      </c>
      <c r="O2796" s="2" t="s">
        <v>97</v>
      </c>
      <c r="P2796" s="2" t="s">
        <v>1166</v>
      </c>
      <c r="Q2796" s="2" t="s">
        <v>99</v>
      </c>
      <c r="R2796" s="2" t="s">
        <v>100</v>
      </c>
      <c r="S2796" s="2" t="s">
        <v>100</v>
      </c>
      <c r="T2796" s="2" t="s">
        <v>100</v>
      </c>
      <c r="U2796" s="2" t="s">
        <v>3531</v>
      </c>
      <c r="V2796" s="2" t="s">
        <v>1752</v>
      </c>
      <c r="W2796" s="2" t="s">
        <v>1288</v>
      </c>
      <c r="X2796" s="2" t="s">
        <v>6859</v>
      </c>
      <c r="Y2796" s="2" t="s">
        <v>4814</v>
      </c>
      <c r="Z2796" s="4">
        <v>98</v>
      </c>
      <c r="AA2796" s="4">
        <f>=ROUNDDOWN({0},0)</f>
      </c>
      <c r="AB2796" s="5"/>
      <c r="AC2796" s="2" t="s">
        <v>100</v>
      </c>
      <c r="AD2796" s="4"/>
      <c r="AE2796" s="4"/>
      <c r="AF2796" s="6">
        <v>74</v>
      </c>
      <c r="AG2796" s="6"/>
      <c r="AH2796" s="7">
        <v>0.7097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/>
      <c r="AW2796" s="8"/>
      <c r="AX2796" s="4"/>
      <c r="AY2796" s="8"/>
      <c r="AZ2796" s="7"/>
      <c r="BA2796" s="7"/>
      <c r="BB2796" s="7"/>
      <c r="BC2796" s="4"/>
      <c r="BD2796" s="8"/>
      <c r="BE2796" s="4"/>
      <c r="BF2796" s="8"/>
      <c r="BG2796" s="7"/>
      <c r="BH2796" s="7"/>
      <c r="BI2796" s="7"/>
      <c r="BJ2796" s="4">
        <v>1</v>
      </c>
      <c r="BK2796" s="8">
        <v>299.25</v>
      </c>
      <c r="BL2796" s="2" t="s">
        <v>1609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147</v>
      </c>
      <c r="BV2796" s="2" t="s">
        <v>97</v>
      </c>
      <c r="BW2796" s="2" t="s">
        <v>100</v>
      </c>
      <c r="BX2796" s="2" t="s">
        <v>100</v>
      </c>
      <c r="BY2796" s="2" t="s">
        <v>112</v>
      </c>
      <c r="BZ2796" s="2" t="s">
        <v>100</v>
      </c>
    </row>
    <row r="2797">
      <c r="A2797" s="2" t="s">
        <v>10349</v>
      </c>
      <c r="B2797" s="2" t="s">
        <v>7252</v>
      </c>
      <c r="C2797" s="2" t="s">
        <v>6851</v>
      </c>
      <c r="D2797" s="2" t="s">
        <v>10121</v>
      </c>
      <c r="E2797" s="2" t="s">
        <v>10122</v>
      </c>
      <c r="F2797" s="2" t="s">
        <v>10350</v>
      </c>
      <c r="G2797" s="2" t="s">
        <v>10350</v>
      </c>
      <c r="H2797" s="2" t="s">
        <v>10350</v>
      </c>
      <c r="I2797" s="2" t="s">
        <v>10351</v>
      </c>
      <c r="J2797" s="2" t="s">
        <v>6103</v>
      </c>
      <c r="K2797" s="2" t="s">
        <v>9168</v>
      </c>
      <c r="L2797" s="3">
        <v>165</v>
      </c>
      <c r="M2797" s="3">
        <v>173.25</v>
      </c>
      <c r="N2797" s="3">
        <v>349</v>
      </c>
      <c r="O2797" s="2" t="s">
        <v>97</v>
      </c>
      <c r="P2797" s="2" t="s">
        <v>1265</v>
      </c>
      <c r="Q2797" s="2" t="s">
        <v>99</v>
      </c>
      <c r="R2797" s="2" t="s">
        <v>100</v>
      </c>
      <c r="S2797" s="2" t="s">
        <v>10352</v>
      </c>
      <c r="T2797" s="2" t="s">
        <v>100</v>
      </c>
      <c r="U2797" s="2" t="s">
        <v>100</v>
      </c>
      <c r="V2797" s="2" t="s">
        <v>1752</v>
      </c>
      <c r="W2797" s="2" t="s">
        <v>1190</v>
      </c>
      <c r="X2797" s="2" t="s">
        <v>6854</v>
      </c>
      <c r="Y2797" s="2" t="s">
        <v>10353</v>
      </c>
      <c r="Z2797" s="4">
        <v>80</v>
      </c>
      <c r="AA2797" s="4">
        <f>=ROUNDDOWN(26.6666666666667,0)</f>
      </c>
      <c r="AB2797" s="5">
        <v>3</v>
      </c>
      <c r="AC2797" s="2" t="s">
        <v>100</v>
      </c>
      <c r="AD2797" s="4"/>
      <c r="AE2797" s="4"/>
      <c r="AF2797" s="6">
        <v>66</v>
      </c>
      <c r="AG2797" s="6"/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>
        <v>0</v>
      </c>
      <c r="AP2797" s="4"/>
      <c r="AQ2797" s="8"/>
      <c r="AR2797" s="4">
        <v>2</v>
      </c>
      <c r="AS2797" s="8">
        <v>303.19</v>
      </c>
      <c r="AT2797" s="7">
        <v>-1</v>
      </c>
      <c r="AU2797" s="7">
        <v>-1</v>
      </c>
      <c r="AV2797" s="4"/>
      <c r="AW2797" s="8"/>
      <c r="AX2797" s="4">
        <v>2</v>
      </c>
      <c r="AY2797" s="8">
        <v>303.19</v>
      </c>
      <c r="AZ2797" s="7">
        <v>-1</v>
      </c>
      <c r="BA2797" s="7">
        <v>-1</v>
      </c>
      <c r="BB2797" s="7"/>
      <c r="BC2797" s="4"/>
      <c r="BD2797" s="8"/>
      <c r="BE2797" s="4">
        <v>2</v>
      </c>
      <c r="BF2797" s="8">
        <v>303.19</v>
      </c>
      <c r="BG2797" s="7">
        <v>-1</v>
      </c>
      <c r="BH2797" s="7">
        <v>-1</v>
      </c>
      <c r="BI2797" s="7"/>
      <c r="BJ2797" s="4">
        <v>55</v>
      </c>
      <c r="BK2797" s="8">
        <v>10274.11</v>
      </c>
      <c r="BL2797" s="2" t="s">
        <v>10354</v>
      </c>
      <c r="BM2797" s="7"/>
      <c r="BN2797" s="7"/>
      <c r="BO2797" s="4"/>
      <c r="BP2797" s="8"/>
      <c r="BQ2797" s="4">
        <v>2</v>
      </c>
      <c r="BR2797" s="8">
        <v>303.19</v>
      </c>
      <c r="BS2797" s="7">
        <v>-1</v>
      </c>
      <c r="BT2797" s="7">
        <v>-1</v>
      </c>
      <c r="BU2797" s="2" t="s">
        <v>109</v>
      </c>
      <c r="BV2797" s="2" t="s">
        <v>97</v>
      </c>
      <c r="BW2797" s="2" t="s">
        <v>4745</v>
      </c>
      <c r="BX2797" s="2" t="s">
        <v>10355</v>
      </c>
      <c r="BY2797" s="2" t="s">
        <v>112</v>
      </c>
      <c r="BZ2797" s="2" t="s">
        <v>100</v>
      </c>
    </row>
    <row r="2798">
      <c r="A2798" s="2" t="s">
        <v>10356</v>
      </c>
      <c r="B2798" s="2" t="s">
        <v>7252</v>
      </c>
      <c r="C2798" s="2" t="s">
        <v>6851</v>
      </c>
      <c r="D2798" s="2" t="s">
        <v>7786</v>
      </c>
      <c r="E2798" s="2" t="s">
        <v>7787</v>
      </c>
      <c r="F2798" s="2" t="s">
        <v>10357</v>
      </c>
      <c r="G2798" s="2" t="s">
        <v>10357</v>
      </c>
      <c r="H2798" s="2" t="s">
        <v>10357</v>
      </c>
      <c r="I2798" s="2" t="s">
        <v>10358</v>
      </c>
      <c r="J2798" s="2" t="s">
        <v>6103</v>
      </c>
      <c r="K2798" s="2" t="s">
        <v>310</v>
      </c>
      <c r="L2798" s="3">
        <v>85.05</v>
      </c>
      <c r="M2798" s="3">
        <v>89.3</v>
      </c>
      <c r="N2798" s="3">
        <v>179</v>
      </c>
      <c r="O2798" s="2" t="s">
        <v>97</v>
      </c>
      <c r="P2798" s="2" t="s">
        <v>1265</v>
      </c>
      <c r="Q2798" s="2" t="s">
        <v>99</v>
      </c>
      <c r="R2798" s="2" t="s">
        <v>100</v>
      </c>
      <c r="S2798" s="2" t="s">
        <v>100</v>
      </c>
      <c r="T2798" s="2" t="s">
        <v>100</v>
      </c>
      <c r="U2798" s="2" t="s">
        <v>3531</v>
      </c>
      <c r="V2798" s="2" t="s">
        <v>1752</v>
      </c>
      <c r="W2798" s="2" t="s">
        <v>104</v>
      </c>
      <c r="X2798" s="2" t="s">
        <v>6859</v>
      </c>
      <c r="Y2798" s="2" t="s">
        <v>915</v>
      </c>
      <c r="Z2798" s="4">
        <v>154</v>
      </c>
      <c r="AA2798" s="4">
        <f>=ROUNDDOWN(77,0)</f>
      </c>
      <c r="AB2798" s="5">
        <v>2</v>
      </c>
      <c r="AC2798" s="2" t="s">
        <v>100</v>
      </c>
      <c r="AD2798" s="4"/>
      <c r="AE2798" s="4"/>
      <c r="AF2798" s="6">
        <v>74</v>
      </c>
      <c r="AG2798" s="6"/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/>
      <c r="AW2798" s="8"/>
      <c r="AX2798" s="4"/>
      <c r="AY2798" s="8"/>
      <c r="AZ2798" s="7"/>
      <c r="BA2798" s="7"/>
      <c r="BB2798" s="7"/>
      <c r="BC2798" s="4"/>
      <c r="BD2798" s="8"/>
      <c r="BE2798" s="4"/>
      <c r="BF2798" s="8"/>
      <c r="BG2798" s="7"/>
      <c r="BH2798" s="7"/>
      <c r="BI2798" s="7"/>
      <c r="BJ2798" s="4">
        <v>39</v>
      </c>
      <c r="BK2798" s="8">
        <v>3814.65</v>
      </c>
      <c r="BL2798" s="2" t="s">
        <v>10359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147</v>
      </c>
      <c r="BV2798" s="2" t="s">
        <v>97</v>
      </c>
      <c r="BW2798" s="2" t="s">
        <v>100</v>
      </c>
      <c r="BX2798" s="2" t="s">
        <v>100</v>
      </c>
      <c r="BY2798" s="2" t="s">
        <v>112</v>
      </c>
      <c r="BZ2798" s="2" t="s">
        <v>100</v>
      </c>
    </row>
    <row r="2799">
      <c r="A2799" s="2" t="s">
        <v>10360</v>
      </c>
      <c r="B2799" s="2" t="s">
        <v>7252</v>
      </c>
      <c r="C2799" s="2" t="s">
        <v>6851</v>
      </c>
      <c r="D2799" s="2" t="s">
        <v>7786</v>
      </c>
      <c r="E2799" s="2" t="s">
        <v>7787</v>
      </c>
      <c r="F2799" s="2" t="s">
        <v>3648</v>
      </c>
      <c r="G2799" s="2" t="s">
        <v>3648</v>
      </c>
      <c r="H2799" s="2" t="s">
        <v>3648</v>
      </c>
      <c r="I2799" s="2" t="s">
        <v>10361</v>
      </c>
      <c r="J2799" s="2" t="s">
        <v>6103</v>
      </c>
      <c r="K2799" s="2" t="s">
        <v>158</v>
      </c>
      <c r="L2799" s="3">
        <v>132</v>
      </c>
      <c r="M2799" s="3">
        <v>138.6</v>
      </c>
      <c r="N2799" s="3">
        <v>279</v>
      </c>
      <c r="O2799" s="2" t="s">
        <v>97</v>
      </c>
      <c r="P2799" s="2" t="s">
        <v>1265</v>
      </c>
      <c r="Q2799" s="2" t="s">
        <v>99</v>
      </c>
      <c r="R2799" s="2" t="s">
        <v>100</v>
      </c>
      <c r="S2799" s="2" t="s">
        <v>100</v>
      </c>
      <c r="T2799" s="2" t="s">
        <v>100</v>
      </c>
      <c r="U2799" s="2" t="s">
        <v>3531</v>
      </c>
      <c r="V2799" s="2" t="s">
        <v>1752</v>
      </c>
      <c r="W2799" s="2" t="s">
        <v>100</v>
      </c>
      <c r="X2799" s="2" t="s">
        <v>6859</v>
      </c>
      <c r="Y2799" s="2" t="s">
        <v>9903</v>
      </c>
      <c r="Z2799" s="4">
        <v>194</v>
      </c>
      <c r="AA2799" s="4">
        <f>=ROUNDDOWN(32.3333333333333,0)</f>
      </c>
      <c r="AB2799" s="5">
        <v>6</v>
      </c>
      <c r="AC2799" s="2" t="s">
        <v>100</v>
      </c>
      <c r="AD2799" s="4"/>
      <c r="AE2799" s="4"/>
      <c r="AF2799" s="6">
        <v>74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/>
      <c r="AW2799" s="8"/>
      <c r="AX2799" s="4"/>
      <c r="AY2799" s="8"/>
      <c r="AZ2799" s="7"/>
      <c r="BA2799" s="7"/>
      <c r="BB2799" s="7"/>
      <c r="BC2799" s="4"/>
      <c r="BD2799" s="8"/>
      <c r="BE2799" s="4"/>
      <c r="BF2799" s="8"/>
      <c r="BG2799" s="7"/>
      <c r="BH2799" s="7"/>
      <c r="BI2799" s="7"/>
      <c r="BJ2799" s="4">
        <v>132</v>
      </c>
      <c r="BK2799" s="8">
        <v>20161.02</v>
      </c>
      <c r="BL2799" s="2" t="s">
        <v>10362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6185</v>
      </c>
      <c r="BV2799" s="2" t="s">
        <v>97</v>
      </c>
      <c r="BW2799" s="2" t="s">
        <v>100</v>
      </c>
      <c r="BX2799" s="2" t="s">
        <v>100</v>
      </c>
      <c r="BY2799" s="2" t="s">
        <v>112</v>
      </c>
      <c r="BZ2799" s="2" t="s">
        <v>100</v>
      </c>
    </row>
    <row r="2800">
      <c r="A2800" s="2" t="s">
        <v>10363</v>
      </c>
      <c r="B2800" s="2" t="s">
        <v>7252</v>
      </c>
      <c r="C2800" s="2" t="s">
        <v>6851</v>
      </c>
      <c r="D2800" s="2" t="s">
        <v>7786</v>
      </c>
      <c r="E2800" s="2" t="s">
        <v>7787</v>
      </c>
      <c r="F2800" s="2" t="s">
        <v>1765</v>
      </c>
      <c r="G2800" s="2" t="s">
        <v>1765</v>
      </c>
      <c r="H2800" s="2" t="s">
        <v>1765</v>
      </c>
      <c r="I2800" s="2" t="s">
        <v>8027</v>
      </c>
      <c r="J2800" s="2" t="s">
        <v>6103</v>
      </c>
      <c r="K2800" s="2" t="s">
        <v>7696</v>
      </c>
      <c r="L2800" s="3">
        <v>79.48</v>
      </c>
      <c r="M2800" s="3">
        <v>83.45</v>
      </c>
      <c r="N2800" s="3">
        <v>169</v>
      </c>
      <c r="O2800" s="2" t="s">
        <v>229</v>
      </c>
      <c r="P2800" s="2" t="s">
        <v>198</v>
      </c>
      <c r="Q2800" s="2" t="s">
        <v>99</v>
      </c>
      <c r="R2800" s="2" t="s">
        <v>100</v>
      </c>
      <c r="S2800" s="2" t="s">
        <v>100</v>
      </c>
      <c r="T2800" s="2" t="s">
        <v>100</v>
      </c>
      <c r="U2800" s="2" t="s">
        <v>3531</v>
      </c>
      <c r="V2800" s="2" t="s">
        <v>1752</v>
      </c>
      <c r="W2800" s="2" t="s">
        <v>1288</v>
      </c>
      <c r="X2800" s="2" t="s">
        <v>6859</v>
      </c>
      <c r="Y2800" s="2" t="s">
        <v>1056</v>
      </c>
      <c r="Z2800" s="4">
        <v>174</v>
      </c>
      <c r="AA2800" s="4">
        <f>=ROUNDDOWN(58,0)</f>
      </c>
      <c r="AB2800" s="5">
        <v>3</v>
      </c>
      <c r="AC2800" s="2" t="s">
        <v>100</v>
      </c>
      <c r="AD2800" s="4"/>
      <c r="AE2800" s="4"/>
      <c r="AF2800" s="6">
        <v>74</v>
      </c>
      <c r="AG2800" s="6">
        <v>60</v>
      </c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/>
      <c r="AW2800" s="8"/>
      <c r="AX2800" s="4"/>
      <c r="AY2800" s="8"/>
      <c r="AZ2800" s="7"/>
      <c r="BA2800" s="7"/>
      <c r="BB2800" s="7"/>
      <c r="BC2800" s="4"/>
      <c r="BD2800" s="8"/>
      <c r="BE2800" s="4"/>
      <c r="BF2800" s="8"/>
      <c r="BG2800" s="7"/>
      <c r="BH2800" s="7"/>
      <c r="BI2800" s="7"/>
      <c r="BJ2800" s="4">
        <v>96</v>
      </c>
      <c r="BK2800" s="8">
        <v>5241.78</v>
      </c>
      <c r="BL2800" s="2" t="s">
        <v>10364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147</v>
      </c>
      <c r="BV2800" s="2" t="s">
        <v>97</v>
      </c>
      <c r="BW2800" s="2" t="s">
        <v>100</v>
      </c>
      <c r="BX2800" s="2" t="s">
        <v>100</v>
      </c>
      <c r="BY2800" s="2" t="s">
        <v>112</v>
      </c>
      <c r="BZ2800" s="2" t="s">
        <v>100</v>
      </c>
    </row>
    <row r="2801">
      <c r="A2801" s="2" t="s">
        <v>10365</v>
      </c>
      <c r="B2801" s="2" t="s">
        <v>7252</v>
      </c>
      <c r="C2801" s="2" t="s">
        <v>6851</v>
      </c>
      <c r="D2801" s="2" t="s">
        <v>7786</v>
      </c>
      <c r="E2801" s="2" t="s">
        <v>7787</v>
      </c>
      <c r="F2801" s="2" t="s">
        <v>8893</v>
      </c>
      <c r="G2801" s="2" t="s">
        <v>8893</v>
      </c>
      <c r="H2801" s="2" t="s">
        <v>8893</v>
      </c>
      <c r="I2801" s="2" t="s">
        <v>7787</v>
      </c>
      <c r="J2801" s="2" t="s">
        <v>6103</v>
      </c>
      <c r="K2801" s="2" t="s">
        <v>4743</v>
      </c>
      <c r="L2801" s="3">
        <v>95</v>
      </c>
      <c r="M2801" s="3">
        <v>99.75</v>
      </c>
      <c r="N2801" s="3">
        <v>199</v>
      </c>
      <c r="O2801" s="2" t="s">
        <v>97</v>
      </c>
      <c r="P2801" s="2" t="s">
        <v>182</v>
      </c>
      <c r="Q2801" s="2" t="s">
        <v>99</v>
      </c>
      <c r="R2801" s="2" t="s">
        <v>100</v>
      </c>
      <c r="S2801" s="2" t="s">
        <v>100</v>
      </c>
      <c r="T2801" s="2" t="s">
        <v>100</v>
      </c>
      <c r="U2801" s="2" t="s">
        <v>100</v>
      </c>
      <c r="V2801" s="2" t="s">
        <v>601</v>
      </c>
      <c r="W2801" s="2" t="s">
        <v>602</v>
      </c>
      <c r="X2801" s="2" t="s">
        <v>6854</v>
      </c>
      <c r="Y2801" s="2" t="s">
        <v>10366</v>
      </c>
      <c r="Z2801" s="4">
        <v>136</v>
      </c>
      <c r="AA2801" s="4">
        <f>=ROUNDDOWN(34,0)</f>
      </c>
      <c r="AB2801" s="5">
        <v>4</v>
      </c>
      <c r="AC2801" s="2" t="s">
        <v>2143</v>
      </c>
      <c r="AD2801" s="4">
        <v>110</v>
      </c>
      <c r="AE2801" s="4">
        <v>210</v>
      </c>
      <c r="AF2801" s="6">
        <v>66</v>
      </c>
      <c r="AG2801" s="6">
        <v>49</v>
      </c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>
        <v>0</v>
      </c>
      <c r="AP2801" s="4"/>
      <c r="AQ2801" s="8"/>
      <c r="AR2801" s="4">
        <v>6</v>
      </c>
      <c r="AS2801" s="8">
        <v>448.86</v>
      </c>
      <c r="AT2801" s="7">
        <v>-1</v>
      </c>
      <c r="AU2801" s="7">
        <v>-1</v>
      </c>
      <c r="AV2801" s="4"/>
      <c r="AW2801" s="8"/>
      <c r="AX2801" s="4">
        <v>6</v>
      </c>
      <c r="AY2801" s="8">
        <v>448.86</v>
      </c>
      <c r="AZ2801" s="7">
        <v>-1</v>
      </c>
      <c r="BA2801" s="7">
        <v>-1</v>
      </c>
      <c r="BB2801" s="7"/>
      <c r="BC2801" s="4"/>
      <c r="BD2801" s="8"/>
      <c r="BE2801" s="4">
        <v>6</v>
      </c>
      <c r="BF2801" s="8">
        <v>448.86</v>
      </c>
      <c r="BG2801" s="7">
        <v>-1</v>
      </c>
      <c r="BH2801" s="7">
        <v>-1</v>
      </c>
      <c r="BI2801" s="7"/>
      <c r="BJ2801" s="4">
        <v>105</v>
      </c>
      <c r="BK2801" s="8">
        <v>10980.42</v>
      </c>
      <c r="BL2801" s="2" t="s">
        <v>10367</v>
      </c>
      <c r="BM2801" s="7"/>
      <c r="BN2801" s="7"/>
      <c r="BO2801" s="4"/>
      <c r="BP2801" s="8"/>
      <c r="BQ2801" s="4">
        <v>6</v>
      </c>
      <c r="BR2801" s="8">
        <v>448.86</v>
      </c>
      <c r="BS2801" s="7">
        <v>-1</v>
      </c>
      <c r="BT2801" s="7">
        <v>-1</v>
      </c>
      <c r="BU2801" s="2" t="s">
        <v>109</v>
      </c>
      <c r="BV2801" s="2" t="s">
        <v>97</v>
      </c>
      <c r="BW2801" s="2" t="s">
        <v>7307</v>
      </c>
      <c r="BX2801" s="2" t="s">
        <v>5321</v>
      </c>
      <c r="BY2801" s="2" t="s">
        <v>112</v>
      </c>
      <c r="BZ2801" s="2" t="s">
        <v>100</v>
      </c>
    </row>
    <row r="2802">
      <c r="A2802" s="2" t="s">
        <v>10368</v>
      </c>
      <c r="B2802" s="2" t="s">
        <v>7252</v>
      </c>
      <c r="C2802" s="2" t="s">
        <v>6851</v>
      </c>
      <c r="D2802" s="2" t="s">
        <v>7786</v>
      </c>
      <c r="E2802" s="2" t="s">
        <v>7787</v>
      </c>
      <c r="F2802" s="2" t="s">
        <v>10369</v>
      </c>
      <c r="G2802" s="2" t="s">
        <v>10369</v>
      </c>
      <c r="H2802" s="2" t="s">
        <v>10369</v>
      </c>
      <c r="I2802" s="2" t="s">
        <v>10370</v>
      </c>
      <c r="J2802" s="2" t="s">
        <v>6103</v>
      </c>
      <c r="K2802" s="2" t="s">
        <v>123</v>
      </c>
      <c r="L2802" s="3">
        <v>225</v>
      </c>
      <c r="M2802" s="3">
        <v>236.25</v>
      </c>
      <c r="N2802" s="3">
        <v>469</v>
      </c>
      <c r="O2802" s="2" t="s">
        <v>97</v>
      </c>
      <c r="P2802" s="2" t="s">
        <v>143</v>
      </c>
      <c r="Q2802" s="2" t="s">
        <v>99</v>
      </c>
      <c r="R2802" s="2" t="s">
        <v>100</v>
      </c>
      <c r="S2802" s="2" t="s">
        <v>100</v>
      </c>
      <c r="T2802" s="2" t="s">
        <v>100</v>
      </c>
      <c r="U2802" s="2" t="s">
        <v>3531</v>
      </c>
      <c r="V2802" s="2" t="s">
        <v>1752</v>
      </c>
      <c r="W2802" s="2" t="s">
        <v>104</v>
      </c>
      <c r="X2802" s="2" t="s">
        <v>6908</v>
      </c>
      <c r="Y2802" s="2" t="s">
        <v>2470</v>
      </c>
      <c r="Z2802" s="4">
        <v>489</v>
      </c>
      <c r="AA2802" s="4">
        <f>=ROUNDDOWN(27.1666666666667,0)</f>
      </c>
      <c r="AB2802" s="5">
        <v>18</v>
      </c>
      <c r="AC2802" s="2" t="s">
        <v>7292</v>
      </c>
      <c r="AD2802" s="4">
        <v>150</v>
      </c>
      <c r="AE2802" s="4">
        <v>150</v>
      </c>
      <c r="AF2802" s="6">
        <v>76</v>
      </c>
      <c r="AG2802" s="6"/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/>
      <c r="BJ2802" s="4">
        <v>322</v>
      </c>
      <c r="BK2802" s="8">
        <v>82142.44</v>
      </c>
      <c r="BL2802" s="2" t="s">
        <v>10371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6185</v>
      </c>
      <c r="BV2802" s="2" t="s">
        <v>97</v>
      </c>
      <c r="BW2802" s="2" t="s">
        <v>100</v>
      </c>
      <c r="BX2802" s="2" t="s">
        <v>100</v>
      </c>
      <c r="BY2802" s="2" t="s">
        <v>112</v>
      </c>
      <c r="BZ2802" s="2" t="s">
        <v>100</v>
      </c>
    </row>
    <row r="2803">
      <c r="A2803" s="2" t="s">
        <v>10372</v>
      </c>
      <c r="B2803" s="2" t="s">
        <v>7252</v>
      </c>
      <c r="C2803" s="2" t="s">
        <v>6851</v>
      </c>
      <c r="D2803" s="2" t="s">
        <v>7786</v>
      </c>
      <c r="E2803" s="2" t="s">
        <v>7787</v>
      </c>
      <c r="F2803" s="2" t="s">
        <v>10369</v>
      </c>
      <c r="G2803" s="2" t="s">
        <v>10369</v>
      </c>
      <c r="H2803" s="2" t="s">
        <v>10369</v>
      </c>
      <c r="I2803" s="2" t="s">
        <v>10370</v>
      </c>
      <c r="J2803" s="2" t="s">
        <v>6103</v>
      </c>
      <c r="K2803" s="2" t="s">
        <v>10373</v>
      </c>
      <c r="L2803" s="3">
        <v>225</v>
      </c>
      <c r="M2803" s="3">
        <v>236.25</v>
      </c>
      <c r="N2803" s="3">
        <v>469</v>
      </c>
      <c r="O2803" s="2" t="s">
        <v>97</v>
      </c>
      <c r="P2803" s="2" t="s">
        <v>182</v>
      </c>
      <c r="Q2803" s="2" t="s">
        <v>99</v>
      </c>
      <c r="R2803" s="2" t="s">
        <v>100</v>
      </c>
      <c r="S2803" s="2" t="s">
        <v>100</v>
      </c>
      <c r="T2803" s="2" t="s">
        <v>100</v>
      </c>
      <c r="U2803" s="2" t="s">
        <v>3531</v>
      </c>
      <c r="V2803" s="2" t="s">
        <v>1752</v>
      </c>
      <c r="W2803" s="2" t="s">
        <v>104</v>
      </c>
      <c r="X2803" s="2" t="s">
        <v>6908</v>
      </c>
      <c r="Y2803" s="2" t="s">
        <v>10374</v>
      </c>
      <c r="Z2803" s="4">
        <v>1</v>
      </c>
      <c r="AA2803" s="4">
        <f>=ROUNDDOWN(0.0526315789473684,0)</f>
      </c>
      <c r="AB2803" s="5">
        <v>19</v>
      </c>
      <c r="AC2803" s="2" t="s">
        <v>2305</v>
      </c>
      <c r="AD2803" s="4">
        <v>172</v>
      </c>
      <c r="AE2803" s="4">
        <v>467</v>
      </c>
      <c r="AF2803" s="6">
        <v>76</v>
      </c>
      <c r="AG2803" s="6"/>
      <c r="AH2803" s="7">
        <v>0.6121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/>
      <c r="BJ2803" s="4">
        <v>179</v>
      </c>
      <c r="BK2803" s="8">
        <v>45124.4</v>
      </c>
      <c r="BL2803" s="2" t="s">
        <v>7682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6185</v>
      </c>
      <c r="BV2803" s="2" t="s">
        <v>97</v>
      </c>
      <c r="BW2803" s="2" t="s">
        <v>100</v>
      </c>
      <c r="BX2803" s="2" t="s">
        <v>100</v>
      </c>
      <c r="BY2803" s="2" t="s">
        <v>112</v>
      </c>
      <c r="BZ2803" s="2" t="s">
        <v>100</v>
      </c>
    </row>
    <row r="2804">
      <c r="A2804" s="2" t="s">
        <v>10375</v>
      </c>
      <c r="B2804" s="2" t="s">
        <v>7252</v>
      </c>
      <c r="C2804" s="2" t="s">
        <v>6851</v>
      </c>
      <c r="D2804" s="2" t="s">
        <v>7786</v>
      </c>
      <c r="E2804" s="2" t="s">
        <v>7787</v>
      </c>
      <c r="F2804" s="2" t="s">
        <v>10376</v>
      </c>
      <c r="G2804" s="2" t="s">
        <v>10376</v>
      </c>
      <c r="H2804" s="2" t="s">
        <v>10376</v>
      </c>
      <c r="I2804" s="2" t="s">
        <v>10361</v>
      </c>
      <c r="J2804" s="2" t="s">
        <v>6103</v>
      </c>
      <c r="K2804" s="2" t="s">
        <v>1204</v>
      </c>
      <c r="L2804" s="3">
        <v>148.5</v>
      </c>
      <c r="M2804" s="3">
        <v>155.92</v>
      </c>
      <c r="N2804" s="3">
        <v>309</v>
      </c>
      <c r="O2804" s="2" t="s">
        <v>229</v>
      </c>
      <c r="P2804" s="2" t="s">
        <v>198</v>
      </c>
      <c r="Q2804" s="2" t="s">
        <v>99</v>
      </c>
      <c r="R2804" s="2" t="s">
        <v>100</v>
      </c>
      <c r="S2804" s="2" t="s">
        <v>100</v>
      </c>
      <c r="T2804" s="2" t="s">
        <v>100</v>
      </c>
      <c r="U2804" s="2" t="s">
        <v>3531</v>
      </c>
      <c r="V2804" s="2" t="s">
        <v>1752</v>
      </c>
      <c r="W2804" s="2" t="s">
        <v>100</v>
      </c>
      <c r="X2804" s="2" t="s">
        <v>6854</v>
      </c>
      <c r="Y2804" s="2" t="s">
        <v>9903</v>
      </c>
      <c r="Z2804" s="4">
        <v>17</v>
      </c>
      <c r="AA2804" s="4">
        <f>=ROUNDDOWN(5.15151515151515,0)</f>
      </c>
      <c r="AB2804" s="5">
        <v>3.3</v>
      </c>
      <c r="AC2804" s="2" t="s">
        <v>100</v>
      </c>
      <c r="AD2804" s="4"/>
      <c r="AE2804" s="4"/>
      <c r="AF2804" s="6">
        <v>74</v>
      </c>
      <c r="AG2804" s="6"/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/>
      <c r="BD2804" s="8"/>
      <c r="BE2804" s="4"/>
      <c r="BF2804" s="8"/>
      <c r="BG2804" s="7"/>
      <c r="BH2804" s="7"/>
      <c r="BI2804" s="7"/>
      <c r="BJ2804" s="4">
        <v>33</v>
      </c>
      <c r="BK2804" s="8">
        <v>4105.51</v>
      </c>
      <c r="BL2804" s="2" t="s">
        <v>10377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147</v>
      </c>
      <c r="BV2804" s="2" t="s">
        <v>97</v>
      </c>
      <c r="BW2804" s="2" t="s">
        <v>100</v>
      </c>
      <c r="BX2804" s="2" t="s">
        <v>100</v>
      </c>
      <c r="BY2804" s="2" t="s">
        <v>112</v>
      </c>
      <c r="BZ2804" s="2" t="s">
        <v>100</v>
      </c>
    </row>
    <row r="2805">
      <c r="A2805" s="2" t="s">
        <v>10378</v>
      </c>
      <c r="B2805" s="2" t="s">
        <v>7252</v>
      </c>
      <c r="C2805" s="2" t="s">
        <v>6851</v>
      </c>
      <c r="D2805" s="2" t="s">
        <v>9266</v>
      </c>
      <c r="E2805" s="2" t="s">
        <v>9267</v>
      </c>
      <c r="F2805" s="2" t="s">
        <v>10286</v>
      </c>
      <c r="G2805" s="2" t="s">
        <v>10286</v>
      </c>
      <c r="H2805" s="2" t="s">
        <v>10286</v>
      </c>
      <c r="I2805" s="2" t="s">
        <v>9271</v>
      </c>
      <c r="J2805" s="2" t="s">
        <v>95</v>
      </c>
      <c r="K2805" s="2" t="s">
        <v>9092</v>
      </c>
      <c r="L2805" s="3">
        <v>502</v>
      </c>
      <c r="M2805" s="3">
        <v>527.1</v>
      </c>
      <c r="N2805" s="3">
        <v>1049</v>
      </c>
      <c r="O2805" s="2" t="s">
        <v>97</v>
      </c>
      <c r="P2805" s="2" t="s">
        <v>1166</v>
      </c>
      <c r="Q2805" s="2" t="s">
        <v>99</v>
      </c>
      <c r="R2805" s="2" t="s">
        <v>100</v>
      </c>
      <c r="S2805" s="2" t="s">
        <v>100</v>
      </c>
      <c r="T2805" s="2" t="s">
        <v>100</v>
      </c>
      <c r="U2805" s="2" t="s">
        <v>3531</v>
      </c>
      <c r="V2805" s="2" t="s">
        <v>1752</v>
      </c>
      <c r="W2805" s="2" t="s">
        <v>405</v>
      </c>
      <c r="X2805" s="2" t="s">
        <v>6908</v>
      </c>
      <c r="Y2805" s="2" t="s">
        <v>3161</v>
      </c>
      <c r="Z2805" s="4">
        <v>97</v>
      </c>
      <c r="AA2805" s="4">
        <f>=ROUNDDOWN({0},0)</f>
      </c>
      <c r="AB2805" s="5"/>
      <c r="AC2805" s="2" t="s">
        <v>100</v>
      </c>
      <c r="AD2805" s="4"/>
      <c r="AE2805" s="4"/>
      <c r="AF2805" s="6">
        <v>76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/>
      <c r="BD2805" s="8"/>
      <c r="BE2805" s="4"/>
      <c r="BF2805" s="8"/>
      <c r="BG2805" s="7"/>
      <c r="BH2805" s="7"/>
      <c r="BI2805" s="7"/>
      <c r="BJ2805" s="4">
        <v>2</v>
      </c>
      <c r="BK2805" s="8">
        <v>1159.62</v>
      </c>
      <c r="BL2805" s="2" t="s">
        <v>8801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147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10379</v>
      </c>
      <c r="B2806" s="2" t="s">
        <v>7252</v>
      </c>
      <c r="C2806" s="2" t="s">
        <v>6851</v>
      </c>
      <c r="D2806" s="2" t="s">
        <v>9266</v>
      </c>
      <c r="E2806" s="2" t="s">
        <v>9267</v>
      </c>
      <c r="F2806" s="2" t="s">
        <v>8338</v>
      </c>
      <c r="G2806" s="2" t="s">
        <v>8338</v>
      </c>
      <c r="H2806" s="2" t="s">
        <v>8338</v>
      </c>
      <c r="I2806" s="2" t="s">
        <v>10380</v>
      </c>
      <c r="J2806" s="2" t="s">
        <v>6103</v>
      </c>
      <c r="K2806" s="2" t="s">
        <v>10341</v>
      </c>
      <c r="L2806" s="3">
        <v>530</v>
      </c>
      <c r="M2806" s="3">
        <v>556.5</v>
      </c>
      <c r="N2806" s="3">
        <v>1099</v>
      </c>
      <c r="O2806" s="2" t="s">
        <v>97</v>
      </c>
      <c r="P2806" s="2" t="s">
        <v>1166</v>
      </c>
      <c r="Q2806" s="2" t="s">
        <v>99</v>
      </c>
      <c r="R2806" s="2" t="s">
        <v>100</v>
      </c>
      <c r="S2806" s="2" t="s">
        <v>100</v>
      </c>
      <c r="T2806" s="2" t="s">
        <v>100</v>
      </c>
      <c r="U2806" s="2" t="s">
        <v>3531</v>
      </c>
      <c r="V2806" s="2" t="s">
        <v>1752</v>
      </c>
      <c r="W2806" s="2" t="s">
        <v>759</v>
      </c>
      <c r="X2806" s="2" t="s">
        <v>6908</v>
      </c>
      <c r="Y2806" s="2" t="s">
        <v>4814</v>
      </c>
      <c r="Z2806" s="4">
        <v>93</v>
      </c>
      <c r="AA2806" s="4">
        <f>=ROUNDDOWN(310,0)</f>
      </c>
      <c r="AB2806" s="5">
        <v>0.3</v>
      </c>
      <c r="AC2806" s="2" t="s">
        <v>100</v>
      </c>
      <c r="AD2806" s="4"/>
      <c r="AE2806" s="4"/>
      <c r="AF2806" s="6">
        <v>74</v>
      </c>
      <c r="AG2806" s="6"/>
      <c r="AH2806" s="7">
        <v>0.6989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/>
      <c r="BD2806" s="8"/>
      <c r="BE2806" s="4"/>
      <c r="BF2806" s="8"/>
      <c r="BG2806" s="7"/>
      <c r="BH2806" s="7"/>
      <c r="BI2806" s="7"/>
      <c r="BJ2806" s="4">
        <v>2</v>
      </c>
      <c r="BK2806" s="8">
        <v>1168.65</v>
      </c>
      <c r="BL2806" s="2" t="s">
        <v>9616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147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10381</v>
      </c>
      <c r="B2807" s="2" t="s">
        <v>7252</v>
      </c>
      <c r="C2807" s="2" t="s">
        <v>6851</v>
      </c>
      <c r="D2807" s="2" t="s">
        <v>9205</v>
      </c>
      <c r="E2807" s="2" t="s">
        <v>9206</v>
      </c>
      <c r="F2807" s="2" t="s">
        <v>10382</v>
      </c>
      <c r="G2807" s="2" t="s">
        <v>10382</v>
      </c>
      <c r="H2807" s="2" t="s">
        <v>10382</v>
      </c>
      <c r="I2807" s="2" t="s">
        <v>9206</v>
      </c>
      <c r="J2807" s="2" t="s">
        <v>6103</v>
      </c>
      <c r="K2807" s="2" t="s">
        <v>9049</v>
      </c>
      <c r="L2807" s="3">
        <v>299</v>
      </c>
      <c r="M2807" s="3">
        <v>313.95</v>
      </c>
      <c r="N2807" s="3">
        <v>629</v>
      </c>
      <c r="O2807" s="2" t="s">
        <v>229</v>
      </c>
      <c r="P2807" s="2" t="s">
        <v>198</v>
      </c>
      <c r="Q2807" s="2" t="s">
        <v>99</v>
      </c>
      <c r="R2807" s="2" t="s">
        <v>100</v>
      </c>
      <c r="S2807" s="2" t="s">
        <v>100</v>
      </c>
      <c r="T2807" s="2" t="s">
        <v>100</v>
      </c>
      <c r="U2807" s="2" t="s">
        <v>3531</v>
      </c>
      <c r="V2807" s="2" t="s">
        <v>601</v>
      </c>
      <c r="W2807" s="2" t="s">
        <v>602</v>
      </c>
      <c r="X2807" s="2" t="s">
        <v>6854</v>
      </c>
      <c r="Y2807" s="2" t="s">
        <v>10383</v>
      </c>
      <c r="Z2807" s="4">
        <v>42</v>
      </c>
      <c r="AA2807" s="4">
        <f>=ROUNDDOWN(14,0)</f>
      </c>
      <c r="AB2807" s="5">
        <v>3</v>
      </c>
      <c r="AC2807" s="2" t="s">
        <v>100</v>
      </c>
      <c r="AD2807" s="4"/>
      <c r="AE2807" s="4"/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/>
      <c r="BD2807" s="8"/>
      <c r="BE2807" s="4"/>
      <c r="BF2807" s="8"/>
      <c r="BG2807" s="7"/>
      <c r="BH2807" s="7"/>
      <c r="BI2807" s="7"/>
      <c r="BJ2807" s="4">
        <v>25</v>
      </c>
      <c r="BK2807" s="8">
        <v>6467.02</v>
      </c>
      <c r="BL2807" s="2" t="s">
        <v>10384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147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10385</v>
      </c>
      <c r="B2808" s="2" t="s">
        <v>7252</v>
      </c>
      <c r="C2808" s="2" t="s">
        <v>6851</v>
      </c>
      <c r="D2808" s="2" t="s">
        <v>9205</v>
      </c>
      <c r="E2808" s="2" t="s">
        <v>9206</v>
      </c>
      <c r="F2808" s="2" t="s">
        <v>10386</v>
      </c>
      <c r="G2808" s="2" t="s">
        <v>10386</v>
      </c>
      <c r="H2808" s="2" t="s">
        <v>10386</v>
      </c>
      <c r="I2808" s="2" t="s">
        <v>10387</v>
      </c>
      <c r="J2808" s="2" t="s">
        <v>6103</v>
      </c>
      <c r="K2808" s="2" t="s">
        <v>123</v>
      </c>
      <c r="L2808" s="3">
        <v>148.5</v>
      </c>
      <c r="M2808" s="3">
        <v>155.92</v>
      </c>
      <c r="N2808" s="3">
        <v>309</v>
      </c>
      <c r="O2808" s="2" t="s">
        <v>97</v>
      </c>
      <c r="P2808" s="2" t="s">
        <v>1265</v>
      </c>
      <c r="Q2808" s="2" t="s">
        <v>99</v>
      </c>
      <c r="R2808" s="2" t="s">
        <v>100</v>
      </c>
      <c r="S2808" s="2" t="s">
        <v>100</v>
      </c>
      <c r="T2808" s="2" t="s">
        <v>100</v>
      </c>
      <c r="U2808" s="2" t="s">
        <v>3531</v>
      </c>
      <c r="V2808" s="2" t="s">
        <v>1752</v>
      </c>
      <c r="W2808" s="2" t="s">
        <v>1288</v>
      </c>
      <c r="X2808" s="2" t="s">
        <v>6859</v>
      </c>
      <c r="Y2808" s="2" t="s">
        <v>8810</v>
      </c>
      <c r="Z2808" s="4"/>
      <c r="AA2808" s="4">
        <f>=ROUNDDOWN({0},0)</f>
      </c>
      <c r="AB2808" s="5">
        <v>8</v>
      </c>
      <c r="AC2808" s="2" t="s">
        <v>7295</v>
      </c>
      <c r="AD2808" s="4">
        <v>100</v>
      </c>
      <c r="AE2808" s="4">
        <v>275</v>
      </c>
      <c r="AF2808" s="6">
        <v>76</v>
      </c>
      <c r="AG2808" s="6"/>
      <c r="AH2808" s="7">
        <v>0.697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/>
      <c r="BD2808" s="8"/>
      <c r="BE2808" s="4"/>
      <c r="BF2808" s="8"/>
      <c r="BG2808" s="7"/>
      <c r="BH2808" s="7"/>
      <c r="BI2808" s="7"/>
      <c r="BJ2808" s="4">
        <v>99</v>
      </c>
      <c r="BK2808" s="8">
        <v>16629.71</v>
      </c>
      <c r="BL2808" s="2" t="s">
        <v>10388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147</v>
      </c>
      <c r="BV2808" s="2" t="s">
        <v>97</v>
      </c>
      <c r="BW2808" s="2" t="s">
        <v>100</v>
      </c>
      <c r="BX2808" s="2" t="s">
        <v>100</v>
      </c>
      <c r="BY2808" s="2" t="s">
        <v>112</v>
      </c>
      <c r="BZ2808" s="2" t="s">
        <v>100</v>
      </c>
    </row>
    <row r="2809">
      <c r="A2809" s="2" t="s">
        <v>10389</v>
      </c>
      <c r="B2809" s="2" t="s">
        <v>7252</v>
      </c>
      <c r="C2809" s="2" t="s">
        <v>6851</v>
      </c>
      <c r="D2809" s="2" t="s">
        <v>8817</v>
      </c>
      <c r="E2809" s="2" t="s">
        <v>8818</v>
      </c>
      <c r="F2809" s="2" t="s">
        <v>10295</v>
      </c>
      <c r="G2809" s="2" t="s">
        <v>10295</v>
      </c>
      <c r="H2809" s="2" t="s">
        <v>10295</v>
      </c>
      <c r="I2809" s="2" t="s">
        <v>10390</v>
      </c>
      <c r="J2809" s="2" t="s">
        <v>6103</v>
      </c>
      <c r="K2809" s="2" t="s">
        <v>10391</v>
      </c>
      <c r="L2809" s="3">
        <v>184.5</v>
      </c>
      <c r="M2809" s="3">
        <v>193.72</v>
      </c>
      <c r="N2809" s="3">
        <v>389</v>
      </c>
      <c r="O2809" s="2" t="s">
        <v>97</v>
      </c>
      <c r="P2809" s="2" t="s">
        <v>1166</v>
      </c>
      <c r="Q2809" s="2" t="s">
        <v>99</v>
      </c>
      <c r="R2809" s="2" t="s">
        <v>100</v>
      </c>
      <c r="S2809" s="2" t="s">
        <v>100</v>
      </c>
      <c r="T2809" s="2" t="s">
        <v>100</v>
      </c>
      <c r="U2809" s="2" t="s">
        <v>3531</v>
      </c>
      <c r="V2809" s="2" t="s">
        <v>1752</v>
      </c>
      <c r="W2809" s="2" t="s">
        <v>1288</v>
      </c>
      <c r="X2809" s="2" t="s">
        <v>6908</v>
      </c>
      <c r="Y2809" s="2" t="s">
        <v>1583</v>
      </c>
      <c r="Z2809" s="4">
        <v>25</v>
      </c>
      <c r="AA2809" s="4">
        <f>=ROUNDDOWN(2.08333333333333,0)</f>
      </c>
      <c r="AB2809" s="5">
        <v>12</v>
      </c>
      <c r="AC2809" s="2" t="s">
        <v>3645</v>
      </c>
      <c r="AD2809" s="4">
        <v>60</v>
      </c>
      <c r="AE2809" s="4">
        <v>250</v>
      </c>
      <c r="AF2809" s="6">
        <v>74</v>
      </c>
      <c r="AG2809" s="6">
        <v>60</v>
      </c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70</v>
      </c>
      <c r="BK2809" s="8">
        <v>14032.18</v>
      </c>
      <c r="BL2809" s="2" t="s">
        <v>10392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147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100</v>
      </c>
    </row>
    <row r="2810">
      <c r="A2810" s="2" t="s">
        <v>10393</v>
      </c>
      <c r="B2810" s="2" t="s">
        <v>7252</v>
      </c>
      <c r="C2810" s="2" t="s">
        <v>6851</v>
      </c>
      <c r="D2810" s="2" t="s">
        <v>8817</v>
      </c>
      <c r="E2810" s="2" t="s">
        <v>8818</v>
      </c>
      <c r="F2810" s="2" t="s">
        <v>10295</v>
      </c>
      <c r="G2810" s="2" t="s">
        <v>10295</v>
      </c>
      <c r="H2810" s="2" t="s">
        <v>10295</v>
      </c>
      <c r="I2810" s="2" t="s">
        <v>10390</v>
      </c>
      <c r="J2810" s="2" t="s">
        <v>6103</v>
      </c>
      <c r="K2810" s="2" t="s">
        <v>4481</v>
      </c>
      <c r="L2810" s="3">
        <v>184.5</v>
      </c>
      <c r="M2810" s="3">
        <v>193.72</v>
      </c>
      <c r="N2810" s="3">
        <v>389</v>
      </c>
      <c r="O2810" s="2" t="s">
        <v>97</v>
      </c>
      <c r="P2810" s="2" t="s">
        <v>143</v>
      </c>
      <c r="Q2810" s="2" t="s">
        <v>99</v>
      </c>
      <c r="R2810" s="2" t="s">
        <v>100</v>
      </c>
      <c r="S2810" s="2" t="s">
        <v>100</v>
      </c>
      <c r="T2810" s="2" t="s">
        <v>100</v>
      </c>
      <c r="U2810" s="2" t="s">
        <v>3531</v>
      </c>
      <c r="V2810" s="2" t="s">
        <v>1752</v>
      </c>
      <c r="W2810" s="2" t="s">
        <v>1288</v>
      </c>
      <c r="X2810" s="2" t="s">
        <v>6859</v>
      </c>
      <c r="Y2810" s="2" t="s">
        <v>4875</v>
      </c>
      <c r="Z2810" s="4">
        <v>212</v>
      </c>
      <c r="AA2810" s="4">
        <f>=ROUNDDOWN(12.4705882352941,0)</f>
      </c>
      <c r="AB2810" s="5">
        <v>17</v>
      </c>
      <c r="AC2810" s="2" t="s">
        <v>9367</v>
      </c>
      <c r="AD2810" s="4">
        <v>144</v>
      </c>
      <c r="AE2810" s="4">
        <v>348</v>
      </c>
      <c r="AF2810" s="6">
        <v>74</v>
      </c>
      <c r="AG2810" s="6">
        <v>60</v>
      </c>
      <c r="AH2810" s="7">
        <v>0.8485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317</v>
      </c>
      <c r="BK2810" s="8">
        <v>61617.24</v>
      </c>
      <c r="BL2810" s="2" t="s">
        <v>10394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6185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10395</v>
      </c>
      <c r="B2811" s="2" t="s">
        <v>7252</v>
      </c>
      <c r="C2811" s="2" t="s">
        <v>6851</v>
      </c>
      <c r="D2811" s="2" t="s">
        <v>8817</v>
      </c>
      <c r="E2811" s="2" t="s">
        <v>8818</v>
      </c>
      <c r="F2811" s="2" t="s">
        <v>10295</v>
      </c>
      <c r="G2811" s="2" t="s">
        <v>10295</v>
      </c>
      <c r="H2811" s="2" t="s">
        <v>10295</v>
      </c>
      <c r="I2811" s="2" t="s">
        <v>10390</v>
      </c>
      <c r="J2811" s="2" t="s">
        <v>6103</v>
      </c>
      <c r="K2811" s="2" t="s">
        <v>10396</v>
      </c>
      <c r="L2811" s="3">
        <v>184.5</v>
      </c>
      <c r="M2811" s="3">
        <v>193.72</v>
      </c>
      <c r="N2811" s="3">
        <v>389</v>
      </c>
      <c r="O2811" s="2" t="s">
        <v>97</v>
      </c>
      <c r="P2811" s="2" t="s">
        <v>182</v>
      </c>
      <c r="Q2811" s="2" t="s">
        <v>99</v>
      </c>
      <c r="R2811" s="2" t="s">
        <v>100</v>
      </c>
      <c r="S2811" s="2" t="s">
        <v>100</v>
      </c>
      <c r="T2811" s="2" t="s">
        <v>100</v>
      </c>
      <c r="U2811" s="2" t="s">
        <v>3531</v>
      </c>
      <c r="V2811" s="2" t="s">
        <v>1752</v>
      </c>
      <c r="W2811" s="2" t="s">
        <v>1288</v>
      </c>
      <c r="X2811" s="2" t="s">
        <v>6908</v>
      </c>
      <c r="Y2811" s="2" t="s">
        <v>10397</v>
      </c>
      <c r="Z2811" s="4">
        <v>171</v>
      </c>
      <c r="AA2811" s="4">
        <f>=ROUNDDOWN(13.1538461538462,0)</f>
      </c>
      <c r="AB2811" s="5">
        <v>13</v>
      </c>
      <c r="AC2811" s="2" t="s">
        <v>9367</v>
      </c>
      <c r="AD2811" s="4">
        <v>33</v>
      </c>
      <c r="AE2811" s="4">
        <v>333</v>
      </c>
      <c r="AF2811" s="6">
        <v>74</v>
      </c>
      <c r="AG2811" s="6"/>
      <c r="AH2811" s="7">
        <v>0.6727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151</v>
      </c>
      <c r="BK2811" s="8">
        <v>31372.29</v>
      </c>
      <c r="BL2811" s="2" t="s">
        <v>10398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6185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10399</v>
      </c>
      <c r="B2812" s="2" t="s">
        <v>7252</v>
      </c>
      <c r="C2812" s="2" t="s">
        <v>6851</v>
      </c>
      <c r="D2812" s="2" t="s">
        <v>8817</v>
      </c>
      <c r="E2812" s="2" t="s">
        <v>8818</v>
      </c>
      <c r="F2812" s="2" t="s">
        <v>1765</v>
      </c>
      <c r="G2812" s="2" t="s">
        <v>1765</v>
      </c>
      <c r="H2812" s="2" t="s">
        <v>1765</v>
      </c>
      <c r="I2812" s="2" t="s">
        <v>10400</v>
      </c>
      <c r="J2812" s="2" t="s">
        <v>6103</v>
      </c>
      <c r="K2812" s="2" t="s">
        <v>7696</v>
      </c>
      <c r="L2812" s="3">
        <v>145.35</v>
      </c>
      <c r="M2812" s="3">
        <v>152.62</v>
      </c>
      <c r="N2812" s="3">
        <v>299</v>
      </c>
      <c r="O2812" s="2" t="s">
        <v>97</v>
      </c>
      <c r="P2812" s="2" t="s">
        <v>1265</v>
      </c>
      <c r="Q2812" s="2" t="s">
        <v>99</v>
      </c>
      <c r="R2812" s="2" t="s">
        <v>100</v>
      </c>
      <c r="S2812" s="2" t="s">
        <v>100</v>
      </c>
      <c r="T2812" s="2" t="s">
        <v>100</v>
      </c>
      <c r="U2812" s="2" t="s">
        <v>2104</v>
      </c>
      <c r="V2812" s="2" t="s">
        <v>1752</v>
      </c>
      <c r="W2812" s="2" t="s">
        <v>1288</v>
      </c>
      <c r="X2812" s="2" t="s">
        <v>6859</v>
      </c>
      <c r="Y2812" s="2" t="s">
        <v>6424</v>
      </c>
      <c r="Z2812" s="4">
        <v>173</v>
      </c>
      <c r="AA2812" s="4">
        <f>=ROUNDDOWN(173,0)</f>
      </c>
      <c r="AB2812" s="5">
        <v>1</v>
      </c>
      <c r="AC2812" s="2" t="s">
        <v>100</v>
      </c>
      <c r="AD2812" s="4"/>
      <c r="AE2812" s="4"/>
      <c r="AF2812" s="6">
        <v>74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/>
      <c r="BD2812" s="8"/>
      <c r="BE2812" s="4"/>
      <c r="BF2812" s="8"/>
      <c r="BG2812" s="7"/>
      <c r="BH2812" s="7"/>
      <c r="BI2812" s="7"/>
      <c r="BJ2812" s="4">
        <v>27</v>
      </c>
      <c r="BK2812" s="8">
        <v>3798.05</v>
      </c>
      <c r="BL2812" s="2" t="s">
        <v>10401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147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10402</v>
      </c>
      <c r="B2813" s="2" t="s">
        <v>7252</v>
      </c>
      <c r="C2813" s="2" t="s">
        <v>6851</v>
      </c>
      <c r="D2813" s="2" t="s">
        <v>8817</v>
      </c>
      <c r="E2813" s="2" t="s">
        <v>8818</v>
      </c>
      <c r="F2813" s="2" t="s">
        <v>10403</v>
      </c>
      <c r="G2813" s="2" t="s">
        <v>10403</v>
      </c>
      <c r="H2813" s="2" t="s">
        <v>10403</v>
      </c>
      <c r="I2813" s="2" t="s">
        <v>8847</v>
      </c>
      <c r="J2813" s="2" t="s">
        <v>6103</v>
      </c>
      <c r="K2813" s="2" t="s">
        <v>1412</v>
      </c>
      <c r="L2813" s="3">
        <v>265</v>
      </c>
      <c r="M2813" s="3">
        <v>278.25</v>
      </c>
      <c r="N2813" s="3">
        <v>549</v>
      </c>
      <c r="O2813" s="2" t="s">
        <v>97</v>
      </c>
      <c r="P2813" s="2" t="s">
        <v>182</v>
      </c>
      <c r="Q2813" s="2" t="s">
        <v>99</v>
      </c>
      <c r="R2813" s="2" t="s">
        <v>100</v>
      </c>
      <c r="S2813" s="2" t="s">
        <v>100</v>
      </c>
      <c r="T2813" s="2" t="s">
        <v>100</v>
      </c>
      <c r="U2813" s="2" t="s">
        <v>3531</v>
      </c>
      <c r="V2813" s="2" t="s">
        <v>601</v>
      </c>
      <c r="W2813" s="2" t="s">
        <v>602</v>
      </c>
      <c r="X2813" s="2" t="s">
        <v>6854</v>
      </c>
      <c r="Y2813" s="2" t="s">
        <v>10404</v>
      </c>
      <c r="Z2813" s="4">
        <v>111</v>
      </c>
      <c r="AA2813" s="4">
        <f>=ROUNDDOWN(15.8571428571429,0)</f>
      </c>
      <c r="AB2813" s="5">
        <v>7</v>
      </c>
      <c r="AC2813" s="2" t="s">
        <v>7432</v>
      </c>
      <c r="AD2813" s="4">
        <v>130</v>
      </c>
      <c r="AE2813" s="4">
        <v>348</v>
      </c>
      <c r="AF2813" s="6">
        <v>74</v>
      </c>
      <c r="AG2813" s="6"/>
      <c r="AH2813" s="7">
        <v>0.9818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>
        <v>0</v>
      </c>
      <c r="AP2813" s="4"/>
      <c r="AQ2813" s="8"/>
      <c r="AR2813" s="4">
        <v>7</v>
      </c>
      <c r="AS2813" s="8">
        <v>1739.07</v>
      </c>
      <c r="AT2813" s="7">
        <v>-1</v>
      </c>
      <c r="AU2813" s="7">
        <v>-1</v>
      </c>
      <c r="AV2813" s="4"/>
      <c r="AW2813" s="8"/>
      <c r="AX2813" s="4">
        <v>7</v>
      </c>
      <c r="AY2813" s="8">
        <v>1739.07</v>
      </c>
      <c r="AZ2813" s="7">
        <v>-1</v>
      </c>
      <c r="BA2813" s="7">
        <v>-1</v>
      </c>
      <c r="BB2813" s="7"/>
      <c r="BC2813" s="4"/>
      <c r="BD2813" s="8"/>
      <c r="BE2813" s="4">
        <v>7</v>
      </c>
      <c r="BF2813" s="8">
        <v>1739.07</v>
      </c>
      <c r="BG2813" s="7">
        <v>-1</v>
      </c>
      <c r="BH2813" s="7">
        <v>-1</v>
      </c>
      <c r="BI2813" s="7"/>
      <c r="BJ2813" s="4">
        <v>154</v>
      </c>
      <c r="BK2813" s="8">
        <v>42077.14</v>
      </c>
      <c r="BL2813" s="2" t="s">
        <v>10405</v>
      </c>
      <c r="BM2813" s="7"/>
      <c r="BN2813" s="7"/>
      <c r="BO2813" s="4"/>
      <c r="BP2813" s="8"/>
      <c r="BQ2813" s="4">
        <v>7</v>
      </c>
      <c r="BR2813" s="8">
        <v>1739.07</v>
      </c>
      <c r="BS2813" s="7">
        <v>-1</v>
      </c>
      <c r="BT2813" s="7">
        <v>-1</v>
      </c>
      <c r="BU2813" s="2" t="s">
        <v>109</v>
      </c>
      <c r="BV2813" s="2" t="s">
        <v>97</v>
      </c>
      <c r="BW2813" s="2" t="s">
        <v>8648</v>
      </c>
      <c r="BX2813" s="2" t="s">
        <v>3853</v>
      </c>
      <c r="BY2813" s="2" t="s">
        <v>112</v>
      </c>
      <c r="BZ2813" s="2" t="s">
        <v>100</v>
      </c>
    </row>
    <row r="2814">
      <c r="A2814" s="2" t="s">
        <v>10406</v>
      </c>
      <c r="B2814" s="2" t="s">
        <v>7252</v>
      </c>
      <c r="C2814" s="2" t="s">
        <v>6851</v>
      </c>
      <c r="D2814" s="2" t="s">
        <v>8817</v>
      </c>
      <c r="E2814" s="2" t="s">
        <v>8818</v>
      </c>
      <c r="F2814" s="2" t="s">
        <v>10407</v>
      </c>
      <c r="G2814" s="2" t="s">
        <v>10407</v>
      </c>
      <c r="H2814" s="2" t="s">
        <v>10407</v>
      </c>
      <c r="I2814" s="2" t="s">
        <v>10408</v>
      </c>
      <c r="J2814" s="2" t="s">
        <v>10106</v>
      </c>
      <c r="K2814" s="2" t="s">
        <v>635</v>
      </c>
      <c r="L2814" s="3">
        <v>285</v>
      </c>
      <c r="M2814" s="3">
        <v>299.25</v>
      </c>
      <c r="N2814" s="3">
        <v>599</v>
      </c>
      <c r="O2814" s="2" t="s">
        <v>97</v>
      </c>
      <c r="P2814" s="2" t="s">
        <v>124</v>
      </c>
      <c r="Q2814" s="2" t="s">
        <v>99</v>
      </c>
      <c r="R2814" s="2" t="s">
        <v>100</v>
      </c>
      <c r="S2814" s="2" t="s">
        <v>100</v>
      </c>
      <c r="T2814" s="2" t="s">
        <v>100</v>
      </c>
      <c r="U2814" s="2" t="s">
        <v>2104</v>
      </c>
      <c r="V2814" s="2" t="s">
        <v>601</v>
      </c>
      <c r="W2814" s="2" t="s">
        <v>1288</v>
      </c>
      <c r="X2814" s="2" t="s">
        <v>6859</v>
      </c>
      <c r="Y2814" s="2" t="s">
        <v>8648</v>
      </c>
      <c r="Z2814" s="4">
        <v>197</v>
      </c>
      <c r="AA2814" s="4">
        <f>=ROUNDDOWN(13.1333333333333,0)</f>
      </c>
      <c r="AB2814" s="5">
        <v>15</v>
      </c>
      <c r="AC2814" s="2" t="s">
        <v>3872</v>
      </c>
      <c r="AD2814" s="4">
        <v>162</v>
      </c>
      <c r="AE2814" s="4">
        <v>390</v>
      </c>
      <c r="AF2814" s="6">
        <v>66</v>
      </c>
      <c r="AG2814" s="6">
        <v>49</v>
      </c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316</v>
      </c>
      <c r="BK2814" s="8">
        <v>87188.53</v>
      </c>
      <c r="BL2814" s="2" t="s">
        <v>10409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6185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10410</v>
      </c>
      <c r="B2815" s="2" t="s">
        <v>7252</v>
      </c>
      <c r="C2815" s="2" t="s">
        <v>6851</v>
      </c>
      <c r="D2815" s="2" t="s">
        <v>8817</v>
      </c>
      <c r="E2815" s="2" t="s">
        <v>8818</v>
      </c>
      <c r="F2815" s="2" t="s">
        <v>10407</v>
      </c>
      <c r="G2815" s="2" t="s">
        <v>10407</v>
      </c>
      <c r="H2815" s="2" t="s">
        <v>10407</v>
      </c>
      <c r="I2815" s="2" t="s">
        <v>10408</v>
      </c>
      <c r="J2815" s="2" t="s">
        <v>10106</v>
      </c>
      <c r="K2815" s="2" t="s">
        <v>7943</v>
      </c>
      <c r="L2815" s="3">
        <v>285</v>
      </c>
      <c r="M2815" s="3">
        <v>299.25</v>
      </c>
      <c r="N2815" s="3">
        <v>599</v>
      </c>
      <c r="O2815" s="2" t="s">
        <v>97</v>
      </c>
      <c r="P2815" s="2" t="s">
        <v>143</v>
      </c>
      <c r="Q2815" s="2" t="s">
        <v>99</v>
      </c>
      <c r="R2815" s="2" t="s">
        <v>100</v>
      </c>
      <c r="S2815" s="2" t="s">
        <v>100</v>
      </c>
      <c r="T2815" s="2" t="s">
        <v>100</v>
      </c>
      <c r="U2815" s="2" t="s">
        <v>2104</v>
      </c>
      <c r="V2815" s="2" t="s">
        <v>601</v>
      </c>
      <c r="W2815" s="2" t="s">
        <v>1288</v>
      </c>
      <c r="X2815" s="2" t="s">
        <v>6859</v>
      </c>
      <c r="Y2815" s="2" t="s">
        <v>2132</v>
      </c>
      <c r="Z2815" s="4">
        <v>277</v>
      </c>
      <c r="AA2815" s="4">
        <f>=ROUNDDOWN(18.4666666666667,0)</f>
      </c>
      <c r="AB2815" s="5">
        <v>15</v>
      </c>
      <c r="AC2815" s="2" t="s">
        <v>3872</v>
      </c>
      <c r="AD2815" s="4">
        <v>161</v>
      </c>
      <c r="AE2815" s="4">
        <v>301</v>
      </c>
      <c r="AF2815" s="6">
        <v>66</v>
      </c>
      <c r="AG2815" s="6">
        <v>49</v>
      </c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357</v>
      </c>
      <c r="BK2815" s="8">
        <v>97212.46</v>
      </c>
      <c r="BL2815" s="2" t="s">
        <v>10411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6185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10412</v>
      </c>
      <c r="B2816" s="2" t="s">
        <v>7252</v>
      </c>
      <c r="C2816" s="2" t="s">
        <v>6851</v>
      </c>
      <c r="D2816" s="2" t="s">
        <v>8817</v>
      </c>
      <c r="E2816" s="2" t="s">
        <v>8818</v>
      </c>
      <c r="F2816" s="2" t="s">
        <v>10407</v>
      </c>
      <c r="G2816" s="2" t="s">
        <v>10407</v>
      </c>
      <c r="H2816" s="2" t="s">
        <v>10407</v>
      </c>
      <c r="I2816" s="2" t="s">
        <v>10408</v>
      </c>
      <c r="J2816" s="2" t="s">
        <v>10106</v>
      </c>
      <c r="K2816" s="2" t="s">
        <v>7696</v>
      </c>
      <c r="L2816" s="3">
        <v>285</v>
      </c>
      <c r="M2816" s="3">
        <v>299.25</v>
      </c>
      <c r="N2816" s="3">
        <v>599</v>
      </c>
      <c r="O2816" s="2" t="s">
        <v>97</v>
      </c>
      <c r="P2816" s="2" t="s">
        <v>182</v>
      </c>
      <c r="Q2816" s="2" t="s">
        <v>99</v>
      </c>
      <c r="R2816" s="2" t="s">
        <v>100</v>
      </c>
      <c r="S2816" s="2" t="s">
        <v>100</v>
      </c>
      <c r="T2816" s="2" t="s">
        <v>100</v>
      </c>
      <c r="U2816" s="2" t="s">
        <v>2104</v>
      </c>
      <c r="V2816" s="2" t="s">
        <v>601</v>
      </c>
      <c r="W2816" s="2" t="s">
        <v>1288</v>
      </c>
      <c r="X2816" s="2" t="s">
        <v>6859</v>
      </c>
      <c r="Y2816" s="2" t="s">
        <v>2750</v>
      </c>
      <c r="Z2816" s="4">
        <v>130</v>
      </c>
      <c r="AA2816" s="4">
        <f>=ROUNDDOWN(32.5,0)</f>
      </c>
      <c r="AB2816" s="5">
        <v>4</v>
      </c>
      <c r="AC2816" s="2" t="s">
        <v>480</v>
      </c>
      <c r="AD2816" s="4">
        <v>100</v>
      </c>
      <c r="AE2816" s="4">
        <v>100</v>
      </c>
      <c r="AF2816" s="6">
        <v>66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65</v>
      </c>
      <c r="BK2816" s="8">
        <v>17530</v>
      </c>
      <c r="BL2816" s="2" t="s">
        <v>9828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6185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10413</v>
      </c>
      <c r="B2817" s="2" t="s">
        <v>7252</v>
      </c>
      <c r="C2817" s="2" t="s">
        <v>6851</v>
      </c>
      <c r="D2817" s="2" t="s">
        <v>9299</v>
      </c>
      <c r="E2817" s="2" t="s">
        <v>9300</v>
      </c>
      <c r="F2817" s="2" t="s">
        <v>1215</v>
      </c>
      <c r="G2817" s="2" t="s">
        <v>1215</v>
      </c>
      <c r="H2817" s="2" t="s">
        <v>1215</v>
      </c>
      <c r="I2817" s="2" t="s">
        <v>10414</v>
      </c>
      <c r="J2817" s="2" t="s">
        <v>6103</v>
      </c>
      <c r="K2817" s="2" t="s">
        <v>123</v>
      </c>
      <c r="L2817" s="3">
        <v>240</v>
      </c>
      <c r="M2817" s="3">
        <v>252</v>
      </c>
      <c r="N2817" s="3">
        <v>499</v>
      </c>
      <c r="O2817" s="2" t="s">
        <v>97</v>
      </c>
      <c r="P2817" s="2" t="s">
        <v>1166</v>
      </c>
      <c r="Q2817" s="2" t="s">
        <v>99</v>
      </c>
      <c r="R2817" s="2" t="s">
        <v>100</v>
      </c>
      <c r="S2817" s="2" t="s">
        <v>100</v>
      </c>
      <c r="T2817" s="2" t="s">
        <v>100</v>
      </c>
      <c r="U2817" s="2" t="s">
        <v>3531</v>
      </c>
      <c r="V2817" s="2" t="s">
        <v>1752</v>
      </c>
      <c r="W2817" s="2" t="s">
        <v>1288</v>
      </c>
      <c r="X2817" s="2" t="s">
        <v>6859</v>
      </c>
      <c r="Y2817" s="2" t="s">
        <v>3985</v>
      </c>
      <c r="Z2817" s="4">
        <v>86</v>
      </c>
      <c r="AA2817" s="4">
        <f>=ROUNDDOWN(50.5882352941177,0)</f>
      </c>
      <c r="AB2817" s="5">
        <v>1.7</v>
      </c>
      <c r="AC2817" s="2" t="s">
        <v>100</v>
      </c>
      <c r="AD2817" s="4"/>
      <c r="AE2817" s="4"/>
      <c r="AF2817" s="6">
        <v>76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/>
      <c r="BD2817" s="8"/>
      <c r="BE2817" s="4"/>
      <c r="BF2817" s="8"/>
      <c r="BG2817" s="7"/>
      <c r="BH2817" s="7"/>
      <c r="BI2817" s="7"/>
      <c r="BJ2817" s="4">
        <v>12</v>
      </c>
      <c r="BK2817" s="8">
        <v>3046.55</v>
      </c>
      <c r="BL2817" s="2" t="s">
        <v>7682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6185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10415</v>
      </c>
      <c r="B2818" s="2" t="s">
        <v>7252</v>
      </c>
      <c r="C2818" s="2" t="s">
        <v>6851</v>
      </c>
      <c r="D2818" s="2" t="s">
        <v>9299</v>
      </c>
      <c r="E2818" s="2" t="s">
        <v>9300</v>
      </c>
      <c r="F2818" s="2" t="s">
        <v>1765</v>
      </c>
      <c r="G2818" s="2" t="s">
        <v>1765</v>
      </c>
      <c r="H2818" s="2" t="s">
        <v>1765</v>
      </c>
      <c r="I2818" s="2" t="s">
        <v>10416</v>
      </c>
      <c r="J2818" s="2" t="s">
        <v>6103</v>
      </c>
      <c r="K2818" s="2" t="s">
        <v>10417</v>
      </c>
      <c r="L2818" s="3">
        <v>229.5</v>
      </c>
      <c r="M2818" s="3">
        <v>240.98</v>
      </c>
      <c r="N2818" s="3">
        <v>479</v>
      </c>
      <c r="O2818" s="2" t="s">
        <v>97</v>
      </c>
      <c r="P2818" s="2" t="s">
        <v>198</v>
      </c>
      <c r="Q2818" s="2" t="s">
        <v>99</v>
      </c>
      <c r="R2818" s="2" t="s">
        <v>100</v>
      </c>
      <c r="S2818" s="2" t="s">
        <v>100</v>
      </c>
      <c r="T2818" s="2" t="s">
        <v>100</v>
      </c>
      <c r="U2818" s="2" t="s">
        <v>3531</v>
      </c>
      <c r="V2818" s="2" t="s">
        <v>601</v>
      </c>
      <c r="W2818" s="2" t="s">
        <v>1288</v>
      </c>
      <c r="X2818" s="2" t="s">
        <v>6859</v>
      </c>
      <c r="Y2818" s="2" t="s">
        <v>915</v>
      </c>
      <c r="Z2818" s="4">
        <v>72</v>
      </c>
      <c r="AA2818" s="4">
        <f>=ROUNDDOWN(36,0)</f>
      </c>
      <c r="AB2818" s="5">
        <v>2</v>
      </c>
      <c r="AC2818" s="2" t="s">
        <v>100</v>
      </c>
      <c r="AD2818" s="4"/>
      <c r="AE2818" s="4"/>
      <c r="AF2818" s="6">
        <v>74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/>
      <c r="BD2818" s="8"/>
      <c r="BE2818" s="4"/>
      <c r="BF2818" s="8"/>
      <c r="BG2818" s="7"/>
      <c r="BH2818" s="7"/>
      <c r="BI2818" s="7"/>
      <c r="BJ2818" s="4">
        <v>73</v>
      </c>
      <c r="BK2818" s="8">
        <v>14876.71</v>
      </c>
      <c r="BL2818" s="2" t="s">
        <v>10418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147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10419</v>
      </c>
      <c r="B2819" s="2" t="s">
        <v>7252</v>
      </c>
      <c r="C2819" s="2" t="s">
        <v>6851</v>
      </c>
      <c r="D2819" s="2" t="s">
        <v>9299</v>
      </c>
      <c r="E2819" s="2" t="s">
        <v>9300</v>
      </c>
      <c r="F2819" s="2" t="s">
        <v>10420</v>
      </c>
      <c r="G2819" s="2" t="s">
        <v>10420</v>
      </c>
      <c r="H2819" s="2" t="s">
        <v>10420</v>
      </c>
      <c r="I2819" s="2" t="s">
        <v>10421</v>
      </c>
      <c r="J2819" s="2" t="s">
        <v>6103</v>
      </c>
      <c r="K2819" s="2" t="s">
        <v>6846</v>
      </c>
      <c r="L2819" s="3">
        <v>318.25</v>
      </c>
      <c r="M2819" s="3">
        <v>334.16</v>
      </c>
      <c r="N2819" s="3">
        <v>669</v>
      </c>
      <c r="O2819" s="2" t="s">
        <v>229</v>
      </c>
      <c r="P2819" s="2" t="s">
        <v>198</v>
      </c>
      <c r="Q2819" s="2" t="s">
        <v>99</v>
      </c>
      <c r="R2819" s="2" t="s">
        <v>100</v>
      </c>
      <c r="S2819" s="2" t="s">
        <v>100</v>
      </c>
      <c r="T2819" s="2" t="s">
        <v>100</v>
      </c>
      <c r="U2819" s="2" t="s">
        <v>3531</v>
      </c>
      <c r="V2819" s="2" t="s">
        <v>601</v>
      </c>
      <c r="W2819" s="2" t="s">
        <v>1288</v>
      </c>
      <c r="X2819" s="2" t="s">
        <v>6859</v>
      </c>
      <c r="Y2819" s="2" t="s">
        <v>2932</v>
      </c>
      <c r="Z2819" s="4"/>
      <c r="AA2819" s="4">
        <f>=ROUNDDOWN({0},0)</f>
      </c>
      <c r="AB2819" s="5">
        <v>3</v>
      </c>
      <c r="AC2819" s="2" t="s">
        <v>100</v>
      </c>
      <c r="AD2819" s="4"/>
      <c r="AE2819" s="4"/>
      <c r="AF2819" s="6">
        <v>74</v>
      </c>
      <c r="AG2819" s="6"/>
      <c r="AH2819" s="7">
        <v>0.3212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>
        <v>0</v>
      </c>
      <c r="AP2819" s="4"/>
      <c r="AQ2819" s="8"/>
      <c r="AR2819" s="4">
        <v>6</v>
      </c>
      <c r="AS2819" s="8">
        <v>1688.39</v>
      </c>
      <c r="AT2819" s="7">
        <v>-1</v>
      </c>
      <c r="AU2819" s="7">
        <v>-1</v>
      </c>
      <c r="AV2819" s="4"/>
      <c r="AW2819" s="8"/>
      <c r="AX2819" s="4">
        <v>6</v>
      </c>
      <c r="AY2819" s="8">
        <v>1688.39</v>
      </c>
      <c r="AZ2819" s="7">
        <v>-1</v>
      </c>
      <c r="BA2819" s="7">
        <v>-1</v>
      </c>
      <c r="BB2819" s="7"/>
      <c r="BC2819" s="4"/>
      <c r="BD2819" s="8"/>
      <c r="BE2819" s="4">
        <v>6</v>
      </c>
      <c r="BF2819" s="8">
        <v>1688.39</v>
      </c>
      <c r="BG2819" s="7">
        <v>-1</v>
      </c>
      <c r="BH2819" s="7">
        <v>-1</v>
      </c>
      <c r="BI2819" s="7"/>
      <c r="BJ2819" s="4">
        <v>22</v>
      </c>
      <c r="BK2819" s="8">
        <v>7439.49</v>
      </c>
      <c r="BL2819" s="2" t="s">
        <v>10422</v>
      </c>
      <c r="BM2819" s="7"/>
      <c r="BN2819" s="7"/>
      <c r="BO2819" s="4"/>
      <c r="BP2819" s="8"/>
      <c r="BQ2819" s="4">
        <v>6</v>
      </c>
      <c r="BR2819" s="8">
        <v>1688.39</v>
      </c>
      <c r="BS2819" s="7">
        <v>-1</v>
      </c>
      <c r="BT2819" s="7">
        <v>-1</v>
      </c>
      <c r="BU2819" s="2" t="s">
        <v>109</v>
      </c>
      <c r="BV2819" s="2" t="s">
        <v>552</v>
      </c>
      <c r="BW2819" s="2" t="s">
        <v>7307</v>
      </c>
      <c r="BX2819" s="2" t="s">
        <v>10423</v>
      </c>
      <c r="BY2819" s="2" t="s">
        <v>112</v>
      </c>
      <c r="BZ2819" s="2" t="s">
        <v>100</v>
      </c>
    </row>
    <row r="2820">
      <c r="A2820" s="2" t="s">
        <v>10424</v>
      </c>
      <c r="B2820" s="2" t="s">
        <v>7252</v>
      </c>
      <c r="C2820" s="2" t="s">
        <v>6851</v>
      </c>
      <c r="D2820" s="2" t="s">
        <v>9247</v>
      </c>
      <c r="E2820" s="2" t="s">
        <v>9248</v>
      </c>
      <c r="F2820" s="2" t="s">
        <v>10230</v>
      </c>
      <c r="G2820" s="2" t="s">
        <v>10230</v>
      </c>
      <c r="H2820" s="2" t="s">
        <v>10230</v>
      </c>
      <c r="I2820" s="2" t="s">
        <v>9992</v>
      </c>
      <c r="J2820" s="2" t="s">
        <v>6103</v>
      </c>
      <c r="K2820" s="2" t="s">
        <v>10231</v>
      </c>
      <c r="L2820" s="3">
        <v>278</v>
      </c>
      <c r="M2820" s="3">
        <v>291.9</v>
      </c>
      <c r="N2820" s="3">
        <v>599</v>
      </c>
      <c r="O2820" s="2" t="s">
        <v>97</v>
      </c>
      <c r="P2820" s="2" t="s">
        <v>1166</v>
      </c>
      <c r="Q2820" s="2" t="s">
        <v>99</v>
      </c>
      <c r="R2820" s="2" t="s">
        <v>100</v>
      </c>
      <c r="S2820" s="2" t="s">
        <v>100</v>
      </c>
      <c r="T2820" s="2" t="s">
        <v>100</v>
      </c>
      <c r="U2820" s="2" t="s">
        <v>3531</v>
      </c>
      <c r="V2820" s="2" t="s">
        <v>1752</v>
      </c>
      <c r="W2820" s="2" t="s">
        <v>405</v>
      </c>
      <c r="X2820" s="2" t="s">
        <v>6908</v>
      </c>
      <c r="Y2820" s="2" t="s">
        <v>4814</v>
      </c>
      <c r="Z2820" s="4">
        <v>95</v>
      </c>
      <c r="AA2820" s="4">
        <f>=ROUNDDOWN(950,0)</f>
      </c>
      <c r="AB2820" s="5">
        <v>0.1</v>
      </c>
      <c r="AC2820" s="2" t="s">
        <v>3872</v>
      </c>
      <c r="AD2820" s="4">
        <v>4</v>
      </c>
      <c r="AE2820" s="4">
        <v>4</v>
      </c>
      <c r="AF2820" s="6">
        <v>74</v>
      </c>
      <c r="AG2820" s="6"/>
      <c r="AH2820" s="7">
        <v>0.914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/>
      <c r="AW2820" s="8"/>
      <c r="AX2820" s="4"/>
      <c r="AY2820" s="8"/>
      <c r="AZ2820" s="7"/>
      <c r="BA2820" s="7"/>
      <c r="BB2820" s="7"/>
      <c r="BC2820" s="4"/>
      <c r="BD2820" s="8"/>
      <c r="BE2820" s="4"/>
      <c r="BF2820" s="8"/>
      <c r="BG2820" s="7"/>
      <c r="BH2820" s="7"/>
      <c r="BI2820" s="7"/>
      <c r="BJ2820" s="4"/>
      <c r="BK2820" s="8"/>
      <c r="BL2820" s="2" t="s">
        <v>100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147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10425</v>
      </c>
      <c r="B2821" s="2" t="s">
        <v>7252</v>
      </c>
      <c r="C2821" s="2" t="s">
        <v>6851</v>
      </c>
      <c r="D2821" s="2" t="s">
        <v>8158</v>
      </c>
      <c r="E2821" s="2" t="s">
        <v>8159</v>
      </c>
      <c r="F2821" s="2" t="s">
        <v>1933</v>
      </c>
      <c r="G2821" s="2" t="s">
        <v>1933</v>
      </c>
      <c r="H2821" s="2" t="s">
        <v>1933</v>
      </c>
      <c r="I2821" s="2" t="s">
        <v>8162</v>
      </c>
      <c r="J2821" s="2" t="s">
        <v>6103</v>
      </c>
      <c r="K2821" s="2" t="s">
        <v>635</v>
      </c>
      <c r="L2821" s="3">
        <v>292.05</v>
      </c>
      <c r="M2821" s="3">
        <v>306.65</v>
      </c>
      <c r="N2821" s="3">
        <v>619</v>
      </c>
      <c r="O2821" s="2" t="s">
        <v>97</v>
      </c>
      <c r="P2821" s="2" t="s">
        <v>182</v>
      </c>
      <c r="Q2821" s="2" t="s">
        <v>99</v>
      </c>
      <c r="R2821" s="2" t="s">
        <v>100</v>
      </c>
      <c r="S2821" s="2" t="s">
        <v>100</v>
      </c>
      <c r="T2821" s="2" t="s">
        <v>100</v>
      </c>
      <c r="U2821" s="2" t="s">
        <v>3531</v>
      </c>
      <c r="V2821" s="2" t="s">
        <v>601</v>
      </c>
      <c r="W2821" s="2" t="s">
        <v>104</v>
      </c>
      <c r="X2821" s="2" t="s">
        <v>6854</v>
      </c>
      <c r="Y2821" s="2" t="s">
        <v>206</v>
      </c>
      <c r="Z2821" s="4">
        <v>227</v>
      </c>
      <c r="AA2821" s="4">
        <f>=ROUNDDOWN(56.75,0)</f>
      </c>
      <c r="AB2821" s="5">
        <v>4</v>
      </c>
      <c r="AC2821" s="2" t="s">
        <v>100</v>
      </c>
      <c r="AD2821" s="4"/>
      <c r="AE2821" s="4"/>
      <c r="AF2821" s="6">
        <v>74</v>
      </c>
      <c r="AG2821" s="6">
        <v>60</v>
      </c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>
        <v>111</v>
      </c>
      <c r="BK2821" s="8">
        <v>34789.25</v>
      </c>
      <c r="BL2821" s="2" t="s">
        <v>10426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6185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10427</v>
      </c>
      <c r="B2822" s="2" t="s">
        <v>7252</v>
      </c>
      <c r="C2822" s="2" t="s">
        <v>6851</v>
      </c>
      <c r="D2822" s="2" t="s">
        <v>8158</v>
      </c>
      <c r="E2822" s="2" t="s">
        <v>8159</v>
      </c>
      <c r="F2822" s="2" t="s">
        <v>1933</v>
      </c>
      <c r="G2822" s="2" t="s">
        <v>1933</v>
      </c>
      <c r="H2822" s="2" t="s">
        <v>1933</v>
      </c>
      <c r="I2822" s="2" t="s">
        <v>8162</v>
      </c>
      <c r="J2822" s="2" t="s">
        <v>6103</v>
      </c>
      <c r="K2822" s="2" t="s">
        <v>7943</v>
      </c>
      <c r="L2822" s="3">
        <v>292.05</v>
      </c>
      <c r="M2822" s="3">
        <v>306.65</v>
      </c>
      <c r="N2822" s="3">
        <v>619</v>
      </c>
      <c r="O2822" s="2" t="s">
        <v>97</v>
      </c>
      <c r="P2822" s="2" t="s">
        <v>182</v>
      </c>
      <c r="Q2822" s="2" t="s">
        <v>99</v>
      </c>
      <c r="R2822" s="2" t="s">
        <v>100</v>
      </c>
      <c r="S2822" s="2" t="s">
        <v>10428</v>
      </c>
      <c r="T2822" s="2" t="s">
        <v>100</v>
      </c>
      <c r="U2822" s="2" t="s">
        <v>3531</v>
      </c>
      <c r="V2822" s="2" t="s">
        <v>601</v>
      </c>
      <c r="W2822" s="2" t="s">
        <v>1190</v>
      </c>
      <c r="X2822" s="2" t="s">
        <v>6854</v>
      </c>
      <c r="Y2822" s="2" t="s">
        <v>10429</v>
      </c>
      <c r="Z2822" s="4">
        <v>119</v>
      </c>
      <c r="AA2822" s="4">
        <f>=ROUNDDOWN(23.8,0)</f>
      </c>
      <c r="AB2822" s="5">
        <v>5</v>
      </c>
      <c r="AC2822" s="2" t="s">
        <v>1248</v>
      </c>
      <c r="AD2822" s="4">
        <v>56</v>
      </c>
      <c r="AE2822" s="4">
        <v>56</v>
      </c>
      <c r="AF2822" s="6">
        <v>74</v>
      </c>
      <c r="AG2822" s="6">
        <v>60</v>
      </c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113</v>
      </c>
      <c r="BK2822" s="8">
        <v>31773.44</v>
      </c>
      <c r="BL2822" s="2" t="s">
        <v>10430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6185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10431</v>
      </c>
      <c r="B2823" s="2" t="s">
        <v>7252</v>
      </c>
      <c r="C2823" s="2" t="s">
        <v>6851</v>
      </c>
      <c r="D2823" s="2" t="s">
        <v>8158</v>
      </c>
      <c r="E2823" s="2" t="s">
        <v>8159</v>
      </c>
      <c r="F2823" s="2" t="s">
        <v>1226</v>
      </c>
      <c r="G2823" s="2" t="s">
        <v>1226</v>
      </c>
      <c r="H2823" s="2" t="s">
        <v>1226</v>
      </c>
      <c r="I2823" s="2" t="s">
        <v>10432</v>
      </c>
      <c r="J2823" s="2" t="s">
        <v>6103</v>
      </c>
      <c r="K2823" s="2" t="s">
        <v>123</v>
      </c>
      <c r="L2823" s="3">
        <v>255</v>
      </c>
      <c r="M2823" s="3">
        <v>267.75</v>
      </c>
      <c r="N2823" s="3">
        <v>549</v>
      </c>
      <c r="O2823" s="2" t="s">
        <v>97</v>
      </c>
      <c r="P2823" s="2" t="s">
        <v>1166</v>
      </c>
      <c r="Q2823" s="2" t="s">
        <v>99</v>
      </c>
      <c r="R2823" s="2" t="s">
        <v>100</v>
      </c>
      <c r="S2823" s="2" t="s">
        <v>100</v>
      </c>
      <c r="T2823" s="2" t="s">
        <v>100</v>
      </c>
      <c r="U2823" s="2" t="s">
        <v>3531</v>
      </c>
      <c r="V2823" s="2" t="s">
        <v>1752</v>
      </c>
      <c r="W2823" s="2" t="s">
        <v>1288</v>
      </c>
      <c r="X2823" s="2" t="s">
        <v>6859</v>
      </c>
      <c r="Y2823" s="2" t="s">
        <v>10433</v>
      </c>
      <c r="Z2823" s="4">
        <v>138</v>
      </c>
      <c r="AA2823" s="4">
        <f>=ROUNDDOWN(69,0)</f>
      </c>
      <c r="AB2823" s="5">
        <v>2</v>
      </c>
      <c r="AC2823" s="2" t="s">
        <v>100</v>
      </c>
      <c r="AD2823" s="4"/>
      <c r="AE2823" s="4"/>
      <c r="AF2823" s="6">
        <v>66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/>
      <c r="BD2823" s="8"/>
      <c r="BE2823" s="4"/>
      <c r="BF2823" s="8"/>
      <c r="BG2823" s="7"/>
      <c r="BH2823" s="7"/>
      <c r="BI2823" s="7"/>
      <c r="BJ2823" s="4">
        <v>20</v>
      </c>
      <c r="BK2823" s="8">
        <v>5640.97</v>
      </c>
      <c r="BL2823" s="2" t="s">
        <v>5499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147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10434</v>
      </c>
      <c r="B2824" s="2" t="s">
        <v>7252</v>
      </c>
      <c r="C2824" s="2" t="s">
        <v>6851</v>
      </c>
      <c r="D2824" s="2" t="s">
        <v>8158</v>
      </c>
      <c r="E2824" s="2" t="s">
        <v>8159</v>
      </c>
      <c r="F2824" s="2" t="s">
        <v>8926</v>
      </c>
      <c r="G2824" s="2" t="s">
        <v>8926</v>
      </c>
      <c r="H2824" s="2" t="s">
        <v>8926</v>
      </c>
      <c r="I2824" s="2" t="s">
        <v>10435</v>
      </c>
      <c r="J2824" s="2" t="s">
        <v>6103</v>
      </c>
      <c r="K2824" s="2" t="s">
        <v>1412</v>
      </c>
      <c r="L2824" s="3">
        <v>285</v>
      </c>
      <c r="M2824" s="3">
        <v>299.25</v>
      </c>
      <c r="N2824" s="3">
        <v>599</v>
      </c>
      <c r="O2824" s="2" t="s">
        <v>229</v>
      </c>
      <c r="P2824" s="2" t="s">
        <v>198</v>
      </c>
      <c r="Q2824" s="2" t="s">
        <v>99</v>
      </c>
      <c r="R2824" s="2" t="s">
        <v>100</v>
      </c>
      <c r="S2824" s="2" t="s">
        <v>10436</v>
      </c>
      <c r="T2824" s="2" t="s">
        <v>100</v>
      </c>
      <c r="U2824" s="2" t="s">
        <v>3531</v>
      </c>
      <c r="V2824" s="2" t="s">
        <v>601</v>
      </c>
      <c r="W2824" s="2" t="s">
        <v>1288</v>
      </c>
      <c r="X2824" s="2" t="s">
        <v>6859</v>
      </c>
      <c r="Y2824" s="2" t="s">
        <v>10437</v>
      </c>
      <c r="Z2824" s="4"/>
      <c r="AA2824" s="4">
        <f>=ROUNDDOWN({0},0)</f>
      </c>
      <c r="AB2824" s="5">
        <v>17.1</v>
      </c>
      <c r="AC2824" s="2" t="s">
        <v>100</v>
      </c>
      <c r="AD2824" s="4"/>
      <c r="AE2824" s="4"/>
      <c r="AF2824" s="6">
        <v>66</v>
      </c>
      <c r="AG2824" s="6">
        <v>49</v>
      </c>
      <c r="AH2824" s="7">
        <v>0.4788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>
        <v>0</v>
      </c>
      <c r="AP2824" s="4"/>
      <c r="AQ2824" s="8"/>
      <c r="AR2824" s="4">
        <v>15</v>
      </c>
      <c r="AS2824" s="8">
        <v>4091.08</v>
      </c>
      <c r="AT2824" s="7">
        <v>-1</v>
      </c>
      <c r="AU2824" s="7">
        <v>-1</v>
      </c>
      <c r="AV2824" s="4"/>
      <c r="AW2824" s="8"/>
      <c r="AX2824" s="4">
        <v>15</v>
      </c>
      <c r="AY2824" s="8">
        <v>4091.08</v>
      </c>
      <c r="AZ2824" s="7">
        <v>-1</v>
      </c>
      <c r="BA2824" s="7">
        <v>-1</v>
      </c>
      <c r="BB2824" s="7"/>
      <c r="BC2824" s="4" t="s">
        <v>100</v>
      </c>
      <c r="BD2824" s="8" t="s">
        <v>100</v>
      </c>
      <c r="BE2824" s="4">
        <v>15</v>
      </c>
      <c r="BF2824" s="8">
        <v>4091.08</v>
      </c>
      <c r="BG2824" s="7" t="s">
        <v>100</v>
      </c>
      <c r="BH2824" s="7" t="s">
        <v>100</v>
      </c>
      <c r="BI2824" s="7"/>
      <c r="BJ2824" s="4">
        <v>250</v>
      </c>
      <c r="BK2824" s="8">
        <v>73998.44</v>
      </c>
      <c r="BL2824" s="2" t="s">
        <v>10438</v>
      </c>
      <c r="BM2824" s="7"/>
      <c r="BN2824" s="7"/>
      <c r="BO2824" s="4"/>
      <c r="BP2824" s="8"/>
      <c r="BQ2824" s="4">
        <v>15</v>
      </c>
      <c r="BR2824" s="8">
        <v>4091.08</v>
      </c>
      <c r="BS2824" s="7">
        <v>-1</v>
      </c>
      <c r="BT2824" s="7">
        <v>-1</v>
      </c>
      <c r="BU2824" s="2" t="s">
        <v>109</v>
      </c>
      <c r="BV2824" s="2" t="s">
        <v>552</v>
      </c>
      <c r="BW2824" s="2" t="s">
        <v>7382</v>
      </c>
      <c r="BX2824" s="2" t="s">
        <v>387</v>
      </c>
      <c r="BY2824" s="2" t="s">
        <v>112</v>
      </c>
      <c r="BZ2824" s="2" t="s">
        <v>100</v>
      </c>
    </row>
    <row r="2825">
      <c r="A2825" s="2" t="s">
        <v>10439</v>
      </c>
      <c r="B2825" s="2" t="s">
        <v>7252</v>
      </c>
      <c r="C2825" s="2" t="s">
        <v>6851</v>
      </c>
      <c r="D2825" s="2" t="s">
        <v>8158</v>
      </c>
      <c r="E2825" s="2" t="s">
        <v>8159</v>
      </c>
      <c r="F2825" s="2" t="s">
        <v>8926</v>
      </c>
      <c r="G2825" s="2" t="s">
        <v>8926</v>
      </c>
      <c r="H2825" s="2" t="s">
        <v>8926</v>
      </c>
      <c r="I2825" s="2" t="s">
        <v>10435</v>
      </c>
      <c r="J2825" s="2" t="s">
        <v>6103</v>
      </c>
      <c r="K2825" s="2" t="s">
        <v>7611</v>
      </c>
      <c r="L2825" s="3">
        <v>285</v>
      </c>
      <c r="M2825" s="3">
        <v>299.25</v>
      </c>
      <c r="N2825" s="3">
        <v>599</v>
      </c>
      <c r="O2825" s="2" t="s">
        <v>97</v>
      </c>
      <c r="P2825" s="2" t="s">
        <v>182</v>
      </c>
      <c r="Q2825" s="2" t="s">
        <v>99</v>
      </c>
      <c r="R2825" s="2" t="s">
        <v>100</v>
      </c>
      <c r="S2825" s="2" t="s">
        <v>100</v>
      </c>
      <c r="T2825" s="2" t="s">
        <v>100</v>
      </c>
      <c r="U2825" s="2" t="s">
        <v>3531</v>
      </c>
      <c r="V2825" s="2" t="s">
        <v>601</v>
      </c>
      <c r="W2825" s="2" t="s">
        <v>1288</v>
      </c>
      <c r="X2825" s="2" t="s">
        <v>6859</v>
      </c>
      <c r="Y2825" s="2" t="s">
        <v>943</v>
      </c>
      <c r="Z2825" s="4">
        <v>545</v>
      </c>
      <c r="AA2825" s="4">
        <f>=ROUNDDOWN(15.5714285714286,0)</f>
      </c>
      <c r="AB2825" s="5">
        <v>35</v>
      </c>
      <c r="AC2825" s="2" t="s">
        <v>474</v>
      </c>
      <c r="AD2825" s="4">
        <v>141</v>
      </c>
      <c r="AE2825" s="4">
        <v>141</v>
      </c>
      <c r="AF2825" s="6">
        <v>66</v>
      </c>
      <c r="AG2825" s="6">
        <v>49</v>
      </c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294</v>
      </c>
      <c r="BK2825" s="8">
        <v>75965.86</v>
      </c>
      <c r="BL2825" s="2" t="s">
        <v>10440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147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10441</v>
      </c>
      <c r="B2826" s="2" t="s">
        <v>7252</v>
      </c>
      <c r="C2826" s="2" t="s">
        <v>6851</v>
      </c>
      <c r="D2826" s="2" t="s">
        <v>8158</v>
      </c>
      <c r="E2826" s="2" t="s">
        <v>8159</v>
      </c>
      <c r="F2826" s="2" t="s">
        <v>8926</v>
      </c>
      <c r="G2826" s="2" t="s">
        <v>8926</v>
      </c>
      <c r="H2826" s="2" t="s">
        <v>8926</v>
      </c>
      <c r="I2826" s="2" t="s">
        <v>10435</v>
      </c>
      <c r="J2826" s="2" t="s">
        <v>6103</v>
      </c>
      <c r="K2826" s="2" t="s">
        <v>333</v>
      </c>
      <c r="L2826" s="3">
        <v>285</v>
      </c>
      <c r="M2826" s="3">
        <v>299.25</v>
      </c>
      <c r="N2826" s="3">
        <v>599</v>
      </c>
      <c r="O2826" s="2" t="s">
        <v>97</v>
      </c>
      <c r="P2826" s="2" t="s">
        <v>182</v>
      </c>
      <c r="Q2826" s="2" t="s">
        <v>99</v>
      </c>
      <c r="R2826" s="2" t="s">
        <v>100</v>
      </c>
      <c r="S2826" s="2" t="s">
        <v>100</v>
      </c>
      <c r="T2826" s="2" t="s">
        <v>100</v>
      </c>
      <c r="U2826" s="2" t="s">
        <v>3531</v>
      </c>
      <c r="V2826" s="2" t="s">
        <v>601</v>
      </c>
      <c r="W2826" s="2" t="s">
        <v>1288</v>
      </c>
      <c r="X2826" s="2" t="s">
        <v>6859</v>
      </c>
      <c r="Y2826" s="2" t="s">
        <v>4071</v>
      </c>
      <c r="Z2826" s="4">
        <v>3</v>
      </c>
      <c r="AA2826" s="4">
        <f>=ROUNDDOWN(0.6,0)</f>
      </c>
      <c r="AB2826" s="5">
        <v>5</v>
      </c>
      <c r="AC2826" s="2" t="s">
        <v>107</v>
      </c>
      <c r="AD2826" s="4">
        <v>141</v>
      </c>
      <c r="AE2826" s="4">
        <v>141</v>
      </c>
      <c r="AF2826" s="6">
        <v>66</v>
      </c>
      <c r="AG2826" s="6"/>
      <c r="AH2826" s="7">
        <v>0.9818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96</v>
      </c>
      <c r="BK2826" s="8">
        <v>28480.55</v>
      </c>
      <c r="BL2826" s="2" t="s">
        <v>10442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6185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10443</v>
      </c>
      <c r="B2827" s="2" t="s">
        <v>7252</v>
      </c>
      <c r="C2827" s="2" t="s">
        <v>6851</v>
      </c>
      <c r="D2827" s="2" t="s">
        <v>8158</v>
      </c>
      <c r="E2827" s="2" t="s">
        <v>8159</v>
      </c>
      <c r="F2827" s="2" t="s">
        <v>8926</v>
      </c>
      <c r="G2827" s="2" t="s">
        <v>8926</v>
      </c>
      <c r="H2827" s="2" t="s">
        <v>8926</v>
      </c>
      <c r="I2827" s="2" t="s">
        <v>10435</v>
      </c>
      <c r="J2827" s="2" t="s">
        <v>6103</v>
      </c>
      <c r="K2827" s="2" t="s">
        <v>7943</v>
      </c>
      <c r="L2827" s="3">
        <v>285</v>
      </c>
      <c r="M2827" s="3">
        <v>299.25</v>
      </c>
      <c r="N2827" s="3">
        <v>599</v>
      </c>
      <c r="O2827" s="2" t="s">
        <v>97</v>
      </c>
      <c r="P2827" s="2" t="s">
        <v>124</v>
      </c>
      <c r="Q2827" s="2" t="s">
        <v>99</v>
      </c>
      <c r="R2827" s="2" t="s">
        <v>100</v>
      </c>
      <c r="S2827" s="2" t="s">
        <v>100</v>
      </c>
      <c r="T2827" s="2" t="s">
        <v>100</v>
      </c>
      <c r="U2827" s="2" t="s">
        <v>3531</v>
      </c>
      <c r="V2827" s="2" t="s">
        <v>601</v>
      </c>
      <c r="W2827" s="2" t="s">
        <v>1288</v>
      </c>
      <c r="X2827" s="2" t="s">
        <v>6859</v>
      </c>
      <c r="Y2827" s="2" t="s">
        <v>5844</v>
      </c>
      <c r="Z2827" s="4">
        <v>493</v>
      </c>
      <c r="AA2827" s="4">
        <f>=ROUNDDOWN(10.0612244897959,0)</f>
      </c>
      <c r="AB2827" s="5">
        <v>49</v>
      </c>
      <c r="AC2827" s="2" t="s">
        <v>936</v>
      </c>
      <c r="AD2827" s="4">
        <v>21</v>
      </c>
      <c r="AE2827" s="4">
        <v>878</v>
      </c>
      <c r="AF2827" s="6">
        <v>66</v>
      </c>
      <c r="AG2827" s="6">
        <v>49</v>
      </c>
      <c r="AH2827" s="7">
        <v>1</v>
      </c>
      <c r="AI2827" s="4"/>
      <c r="AJ2827" s="4">
        <f>=ROUNDDOWN({0},0)</f>
      </c>
      <c r="AK2827" s="5"/>
      <c r="AL2827" s="2" t="s">
        <v>325</v>
      </c>
      <c r="AM2827" s="4">
        <v>141</v>
      </c>
      <c r="AN2827" s="4">
        <v>141</v>
      </c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>
        <v>1280</v>
      </c>
      <c r="BK2827" s="8">
        <v>380675.78</v>
      </c>
      <c r="BL2827" s="2" t="s">
        <v>10444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6185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10445</v>
      </c>
      <c r="B2828" s="2" t="s">
        <v>7252</v>
      </c>
      <c r="C2828" s="2" t="s">
        <v>6851</v>
      </c>
      <c r="D2828" s="2" t="s">
        <v>8158</v>
      </c>
      <c r="E2828" s="2" t="s">
        <v>8159</v>
      </c>
      <c r="F2828" s="2" t="s">
        <v>8926</v>
      </c>
      <c r="G2828" s="2" t="s">
        <v>8926</v>
      </c>
      <c r="H2828" s="2" t="s">
        <v>8926</v>
      </c>
      <c r="I2828" s="2" t="s">
        <v>10435</v>
      </c>
      <c r="J2828" s="2" t="s">
        <v>6103</v>
      </c>
      <c r="K2828" s="2" t="s">
        <v>10446</v>
      </c>
      <c r="L2828" s="3">
        <v>285</v>
      </c>
      <c r="M2828" s="3">
        <v>299.25</v>
      </c>
      <c r="N2828" s="3">
        <v>599</v>
      </c>
      <c r="O2828" s="2" t="s">
        <v>97</v>
      </c>
      <c r="P2828" s="2" t="s">
        <v>182</v>
      </c>
      <c r="Q2828" s="2" t="s">
        <v>99</v>
      </c>
      <c r="R2828" s="2" t="s">
        <v>100</v>
      </c>
      <c r="S2828" s="2" t="s">
        <v>100</v>
      </c>
      <c r="T2828" s="2" t="s">
        <v>100</v>
      </c>
      <c r="U2828" s="2" t="s">
        <v>3531</v>
      </c>
      <c r="V2828" s="2" t="s">
        <v>601</v>
      </c>
      <c r="W2828" s="2" t="s">
        <v>1288</v>
      </c>
      <c r="X2828" s="2" t="s">
        <v>6859</v>
      </c>
      <c r="Y2828" s="2" t="s">
        <v>3253</v>
      </c>
      <c r="Z2828" s="4">
        <v>143</v>
      </c>
      <c r="AA2828" s="4">
        <f>=ROUNDDOWN(15.8888888888889,0)</f>
      </c>
      <c r="AB2828" s="5">
        <v>9</v>
      </c>
      <c r="AC2828" s="2" t="s">
        <v>766</v>
      </c>
      <c r="AD2828" s="4">
        <v>100</v>
      </c>
      <c r="AE2828" s="4">
        <v>100</v>
      </c>
      <c r="AF2828" s="6">
        <v>66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/>
      <c r="AW2828" s="8"/>
      <c r="AX2828" s="4"/>
      <c r="AY2828" s="8"/>
      <c r="AZ2828" s="7"/>
      <c r="BA2828" s="7"/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130</v>
      </c>
      <c r="BK2828" s="8">
        <v>36164.1</v>
      </c>
      <c r="BL2828" s="2" t="s">
        <v>10442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6185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10447</v>
      </c>
      <c r="B2829" s="2" t="s">
        <v>7252</v>
      </c>
      <c r="C2829" s="2" t="s">
        <v>6851</v>
      </c>
      <c r="D2829" s="2" t="s">
        <v>8158</v>
      </c>
      <c r="E2829" s="2" t="s">
        <v>8159</v>
      </c>
      <c r="F2829" s="2" t="s">
        <v>10448</v>
      </c>
      <c r="G2829" s="2" t="s">
        <v>10448</v>
      </c>
      <c r="H2829" s="2" t="s">
        <v>10448</v>
      </c>
      <c r="I2829" s="2" t="s">
        <v>10449</v>
      </c>
      <c r="J2829" s="2" t="s">
        <v>6103</v>
      </c>
      <c r="K2829" s="2" t="s">
        <v>1204</v>
      </c>
      <c r="L2829" s="3">
        <v>228</v>
      </c>
      <c r="M2829" s="3">
        <v>239.4</v>
      </c>
      <c r="N2829" s="3">
        <v>479</v>
      </c>
      <c r="O2829" s="2" t="s">
        <v>97</v>
      </c>
      <c r="P2829" s="2" t="s">
        <v>198</v>
      </c>
      <c r="Q2829" s="2" t="s">
        <v>99</v>
      </c>
      <c r="R2829" s="2" t="s">
        <v>100</v>
      </c>
      <c r="S2829" s="2" t="s">
        <v>100</v>
      </c>
      <c r="T2829" s="2" t="s">
        <v>100</v>
      </c>
      <c r="U2829" s="2" t="s">
        <v>3531</v>
      </c>
      <c r="V2829" s="2" t="s">
        <v>1752</v>
      </c>
      <c r="W2829" s="2" t="s">
        <v>602</v>
      </c>
      <c r="X2829" s="2" t="s">
        <v>6854</v>
      </c>
      <c r="Y2829" s="2" t="s">
        <v>5527</v>
      </c>
      <c r="Z2829" s="4">
        <v>109</v>
      </c>
      <c r="AA2829" s="4">
        <f>=ROUNDDOWN(136.25,0)</f>
      </c>
      <c r="AB2829" s="5">
        <v>0.8</v>
      </c>
      <c r="AC2829" s="2" t="s">
        <v>100</v>
      </c>
      <c r="AD2829" s="4"/>
      <c r="AE2829" s="4"/>
      <c r="AF2829" s="6">
        <v>74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/>
      <c r="AW2829" s="8"/>
      <c r="AX2829" s="4"/>
      <c r="AY2829" s="8"/>
      <c r="AZ2829" s="7"/>
      <c r="BA2829" s="7"/>
      <c r="BB2829" s="7"/>
      <c r="BC2829" s="4"/>
      <c r="BD2829" s="8"/>
      <c r="BE2829" s="4"/>
      <c r="BF2829" s="8"/>
      <c r="BG2829" s="7"/>
      <c r="BH2829" s="7"/>
      <c r="BI2829" s="7"/>
      <c r="BJ2829" s="4">
        <v>26</v>
      </c>
      <c r="BK2829" s="8">
        <v>3907.32</v>
      </c>
      <c r="BL2829" s="2" t="s">
        <v>7456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147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10450</v>
      </c>
      <c r="B2830" s="2" t="s">
        <v>7252</v>
      </c>
      <c r="C2830" s="2" t="s">
        <v>6851</v>
      </c>
      <c r="D2830" s="2" t="s">
        <v>8158</v>
      </c>
      <c r="E2830" s="2" t="s">
        <v>8159</v>
      </c>
      <c r="F2830" s="2" t="s">
        <v>10451</v>
      </c>
      <c r="G2830" s="2" t="s">
        <v>10451</v>
      </c>
      <c r="H2830" s="2" t="s">
        <v>10451</v>
      </c>
      <c r="I2830" s="2" t="s">
        <v>10452</v>
      </c>
      <c r="J2830" s="2" t="s">
        <v>6103</v>
      </c>
      <c r="K2830" s="2" t="s">
        <v>635</v>
      </c>
      <c r="L2830" s="3">
        <v>256.5</v>
      </c>
      <c r="M2830" s="3">
        <v>269.32</v>
      </c>
      <c r="N2830" s="3">
        <v>539</v>
      </c>
      <c r="O2830" s="2" t="s">
        <v>97</v>
      </c>
      <c r="P2830" s="2" t="s">
        <v>198</v>
      </c>
      <c r="Q2830" s="2" t="s">
        <v>99</v>
      </c>
      <c r="R2830" s="2" t="s">
        <v>100</v>
      </c>
      <c r="S2830" s="2" t="s">
        <v>100</v>
      </c>
      <c r="T2830" s="2" t="s">
        <v>100</v>
      </c>
      <c r="U2830" s="2" t="s">
        <v>3531</v>
      </c>
      <c r="V2830" s="2" t="s">
        <v>1752</v>
      </c>
      <c r="W2830" s="2" t="s">
        <v>100</v>
      </c>
      <c r="X2830" s="2" t="s">
        <v>6854</v>
      </c>
      <c r="Y2830" s="2" t="s">
        <v>10315</v>
      </c>
      <c r="Z2830" s="4">
        <v>176</v>
      </c>
      <c r="AA2830" s="4">
        <f>=ROUNDDOWN(176,0)</f>
      </c>
      <c r="AB2830" s="5">
        <v>1</v>
      </c>
      <c r="AC2830" s="2" t="s">
        <v>100</v>
      </c>
      <c r="AD2830" s="4"/>
      <c r="AE2830" s="4"/>
      <c r="AF2830" s="6">
        <v>74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/>
      <c r="AW2830" s="8"/>
      <c r="AX2830" s="4"/>
      <c r="AY2830" s="8"/>
      <c r="AZ2830" s="7"/>
      <c r="BA2830" s="7"/>
      <c r="BB2830" s="7"/>
      <c r="BC2830" s="4"/>
      <c r="BD2830" s="8"/>
      <c r="BE2830" s="4"/>
      <c r="BF2830" s="8"/>
      <c r="BG2830" s="7"/>
      <c r="BH2830" s="7"/>
      <c r="BI2830" s="7"/>
      <c r="BJ2830" s="4">
        <v>21</v>
      </c>
      <c r="BK2830" s="8">
        <v>5984.37</v>
      </c>
      <c r="BL2830" s="2" t="s">
        <v>10453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6185</v>
      </c>
      <c r="BV2830" s="2" t="s">
        <v>97</v>
      </c>
      <c r="BW2830" s="2" t="s">
        <v>100</v>
      </c>
      <c r="BX2830" s="2" t="s">
        <v>100</v>
      </c>
      <c r="BY2830" s="2" t="s">
        <v>112</v>
      </c>
      <c r="BZ2830" s="2" t="s">
        <v>100</v>
      </c>
    </row>
    <row r="2831">
      <c r="A2831" s="2" t="s">
        <v>10454</v>
      </c>
      <c r="B2831" s="2" t="s">
        <v>7252</v>
      </c>
      <c r="C2831" s="2" t="s">
        <v>6851</v>
      </c>
      <c r="D2831" s="2" t="s">
        <v>9802</v>
      </c>
      <c r="E2831" s="2" t="s">
        <v>9803</v>
      </c>
      <c r="F2831" s="2" t="s">
        <v>10286</v>
      </c>
      <c r="G2831" s="2" t="s">
        <v>10286</v>
      </c>
      <c r="H2831" s="2" t="s">
        <v>10286</v>
      </c>
      <c r="I2831" s="2" t="s">
        <v>9803</v>
      </c>
      <c r="J2831" s="2" t="s">
        <v>6103</v>
      </c>
      <c r="K2831" s="2" t="s">
        <v>9092</v>
      </c>
      <c r="L2831" s="3">
        <v>127</v>
      </c>
      <c r="M2831" s="3">
        <v>133.35</v>
      </c>
      <c r="N2831" s="3">
        <v>269</v>
      </c>
      <c r="O2831" s="2" t="s">
        <v>97</v>
      </c>
      <c r="P2831" s="2" t="s">
        <v>1166</v>
      </c>
      <c r="Q2831" s="2" t="s">
        <v>99</v>
      </c>
      <c r="R2831" s="2" t="s">
        <v>100</v>
      </c>
      <c r="S2831" s="2" t="s">
        <v>100</v>
      </c>
      <c r="T2831" s="2" t="s">
        <v>100</v>
      </c>
      <c r="U2831" s="2" t="s">
        <v>3531</v>
      </c>
      <c r="V2831" s="2" t="s">
        <v>1752</v>
      </c>
      <c r="W2831" s="2" t="s">
        <v>405</v>
      </c>
      <c r="X2831" s="2" t="s">
        <v>6908</v>
      </c>
      <c r="Y2831" s="2" t="s">
        <v>3161</v>
      </c>
      <c r="Z2831" s="4">
        <v>95</v>
      </c>
      <c r="AA2831" s="4">
        <f>=ROUNDDOWN(190,0)</f>
      </c>
      <c r="AB2831" s="5">
        <v>0.5</v>
      </c>
      <c r="AC2831" s="2" t="s">
        <v>100</v>
      </c>
      <c r="AD2831" s="4"/>
      <c r="AE2831" s="4"/>
      <c r="AF2831" s="6">
        <v>76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/>
      <c r="AW2831" s="8"/>
      <c r="AX2831" s="4"/>
      <c r="AY2831" s="8"/>
      <c r="AZ2831" s="7"/>
      <c r="BA2831" s="7"/>
      <c r="BB2831" s="7"/>
      <c r="BC2831" s="4"/>
      <c r="BD2831" s="8"/>
      <c r="BE2831" s="4"/>
      <c r="BF2831" s="8"/>
      <c r="BG2831" s="7"/>
      <c r="BH2831" s="7"/>
      <c r="BI2831" s="7"/>
      <c r="BJ2831" s="4">
        <v>4</v>
      </c>
      <c r="BK2831" s="8">
        <v>586.72</v>
      </c>
      <c r="BL2831" s="2" t="s">
        <v>8801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147</v>
      </c>
      <c r="BV2831" s="2" t="s">
        <v>97</v>
      </c>
      <c r="BW2831" s="2" t="s">
        <v>100</v>
      </c>
      <c r="BX2831" s="2" t="s">
        <v>100</v>
      </c>
      <c r="BY2831" s="2" t="s">
        <v>112</v>
      </c>
      <c r="BZ2831" s="2" t="s">
        <v>100</v>
      </c>
    </row>
    <row r="2832">
      <c r="A2832" s="2" t="s">
        <v>10455</v>
      </c>
      <c r="B2832" s="2" t="s">
        <v>7252</v>
      </c>
      <c r="C2832" s="2" t="s">
        <v>6851</v>
      </c>
      <c r="D2832" s="2" t="s">
        <v>9802</v>
      </c>
      <c r="E2832" s="2" t="s">
        <v>9803</v>
      </c>
      <c r="F2832" s="2" t="s">
        <v>8338</v>
      </c>
      <c r="G2832" s="2" t="s">
        <v>8338</v>
      </c>
      <c r="H2832" s="2" t="s">
        <v>8338</v>
      </c>
      <c r="I2832" s="2" t="s">
        <v>10456</v>
      </c>
      <c r="J2832" s="2" t="s">
        <v>6103</v>
      </c>
      <c r="K2832" s="2" t="s">
        <v>10341</v>
      </c>
      <c r="L2832" s="3">
        <v>125</v>
      </c>
      <c r="M2832" s="3">
        <v>131.25</v>
      </c>
      <c r="N2832" s="3">
        <v>259</v>
      </c>
      <c r="O2832" s="2" t="s">
        <v>97</v>
      </c>
      <c r="P2832" s="2" t="s">
        <v>1166</v>
      </c>
      <c r="Q2832" s="2" t="s">
        <v>99</v>
      </c>
      <c r="R2832" s="2" t="s">
        <v>100</v>
      </c>
      <c r="S2832" s="2" t="s">
        <v>100</v>
      </c>
      <c r="T2832" s="2" t="s">
        <v>100</v>
      </c>
      <c r="U2832" s="2" t="s">
        <v>3531</v>
      </c>
      <c r="V2832" s="2" t="s">
        <v>1752</v>
      </c>
      <c r="W2832" s="2" t="s">
        <v>759</v>
      </c>
      <c r="X2832" s="2" t="s">
        <v>6908</v>
      </c>
      <c r="Y2832" s="2" t="s">
        <v>4814</v>
      </c>
      <c r="Z2832" s="4">
        <v>87</v>
      </c>
      <c r="AA2832" s="4">
        <f>=ROUNDDOWN(145,0)</f>
      </c>
      <c r="AB2832" s="5">
        <v>0.6</v>
      </c>
      <c r="AC2832" s="2" t="s">
        <v>100</v>
      </c>
      <c r="AD2832" s="4"/>
      <c r="AE2832" s="4"/>
      <c r="AF2832" s="6">
        <v>74</v>
      </c>
      <c r="AG2832" s="6"/>
      <c r="AH2832" s="7">
        <v>0.6989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/>
      <c r="AW2832" s="8"/>
      <c r="AX2832" s="4"/>
      <c r="AY2832" s="8"/>
      <c r="AZ2832" s="7"/>
      <c r="BA2832" s="7"/>
      <c r="BB2832" s="7"/>
      <c r="BC2832" s="4"/>
      <c r="BD2832" s="8"/>
      <c r="BE2832" s="4"/>
      <c r="BF2832" s="8"/>
      <c r="BG2832" s="7"/>
      <c r="BH2832" s="7"/>
      <c r="BI2832" s="7"/>
      <c r="BJ2832" s="4">
        <v>10</v>
      </c>
      <c r="BK2832" s="8">
        <v>1478.76</v>
      </c>
      <c r="BL2832" s="2" t="s">
        <v>9616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147</v>
      </c>
      <c r="BV2832" s="2" t="s">
        <v>97</v>
      </c>
      <c r="BW2832" s="2" t="s">
        <v>100</v>
      </c>
      <c r="BX2832" s="2" t="s">
        <v>100</v>
      </c>
      <c r="BY2832" s="2" t="s">
        <v>112</v>
      </c>
      <c r="BZ2832" s="2" t="s">
        <v>100</v>
      </c>
    </row>
    <row r="2833">
      <c r="A2833" s="2" t="s">
        <v>10457</v>
      </c>
      <c r="B2833" s="2" t="s">
        <v>7252</v>
      </c>
      <c r="C2833" s="2" t="s">
        <v>6851</v>
      </c>
      <c r="D2833" s="2" t="s">
        <v>8680</v>
      </c>
      <c r="E2833" s="2" t="s">
        <v>8681</v>
      </c>
      <c r="F2833" s="2" t="s">
        <v>10458</v>
      </c>
      <c r="G2833" s="2" t="s">
        <v>10458</v>
      </c>
      <c r="H2833" s="2" t="s">
        <v>10458</v>
      </c>
      <c r="I2833" s="2" t="s">
        <v>10459</v>
      </c>
      <c r="J2833" s="2" t="s">
        <v>6103</v>
      </c>
      <c r="K2833" s="2" t="s">
        <v>2367</v>
      </c>
      <c r="L2833" s="3">
        <v>193.5</v>
      </c>
      <c r="M2833" s="3">
        <v>203.18</v>
      </c>
      <c r="N2833" s="3">
        <v>399</v>
      </c>
      <c r="O2833" s="2" t="s">
        <v>97</v>
      </c>
      <c r="P2833" s="2" t="s">
        <v>182</v>
      </c>
      <c r="Q2833" s="2" t="s">
        <v>99</v>
      </c>
      <c r="R2833" s="2" t="s">
        <v>100</v>
      </c>
      <c r="S2833" s="2" t="s">
        <v>100</v>
      </c>
      <c r="T2833" s="2" t="s">
        <v>100</v>
      </c>
      <c r="U2833" s="2" t="s">
        <v>3531</v>
      </c>
      <c r="V2833" s="2" t="s">
        <v>601</v>
      </c>
      <c r="W2833" s="2" t="s">
        <v>104</v>
      </c>
      <c r="X2833" s="2" t="s">
        <v>6859</v>
      </c>
      <c r="Y2833" s="2" t="s">
        <v>3539</v>
      </c>
      <c r="Z2833" s="4">
        <v>59</v>
      </c>
      <c r="AA2833" s="4">
        <f>=ROUNDDOWN(14.75,0)</f>
      </c>
      <c r="AB2833" s="5">
        <v>4</v>
      </c>
      <c r="AC2833" s="2" t="s">
        <v>3645</v>
      </c>
      <c r="AD2833" s="4">
        <v>100</v>
      </c>
      <c r="AE2833" s="4">
        <v>100</v>
      </c>
      <c r="AF2833" s="6">
        <v>66</v>
      </c>
      <c r="AG2833" s="6">
        <v>49</v>
      </c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/>
      <c r="AW2833" s="8"/>
      <c r="AX2833" s="4"/>
      <c r="AY2833" s="8"/>
      <c r="AZ2833" s="7"/>
      <c r="BA2833" s="7"/>
      <c r="BB2833" s="7"/>
      <c r="BC2833" s="4"/>
      <c r="BD2833" s="8"/>
      <c r="BE2833" s="4"/>
      <c r="BF2833" s="8"/>
      <c r="BG2833" s="7"/>
      <c r="BH2833" s="7"/>
      <c r="BI2833" s="7"/>
      <c r="BJ2833" s="4">
        <v>94</v>
      </c>
      <c r="BK2833" s="8">
        <v>18667.37</v>
      </c>
      <c r="BL2833" s="2" t="s">
        <v>10460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6185</v>
      </c>
      <c r="BV2833" s="2" t="s">
        <v>97</v>
      </c>
      <c r="BW2833" s="2" t="s">
        <v>100</v>
      </c>
      <c r="BX2833" s="2" t="s">
        <v>100</v>
      </c>
      <c r="BY2833" s="2" t="s">
        <v>112</v>
      </c>
      <c r="BZ2833" s="2" t="s">
        <v>100</v>
      </c>
    </row>
    <row r="2834">
      <c r="A2834" s="2" t="s">
        <v>10461</v>
      </c>
      <c r="B2834" s="2" t="s">
        <v>7252</v>
      </c>
      <c r="C2834" s="2" t="s">
        <v>6851</v>
      </c>
      <c r="D2834" s="2" t="s">
        <v>8680</v>
      </c>
      <c r="E2834" s="2" t="s">
        <v>8681</v>
      </c>
      <c r="F2834" s="2" t="s">
        <v>1164</v>
      </c>
      <c r="G2834" s="2" t="s">
        <v>1164</v>
      </c>
      <c r="H2834" s="2" t="s">
        <v>1164</v>
      </c>
      <c r="I2834" s="2" t="s">
        <v>10459</v>
      </c>
      <c r="J2834" s="2" t="s">
        <v>6103</v>
      </c>
      <c r="K2834" s="2" t="s">
        <v>1204</v>
      </c>
      <c r="L2834" s="3">
        <v>135.58</v>
      </c>
      <c r="M2834" s="3">
        <v>142.36</v>
      </c>
      <c r="N2834" s="3">
        <v>289</v>
      </c>
      <c r="O2834" s="2" t="s">
        <v>229</v>
      </c>
      <c r="P2834" s="2" t="s">
        <v>198</v>
      </c>
      <c r="Q2834" s="2" t="s">
        <v>99</v>
      </c>
      <c r="R2834" s="2" t="s">
        <v>100</v>
      </c>
      <c r="S2834" s="2" t="s">
        <v>100</v>
      </c>
      <c r="T2834" s="2" t="s">
        <v>100</v>
      </c>
      <c r="U2834" s="2" t="s">
        <v>3531</v>
      </c>
      <c r="V2834" s="2" t="s">
        <v>601</v>
      </c>
      <c r="W2834" s="2" t="s">
        <v>104</v>
      </c>
      <c r="X2834" s="2" t="s">
        <v>6859</v>
      </c>
      <c r="Y2834" s="2" t="s">
        <v>962</v>
      </c>
      <c r="Z2834" s="4"/>
      <c r="AA2834" s="4">
        <f>=ROUNDDOWN({0},0)</f>
      </c>
      <c r="AB2834" s="5"/>
      <c r="AC2834" s="2" t="s">
        <v>100</v>
      </c>
      <c r="AD2834" s="4"/>
      <c r="AE2834" s="4"/>
      <c r="AF2834" s="6">
        <v>66</v>
      </c>
      <c r="AG2834" s="6"/>
      <c r="AH2834" s="7">
        <v>0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>
        <v>0</v>
      </c>
      <c r="AP2834" s="4"/>
      <c r="AQ2834" s="8"/>
      <c r="AR2834" s="4">
        <v>2</v>
      </c>
      <c r="AS2834" s="8">
        <v>261.98</v>
      </c>
      <c r="AT2834" s="7">
        <v>-1</v>
      </c>
      <c r="AU2834" s="7">
        <v>-1</v>
      </c>
      <c r="AV2834" s="4"/>
      <c r="AW2834" s="8"/>
      <c r="AX2834" s="4">
        <v>2</v>
      </c>
      <c r="AY2834" s="8">
        <v>261.98</v>
      </c>
      <c r="AZ2834" s="7">
        <v>-1</v>
      </c>
      <c r="BA2834" s="7">
        <v>-1</v>
      </c>
      <c r="BB2834" s="7"/>
      <c r="BC2834" s="4" t="s">
        <v>100</v>
      </c>
      <c r="BD2834" s="8" t="s">
        <v>100</v>
      </c>
      <c r="BE2834" s="4">
        <v>7</v>
      </c>
      <c r="BF2834" s="8">
        <v>807.46</v>
      </c>
      <c r="BG2834" s="7" t="s">
        <v>100</v>
      </c>
      <c r="BH2834" s="7" t="s">
        <v>100</v>
      </c>
      <c r="BI2834" s="7"/>
      <c r="BJ2834" s="4"/>
      <c r="BK2834" s="8"/>
      <c r="BL2834" s="2" t="s">
        <v>10462</v>
      </c>
      <c r="BM2834" s="7"/>
      <c r="BN2834" s="7"/>
      <c r="BO2834" s="4"/>
      <c r="BP2834" s="8"/>
      <c r="BQ2834" s="4">
        <v>2</v>
      </c>
      <c r="BR2834" s="8">
        <v>261.98</v>
      </c>
      <c r="BS2834" s="7">
        <v>-1</v>
      </c>
      <c r="BT2834" s="7">
        <v>-1</v>
      </c>
      <c r="BU2834" s="2" t="s">
        <v>109</v>
      </c>
      <c r="BV2834" s="2" t="s">
        <v>552</v>
      </c>
      <c r="BW2834" s="2" t="s">
        <v>8648</v>
      </c>
      <c r="BX2834" s="2" t="s">
        <v>1116</v>
      </c>
      <c r="BY2834" s="2" t="s">
        <v>112</v>
      </c>
      <c r="BZ2834" s="2" t="s">
        <v>100</v>
      </c>
    </row>
    <row r="2835">
      <c r="A2835" s="2" t="s">
        <v>10463</v>
      </c>
      <c r="B2835" s="2" t="s">
        <v>7252</v>
      </c>
      <c r="C2835" s="2" t="s">
        <v>6851</v>
      </c>
      <c r="D2835" s="2" t="s">
        <v>8680</v>
      </c>
      <c r="E2835" s="2" t="s">
        <v>8681</v>
      </c>
      <c r="F2835" s="2" t="s">
        <v>1164</v>
      </c>
      <c r="G2835" s="2" t="s">
        <v>1164</v>
      </c>
      <c r="H2835" s="2" t="s">
        <v>1164</v>
      </c>
      <c r="I2835" s="2" t="s">
        <v>10459</v>
      </c>
      <c r="J2835" s="2" t="s">
        <v>6103</v>
      </c>
      <c r="K2835" s="2" t="s">
        <v>4481</v>
      </c>
      <c r="L2835" s="3">
        <v>135.58</v>
      </c>
      <c r="M2835" s="3">
        <v>142.36</v>
      </c>
      <c r="N2835" s="3">
        <v>289</v>
      </c>
      <c r="O2835" s="2" t="s">
        <v>97</v>
      </c>
      <c r="P2835" s="2" t="s">
        <v>182</v>
      </c>
      <c r="Q2835" s="2" t="s">
        <v>99</v>
      </c>
      <c r="R2835" s="2" t="s">
        <v>100</v>
      </c>
      <c r="S2835" s="2" t="s">
        <v>10464</v>
      </c>
      <c r="T2835" s="2" t="s">
        <v>100</v>
      </c>
      <c r="U2835" s="2" t="s">
        <v>3531</v>
      </c>
      <c r="V2835" s="2" t="s">
        <v>601</v>
      </c>
      <c r="W2835" s="2" t="s">
        <v>1288</v>
      </c>
      <c r="X2835" s="2" t="s">
        <v>6859</v>
      </c>
      <c r="Y2835" s="2" t="s">
        <v>6183</v>
      </c>
      <c r="Z2835" s="4">
        <v>121</v>
      </c>
      <c r="AA2835" s="4">
        <f>=ROUNDDOWN(20.1666666666667,0)</f>
      </c>
      <c r="AB2835" s="5">
        <v>6</v>
      </c>
      <c r="AC2835" s="2" t="s">
        <v>659</v>
      </c>
      <c r="AD2835" s="4">
        <v>95</v>
      </c>
      <c r="AE2835" s="4">
        <v>95</v>
      </c>
      <c r="AF2835" s="6">
        <v>66</v>
      </c>
      <c r="AG2835" s="6">
        <v>49</v>
      </c>
      <c r="AH2835" s="7">
        <v>0.8667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>
        <v>0</v>
      </c>
      <c r="AP2835" s="4"/>
      <c r="AQ2835" s="8"/>
      <c r="AR2835" s="4">
        <v>5</v>
      </c>
      <c r="AS2835" s="8">
        <v>545.48</v>
      </c>
      <c r="AT2835" s="7">
        <v>-1</v>
      </c>
      <c r="AU2835" s="7">
        <v>-1</v>
      </c>
      <c r="AV2835" s="4"/>
      <c r="AW2835" s="8"/>
      <c r="AX2835" s="4">
        <v>5</v>
      </c>
      <c r="AY2835" s="8">
        <v>545.48</v>
      </c>
      <c r="AZ2835" s="7">
        <v>-1</v>
      </c>
      <c r="BA2835" s="7">
        <v>-1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/>
      <c r="BJ2835" s="4">
        <v>111</v>
      </c>
      <c r="BK2835" s="8">
        <v>15613.04</v>
      </c>
      <c r="BL2835" s="2" t="s">
        <v>10465</v>
      </c>
      <c r="BM2835" s="7"/>
      <c r="BN2835" s="7"/>
      <c r="BO2835" s="4"/>
      <c r="BP2835" s="8"/>
      <c r="BQ2835" s="4">
        <v>5</v>
      </c>
      <c r="BR2835" s="8">
        <v>545.48</v>
      </c>
      <c r="BS2835" s="7">
        <v>-1</v>
      </c>
      <c r="BT2835" s="7">
        <v>-1</v>
      </c>
      <c r="BU2835" s="2" t="s">
        <v>109</v>
      </c>
      <c r="BV2835" s="2" t="s">
        <v>97</v>
      </c>
      <c r="BW2835" s="2" t="s">
        <v>7307</v>
      </c>
      <c r="BX2835" s="2" t="s">
        <v>4825</v>
      </c>
      <c r="BY2835" s="2" t="s">
        <v>112</v>
      </c>
      <c r="BZ2835" s="2" t="s">
        <v>100</v>
      </c>
    </row>
    <row r="2836">
      <c r="A2836" s="2" t="s">
        <v>10466</v>
      </c>
      <c r="B2836" s="2" t="s">
        <v>7252</v>
      </c>
      <c r="C2836" s="2" t="s">
        <v>6851</v>
      </c>
      <c r="D2836" s="2" t="s">
        <v>8680</v>
      </c>
      <c r="E2836" s="2" t="s">
        <v>8681</v>
      </c>
      <c r="F2836" s="2" t="s">
        <v>10467</v>
      </c>
      <c r="G2836" s="2" t="s">
        <v>10467</v>
      </c>
      <c r="H2836" s="2" t="s">
        <v>10467</v>
      </c>
      <c r="I2836" s="2" t="s">
        <v>10459</v>
      </c>
      <c r="J2836" s="2" t="s">
        <v>6103</v>
      </c>
      <c r="K2836" s="2" t="s">
        <v>123</v>
      </c>
      <c r="L2836" s="3">
        <v>70.3</v>
      </c>
      <c r="M2836" s="3">
        <v>73.82</v>
      </c>
      <c r="N2836" s="3">
        <v>149</v>
      </c>
      <c r="O2836" s="2" t="s">
        <v>97</v>
      </c>
      <c r="P2836" s="2" t="s">
        <v>182</v>
      </c>
      <c r="Q2836" s="2" t="s">
        <v>99</v>
      </c>
      <c r="R2836" s="2" t="s">
        <v>100</v>
      </c>
      <c r="S2836" s="2" t="s">
        <v>10468</v>
      </c>
      <c r="T2836" s="2" t="s">
        <v>100</v>
      </c>
      <c r="U2836" s="2" t="s">
        <v>3531</v>
      </c>
      <c r="V2836" s="2" t="s">
        <v>601</v>
      </c>
      <c r="W2836" s="2" t="s">
        <v>1288</v>
      </c>
      <c r="X2836" s="2" t="s">
        <v>6859</v>
      </c>
      <c r="Y2836" s="2" t="s">
        <v>10469</v>
      </c>
      <c r="Z2836" s="4">
        <v>241</v>
      </c>
      <c r="AA2836" s="4">
        <f>=ROUNDDOWN(24.1,0)</f>
      </c>
      <c r="AB2836" s="5">
        <v>10</v>
      </c>
      <c r="AC2836" s="2" t="s">
        <v>474</v>
      </c>
      <c r="AD2836" s="4">
        <v>102</v>
      </c>
      <c r="AE2836" s="4">
        <v>102</v>
      </c>
      <c r="AF2836" s="6">
        <v>66</v>
      </c>
      <c r="AG2836" s="6">
        <v>49</v>
      </c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>
        <v>0</v>
      </c>
      <c r="AP2836" s="4"/>
      <c r="AQ2836" s="8"/>
      <c r="AR2836" s="4">
        <v>6</v>
      </c>
      <c r="AS2836" s="8">
        <v>376.88</v>
      </c>
      <c r="AT2836" s="7">
        <v>-1</v>
      </c>
      <c r="AU2836" s="7">
        <v>-1</v>
      </c>
      <c r="AV2836" s="4" t="s">
        <v>100</v>
      </c>
      <c r="AW2836" s="8" t="s">
        <v>100</v>
      </c>
      <c r="AX2836" s="4">
        <v>10</v>
      </c>
      <c r="AY2836" s="8">
        <v>840.2</v>
      </c>
      <c r="AZ2836" s="7" t="s">
        <v>100</v>
      </c>
      <c r="BA2836" s="7" t="s">
        <v>100</v>
      </c>
      <c r="BB2836" s="7" t="s">
        <v>100</v>
      </c>
      <c r="BC2836" s="4" t="s">
        <v>100</v>
      </c>
      <c r="BD2836" s="8" t="s">
        <v>100</v>
      </c>
      <c r="BE2836" s="4">
        <v>10</v>
      </c>
      <c r="BF2836" s="8">
        <v>840.2</v>
      </c>
      <c r="BG2836" s="7" t="s">
        <v>100</v>
      </c>
      <c r="BH2836" s="7" t="s">
        <v>100</v>
      </c>
      <c r="BI2836" s="7"/>
      <c r="BJ2836" s="4">
        <v>237</v>
      </c>
      <c r="BK2836" s="8">
        <v>18030.46</v>
      </c>
      <c r="BL2836" s="2" t="s">
        <v>10470</v>
      </c>
      <c r="BM2836" s="7"/>
      <c r="BN2836" s="7"/>
      <c r="BO2836" s="4"/>
      <c r="BP2836" s="8"/>
      <c r="BQ2836" s="4">
        <v>6</v>
      </c>
      <c r="BR2836" s="8">
        <v>376.88</v>
      </c>
      <c r="BS2836" s="7">
        <v>-1</v>
      </c>
      <c r="BT2836" s="7">
        <v>-1</v>
      </c>
      <c r="BU2836" s="2" t="s">
        <v>109</v>
      </c>
      <c r="BV2836" s="2" t="s">
        <v>97</v>
      </c>
      <c r="BW2836" s="2" t="s">
        <v>7307</v>
      </c>
      <c r="BX2836" s="2" t="s">
        <v>4360</v>
      </c>
      <c r="BY2836" s="2" t="s">
        <v>112</v>
      </c>
      <c r="BZ2836" s="2" t="s">
        <v>100</v>
      </c>
    </row>
    <row r="2837">
      <c r="A2837" s="2" t="s">
        <v>10471</v>
      </c>
      <c r="B2837" s="2" t="s">
        <v>7252</v>
      </c>
      <c r="C2837" s="2" t="s">
        <v>6851</v>
      </c>
      <c r="D2837" s="2" t="s">
        <v>8680</v>
      </c>
      <c r="E2837" s="2" t="s">
        <v>8681</v>
      </c>
      <c r="F2837" s="2" t="s">
        <v>10467</v>
      </c>
      <c r="G2837" s="2" t="s">
        <v>10467</v>
      </c>
      <c r="H2837" s="2" t="s">
        <v>10467</v>
      </c>
      <c r="I2837" s="2" t="s">
        <v>10472</v>
      </c>
      <c r="J2837" s="2" t="s">
        <v>6103</v>
      </c>
      <c r="K2837" s="2" t="s">
        <v>123</v>
      </c>
      <c r="L2837" s="3">
        <v>144</v>
      </c>
      <c r="M2837" s="3">
        <v>151.2</v>
      </c>
      <c r="N2837" s="3">
        <v>299</v>
      </c>
      <c r="O2837" s="2" t="s">
        <v>97</v>
      </c>
      <c r="P2837" s="2" t="s">
        <v>1265</v>
      </c>
      <c r="Q2837" s="2" t="s">
        <v>99</v>
      </c>
      <c r="R2837" s="2" t="s">
        <v>100</v>
      </c>
      <c r="S2837" s="2" t="s">
        <v>10468</v>
      </c>
      <c r="T2837" s="2" t="s">
        <v>100</v>
      </c>
      <c r="U2837" s="2" t="s">
        <v>3531</v>
      </c>
      <c r="V2837" s="2" t="s">
        <v>601</v>
      </c>
      <c r="W2837" s="2" t="s">
        <v>1288</v>
      </c>
      <c r="X2837" s="2" t="s">
        <v>6859</v>
      </c>
      <c r="Y2837" s="2" t="s">
        <v>6183</v>
      </c>
      <c r="Z2837" s="4">
        <v>142</v>
      </c>
      <c r="AA2837" s="4">
        <f>=ROUNDDOWN(71,0)</f>
      </c>
      <c r="AB2837" s="5">
        <v>2</v>
      </c>
      <c r="AC2837" s="2" t="s">
        <v>659</v>
      </c>
      <c r="AD2837" s="4">
        <v>21</v>
      </c>
      <c r="AE2837" s="4">
        <v>21</v>
      </c>
      <c r="AF2837" s="6">
        <v>66</v>
      </c>
      <c r="AG2837" s="6">
        <v>49</v>
      </c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>
        <v>0</v>
      </c>
      <c r="AP2837" s="4"/>
      <c r="AQ2837" s="8"/>
      <c r="AR2837" s="4">
        <v>4</v>
      </c>
      <c r="AS2837" s="8">
        <v>463.32</v>
      </c>
      <c r="AT2837" s="7">
        <v>-1</v>
      </c>
      <c r="AU2837" s="7">
        <v>-1</v>
      </c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 t="s">
        <v>100</v>
      </c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/>
      <c r="BJ2837" s="4">
        <v>55</v>
      </c>
      <c r="BK2837" s="8">
        <v>7733.06</v>
      </c>
      <c r="BL2837" s="2" t="s">
        <v>10473</v>
      </c>
      <c r="BM2837" s="7"/>
      <c r="BN2837" s="7"/>
      <c r="BO2837" s="4"/>
      <c r="BP2837" s="8"/>
      <c r="BQ2837" s="4">
        <v>4</v>
      </c>
      <c r="BR2837" s="8">
        <v>463.32</v>
      </c>
      <c r="BS2837" s="7">
        <v>-1</v>
      </c>
      <c r="BT2837" s="7">
        <v>-1</v>
      </c>
      <c r="BU2837" s="2" t="s">
        <v>109</v>
      </c>
      <c r="BV2837" s="2" t="s">
        <v>97</v>
      </c>
      <c r="BW2837" s="2" t="s">
        <v>4745</v>
      </c>
      <c r="BX2837" s="2" t="s">
        <v>2091</v>
      </c>
      <c r="BY2837" s="2" t="s">
        <v>112</v>
      </c>
      <c r="BZ2837" s="2" t="s">
        <v>100</v>
      </c>
    </row>
    <row r="2838">
      <c r="A2838" s="2" t="s">
        <v>10474</v>
      </c>
      <c r="B2838" s="2" t="s">
        <v>7252</v>
      </c>
      <c r="C2838" s="2" t="s">
        <v>6851</v>
      </c>
      <c r="D2838" s="2" t="s">
        <v>8680</v>
      </c>
      <c r="E2838" s="2" t="s">
        <v>8681</v>
      </c>
      <c r="F2838" s="2" t="s">
        <v>10475</v>
      </c>
      <c r="G2838" s="2" t="s">
        <v>10475</v>
      </c>
      <c r="H2838" s="2" t="s">
        <v>10475</v>
      </c>
      <c r="I2838" s="2" t="s">
        <v>10476</v>
      </c>
      <c r="J2838" s="2" t="s">
        <v>6103</v>
      </c>
      <c r="K2838" s="2" t="s">
        <v>158</v>
      </c>
      <c r="L2838" s="3">
        <v>140.25</v>
      </c>
      <c r="M2838" s="3">
        <v>147.26</v>
      </c>
      <c r="N2838" s="3">
        <v>299</v>
      </c>
      <c r="O2838" s="2" t="s">
        <v>97</v>
      </c>
      <c r="P2838" s="2" t="s">
        <v>182</v>
      </c>
      <c r="Q2838" s="2" t="s">
        <v>99</v>
      </c>
      <c r="R2838" s="2" t="s">
        <v>100</v>
      </c>
      <c r="S2838" s="2" t="s">
        <v>100</v>
      </c>
      <c r="T2838" s="2" t="s">
        <v>100</v>
      </c>
      <c r="U2838" s="2" t="s">
        <v>3531</v>
      </c>
      <c r="V2838" s="2" t="s">
        <v>1752</v>
      </c>
      <c r="W2838" s="2" t="s">
        <v>100</v>
      </c>
      <c r="X2838" s="2" t="s">
        <v>6859</v>
      </c>
      <c r="Y2838" s="2" t="s">
        <v>8785</v>
      </c>
      <c r="Z2838" s="4">
        <v>125</v>
      </c>
      <c r="AA2838" s="4">
        <f>=ROUNDDOWN(23.5849056603774,0)</f>
      </c>
      <c r="AB2838" s="5">
        <v>5.3</v>
      </c>
      <c r="AC2838" s="2" t="s">
        <v>518</v>
      </c>
      <c r="AD2838" s="4">
        <v>96</v>
      </c>
      <c r="AE2838" s="4">
        <v>96</v>
      </c>
      <c r="AF2838" s="6">
        <v>66</v>
      </c>
      <c r="AG2838" s="6"/>
      <c r="AH2838" s="7">
        <v>0.8909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/>
      <c r="AW2838" s="8"/>
      <c r="AX2838" s="4"/>
      <c r="AY2838" s="8"/>
      <c r="AZ2838" s="7"/>
      <c r="BA2838" s="7"/>
      <c r="BB2838" s="7"/>
      <c r="BC2838" s="4"/>
      <c r="BD2838" s="8"/>
      <c r="BE2838" s="4"/>
      <c r="BF2838" s="8"/>
      <c r="BG2838" s="7"/>
      <c r="BH2838" s="7"/>
      <c r="BI2838" s="7"/>
      <c r="BJ2838" s="4">
        <v>136</v>
      </c>
      <c r="BK2838" s="8">
        <v>21399.76</v>
      </c>
      <c r="BL2838" s="2" t="s">
        <v>10477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6185</v>
      </c>
      <c r="BV2838" s="2" t="s">
        <v>97</v>
      </c>
      <c r="BW2838" s="2" t="s">
        <v>100</v>
      </c>
      <c r="BX2838" s="2" t="s">
        <v>100</v>
      </c>
      <c r="BY2838" s="2" t="s">
        <v>112</v>
      </c>
      <c r="BZ2838" s="2" t="s">
        <v>100</v>
      </c>
    </row>
    <row r="2839">
      <c r="A2839" s="2" t="s">
        <v>10478</v>
      </c>
      <c r="B2839" s="2" t="s">
        <v>7252</v>
      </c>
      <c r="C2839" s="2" t="s">
        <v>4305</v>
      </c>
      <c r="D2839" s="2" t="s">
        <v>8424</v>
      </c>
      <c r="E2839" s="2" t="s">
        <v>8548</v>
      </c>
      <c r="F2839" s="2" t="s">
        <v>1251</v>
      </c>
      <c r="G2839" s="2" t="s">
        <v>1251</v>
      </c>
      <c r="H2839" s="2" t="s">
        <v>1251</v>
      </c>
      <c r="I2839" s="2" t="s">
        <v>10479</v>
      </c>
      <c r="J2839" s="2" t="s">
        <v>6103</v>
      </c>
      <c r="K2839" s="2" t="s">
        <v>7696</v>
      </c>
      <c r="L2839" s="3">
        <v>83.6</v>
      </c>
      <c r="M2839" s="3">
        <v>87.78</v>
      </c>
      <c r="N2839" s="3">
        <v>179</v>
      </c>
      <c r="O2839" s="2" t="s">
        <v>97</v>
      </c>
      <c r="P2839" s="2" t="s">
        <v>1166</v>
      </c>
      <c r="Q2839" s="2" t="s">
        <v>99</v>
      </c>
      <c r="R2839" s="2" t="s">
        <v>100</v>
      </c>
      <c r="S2839" s="2" t="s">
        <v>100</v>
      </c>
      <c r="T2839" s="2" t="s">
        <v>100</v>
      </c>
      <c r="U2839" s="2" t="s">
        <v>3531</v>
      </c>
      <c r="V2839" s="2" t="s">
        <v>1752</v>
      </c>
      <c r="W2839" s="2" t="s">
        <v>104</v>
      </c>
      <c r="X2839" s="2" t="s">
        <v>602</v>
      </c>
      <c r="Y2839" s="2" t="s">
        <v>1573</v>
      </c>
      <c r="Z2839" s="4">
        <v>157</v>
      </c>
      <c r="AA2839" s="4">
        <f>=ROUNDDOWN(157,0)</f>
      </c>
      <c r="AB2839" s="5">
        <v>1</v>
      </c>
      <c r="AC2839" s="2" t="s">
        <v>100</v>
      </c>
      <c r="AD2839" s="4"/>
      <c r="AE2839" s="4"/>
      <c r="AF2839" s="6">
        <v>74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/>
      <c r="AW2839" s="8"/>
      <c r="AX2839" s="4"/>
      <c r="AY2839" s="8"/>
      <c r="AZ2839" s="7"/>
      <c r="BA2839" s="7"/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/>
      <c r="BJ2839" s="4">
        <v>3</v>
      </c>
      <c r="BK2839" s="8">
        <v>293.09</v>
      </c>
      <c r="BL2839" s="2" t="s">
        <v>10480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6185</v>
      </c>
      <c r="BV2839" s="2" t="s">
        <v>97</v>
      </c>
      <c r="BW2839" s="2" t="s">
        <v>100</v>
      </c>
      <c r="BX2839" s="2" t="s">
        <v>100</v>
      </c>
      <c r="BY2839" s="2" t="s">
        <v>112</v>
      </c>
      <c r="BZ2839" s="2" t="s">
        <v>100</v>
      </c>
    </row>
    <row r="2840">
      <c r="A2840" s="2" t="s">
        <v>10481</v>
      </c>
      <c r="B2840" s="2" t="s">
        <v>7252</v>
      </c>
      <c r="C2840" s="2" t="s">
        <v>4305</v>
      </c>
      <c r="D2840" s="2" t="s">
        <v>8424</v>
      </c>
      <c r="E2840" s="2" t="s">
        <v>8548</v>
      </c>
      <c r="F2840" s="2" t="s">
        <v>1251</v>
      </c>
      <c r="G2840" s="2" t="s">
        <v>1251</v>
      </c>
      <c r="H2840" s="2" t="s">
        <v>1251</v>
      </c>
      <c r="I2840" s="2" t="s">
        <v>10479</v>
      </c>
      <c r="J2840" s="2" t="s">
        <v>6103</v>
      </c>
      <c r="K2840" s="2" t="s">
        <v>10482</v>
      </c>
      <c r="L2840" s="3">
        <v>83.6</v>
      </c>
      <c r="M2840" s="3">
        <v>87.78</v>
      </c>
      <c r="N2840" s="3">
        <v>179</v>
      </c>
      <c r="O2840" s="2" t="s">
        <v>97</v>
      </c>
      <c r="P2840" s="2" t="s">
        <v>1166</v>
      </c>
      <c r="Q2840" s="2" t="s">
        <v>99</v>
      </c>
      <c r="R2840" s="2" t="s">
        <v>100</v>
      </c>
      <c r="S2840" s="2" t="s">
        <v>100</v>
      </c>
      <c r="T2840" s="2" t="s">
        <v>100</v>
      </c>
      <c r="U2840" s="2" t="s">
        <v>3531</v>
      </c>
      <c r="V2840" s="2" t="s">
        <v>1752</v>
      </c>
      <c r="W2840" s="2" t="s">
        <v>104</v>
      </c>
      <c r="X2840" s="2" t="s">
        <v>602</v>
      </c>
      <c r="Y2840" s="2" t="s">
        <v>100</v>
      </c>
      <c r="Z2840" s="4"/>
      <c r="AA2840" s="4">
        <f>=ROUNDDOWN({0},0)</f>
      </c>
      <c r="AB2840" s="5">
        <v>6</v>
      </c>
      <c r="AC2840" s="2" t="s">
        <v>563</v>
      </c>
      <c r="AD2840" s="4">
        <v>99</v>
      </c>
      <c r="AE2840" s="4">
        <v>100</v>
      </c>
      <c r="AF2840" s="6">
        <v>74</v>
      </c>
      <c r="AG2840" s="6"/>
      <c r="AH2840" s="7">
        <v>0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/>
      <c r="AW2840" s="8"/>
      <c r="AX2840" s="4"/>
      <c r="AY2840" s="8"/>
      <c r="AZ2840" s="7"/>
      <c r="BA2840" s="7"/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/>
      <c r="BJ2840" s="4"/>
      <c r="BK2840" s="8"/>
      <c r="BL2840" s="2" t="s">
        <v>100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147</v>
      </c>
      <c r="BV2840" s="2" t="s">
        <v>97</v>
      </c>
      <c r="BW2840" s="2" t="s">
        <v>100</v>
      </c>
      <c r="BX2840" s="2" t="s">
        <v>100</v>
      </c>
      <c r="BY2840" s="2" t="s">
        <v>112</v>
      </c>
      <c r="BZ2840" s="2" t="s">
        <v>100</v>
      </c>
    </row>
    <row r="2841">
      <c r="A2841" s="2" t="s">
        <v>10483</v>
      </c>
      <c r="B2841" s="2" t="s">
        <v>7252</v>
      </c>
      <c r="C2841" s="2" t="s">
        <v>4305</v>
      </c>
      <c r="D2841" s="2" t="s">
        <v>8424</v>
      </c>
      <c r="E2841" s="2" t="s">
        <v>8548</v>
      </c>
      <c r="F2841" s="2" t="s">
        <v>1251</v>
      </c>
      <c r="G2841" s="2" t="s">
        <v>1251</v>
      </c>
      <c r="H2841" s="2" t="s">
        <v>1251</v>
      </c>
      <c r="I2841" s="2" t="s">
        <v>10479</v>
      </c>
      <c r="J2841" s="2" t="s">
        <v>6103</v>
      </c>
      <c r="K2841" s="2" t="s">
        <v>10484</v>
      </c>
      <c r="L2841" s="3">
        <v>83.6</v>
      </c>
      <c r="M2841" s="3">
        <v>87.78</v>
      </c>
      <c r="N2841" s="3">
        <v>179</v>
      </c>
      <c r="O2841" s="2" t="s">
        <v>97</v>
      </c>
      <c r="P2841" s="2" t="s">
        <v>1166</v>
      </c>
      <c r="Q2841" s="2" t="s">
        <v>99</v>
      </c>
      <c r="R2841" s="2" t="s">
        <v>100</v>
      </c>
      <c r="S2841" s="2" t="s">
        <v>100</v>
      </c>
      <c r="T2841" s="2" t="s">
        <v>100</v>
      </c>
      <c r="U2841" s="2" t="s">
        <v>3531</v>
      </c>
      <c r="V2841" s="2" t="s">
        <v>1752</v>
      </c>
      <c r="W2841" s="2" t="s">
        <v>104</v>
      </c>
      <c r="X2841" s="2" t="s">
        <v>602</v>
      </c>
      <c r="Y2841" s="2" t="s">
        <v>100</v>
      </c>
      <c r="Z2841" s="4"/>
      <c r="AA2841" s="4">
        <f>=ROUNDDOWN({0},0)</f>
      </c>
      <c r="AB2841" s="5">
        <v>4</v>
      </c>
      <c r="AC2841" s="2" t="s">
        <v>3872</v>
      </c>
      <c r="AD2841" s="4">
        <v>99</v>
      </c>
      <c r="AE2841" s="4">
        <v>100</v>
      </c>
      <c r="AF2841" s="6">
        <v>74</v>
      </c>
      <c r="AG2841" s="6"/>
      <c r="AH2841" s="7">
        <v>0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/>
      <c r="AW2841" s="8"/>
      <c r="AX2841" s="4"/>
      <c r="AY2841" s="8"/>
      <c r="AZ2841" s="7"/>
      <c r="BA2841" s="7"/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/>
      <c r="BJ2841" s="4"/>
      <c r="BK2841" s="8"/>
      <c r="BL2841" s="2" t="s">
        <v>100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147</v>
      </c>
      <c r="BV2841" s="2" t="s">
        <v>97</v>
      </c>
      <c r="BW2841" s="2" t="s">
        <v>100</v>
      </c>
      <c r="BX2841" s="2" t="s">
        <v>100</v>
      </c>
      <c r="BY2841" s="2" t="s">
        <v>112</v>
      </c>
      <c r="BZ2841" s="2" t="s">
        <v>100</v>
      </c>
    </row>
    <row r="2842">
      <c r="A2842" s="2" t="s">
        <v>10485</v>
      </c>
      <c r="B2842" s="2" t="s">
        <v>7252</v>
      </c>
      <c r="C2842" s="2" t="s">
        <v>4305</v>
      </c>
      <c r="D2842" s="2" t="s">
        <v>8424</v>
      </c>
      <c r="E2842" s="2" t="s">
        <v>8548</v>
      </c>
      <c r="F2842" s="2" t="s">
        <v>1251</v>
      </c>
      <c r="G2842" s="2" t="s">
        <v>1251</v>
      </c>
      <c r="H2842" s="2" t="s">
        <v>1251</v>
      </c>
      <c r="I2842" s="2" t="s">
        <v>10479</v>
      </c>
      <c r="J2842" s="2" t="s">
        <v>6103</v>
      </c>
      <c r="K2842" s="2" t="s">
        <v>622</v>
      </c>
      <c r="L2842" s="3">
        <v>83.6</v>
      </c>
      <c r="M2842" s="3">
        <v>87.78</v>
      </c>
      <c r="N2842" s="3">
        <v>179</v>
      </c>
      <c r="O2842" s="2" t="s">
        <v>97</v>
      </c>
      <c r="P2842" s="2" t="s">
        <v>198</v>
      </c>
      <c r="Q2842" s="2" t="s">
        <v>99</v>
      </c>
      <c r="R2842" s="2" t="s">
        <v>100</v>
      </c>
      <c r="S2842" s="2" t="s">
        <v>100</v>
      </c>
      <c r="T2842" s="2" t="s">
        <v>100</v>
      </c>
      <c r="U2842" s="2" t="s">
        <v>3531</v>
      </c>
      <c r="V2842" s="2" t="s">
        <v>1752</v>
      </c>
      <c r="W2842" s="2" t="s">
        <v>104</v>
      </c>
      <c r="X2842" s="2" t="s">
        <v>602</v>
      </c>
      <c r="Y2842" s="2" t="s">
        <v>435</v>
      </c>
      <c r="Z2842" s="4">
        <v>47</v>
      </c>
      <c r="AA2842" s="4">
        <f>=ROUNDDOWN(15.6666666666667,0)</f>
      </c>
      <c r="AB2842" s="5">
        <v>3</v>
      </c>
      <c r="AC2842" s="2" t="s">
        <v>100</v>
      </c>
      <c r="AD2842" s="4"/>
      <c r="AE2842" s="4"/>
      <c r="AF2842" s="6">
        <v>74</v>
      </c>
      <c r="AG2842" s="6"/>
      <c r="AH2842" s="7">
        <v>0.8424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/>
      <c r="AW2842" s="8"/>
      <c r="AX2842" s="4"/>
      <c r="AY2842" s="8"/>
      <c r="AZ2842" s="7"/>
      <c r="BA2842" s="7"/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/>
      <c r="BJ2842" s="4">
        <v>55</v>
      </c>
      <c r="BK2842" s="8">
        <v>5050.9</v>
      </c>
      <c r="BL2842" s="2" t="s">
        <v>10486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6185</v>
      </c>
      <c r="BV2842" s="2" t="s">
        <v>97</v>
      </c>
      <c r="BW2842" s="2" t="s">
        <v>100</v>
      </c>
      <c r="BX2842" s="2" t="s">
        <v>100</v>
      </c>
      <c r="BY2842" s="2" t="s">
        <v>112</v>
      </c>
      <c r="BZ2842" s="2" t="s">
        <v>100</v>
      </c>
    </row>
    <row r="2843">
      <c r="A2843" s="2" t="s">
        <v>10487</v>
      </c>
      <c r="B2843" s="2" t="s">
        <v>7252</v>
      </c>
      <c r="C2843" s="2" t="s">
        <v>4305</v>
      </c>
      <c r="D2843" s="2" t="s">
        <v>8424</v>
      </c>
      <c r="E2843" s="2" t="s">
        <v>8548</v>
      </c>
      <c r="F2843" s="2" t="s">
        <v>9269</v>
      </c>
      <c r="G2843" s="2" t="s">
        <v>9269</v>
      </c>
      <c r="H2843" s="2" t="s">
        <v>9269</v>
      </c>
      <c r="I2843" s="2" t="s">
        <v>10488</v>
      </c>
      <c r="J2843" s="2" t="s">
        <v>6103</v>
      </c>
      <c r="K2843" s="2" t="s">
        <v>1204</v>
      </c>
      <c r="L2843" s="3">
        <v>64.69</v>
      </c>
      <c r="M2843" s="3">
        <v>67.92</v>
      </c>
      <c r="N2843" s="3">
        <v>129.99</v>
      </c>
      <c r="O2843" s="2" t="s">
        <v>229</v>
      </c>
      <c r="P2843" s="2" t="s">
        <v>198</v>
      </c>
      <c r="Q2843" s="2" t="s">
        <v>99</v>
      </c>
      <c r="R2843" s="2" t="s">
        <v>100</v>
      </c>
      <c r="S2843" s="2" t="s">
        <v>100</v>
      </c>
      <c r="T2843" s="2" t="s">
        <v>100</v>
      </c>
      <c r="U2843" s="2" t="s">
        <v>100</v>
      </c>
      <c r="V2843" s="2" t="s">
        <v>1752</v>
      </c>
      <c r="W2843" s="2" t="s">
        <v>104</v>
      </c>
      <c r="X2843" s="2" t="s">
        <v>100</v>
      </c>
      <c r="Y2843" s="2" t="s">
        <v>7879</v>
      </c>
      <c r="Z2843" s="4">
        <v>85</v>
      </c>
      <c r="AA2843" s="4">
        <f>=ROUNDDOWN(85,0)</f>
      </c>
      <c r="AB2843" s="5">
        <v>1</v>
      </c>
      <c r="AC2843" s="2" t="s">
        <v>100</v>
      </c>
      <c r="AD2843" s="4"/>
      <c r="AE2843" s="4"/>
      <c r="AF2843" s="6">
        <v>75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/>
      <c r="AW2843" s="8"/>
      <c r="AX2843" s="4"/>
      <c r="AY2843" s="8"/>
      <c r="AZ2843" s="7"/>
      <c r="BA2843" s="7"/>
      <c r="BB2843" s="7"/>
      <c r="BC2843" s="4"/>
      <c r="BD2843" s="8"/>
      <c r="BE2843" s="4"/>
      <c r="BF2843" s="8"/>
      <c r="BG2843" s="7"/>
      <c r="BH2843" s="7"/>
      <c r="BI2843" s="7"/>
      <c r="BJ2843" s="4">
        <v>134</v>
      </c>
      <c r="BK2843" s="8">
        <v>4850.36</v>
      </c>
      <c r="BL2843" s="2" t="s">
        <v>10489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147</v>
      </c>
      <c r="BV2843" s="2" t="s">
        <v>97</v>
      </c>
      <c r="BW2843" s="2" t="s">
        <v>100</v>
      </c>
      <c r="BX2843" s="2" t="s">
        <v>100</v>
      </c>
      <c r="BY2843" s="2" t="s">
        <v>112</v>
      </c>
      <c r="BZ2843" s="2" t="s">
        <v>100</v>
      </c>
    </row>
    <row r="2844">
      <c r="A2844" s="2" t="s">
        <v>10490</v>
      </c>
      <c r="B2844" s="2" t="s">
        <v>7252</v>
      </c>
      <c r="C2844" s="2" t="s">
        <v>4305</v>
      </c>
      <c r="D2844" s="2" t="s">
        <v>8424</v>
      </c>
      <c r="E2844" s="2" t="s">
        <v>8548</v>
      </c>
      <c r="F2844" s="2" t="s">
        <v>10491</v>
      </c>
      <c r="G2844" s="2" t="s">
        <v>10491</v>
      </c>
      <c r="H2844" s="2" t="s">
        <v>10491</v>
      </c>
      <c r="I2844" s="2" t="s">
        <v>10492</v>
      </c>
      <c r="J2844" s="2" t="s">
        <v>6103</v>
      </c>
      <c r="K2844" s="2" t="s">
        <v>1204</v>
      </c>
      <c r="L2844" s="3">
        <v>84.39</v>
      </c>
      <c r="M2844" s="3">
        <v>88.61</v>
      </c>
      <c r="N2844" s="3">
        <v>169.99</v>
      </c>
      <c r="O2844" s="2" t="s">
        <v>550</v>
      </c>
      <c r="P2844" s="2" t="s">
        <v>198</v>
      </c>
      <c r="Q2844" s="2" t="s">
        <v>99</v>
      </c>
      <c r="R2844" s="2" t="s">
        <v>100</v>
      </c>
      <c r="S2844" s="2" t="s">
        <v>100</v>
      </c>
      <c r="T2844" s="2" t="s">
        <v>100</v>
      </c>
      <c r="U2844" s="2" t="s">
        <v>3531</v>
      </c>
      <c r="V2844" s="2" t="s">
        <v>1752</v>
      </c>
      <c r="W2844" s="2" t="s">
        <v>104</v>
      </c>
      <c r="X2844" s="2" t="s">
        <v>100</v>
      </c>
      <c r="Y2844" s="2" t="s">
        <v>10493</v>
      </c>
      <c r="Z2844" s="4">
        <v>1</v>
      </c>
      <c r="AA2844" s="4">
        <f>=ROUNDDOWN(1,0)</f>
      </c>
      <c r="AB2844" s="5">
        <v>1</v>
      </c>
      <c r="AC2844" s="2" t="s">
        <v>100</v>
      </c>
      <c r="AD2844" s="4"/>
      <c r="AE2844" s="4"/>
      <c r="AF2844" s="6">
        <v>75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/>
      <c r="AW2844" s="8"/>
      <c r="AX2844" s="4"/>
      <c r="AY2844" s="8"/>
      <c r="AZ2844" s="7"/>
      <c r="BA2844" s="7"/>
      <c r="BB2844" s="7"/>
      <c r="BC2844" s="4"/>
      <c r="BD2844" s="8"/>
      <c r="BE2844" s="4"/>
      <c r="BF2844" s="8"/>
      <c r="BG2844" s="7"/>
      <c r="BH2844" s="7"/>
      <c r="BI2844" s="7"/>
      <c r="BJ2844" s="4">
        <v>38</v>
      </c>
      <c r="BK2844" s="8">
        <v>3000.74</v>
      </c>
      <c r="BL2844" s="2" t="s">
        <v>10494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147</v>
      </c>
      <c r="BV2844" s="2" t="s">
        <v>97</v>
      </c>
      <c r="BW2844" s="2" t="s">
        <v>100</v>
      </c>
      <c r="BX2844" s="2" t="s">
        <v>100</v>
      </c>
      <c r="BY2844" s="2" t="s">
        <v>112</v>
      </c>
      <c r="BZ2844" s="2" t="s">
        <v>100</v>
      </c>
    </row>
    <row r="2845">
      <c r="A2845" s="2" t="s">
        <v>10495</v>
      </c>
      <c r="B2845" s="2" t="s">
        <v>7252</v>
      </c>
      <c r="C2845" s="2" t="s">
        <v>4305</v>
      </c>
      <c r="D2845" s="2" t="s">
        <v>8424</v>
      </c>
      <c r="E2845" s="2" t="s">
        <v>8425</v>
      </c>
      <c r="F2845" s="2" t="s">
        <v>2006</v>
      </c>
      <c r="G2845" s="2" t="s">
        <v>2006</v>
      </c>
      <c r="H2845" s="2" t="s">
        <v>2006</v>
      </c>
      <c r="I2845" s="2" t="s">
        <v>10496</v>
      </c>
      <c r="J2845" s="2" t="s">
        <v>6103</v>
      </c>
      <c r="K2845" s="2" t="s">
        <v>158</v>
      </c>
      <c r="L2845" s="3">
        <v>85</v>
      </c>
      <c r="M2845" s="3">
        <v>89.25</v>
      </c>
      <c r="N2845" s="3">
        <v>179</v>
      </c>
      <c r="O2845" s="2" t="s">
        <v>97</v>
      </c>
      <c r="P2845" s="2" t="s">
        <v>8446</v>
      </c>
      <c r="Q2845" s="2" t="s">
        <v>99</v>
      </c>
      <c r="R2845" s="2" t="s">
        <v>100</v>
      </c>
      <c r="S2845" s="2" t="s">
        <v>100</v>
      </c>
      <c r="T2845" s="2" t="s">
        <v>100</v>
      </c>
      <c r="U2845" s="2" t="s">
        <v>3531</v>
      </c>
      <c r="V2845" s="2" t="s">
        <v>1752</v>
      </c>
      <c r="W2845" s="2" t="s">
        <v>104</v>
      </c>
      <c r="X2845" s="2" t="s">
        <v>405</v>
      </c>
      <c r="Y2845" s="2" t="s">
        <v>100</v>
      </c>
      <c r="Z2845" s="4"/>
      <c r="AA2845" s="4">
        <f>=ROUNDDOWN({0},0)</f>
      </c>
      <c r="AB2845" s="5"/>
      <c r="AC2845" s="2" t="s">
        <v>3872</v>
      </c>
      <c r="AD2845" s="4">
        <v>89</v>
      </c>
      <c r="AE2845" s="4">
        <v>90</v>
      </c>
      <c r="AF2845" s="6">
        <v>74</v>
      </c>
      <c r="AG2845" s="6"/>
      <c r="AH2845" s="7">
        <v>0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/>
      <c r="AW2845" s="8"/>
      <c r="AX2845" s="4"/>
      <c r="AY2845" s="8"/>
      <c r="AZ2845" s="7"/>
      <c r="BA2845" s="7"/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/>
      <c r="BJ2845" s="4"/>
      <c r="BK2845" s="8"/>
      <c r="BL2845" s="2" t="s">
        <v>100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147</v>
      </c>
      <c r="BV2845" s="2" t="s">
        <v>97</v>
      </c>
      <c r="BW2845" s="2" t="s">
        <v>100</v>
      </c>
      <c r="BX2845" s="2" t="s">
        <v>100</v>
      </c>
      <c r="BY2845" s="2" t="s">
        <v>112</v>
      </c>
      <c r="BZ2845" s="2" t="s">
        <v>100</v>
      </c>
    </row>
    <row r="2846">
      <c r="A2846" s="2" t="s">
        <v>10497</v>
      </c>
      <c r="B2846" s="2" t="s">
        <v>7252</v>
      </c>
      <c r="C2846" s="2" t="s">
        <v>4305</v>
      </c>
      <c r="D2846" s="2" t="s">
        <v>8424</v>
      </c>
      <c r="E2846" s="2" t="s">
        <v>8425</v>
      </c>
      <c r="F2846" s="2" t="s">
        <v>2006</v>
      </c>
      <c r="G2846" s="2" t="s">
        <v>2006</v>
      </c>
      <c r="H2846" s="2" t="s">
        <v>2006</v>
      </c>
      <c r="I2846" s="2" t="s">
        <v>10496</v>
      </c>
      <c r="J2846" s="2" t="s">
        <v>6103</v>
      </c>
      <c r="K2846" s="2" t="s">
        <v>2367</v>
      </c>
      <c r="L2846" s="3">
        <v>85</v>
      </c>
      <c r="M2846" s="3">
        <v>89.25</v>
      </c>
      <c r="N2846" s="3">
        <v>179</v>
      </c>
      <c r="O2846" s="2" t="s">
        <v>97</v>
      </c>
      <c r="P2846" s="2" t="s">
        <v>8446</v>
      </c>
      <c r="Q2846" s="2" t="s">
        <v>99</v>
      </c>
      <c r="R2846" s="2" t="s">
        <v>100</v>
      </c>
      <c r="S2846" s="2" t="s">
        <v>100</v>
      </c>
      <c r="T2846" s="2" t="s">
        <v>100</v>
      </c>
      <c r="U2846" s="2" t="s">
        <v>3531</v>
      </c>
      <c r="V2846" s="2" t="s">
        <v>1752</v>
      </c>
      <c r="W2846" s="2" t="s">
        <v>104</v>
      </c>
      <c r="X2846" s="2" t="s">
        <v>405</v>
      </c>
      <c r="Y2846" s="2" t="s">
        <v>100</v>
      </c>
      <c r="Z2846" s="4"/>
      <c r="AA2846" s="4">
        <f>=ROUNDDOWN({0},0)</f>
      </c>
      <c r="AB2846" s="5"/>
      <c r="AC2846" s="2" t="s">
        <v>3872</v>
      </c>
      <c r="AD2846" s="4">
        <v>4</v>
      </c>
      <c r="AE2846" s="4">
        <v>90</v>
      </c>
      <c r="AF2846" s="6">
        <v>74</v>
      </c>
      <c r="AG2846" s="6"/>
      <c r="AH2846" s="7">
        <v>0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/>
      <c r="AW2846" s="8"/>
      <c r="AX2846" s="4"/>
      <c r="AY2846" s="8"/>
      <c r="AZ2846" s="7"/>
      <c r="BA2846" s="7"/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/>
      <c r="BJ2846" s="4"/>
      <c r="BK2846" s="8"/>
      <c r="BL2846" s="2" t="s">
        <v>100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147</v>
      </c>
      <c r="BV2846" s="2" t="s">
        <v>97</v>
      </c>
      <c r="BW2846" s="2" t="s">
        <v>100</v>
      </c>
      <c r="BX2846" s="2" t="s">
        <v>100</v>
      </c>
      <c r="BY2846" s="2" t="s">
        <v>112</v>
      </c>
      <c r="BZ2846" s="2" t="s">
        <v>100</v>
      </c>
    </row>
    <row r="2847">
      <c r="A2847" s="2" t="s">
        <v>10498</v>
      </c>
      <c r="B2847" s="2" t="s">
        <v>7252</v>
      </c>
      <c r="C2847" s="2" t="s">
        <v>4305</v>
      </c>
      <c r="D2847" s="2" t="s">
        <v>8424</v>
      </c>
      <c r="E2847" s="2" t="s">
        <v>8425</v>
      </c>
      <c r="F2847" s="2" t="s">
        <v>2006</v>
      </c>
      <c r="G2847" s="2" t="s">
        <v>2006</v>
      </c>
      <c r="H2847" s="2" t="s">
        <v>2006</v>
      </c>
      <c r="I2847" s="2" t="s">
        <v>10496</v>
      </c>
      <c r="J2847" s="2" t="s">
        <v>6103</v>
      </c>
      <c r="K2847" s="2" t="s">
        <v>123</v>
      </c>
      <c r="L2847" s="3">
        <v>85</v>
      </c>
      <c r="M2847" s="3">
        <v>89.25</v>
      </c>
      <c r="N2847" s="3">
        <v>179</v>
      </c>
      <c r="O2847" s="2" t="s">
        <v>97</v>
      </c>
      <c r="P2847" s="2" t="s">
        <v>8446</v>
      </c>
      <c r="Q2847" s="2" t="s">
        <v>99</v>
      </c>
      <c r="R2847" s="2" t="s">
        <v>100</v>
      </c>
      <c r="S2847" s="2" t="s">
        <v>100</v>
      </c>
      <c r="T2847" s="2" t="s">
        <v>100</v>
      </c>
      <c r="U2847" s="2" t="s">
        <v>3531</v>
      </c>
      <c r="V2847" s="2" t="s">
        <v>1752</v>
      </c>
      <c r="W2847" s="2" t="s">
        <v>104</v>
      </c>
      <c r="X2847" s="2" t="s">
        <v>405</v>
      </c>
      <c r="Y2847" s="2" t="s">
        <v>100</v>
      </c>
      <c r="Z2847" s="4"/>
      <c r="AA2847" s="4">
        <f>=ROUNDDOWN({0},0)</f>
      </c>
      <c r="AB2847" s="5"/>
      <c r="AC2847" s="2" t="s">
        <v>3872</v>
      </c>
      <c r="AD2847" s="4">
        <v>159</v>
      </c>
      <c r="AE2847" s="4">
        <v>160</v>
      </c>
      <c r="AF2847" s="6">
        <v>74</v>
      </c>
      <c r="AG2847" s="6"/>
      <c r="AH2847" s="7">
        <v>0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/>
      <c r="AW2847" s="8"/>
      <c r="AX2847" s="4"/>
      <c r="AY2847" s="8"/>
      <c r="AZ2847" s="7"/>
      <c r="BA2847" s="7"/>
      <c r="BB2847" s="7"/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/>
      <c r="BJ2847" s="4"/>
      <c r="BK2847" s="8"/>
      <c r="BL2847" s="2" t="s">
        <v>100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147</v>
      </c>
      <c r="BV2847" s="2" t="s">
        <v>97</v>
      </c>
      <c r="BW2847" s="2" t="s">
        <v>100</v>
      </c>
      <c r="BX2847" s="2" t="s">
        <v>100</v>
      </c>
      <c r="BY2847" s="2" t="s">
        <v>112</v>
      </c>
      <c r="BZ2847" s="2" t="s">
        <v>100</v>
      </c>
    </row>
    <row r="2848">
      <c r="A2848" s="2" t="s">
        <v>10499</v>
      </c>
      <c r="B2848" s="2" t="s">
        <v>7252</v>
      </c>
      <c r="C2848" s="2" t="s">
        <v>4305</v>
      </c>
      <c r="D2848" s="2" t="s">
        <v>7253</v>
      </c>
      <c r="E2848" s="2" t="s">
        <v>7744</v>
      </c>
      <c r="F2848" s="2" t="s">
        <v>10500</v>
      </c>
      <c r="G2848" s="2" t="s">
        <v>10500</v>
      </c>
      <c r="H2848" s="2" t="s">
        <v>10500</v>
      </c>
      <c r="I2848" s="2" t="s">
        <v>10501</v>
      </c>
      <c r="J2848" s="2" t="s">
        <v>6103</v>
      </c>
      <c r="K2848" s="2" t="s">
        <v>1412</v>
      </c>
      <c r="L2848" s="3">
        <v>112.1</v>
      </c>
      <c r="M2848" s="3">
        <v>117.7</v>
      </c>
      <c r="N2848" s="3">
        <v>239</v>
      </c>
      <c r="O2848" s="2" t="s">
        <v>229</v>
      </c>
      <c r="P2848" s="2" t="s">
        <v>198</v>
      </c>
      <c r="Q2848" s="2" t="s">
        <v>99</v>
      </c>
      <c r="R2848" s="2" t="s">
        <v>100</v>
      </c>
      <c r="S2848" s="2" t="s">
        <v>100</v>
      </c>
      <c r="T2848" s="2" t="s">
        <v>100</v>
      </c>
      <c r="U2848" s="2" t="s">
        <v>3531</v>
      </c>
      <c r="V2848" s="2" t="s">
        <v>1752</v>
      </c>
      <c r="W2848" s="2" t="s">
        <v>104</v>
      </c>
      <c r="X2848" s="2" t="s">
        <v>602</v>
      </c>
      <c r="Y2848" s="2" t="s">
        <v>10502</v>
      </c>
      <c r="Z2848" s="4"/>
      <c r="AA2848" s="4">
        <f>=ROUNDDOWN({0},0)</f>
      </c>
      <c r="AB2848" s="5">
        <v>4</v>
      </c>
      <c r="AC2848" s="2" t="s">
        <v>100</v>
      </c>
      <c r="AD2848" s="4"/>
      <c r="AE2848" s="4"/>
      <c r="AF2848" s="6">
        <v>74</v>
      </c>
      <c r="AG2848" s="6"/>
      <c r="AH2848" s="7">
        <v>0.3818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/>
      <c r="AW2848" s="8"/>
      <c r="AX2848" s="4"/>
      <c r="AY2848" s="8"/>
      <c r="AZ2848" s="7"/>
      <c r="BA2848" s="7"/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/>
      <c r="BJ2848" s="4">
        <v>15</v>
      </c>
      <c r="BK2848" s="8">
        <v>2029.53</v>
      </c>
      <c r="BL2848" s="2" t="s">
        <v>10503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6185</v>
      </c>
      <c r="BV2848" s="2" t="s">
        <v>97</v>
      </c>
      <c r="BW2848" s="2" t="s">
        <v>100</v>
      </c>
      <c r="BX2848" s="2" t="s">
        <v>100</v>
      </c>
      <c r="BY2848" s="2" t="s">
        <v>112</v>
      </c>
      <c r="BZ2848" s="2" t="s">
        <v>100</v>
      </c>
    </row>
    <row r="2849">
      <c r="A2849" s="2" t="s">
        <v>10504</v>
      </c>
      <c r="B2849" s="2" t="s">
        <v>7252</v>
      </c>
      <c r="C2849" s="2" t="s">
        <v>4305</v>
      </c>
      <c r="D2849" s="2" t="s">
        <v>7253</v>
      </c>
      <c r="E2849" s="2" t="s">
        <v>7744</v>
      </c>
      <c r="F2849" s="2" t="s">
        <v>10500</v>
      </c>
      <c r="G2849" s="2" t="s">
        <v>10500</v>
      </c>
      <c r="H2849" s="2" t="s">
        <v>10500</v>
      </c>
      <c r="I2849" s="2" t="s">
        <v>10501</v>
      </c>
      <c r="J2849" s="2" t="s">
        <v>6103</v>
      </c>
      <c r="K2849" s="2" t="s">
        <v>2367</v>
      </c>
      <c r="L2849" s="3">
        <v>112.1</v>
      </c>
      <c r="M2849" s="3">
        <v>117.7</v>
      </c>
      <c r="N2849" s="3">
        <v>239</v>
      </c>
      <c r="O2849" s="2" t="s">
        <v>97</v>
      </c>
      <c r="P2849" s="2" t="s">
        <v>1166</v>
      </c>
      <c r="Q2849" s="2" t="s">
        <v>99</v>
      </c>
      <c r="R2849" s="2" t="s">
        <v>100</v>
      </c>
      <c r="S2849" s="2" t="s">
        <v>100</v>
      </c>
      <c r="T2849" s="2" t="s">
        <v>100</v>
      </c>
      <c r="U2849" s="2" t="s">
        <v>3531</v>
      </c>
      <c r="V2849" s="2" t="s">
        <v>1752</v>
      </c>
      <c r="W2849" s="2" t="s">
        <v>104</v>
      </c>
      <c r="X2849" s="2" t="s">
        <v>602</v>
      </c>
      <c r="Y2849" s="2" t="s">
        <v>10505</v>
      </c>
      <c r="Z2849" s="4">
        <v>95</v>
      </c>
      <c r="AA2849" s="4">
        <f>=ROUNDDOWN(23.75,0)</f>
      </c>
      <c r="AB2849" s="5">
        <v>4</v>
      </c>
      <c r="AC2849" s="2" t="s">
        <v>100</v>
      </c>
      <c r="AD2849" s="4"/>
      <c r="AE2849" s="4"/>
      <c r="AF2849" s="6">
        <v>74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/>
      <c r="AW2849" s="8"/>
      <c r="AX2849" s="4"/>
      <c r="AY2849" s="8"/>
      <c r="AZ2849" s="7"/>
      <c r="BA2849" s="7"/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/>
      <c r="BJ2849" s="4"/>
      <c r="BK2849" s="8"/>
      <c r="BL2849" s="2" t="s">
        <v>100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6185</v>
      </c>
      <c r="BV2849" s="2" t="s">
        <v>97</v>
      </c>
      <c r="BW2849" s="2" t="s">
        <v>100</v>
      </c>
      <c r="BX2849" s="2" t="s">
        <v>100</v>
      </c>
      <c r="BY2849" s="2" t="s">
        <v>112</v>
      </c>
      <c r="BZ2849" s="2" t="s">
        <v>100</v>
      </c>
    </row>
    <row r="2850">
      <c r="A2850" s="2" t="s">
        <v>10506</v>
      </c>
      <c r="B2850" s="2" t="s">
        <v>7252</v>
      </c>
      <c r="C2850" s="2" t="s">
        <v>4305</v>
      </c>
      <c r="D2850" s="2" t="s">
        <v>7253</v>
      </c>
      <c r="E2850" s="2" t="s">
        <v>7744</v>
      </c>
      <c r="F2850" s="2" t="s">
        <v>10500</v>
      </c>
      <c r="G2850" s="2" t="s">
        <v>10500</v>
      </c>
      <c r="H2850" s="2" t="s">
        <v>10500</v>
      </c>
      <c r="I2850" s="2" t="s">
        <v>10501</v>
      </c>
      <c r="J2850" s="2" t="s">
        <v>6103</v>
      </c>
      <c r="K2850" s="2" t="s">
        <v>10507</v>
      </c>
      <c r="L2850" s="3">
        <v>112.1</v>
      </c>
      <c r="M2850" s="3">
        <v>117.7</v>
      </c>
      <c r="N2850" s="3">
        <v>239</v>
      </c>
      <c r="O2850" s="2" t="s">
        <v>97</v>
      </c>
      <c r="P2850" s="2" t="s">
        <v>1166</v>
      </c>
      <c r="Q2850" s="2" t="s">
        <v>99</v>
      </c>
      <c r="R2850" s="2" t="s">
        <v>100</v>
      </c>
      <c r="S2850" s="2" t="s">
        <v>100</v>
      </c>
      <c r="T2850" s="2" t="s">
        <v>100</v>
      </c>
      <c r="U2850" s="2" t="s">
        <v>3531</v>
      </c>
      <c r="V2850" s="2" t="s">
        <v>1752</v>
      </c>
      <c r="W2850" s="2" t="s">
        <v>104</v>
      </c>
      <c r="X2850" s="2" t="s">
        <v>602</v>
      </c>
      <c r="Y2850" s="2" t="s">
        <v>10508</v>
      </c>
      <c r="Z2850" s="4">
        <v>99</v>
      </c>
      <c r="AA2850" s="4">
        <f>=ROUNDDOWN(16.5,0)</f>
      </c>
      <c r="AB2850" s="5">
        <v>6</v>
      </c>
      <c r="AC2850" s="2" t="s">
        <v>145</v>
      </c>
      <c r="AD2850" s="4">
        <v>100</v>
      </c>
      <c r="AE2850" s="4">
        <v>100</v>
      </c>
      <c r="AF2850" s="6">
        <v>74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/>
      <c r="AW2850" s="8"/>
      <c r="AX2850" s="4"/>
      <c r="AY2850" s="8"/>
      <c r="AZ2850" s="7"/>
      <c r="BA2850" s="7"/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/>
      <c r="BJ2850" s="4">
        <v>1</v>
      </c>
      <c r="BK2850" s="8">
        <v>109.12</v>
      </c>
      <c r="BL2850" s="2" t="s">
        <v>10509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6185</v>
      </c>
      <c r="BV2850" s="2" t="s">
        <v>97</v>
      </c>
      <c r="BW2850" s="2" t="s">
        <v>100</v>
      </c>
      <c r="BX2850" s="2" t="s">
        <v>100</v>
      </c>
      <c r="BY2850" s="2" t="s">
        <v>112</v>
      </c>
      <c r="BZ2850" s="2" t="s">
        <v>100</v>
      </c>
    </row>
    <row r="2851">
      <c r="A2851" s="2" t="s">
        <v>10510</v>
      </c>
      <c r="B2851" s="2" t="s">
        <v>7252</v>
      </c>
      <c r="C2851" s="2" t="s">
        <v>4305</v>
      </c>
      <c r="D2851" s="2" t="s">
        <v>7253</v>
      </c>
      <c r="E2851" s="2" t="s">
        <v>7744</v>
      </c>
      <c r="F2851" s="2" t="s">
        <v>10500</v>
      </c>
      <c r="G2851" s="2" t="s">
        <v>10500</v>
      </c>
      <c r="H2851" s="2" t="s">
        <v>10500</v>
      </c>
      <c r="I2851" s="2" t="s">
        <v>10501</v>
      </c>
      <c r="J2851" s="2" t="s">
        <v>6103</v>
      </c>
      <c r="K2851" s="2" t="s">
        <v>333</v>
      </c>
      <c r="L2851" s="3">
        <v>112.1</v>
      </c>
      <c r="M2851" s="3">
        <v>117.7</v>
      </c>
      <c r="N2851" s="3">
        <v>239</v>
      </c>
      <c r="O2851" s="2" t="s">
        <v>97</v>
      </c>
      <c r="P2851" s="2" t="s">
        <v>198</v>
      </c>
      <c r="Q2851" s="2" t="s">
        <v>99</v>
      </c>
      <c r="R2851" s="2" t="s">
        <v>100</v>
      </c>
      <c r="S2851" s="2" t="s">
        <v>100</v>
      </c>
      <c r="T2851" s="2" t="s">
        <v>100</v>
      </c>
      <c r="U2851" s="2" t="s">
        <v>3531</v>
      </c>
      <c r="V2851" s="2" t="s">
        <v>1752</v>
      </c>
      <c r="W2851" s="2" t="s">
        <v>104</v>
      </c>
      <c r="X2851" s="2" t="s">
        <v>602</v>
      </c>
      <c r="Y2851" s="2" t="s">
        <v>10502</v>
      </c>
      <c r="Z2851" s="4">
        <v>33</v>
      </c>
      <c r="AA2851" s="4">
        <f>=ROUNDDOWN(16.5,0)</f>
      </c>
      <c r="AB2851" s="5">
        <v>2</v>
      </c>
      <c r="AC2851" s="2" t="s">
        <v>100</v>
      </c>
      <c r="AD2851" s="4"/>
      <c r="AE2851" s="4"/>
      <c r="AF2851" s="6">
        <v>74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/>
      <c r="AW2851" s="8"/>
      <c r="AX2851" s="4"/>
      <c r="AY2851" s="8"/>
      <c r="AZ2851" s="7"/>
      <c r="BA2851" s="7"/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/>
      <c r="BJ2851" s="4">
        <v>10</v>
      </c>
      <c r="BK2851" s="8">
        <v>1248.46</v>
      </c>
      <c r="BL2851" s="2" t="s">
        <v>10511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6185</v>
      </c>
      <c r="BV2851" s="2" t="s">
        <v>97</v>
      </c>
      <c r="BW2851" s="2" t="s">
        <v>100</v>
      </c>
      <c r="BX2851" s="2" t="s">
        <v>100</v>
      </c>
      <c r="BY2851" s="2" t="s">
        <v>112</v>
      </c>
      <c r="BZ2851" s="2" t="s">
        <v>100</v>
      </c>
    </row>
    <row r="2852">
      <c r="A2852" s="2" t="s">
        <v>10512</v>
      </c>
      <c r="B2852" s="2" t="s">
        <v>7252</v>
      </c>
      <c r="C2852" s="2" t="s">
        <v>4305</v>
      </c>
      <c r="D2852" s="2" t="s">
        <v>7253</v>
      </c>
      <c r="E2852" s="2" t="s">
        <v>7744</v>
      </c>
      <c r="F2852" s="2" t="s">
        <v>10500</v>
      </c>
      <c r="G2852" s="2" t="s">
        <v>10500</v>
      </c>
      <c r="H2852" s="2" t="s">
        <v>10500</v>
      </c>
      <c r="I2852" s="2" t="s">
        <v>10501</v>
      </c>
      <c r="J2852" s="2" t="s">
        <v>6103</v>
      </c>
      <c r="K2852" s="2" t="s">
        <v>10513</v>
      </c>
      <c r="L2852" s="3">
        <v>112.1</v>
      </c>
      <c r="M2852" s="3">
        <v>117.7</v>
      </c>
      <c r="N2852" s="3">
        <v>239</v>
      </c>
      <c r="O2852" s="2" t="s">
        <v>97</v>
      </c>
      <c r="P2852" s="2" t="s">
        <v>1166</v>
      </c>
      <c r="Q2852" s="2" t="s">
        <v>99</v>
      </c>
      <c r="R2852" s="2" t="s">
        <v>100</v>
      </c>
      <c r="S2852" s="2" t="s">
        <v>100</v>
      </c>
      <c r="T2852" s="2" t="s">
        <v>100</v>
      </c>
      <c r="U2852" s="2" t="s">
        <v>3531</v>
      </c>
      <c r="V2852" s="2" t="s">
        <v>1752</v>
      </c>
      <c r="W2852" s="2" t="s">
        <v>104</v>
      </c>
      <c r="X2852" s="2" t="s">
        <v>602</v>
      </c>
      <c r="Y2852" s="2" t="s">
        <v>10514</v>
      </c>
      <c r="Z2852" s="4">
        <v>80</v>
      </c>
      <c r="AA2852" s="4">
        <f>=ROUNDDOWN(40,0)</f>
      </c>
      <c r="AB2852" s="5">
        <v>2</v>
      </c>
      <c r="AC2852" s="2" t="s">
        <v>100</v>
      </c>
      <c r="AD2852" s="4"/>
      <c r="AE2852" s="4"/>
      <c r="AF2852" s="6">
        <v>74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/>
      <c r="AW2852" s="8"/>
      <c r="AX2852" s="4"/>
      <c r="AY2852" s="8"/>
      <c r="AZ2852" s="7"/>
      <c r="BA2852" s="7"/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/>
      <c r="BJ2852" s="4"/>
      <c r="BK2852" s="8"/>
      <c r="BL2852" s="2" t="s">
        <v>100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6185</v>
      </c>
      <c r="BV2852" s="2" t="s">
        <v>97</v>
      </c>
      <c r="BW2852" s="2" t="s">
        <v>100</v>
      </c>
      <c r="BX2852" s="2" t="s">
        <v>100</v>
      </c>
      <c r="BY2852" s="2" t="s">
        <v>112</v>
      </c>
      <c r="BZ2852" s="2" t="s">
        <v>100</v>
      </c>
    </row>
    <row r="2853">
      <c r="A2853" s="2" t="s">
        <v>10515</v>
      </c>
      <c r="B2853" s="2" t="s">
        <v>7252</v>
      </c>
      <c r="C2853" s="2" t="s">
        <v>4305</v>
      </c>
      <c r="D2853" s="2" t="s">
        <v>7253</v>
      </c>
      <c r="E2853" s="2" t="s">
        <v>7744</v>
      </c>
      <c r="F2853" s="2" t="s">
        <v>10500</v>
      </c>
      <c r="G2853" s="2" t="s">
        <v>10500</v>
      </c>
      <c r="H2853" s="2" t="s">
        <v>10500</v>
      </c>
      <c r="I2853" s="2" t="s">
        <v>10501</v>
      </c>
      <c r="J2853" s="2" t="s">
        <v>6103</v>
      </c>
      <c r="K2853" s="2" t="s">
        <v>10516</v>
      </c>
      <c r="L2853" s="3">
        <v>112.1</v>
      </c>
      <c r="M2853" s="3">
        <v>117.7</v>
      </c>
      <c r="N2853" s="3">
        <v>239</v>
      </c>
      <c r="O2853" s="2" t="s">
        <v>229</v>
      </c>
      <c r="P2853" s="2" t="s">
        <v>198</v>
      </c>
      <c r="Q2853" s="2" t="s">
        <v>99</v>
      </c>
      <c r="R2853" s="2" t="s">
        <v>100</v>
      </c>
      <c r="S2853" s="2" t="s">
        <v>100</v>
      </c>
      <c r="T2853" s="2" t="s">
        <v>100</v>
      </c>
      <c r="U2853" s="2" t="s">
        <v>3531</v>
      </c>
      <c r="V2853" s="2" t="s">
        <v>1752</v>
      </c>
      <c r="W2853" s="2" t="s">
        <v>104</v>
      </c>
      <c r="X2853" s="2" t="s">
        <v>602</v>
      </c>
      <c r="Y2853" s="2" t="s">
        <v>10502</v>
      </c>
      <c r="Z2853" s="4"/>
      <c r="AA2853" s="4">
        <f>=ROUNDDOWN({0},0)</f>
      </c>
      <c r="AB2853" s="5">
        <v>6</v>
      </c>
      <c r="AC2853" s="2" t="s">
        <v>100</v>
      </c>
      <c r="AD2853" s="4"/>
      <c r="AE2853" s="4"/>
      <c r="AF2853" s="6">
        <v>74</v>
      </c>
      <c r="AG2853" s="6"/>
      <c r="AH2853" s="7">
        <v>0.3576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/>
      <c r="AW2853" s="8"/>
      <c r="AX2853" s="4"/>
      <c r="AY2853" s="8"/>
      <c r="AZ2853" s="7"/>
      <c r="BA2853" s="7"/>
      <c r="BB2853" s="7"/>
      <c r="BC2853" s="4" t="s">
        <v>100</v>
      </c>
      <c r="BD2853" s="8" t="s">
        <v>100</v>
      </c>
      <c r="BE2853" s="4" t="s">
        <v>100</v>
      </c>
      <c r="BF2853" s="8" t="s">
        <v>100</v>
      </c>
      <c r="BG2853" s="7" t="s">
        <v>100</v>
      </c>
      <c r="BH2853" s="7" t="s">
        <v>100</v>
      </c>
      <c r="BI2853" s="7"/>
      <c r="BJ2853" s="4">
        <v>3</v>
      </c>
      <c r="BK2853" s="8">
        <v>311.94</v>
      </c>
      <c r="BL2853" s="2" t="s">
        <v>10517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6185</v>
      </c>
      <c r="BV2853" s="2" t="s">
        <v>97</v>
      </c>
      <c r="BW2853" s="2" t="s">
        <v>100</v>
      </c>
      <c r="BX2853" s="2" t="s">
        <v>100</v>
      </c>
      <c r="BY2853" s="2" t="s">
        <v>112</v>
      </c>
      <c r="BZ2853" s="2" t="s">
        <v>100</v>
      </c>
    </row>
    <row r="2854">
      <c r="A2854" s="2" t="s">
        <v>10518</v>
      </c>
      <c r="B2854" s="2" t="s">
        <v>7252</v>
      </c>
      <c r="C2854" s="2" t="s">
        <v>4305</v>
      </c>
      <c r="D2854" s="2" t="s">
        <v>7253</v>
      </c>
      <c r="E2854" s="2" t="s">
        <v>7744</v>
      </c>
      <c r="F2854" s="2" t="s">
        <v>3993</v>
      </c>
      <c r="G2854" s="2" t="s">
        <v>3993</v>
      </c>
      <c r="H2854" s="2" t="s">
        <v>3993</v>
      </c>
      <c r="I2854" s="2" t="s">
        <v>10519</v>
      </c>
      <c r="J2854" s="2" t="s">
        <v>6103</v>
      </c>
      <c r="K2854" s="2" t="s">
        <v>333</v>
      </c>
      <c r="L2854" s="3">
        <v>115.9</v>
      </c>
      <c r="M2854" s="3">
        <v>121.7</v>
      </c>
      <c r="N2854" s="3">
        <v>239</v>
      </c>
      <c r="O2854" s="2" t="s">
        <v>97</v>
      </c>
      <c r="P2854" s="2" t="s">
        <v>198</v>
      </c>
      <c r="Q2854" s="2" t="s">
        <v>99</v>
      </c>
      <c r="R2854" s="2" t="s">
        <v>100</v>
      </c>
      <c r="S2854" s="2" t="s">
        <v>100</v>
      </c>
      <c r="T2854" s="2" t="s">
        <v>100</v>
      </c>
      <c r="U2854" s="2" t="s">
        <v>3531</v>
      </c>
      <c r="V2854" s="2" t="s">
        <v>1752</v>
      </c>
      <c r="W2854" s="2" t="s">
        <v>104</v>
      </c>
      <c r="X2854" s="2" t="s">
        <v>405</v>
      </c>
      <c r="Y2854" s="2" t="s">
        <v>435</v>
      </c>
      <c r="Z2854" s="4">
        <v>82</v>
      </c>
      <c r="AA2854" s="4">
        <f>=ROUNDDOWN(82,0)</f>
      </c>
      <c r="AB2854" s="5">
        <v>1</v>
      </c>
      <c r="AC2854" s="2" t="s">
        <v>100</v>
      </c>
      <c r="AD2854" s="4"/>
      <c r="AE2854" s="4"/>
      <c r="AF2854" s="6">
        <v>74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/>
      <c r="AW2854" s="8"/>
      <c r="AX2854" s="4"/>
      <c r="AY2854" s="8"/>
      <c r="AZ2854" s="7"/>
      <c r="BA2854" s="7"/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/>
      <c r="BJ2854" s="4">
        <v>14</v>
      </c>
      <c r="BK2854" s="8">
        <v>1856.81</v>
      </c>
      <c r="BL2854" s="2" t="s">
        <v>10520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6185</v>
      </c>
      <c r="BV2854" s="2" t="s">
        <v>97</v>
      </c>
      <c r="BW2854" s="2" t="s">
        <v>100</v>
      </c>
      <c r="BX2854" s="2" t="s">
        <v>100</v>
      </c>
      <c r="BY2854" s="2" t="s">
        <v>112</v>
      </c>
      <c r="BZ2854" s="2" t="s">
        <v>100</v>
      </c>
    </row>
    <row r="2855">
      <c r="A2855" s="2" t="s">
        <v>10521</v>
      </c>
      <c r="B2855" s="2" t="s">
        <v>7252</v>
      </c>
      <c r="C2855" s="2" t="s">
        <v>4305</v>
      </c>
      <c r="D2855" s="2" t="s">
        <v>7253</v>
      </c>
      <c r="E2855" s="2" t="s">
        <v>7744</v>
      </c>
      <c r="F2855" s="2" t="s">
        <v>3993</v>
      </c>
      <c r="G2855" s="2" t="s">
        <v>3993</v>
      </c>
      <c r="H2855" s="2" t="s">
        <v>3993</v>
      </c>
      <c r="I2855" s="2" t="s">
        <v>10519</v>
      </c>
      <c r="J2855" s="2" t="s">
        <v>6103</v>
      </c>
      <c r="K2855" s="2" t="s">
        <v>635</v>
      </c>
      <c r="L2855" s="3">
        <v>115.9</v>
      </c>
      <c r="M2855" s="3">
        <v>121.7</v>
      </c>
      <c r="N2855" s="3">
        <v>239</v>
      </c>
      <c r="O2855" s="2" t="s">
        <v>97</v>
      </c>
      <c r="P2855" s="2" t="s">
        <v>198</v>
      </c>
      <c r="Q2855" s="2" t="s">
        <v>99</v>
      </c>
      <c r="R2855" s="2" t="s">
        <v>100</v>
      </c>
      <c r="S2855" s="2" t="s">
        <v>100</v>
      </c>
      <c r="T2855" s="2" t="s">
        <v>100</v>
      </c>
      <c r="U2855" s="2" t="s">
        <v>3531</v>
      </c>
      <c r="V2855" s="2" t="s">
        <v>1752</v>
      </c>
      <c r="W2855" s="2" t="s">
        <v>104</v>
      </c>
      <c r="X2855" s="2" t="s">
        <v>405</v>
      </c>
      <c r="Y2855" s="2" t="s">
        <v>435</v>
      </c>
      <c r="Z2855" s="4"/>
      <c r="AA2855" s="4">
        <f>=ROUNDDOWN({0},0)</f>
      </c>
      <c r="AB2855" s="5">
        <v>1</v>
      </c>
      <c r="AC2855" s="2" t="s">
        <v>100</v>
      </c>
      <c r="AD2855" s="4"/>
      <c r="AE2855" s="4"/>
      <c r="AF2855" s="6">
        <v>74</v>
      </c>
      <c r="AG2855" s="6"/>
      <c r="AH2855" s="7">
        <v>0.8121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/>
      <c r="AW2855" s="8"/>
      <c r="AX2855" s="4"/>
      <c r="AY2855" s="8"/>
      <c r="AZ2855" s="7"/>
      <c r="BA2855" s="7"/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/>
      <c r="BJ2855" s="4">
        <v>17</v>
      </c>
      <c r="BK2855" s="8">
        <v>2206.16</v>
      </c>
      <c r="BL2855" s="2" t="s">
        <v>10522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6185</v>
      </c>
      <c r="BV2855" s="2" t="s">
        <v>97</v>
      </c>
      <c r="BW2855" s="2" t="s">
        <v>100</v>
      </c>
      <c r="BX2855" s="2" t="s">
        <v>100</v>
      </c>
      <c r="BY2855" s="2" t="s">
        <v>112</v>
      </c>
      <c r="BZ2855" s="2" t="s">
        <v>100</v>
      </c>
    </row>
    <row r="2856">
      <c r="A2856" s="2" t="s">
        <v>10523</v>
      </c>
      <c r="B2856" s="2" t="s">
        <v>7252</v>
      </c>
      <c r="C2856" s="2" t="s">
        <v>4305</v>
      </c>
      <c r="D2856" s="2" t="s">
        <v>7253</v>
      </c>
      <c r="E2856" s="2" t="s">
        <v>7744</v>
      </c>
      <c r="F2856" s="2" t="s">
        <v>10524</v>
      </c>
      <c r="G2856" s="2" t="s">
        <v>10524</v>
      </c>
      <c r="H2856" s="2" t="s">
        <v>10524</v>
      </c>
      <c r="I2856" s="2" t="s">
        <v>7735</v>
      </c>
      <c r="J2856" s="2" t="s">
        <v>6103</v>
      </c>
      <c r="K2856" s="2" t="s">
        <v>10507</v>
      </c>
      <c r="L2856" s="3">
        <v>112.1</v>
      </c>
      <c r="M2856" s="3">
        <v>117.7</v>
      </c>
      <c r="N2856" s="3">
        <v>239</v>
      </c>
      <c r="O2856" s="2" t="s">
        <v>97</v>
      </c>
      <c r="P2856" s="2" t="s">
        <v>1166</v>
      </c>
      <c r="Q2856" s="2" t="s">
        <v>99</v>
      </c>
      <c r="R2856" s="2" t="s">
        <v>100</v>
      </c>
      <c r="S2856" s="2" t="s">
        <v>100</v>
      </c>
      <c r="T2856" s="2" t="s">
        <v>100</v>
      </c>
      <c r="U2856" s="2" t="s">
        <v>3531</v>
      </c>
      <c r="V2856" s="2" t="s">
        <v>1752</v>
      </c>
      <c r="W2856" s="2" t="s">
        <v>104</v>
      </c>
      <c r="X2856" s="2" t="s">
        <v>602</v>
      </c>
      <c r="Y2856" s="2" t="s">
        <v>10514</v>
      </c>
      <c r="Z2856" s="4">
        <v>177</v>
      </c>
      <c r="AA2856" s="4">
        <f>=ROUNDDOWN(22.125,0)</f>
      </c>
      <c r="AB2856" s="5">
        <v>8</v>
      </c>
      <c r="AC2856" s="2" t="s">
        <v>145</v>
      </c>
      <c r="AD2856" s="4">
        <v>82</v>
      </c>
      <c r="AE2856" s="4">
        <v>100</v>
      </c>
      <c r="AF2856" s="6">
        <v>74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/>
      <c r="AW2856" s="8"/>
      <c r="AX2856" s="4"/>
      <c r="AY2856" s="8"/>
      <c r="AZ2856" s="7"/>
      <c r="BA2856" s="7"/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/>
      <c r="BJ2856" s="4">
        <v>3</v>
      </c>
      <c r="BK2856" s="8">
        <v>363.72</v>
      </c>
      <c r="BL2856" s="2" t="s">
        <v>10509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6185</v>
      </c>
      <c r="BV2856" s="2" t="s">
        <v>97</v>
      </c>
      <c r="BW2856" s="2" t="s">
        <v>100</v>
      </c>
      <c r="BX2856" s="2" t="s">
        <v>100</v>
      </c>
      <c r="BY2856" s="2" t="s">
        <v>112</v>
      </c>
      <c r="BZ2856" s="2" t="s">
        <v>100</v>
      </c>
    </row>
    <row r="2857">
      <c r="A2857" s="2" t="s">
        <v>10525</v>
      </c>
      <c r="B2857" s="2" t="s">
        <v>7252</v>
      </c>
      <c r="C2857" s="2" t="s">
        <v>4305</v>
      </c>
      <c r="D2857" s="2" t="s">
        <v>7253</v>
      </c>
      <c r="E2857" s="2" t="s">
        <v>7744</v>
      </c>
      <c r="F2857" s="2" t="s">
        <v>10524</v>
      </c>
      <c r="G2857" s="2" t="s">
        <v>10524</v>
      </c>
      <c r="H2857" s="2" t="s">
        <v>10524</v>
      </c>
      <c r="I2857" s="2" t="s">
        <v>7735</v>
      </c>
      <c r="J2857" s="2" t="s">
        <v>6103</v>
      </c>
      <c r="K2857" s="2" t="s">
        <v>333</v>
      </c>
      <c r="L2857" s="3">
        <v>112.1</v>
      </c>
      <c r="M2857" s="3">
        <v>117.7</v>
      </c>
      <c r="N2857" s="3">
        <v>239</v>
      </c>
      <c r="O2857" s="2" t="s">
        <v>97</v>
      </c>
      <c r="P2857" s="2" t="s">
        <v>198</v>
      </c>
      <c r="Q2857" s="2" t="s">
        <v>99</v>
      </c>
      <c r="R2857" s="2" t="s">
        <v>100</v>
      </c>
      <c r="S2857" s="2" t="s">
        <v>100</v>
      </c>
      <c r="T2857" s="2" t="s">
        <v>100</v>
      </c>
      <c r="U2857" s="2" t="s">
        <v>3531</v>
      </c>
      <c r="V2857" s="2" t="s">
        <v>1752</v>
      </c>
      <c r="W2857" s="2" t="s">
        <v>104</v>
      </c>
      <c r="X2857" s="2" t="s">
        <v>602</v>
      </c>
      <c r="Y2857" s="2" t="s">
        <v>10502</v>
      </c>
      <c r="Z2857" s="4">
        <v>4</v>
      </c>
      <c r="AA2857" s="4">
        <f>=ROUNDDOWN(1.33333333333333,0)</f>
      </c>
      <c r="AB2857" s="5">
        <v>3</v>
      </c>
      <c r="AC2857" s="2" t="s">
        <v>100</v>
      </c>
      <c r="AD2857" s="4"/>
      <c r="AE2857" s="4"/>
      <c r="AF2857" s="6">
        <v>74</v>
      </c>
      <c r="AG2857" s="6"/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/>
      <c r="AW2857" s="8"/>
      <c r="AX2857" s="4"/>
      <c r="AY2857" s="8"/>
      <c r="AZ2857" s="7"/>
      <c r="BA2857" s="7"/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/>
      <c r="BJ2857" s="4">
        <v>45</v>
      </c>
      <c r="BK2857" s="8">
        <v>5797</v>
      </c>
      <c r="BL2857" s="2" t="s">
        <v>10526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6185</v>
      </c>
      <c r="BV2857" s="2" t="s">
        <v>97</v>
      </c>
      <c r="BW2857" s="2" t="s">
        <v>100</v>
      </c>
      <c r="BX2857" s="2" t="s">
        <v>100</v>
      </c>
      <c r="BY2857" s="2" t="s">
        <v>112</v>
      </c>
      <c r="BZ2857" s="2" t="s">
        <v>100</v>
      </c>
    </row>
    <row r="2858">
      <c r="A2858" s="2" t="s">
        <v>10527</v>
      </c>
      <c r="B2858" s="2" t="s">
        <v>7252</v>
      </c>
      <c r="C2858" s="2" t="s">
        <v>4305</v>
      </c>
      <c r="D2858" s="2" t="s">
        <v>7253</v>
      </c>
      <c r="E2858" s="2" t="s">
        <v>7744</v>
      </c>
      <c r="F2858" s="2" t="s">
        <v>10524</v>
      </c>
      <c r="G2858" s="2" t="s">
        <v>10524</v>
      </c>
      <c r="H2858" s="2" t="s">
        <v>10524</v>
      </c>
      <c r="I2858" s="2" t="s">
        <v>7735</v>
      </c>
      <c r="J2858" s="2" t="s">
        <v>6103</v>
      </c>
      <c r="K2858" s="2" t="s">
        <v>7696</v>
      </c>
      <c r="L2858" s="3">
        <v>112.1</v>
      </c>
      <c r="M2858" s="3">
        <v>117.7</v>
      </c>
      <c r="N2858" s="3">
        <v>239</v>
      </c>
      <c r="O2858" s="2" t="s">
        <v>97</v>
      </c>
      <c r="P2858" s="2" t="s">
        <v>1166</v>
      </c>
      <c r="Q2858" s="2" t="s">
        <v>99</v>
      </c>
      <c r="R2858" s="2" t="s">
        <v>100</v>
      </c>
      <c r="S2858" s="2" t="s">
        <v>100</v>
      </c>
      <c r="T2858" s="2" t="s">
        <v>100</v>
      </c>
      <c r="U2858" s="2" t="s">
        <v>3531</v>
      </c>
      <c r="V2858" s="2" t="s">
        <v>1752</v>
      </c>
      <c r="W2858" s="2" t="s">
        <v>104</v>
      </c>
      <c r="X2858" s="2" t="s">
        <v>602</v>
      </c>
      <c r="Y2858" s="2" t="s">
        <v>100</v>
      </c>
      <c r="Z2858" s="4"/>
      <c r="AA2858" s="4">
        <f>=ROUNDDOWN({0},0)</f>
      </c>
      <c r="AB2858" s="5">
        <v>3</v>
      </c>
      <c r="AC2858" s="2" t="s">
        <v>107</v>
      </c>
      <c r="AD2858" s="4">
        <v>100</v>
      </c>
      <c r="AE2858" s="4">
        <v>100</v>
      </c>
      <c r="AF2858" s="6">
        <v>74</v>
      </c>
      <c r="AG2858" s="6"/>
      <c r="AH2858" s="7">
        <v>0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/>
      <c r="AW2858" s="8"/>
      <c r="AX2858" s="4"/>
      <c r="AY2858" s="8"/>
      <c r="AZ2858" s="7"/>
      <c r="BA2858" s="7"/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/>
      <c r="BK2858" s="8"/>
      <c r="BL2858" s="2" t="s">
        <v>100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147</v>
      </c>
      <c r="BV2858" s="2" t="s">
        <v>97</v>
      </c>
      <c r="BW2858" s="2" t="s">
        <v>100</v>
      </c>
      <c r="BX2858" s="2" t="s">
        <v>100</v>
      </c>
      <c r="BY2858" s="2" t="s">
        <v>112</v>
      </c>
      <c r="BZ2858" s="2" t="s">
        <v>100</v>
      </c>
    </row>
    <row r="2859">
      <c r="A2859" s="2" t="s">
        <v>10528</v>
      </c>
      <c r="B2859" s="2" t="s">
        <v>7252</v>
      </c>
      <c r="C2859" s="2" t="s">
        <v>4305</v>
      </c>
      <c r="D2859" s="2" t="s">
        <v>7253</v>
      </c>
      <c r="E2859" s="2" t="s">
        <v>7744</v>
      </c>
      <c r="F2859" s="2" t="s">
        <v>10524</v>
      </c>
      <c r="G2859" s="2" t="s">
        <v>10524</v>
      </c>
      <c r="H2859" s="2" t="s">
        <v>10524</v>
      </c>
      <c r="I2859" s="2" t="s">
        <v>7735</v>
      </c>
      <c r="J2859" s="2" t="s">
        <v>6103</v>
      </c>
      <c r="K2859" s="2" t="s">
        <v>622</v>
      </c>
      <c r="L2859" s="3">
        <v>112.1</v>
      </c>
      <c r="M2859" s="3">
        <v>117.7</v>
      </c>
      <c r="N2859" s="3">
        <v>239</v>
      </c>
      <c r="O2859" s="2" t="s">
        <v>97</v>
      </c>
      <c r="P2859" s="2" t="s">
        <v>198</v>
      </c>
      <c r="Q2859" s="2" t="s">
        <v>99</v>
      </c>
      <c r="R2859" s="2" t="s">
        <v>100</v>
      </c>
      <c r="S2859" s="2" t="s">
        <v>100</v>
      </c>
      <c r="T2859" s="2" t="s">
        <v>100</v>
      </c>
      <c r="U2859" s="2" t="s">
        <v>3531</v>
      </c>
      <c r="V2859" s="2" t="s">
        <v>1752</v>
      </c>
      <c r="W2859" s="2" t="s">
        <v>104</v>
      </c>
      <c r="X2859" s="2" t="s">
        <v>602</v>
      </c>
      <c r="Y2859" s="2" t="s">
        <v>10502</v>
      </c>
      <c r="Z2859" s="4">
        <v>45</v>
      </c>
      <c r="AA2859" s="4">
        <f>=ROUNDDOWN(22.5,0)</f>
      </c>
      <c r="AB2859" s="5">
        <v>2</v>
      </c>
      <c r="AC2859" s="2" t="s">
        <v>100</v>
      </c>
      <c r="AD2859" s="4"/>
      <c r="AE2859" s="4"/>
      <c r="AF2859" s="6">
        <v>74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/>
      <c r="AW2859" s="8"/>
      <c r="AX2859" s="4"/>
      <c r="AY2859" s="8"/>
      <c r="AZ2859" s="7"/>
      <c r="BA2859" s="7"/>
      <c r="BB2859" s="7"/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/>
      <c r="BJ2859" s="4">
        <v>29</v>
      </c>
      <c r="BK2859" s="8">
        <v>3717.53</v>
      </c>
      <c r="BL2859" s="2" t="s">
        <v>10529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6185</v>
      </c>
      <c r="BV2859" s="2" t="s">
        <v>97</v>
      </c>
      <c r="BW2859" s="2" t="s">
        <v>100</v>
      </c>
      <c r="BX2859" s="2" t="s">
        <v>100</v>
      </c>
      <c r="BY2859" s="2" t="s">
        <v>112</v>
      </c>
      <c r="BZ2859" s="2" t="s">
        <v>100</v>
      </c>
    </row>
    <row r="2860">
      <c r="A2860" s="2" t="s">
        <v>10530</v>
      </c>
      <c r="B2860" s="2" t="s">
        <v>7252</v>
      </c>
      <c r="C2860" s="2" t="s">
        <v>4305</v>
      </c>
      <c r="D2860" s="2" t="s">
        <v>7253</v>
      </c>
      <c r="E2860" s="2" t="s">
        <v>7744</v>
      </c>
      <c r="F2860" s="2" t="s">
        <v>10531</v>
      </c>
      <c r="G2860" s="2" t="s">
        <v>10531</v>
      </c>
      <c r="H2860" s="2" t="s">
        <v>10531</v>
      </c>
      <c r="I2860" s="2" t="s">
        <v>10532</v>
      </c>
      <c r="J2860" s="2" t="s">
        <v>6103</v>
      </c>
      <c r="K2860" s="2" t="s">
        <v>2367</v>
      </c>
      <c r="L2860" s="3">
        <v>118.75</v>
      </c>
      <c r="M2860" s="3">
        <v>124.69</v>
      </c>
      <c r="N2860" s="3">
        <v>249</v>
      </c>
      <c r="O2860" s="2" t="s">
        <v>97</v>
      </c>
      <c r="P2860" s="2" t="s">
        <v>1166</v>
      </c>
      <c r="Q2860" s="2" t="s">
        <v>99</v>
      </c>
      <c r="R2860" s="2" t="s">
        <v>100</v>
      </c>
      <c r="S2860" s="2" t="s">
        <v>100</v>
      </c>
      <c r="T2860" s="2" t="s">
        <v>100</v>
      </c>
      <c r="U2860" s="2" t="s">
        <v>3531</v>
      </c>
      <c r="V2860" s="2" t="s">
        <v>1752</v>
      </c>
      <c r="W2860" s="2" t="s">
        <v>104</v>
      </c>
      <c r="X2860" s="2" t="s">
        <v>759</v>
      </c>
      <c r="Y2860" s="2" t="s">
        <v>1573</v>
      </c>
      <c r="Z2860" s="4">
        <v>165</v>
      </c>
      <c r="AA2860" s="4">
        <f>=ROUNDDOWN(82.5,0)</f>
      </c>
      <c r="AB2860" s="5">
        <v>2</v>
      </c>
      <c r="AC2860" s="2" t="s">
        <v>3872</v>
      </c>
      <c r="AD2860" s="4">
        <v>137</v>
      </c>
      <c r="AE2860" s="4">
        <v>340</v>
      </c>
      <c r="AF2860" s="6">
        <v>74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/>
      <c r="AW2860" s="8"/>
      <c r="AX2860" s="4"/>
      <c r="AY2860" s="8"/>
      <c r="AZ2860" s="7"/>
      <c r="BA2860" s="7"/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38</v>
      </c>
      <c r="BK2860" s="8">
        <v>4971.59</v>
      </c>
      <c r="BL2860" s="2" t="s">
        <v>10533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147</v>
      </c>
      <c r="BV2860" s="2" t="s">
        <v>97</v>
      </c>
      <c r="BW2860" s="2" t="s">
        <v>100</v>
      </c>
      <c r="BX2860" s="2" t="s">
        <v>100</v>
      </c>
      <c r="BY2860" s="2" t="s">
        <v>112</v>
      </c>
      <c r="BZ2860" s="2" t="s">
        <v>100</v>
      </c>
    </row>
    <row r="2861">
      <c r="A2861" s="2" t="s">
        <v>10534</v>
      </c>
      <c r="B2861" s="2" t="s">
        <v>7252</v>
      </c>
      <c r="C2861" s="2" t="s">
        <v>4305</v>
      </c>
      <c r="D2861" s="2" t="s">
        <v>7253</v>
      </c>
      <c r="E2861" s="2" t="s">
        <v>7744</v>
      </c>
      <c r="F2861" s="2" t="s">
        <v>10531</v>
      </c>
      <c r="G2861" s="2" t="s">
        <v>10531</v>
      </c>
      <c r="H2861" s="2" t="s">
        <v>10531</v>
      </c>
      <c r="I2861" s="2" t="s">
        <v>10532</v>
      </c>
      <c r="J2861" s="2" t="s">
        <v>6103</v>
      </c>
      <c r="K2861" s="2" t="s">
        <v>7943</v>
      </c>
      <c r="L2861" s="3">
        <v>118.75</v>
      </c>
      <c r="M2861" s="3">
        <v>124.69</v>
      </c>
      <c r="N2861" s="3">
        <v>249</v>
      </c>
      <c r="O2861" s="2" t="s">
        <v>97</v>
      </c>
      <c r="P2861" s="2" t="s">
        <v>1166</v>
      </c>
      <c r="Q2861" s="2" t="s">
        <v>99</v>
      </c>
      <c r="R2861" s="2" t="s">
        <v>100</v>
      </c>
      <c r="S2861" s="2" t="s">
        <v>100</v>
      </c>
      <c r="T2861" s="2" t="s">
        <v>100</v>
      </c>
      <c r="U2861" s="2" t="s">
        <v>3531</v>
      </c>
      <c r="V2861" s="2" t="s">
        <v>1752</v>
      </c>
      <c r="W2861" s="2" t="s">
        <v>104</v>
      </c>
      <c r="X2861" s="2" t="s">
        <v>759</v>
      </c>
      <c r="Y2861" s="2" t="s">
        <v>1534</v>
      </c>
      <c r="Z2861" s="4">
        <v>77</v>
      </c>
      <c r="AA2861" s="4">
        <f>=ROUNDDOWN(25.6666666666667,0)</f>
      </c>
      <c r="AB2861" s="5">
        <v>3</v>
      </c>
      <c r="AC2861" s="2" t="s">
        <v>100</v>
      </c>
      <c r="AD2861" s="4"/>
      <c r="AE2861" s="4"/>
      <c r="AF2861" s="6">
        <v>74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/>
      <c r="AW2861" s="8"/>
      <c r="AX2861" s="4"/>
      <c r="AY2861" s="8"/>
      <c r="AZ2861" s="7"/>
      <c r="BA2861" s="7"/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>
        <v>58</v>
      </c>
      <c r="BK2861" s="8">
        <v>8475.75</v>
      </c>
      <c r="BL2861" s="2" t="s">
        <v>10535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147</v>
      </c>
      <c r="BV2861" s="2" t="s">
        <v>97</v>
      </c>
      <c r="BW2861" s="2" t="s">
        <v>100</v>
      </c>
      <c r="BX2861" s="2" t="s">
        <v>100</v>
      </c>
      <c r="BY2861" s="2" t="s">
        <v>112</v>
      </c>
      <c r="BZ2861" s="2" t="s">
        <v>100</v>
      </c>
    </row>
    <row r="2862">
      <c r="A2862" s="2" t="s">
        <v>10536</v>
      </c>
      <c r="B2862" s="2" t="s">
        <v>7252</v>
      </c>
      <c r="C2862" s="2" t="s">
        <v>4305</v>
      </c>
      <c r="D2862" s="2" t="s">
        <v>7253</v>
      </c>
      <c r="E2862" s="2" t="s">
        <v>7744</v>
      </c>
      <c r="F2862" s="2" t="s">
        <v>10531</v>
      </c>
      <c r="G2862" s="2" t="s">
        <v>10531</v>
      </c>
      <c r="H2862" s="2" t="s">
        <v>10531</v>
      </c>
      <c r="I2862" s="2" t="s">
        <v>10532</v>
      </c>
      <c r="J2862" s="2" t="s">
        <v>6103</v>
      </c>
      <c r="K2862" s="2" t="s">
        <v>7696</v>
      </c>
      <c r="L2862" s="3">
        <v>118.75</v>
      </c>
      <c r="M2862" s="3">
        <v>124.69</v>
      </c>
      <c r="N2862" s="3">
        <v>249</v>
      </c>
      <c r="O2862" s="2" t="s">
        <v>97</v>
      </c>
      <c r="P2862" s="2" t="s">
        <v>198</v>
      </c>
      <c r="Q2862" s="2" t="s">
        <v>99</v>
      </c>
      <c r="R2862" s="2" t="s">
        <v>100</v>
      </c>
      <c r="S2862" s="2" t="s">
        <v>100</v>
      </c>
      <c r="T2862" s="2" t="s">
        <v>100</v>
      </c>
      <c r="U2862" s="2" t="s">
        <v>3531</v>
      </c>
      <c r="V2862" s="2" t="s">
        <v>1752</v>
      </c>
      <c r="W2862" s="2" t="s">
        <v>104</v>
      </c>
      <c r="X2862" s="2" t="s">
        <v>759</v>
      </c>
      <c r="Y2862" s="2" t="s">
        <v>664</v>
      </c>
      <c r="Z2862" s="4">
        <v>10</v>
      </c>
      <c r="AA2862" s="4">
        <f>=ROUNDDOWN(5,0)</f>
      </c>
      <c r="AB2862" s="5">
        <v>2</v>
      </c>
      <c r="AC2862" s="2" t="s">
        <v>100</v>
      </c>
      <c r="AD2862" s="4"/>
      <c r="AE2862" s="4"/>
      <c r="AF2862" s="6">
        <v>74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/>
      <c r="AW2862" s="8"/>
      <c r="AX2862" s="4"/>
      <c r="AY2862" s="8"/>
      <c r="AZ2862" s="7"/>
      <c r="BA2862" s="7"/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/>
      <c r="BJ2862" s="4">
        <v>52</v>
      </c>
      <c r="BK2862" s="8">
        <v>7245.33</v>
      </c>
      <c r="BL2862" s="2" t="s">
        <v>10537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6185</v>
      </c>
      <c r="BV2862" s="2" t="s">
        <v>97</v>
      </c>
      <c r="BW2862" s="2" t="s">
        <v>100</v>
      </c>
      <c r="BX2862" s="2" t="s">
        <v>100</v>
      </c>
      <c r="BY2862" s="2" t="s">
        <v>112</v>
      </c>
      <c r="BZ2862" s="2" t="s">
        <v>100</v>
      </c>
    </row>
    <row r="2863">
      <c r="A2863" s="2" t="s">
        <v>10538</v>
      </c>
      <c r="B2863" s="2" t="s">
        <v>7252</v>
      </c>
      <c r="C2863" s="2" t="s">
        <v>4305</v>
      </c>
      <c r="D2863" s="2" t="s">
        <v>7253</v>
      </c>
      <c r="E2863" s="2" t="s">
        <v>7744</v>
      </c>
      <c r="F2863" s="2" t="s">
        <v>10531</v>
      </c>
      <c r="G2863" s="2" t="s">
        <v>10531</v>
      </c>
      <c r="H2863" s="2" t="s">
        <v>10531</v>
      </c>
      <c r="I2863" s="2" t="s">
        <v>10532</v>
      </c>
      <c r="J2863" s="2" t="s">
        <v>6103</v>
      </c>
      <c r="K2863" s="2" t="s">
        <v>10484</v>
      </c>
      <c r="L2863" s="3">
        <v>118.75</v>
      </c>
      <c r="M2863" s="3">
        <v>124.69</v>
      </c>
      <c r="N2863" s="3">
        <v>249</v>
      </c>
      <c r="O2863" s="2" t="s">
        <v>97</v>
      </c>
      <c r="P2863" s="2" t="s">
        <v>8446</v>
      </c>
      <c r="Q2863" s="2" t="s">
        <v>99</v>
      </c>
      <c r="R2863" s="2" t="s">
        <v>100</v>
      </c>
      <c r="S2863" s="2" t="s">
        <v>100</v>
      </c>
      <c r="T2863" s="2" t="s">
        <v>100</v>
      </c>
      <c r="U2863" s="2" t="s">
        <v>3531</v>
      </c>
      <c r="V2863" s="2" t="s">
        <v>1752</v>
      </c>
      <c r="W2863" s="2" t="s">
        <v>104</v>
      </c>
      <c r="X2863" s="2" t="s">
        <v>759</v>
      </c>
      <c r="Y2863" s="2" t="s">
        <v>100</v>
      </c>
      <c r="Z2863" s="4"/>
      <c r="AA2863" s="4">
        <f>=ROUNDDOWN({0},0)</f>
      </c>
      <c r="AB2863" s="5"/>
      <c r="AC2863" s="2" t="s">
        <v>1057</v>
      </c>
      <c r="AD2863" s="4">
        <v>75</v>
      </c>
      <c r="AE2863" s="4">
        <v>100</v>
      </c>
      <c r="AF2863" s="6">
        <v>74</v>
      </c>
      <c r="AG2863" s="6"/>
      <c r="AH2863" s="7">
        <v>0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/>
      <c r="AW2863" s="8"/>
      <c r="AX2863" s="4"/>
      <c r="AY2863" s="8"/>
      <c r="AZ2863" s="7"/>
      <c r="BA2863" s="7"/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/>
      <c r="BK2863" s="8"/>
      <c r="BL2863" s="2" t="s">
        <v>100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147</v>
      </c>
      <c r="BV2863" s="2" t="s">
        <v>97</v>
      </c>
      <c r="BW2863" s="2" t="s">
        <v>100</v>
      </c>
      <c r="BX2863" s="2" t="s">
        <v>100</v>
      </c>
      <c r="BY2863" s="2" t="s">
        <v>112</v>
      </c>
      <c r="BZ2863" s="2" t="s">
        <v>100</v>
      </c>
    </row>
    <row r="2864">
      <c r="A2864" s="2" t="s">
        <v>10539</v>
      </c>
      <c r="B2864" s="2" t="s">
        <v>7252</v>
      </c>
      <c r="C2864" s="2" t="s">
        <v>4305</v>
      </c>
      <c r="D2864" s="2" t="s">
        <v>7786</v>
      </c>
      <c r="E2864" s="2" t="s">
        <v>7787</v>
      </c>
      <c r="F2864" s="2" t="s">
        <v>2006</v>
      </c>
      <c r="G2864" s="2" t="s">
        <v>2006</v>
      </c>
      <c r="H2864" s="2" t="s">
        <v>2006</v>
      </c>
      <c r="I2864" s="2" t="s">
        <v>10540</v>
      </c>
      <c r="J2864" s="2" t="s">
        <v>6103</v>
      </c>
      <c r="K2864" s="2" t="s">
        <v>158</v>
      </c>
      <c r="L2864" s="3">
        <v>142</v>
      </c>
      <c r="M2864" s="3">
        <v>149.1</v>
      </c>
      <c r="N2864" s="3">
        <v>299</v>
      </c>
      <c r="O2864" s="2" t="s">
        <v>97</v>
      </c>
      <c r="P2864" s="2" t="s">
        <v>8446</v>
      </c>
      <c r="Q2864" s="2" t="s">
        <v>99</v>
      </c>
      <c r="R2864" s="2" t="s">
        <v>100</v>
      </c>
      <c r="S2864" s="2" t="s">
        <v>100</v>
      </c>
      <c r="T2864" s="2" t="s">
        <v>100</v>
      </c>
      <c r="U2864" s="2" t="s">
        <v>2104</v>
      </c>
      <c r="V2864" s="2" t="s">
        <v>1752</v>
      </c>
      <c r="W2864" s="2" t="s">
        <v>104</v>
      </c>
      <c r="X2864" s="2" t="s">
        <v>405</v>
      </c>
      <c r="Y2864" s="2" t="s">
        <v>100</v>
      </c>
      <c r="Z2864" s="4"/>
      <c r="AA2864" s="4">
        <f>=ROUNDDOWN({0},0)</f>
      </c>
      <c r="AB2864" s="5"/>
      <c r="AC2864" s="2" t="s">
        <v>1057</v>
      </c>
      <c r="AD2864" s="4">
        <v>81</v>
      </c>
      <c r="AE2864" s="4">
        <v>90</v>
      </c>
      <c r="AF2864" s="6">
        <v>74</v>
      </c>
      <c r="AG2864" s="6"/>
      <c r="AH2864" s="7">
        <v>0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/>
      <c r="AW2864" s="8"/>
      <c r="AX2864" s="4"/>
      <c r="AY2864" s="8"/>
      <c r="AZ2864" s="7"/>
      <c r="BA2864" s="7"/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/>
      <c r="BK2864" s="8"/>
      <c r="BL2864" s="2" t="s">
        <v>100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147</v>
      </c>
      <c r="BV2864" s="2" t="s">
        <v>97</v>
      </c>
      <c r="BW2864" s="2" t="s">
        <v>100</v>
      </c>
      <c r="BX2864" s="2" t="s">
        <v>100</v>
      </c>
      <c r="BY2864" s="2" t="s">
        <v>112</v>
      </c>
      <c r="BZ2864" s="2" t="s">
        <v>100</v>
      </c>
    </row>
    <row r="2865">
      <c r="A2865" s="2" t="s">
        <v>10541</v>
      </c>
      <c r="B2865" s="2" t="s">
        <v>7252</v>
      </c>
      <c r="C2865" s="2" t="s">
        <v>4305</v>
      </c>
      <c r="D2865" s="2" t="s">
        <v>7786</v>
      </c>
      <c r="E2865" s="2" t="s">
        <v>7787</v>
      </c>
      <c r="F2865" s="2" t="s">
        <v>2006</v>
      </c>
      <c r="G2865" s="2" t="s">
        <v>2006</v>
      </c>
      <c r="H2865" s="2" t="s">
        <v>2006</v>
      </c>
      <c r="I2865" s="2" t="s">
        <v>10540</v>
      </c>
      <c r="J2865" s="2" t="s">
        <v>6103</v>
      </c>
      <c r="K2865" s="2" t="s">
        <v>7943</v>
      </c>
      <c r="L2865" s="3">
        <v>142</v>
      </c>
      <c r="M2865" s="3">
        <v>149.1</v>
      </c>
      <c r="N2865" s="3">
        <v>299</v>
      </c>
      <c r="O2865" s="2" t="s">
        <v>97</v>
      </c>
      <c r="P2865" s="2" t="s">
        <v>8446</v>
      </c>
      <c r="Q2865" s="2" t="s">
        <v>99</v>
      </c>
      <c r="R2865" s="2" t="s">
        <v>100</v>
      </c>
      <c r="S2865" s="2" t="s">
        <v>100</v>
      </c>
      <c r="T2865" s="2" t="s">
        <v>100</v>
      </c>
      <c r="U2865" s="2" t="s">
        <v>2104</v>
      </c>
      <c r="V2865" s="2" t="s">
        <v>1752</v>
      </c>
      <c r="W2865" s="2" t="s">
        <v>104</v>
      </c>
      <c r="X2865" s="2" t="s">
        <v>405</v>
      </c>
      <c r="Y2865" s="2" t="s">
        <v>100</v>
      </c>
      <c r="Z2865" s="4"/>
      <c r="AA2865" s="4">
        <f>=ROUNDDOWN({0},0)</f>
      </c>
      <c r="AB2865" s="5"/>
      <c r="AC2865" s="2" t="s">
        <v>1057</v>
      </c>
      <c r="AD2865" s="4">
        <v>89</v>
      </c>
      <c r="AE2865" s="4">
        <v>90</v>
      </c>
      <c r="AF2865" s="6">
        <v>74</v>
      </c>
      <c r="AG2865" s="6"/>
      <c r="AH2865" s="7">
        <v>0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/>
      <c r="AW2865" s="8"/>
      <c r="AX2865" s="4"/>
      <c r="AY2865" s="8"/>
      <c r="AZ2865" s="7"/>
      <c r="BA2865" s="7"/>
      <c r="BB2865" s="7"/>
      <c r="BC2865" s="4" t="s">
        <v>100</v>
      </c>
      <c r="BD2865" s="8" t="s">
        <v>100</v>
      </c>
      <c r="BE2865" s="4" t="s">
        <v>100</v>
      </c>
      <c r="BF2865" s="8" t="s">
        <v>100</v>
      </c>
      <c r="BG2865" s="7" t="s">
        <v>100</v>
      </c>
      <c r="BH2865" s="7" t="s">
        <v>100</v>
      </c>
      <c r="BI2865" s="7"/>
      <c r="BJ2865" s="4"/>
      <c r="BK2865" s="8"/>
      <c r="BL2865" s="2" t="s">
        <v>100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147</v>
      </c>
      <c r="BV2865" s="2" t="s">
        <v>97</v>
      </c>
      <c r="BW2865" s="2" t="s">
        <v>100</v>
      </c>
      <c r="BX2865" s="2" t="s">
        <v>100</v>
      </c>
      <c r="BY2865" s="2" t="s">
        <v>112</v>
      </c>
      <c r="BZ2865" s="2" t="s">
        <v>100</v>
      </c>
    </row>
    <row r="2866">
      <c r="A2866" s="2" t="s">
        <v>10542</v>
      </c>
      <c r="B2866" s="2" t="s">
        <v>7252</v>
      </c>
      <c r="C2866" s="2" t="s">
        <v>4305</v>
      </c>
      <c r="D2866" s="2" t="s">
        <v>7786</v>
      </c>
      <c r="E2866" s="2" t="s">
        <v>7787</v>
      </c>
      <c r="F2866" s="2" t="s">
        <v>2006</v>
      </c>
      <c r="G2866" s="2" t="s">
        <v>2006</v>
      </c>
      <c r="H2866" s="2" t="s">
        <v>2006</v>
      </c>
      <c r="I2866" s="2" t="s">
        <v>10540</v>
      </c>
      <c r="J2866" s="2" t="s">
        <v>6103</v>
      </c>
      <c r="K2866" s="2" t="s">
        <v>123</v>
      </c>
      <c r="L2866" s="3">
        <v>142</v>
      </c>
      <c r="M2866" s="3">
        <v>149.1</v>
      </c>
      <c r="N2866" s="3">
        <v>299</v>
      </c>
      <c r="O2866" s="2" t="s">
        <v>97</v>
      </c>
      <c r="P2866" s="2" t="s">
        <v>8446</v>
      </c>
      <c r="Q2866" s="2" t="s">
        <v>99</v>
      </c>
      <c r="R2866" s="2" t="s">
        <v>100</v>
      </c>
      <c r="S2866" s="2" t="s">
        <v>100</v>
      </c>
      <c r="T2866" s="2" t="s">
        <v>100</v>
      </c>
      <c r="U2866" s="2" t="s">
        <v>2104</v>
      </c>
      <c r="V2866" s="2" t="s">
        <v>1752</v>
      </c>
      <c r="W2866" s="2" t="s">
        <v>104</v>
      </c>
      <c r="X2866" s="2" t="s">
        <v>405</v>
      </c>
      <c r="Y2866" s="2" t="s">
        <v>100</v>
      </c>
      <c r="Z2866" s="4"/>
      <c r="AA2866" s="4">
        <f>=ROUNDDOWN({0},0)</f>
      </c>
      <c r="AB2866" s="5"/>
      <c r="AC2866" s="2" t="s">
        <v>1057</v>
      </c>
      <c r="AD2866" s="4">
        <v>153</v>
      </c>
      <c r="AE2866" s="4">
        <v>160</v>
      </c>
      <c r="AF2866" s="6">
        <v>74</v>
      </c>
      <c r="AG2866" s="6"/>
      <c r="AH2866" s="7">
        <v>0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/>
      <c r="AW2866" s="8"/>
      <c r="AX2866" s="4"/>
      <c r="AY2866" s="8"/>
      <c r="AZ2866" s="7"/>
      <c r="BA2866" s="7"/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/>
      <c r="BJ2866" s="4"/>
      <c r="BK2866" s="8"/>
      <c r="BL2866" s="2" t="s">
        <v>100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147</v>
      </c>
      <c r="BV2866" s="2" t="s">
        <v>97</v>
      </c>
      <c r="BW2866" s="2" t="s">
        <v>100</v>
      </c>
      <c r="BX2866" s="2" t="s">
        <v>100</v>
      </c>
      <c r="BY2866" s="2" t="s">
        <v>112</v>
      </c>
      <c r="BZ2866" s="2" t="s">
        <v>100</v>
      </c>
    </row>
    <row r="2867">
      <c r="A2867" s="2" t="s">
        <v>10543</v>
      </c>
      <c r="B2867" s="2" t="s">
        <v>7252</v>
      </c>
      <c r="C2867" s="2" t="s">
        <v>4305</v>
      </c>
      <c r="D2867" s="2" t="s">
        <v>9266</v>
      </c>
      <c r="E2867" s="2" t="s">
        <v>9267</v>
      </c>
      <c r="F2867" s="2" t="s">
        <v>9333</v>
      </c>
      <c r="G2867" s="2" t="s">
        <v>9333</v>
      </c>
      <c r="H2867" s="2" t="s">
        <v>9333</v>
      </c>
      <c r="I2867" s="2" t="s">
        <v>10544</v>
      </c>
      <c r="J2867" s="2" t="s">
        <v>95</v>
      </c>
      <c r="K2867" s="2" t="s">
        <v>310</v>
      </c>
      <c r="L2867" s="3">
        <v>185.66</v>
      </c>
      <c r="M2867" s="3">
        <v>194.94</v>
      </c>
      <c r="N2867" s="3">
        <v>349.99</v>
      </c>
      <c r="O2867" s="2" t="s">
        <v>229</v>
      </c>
      <c r="P2867" s="2" t="s">
        <v>198</v>
      </c>
      <c r="Q2867" s="2" t="s">
        <v>99</v>
      </c>
      <c r="R2867" s="2" t="s">
        <v>100</v>
      </c>
      <c r="S2867" s="2" t="s">
        <v>100</v>
      </c>
      <c r="T2867" s="2" t="s">
        <v>100</v>
      </c>
      <c r="U2867" s="2" t="s">
        <v>100</v>
      </c>
      <c r="V2867" s="2" t="s">
        <v>1752</v>
      </c>
      <c r="W2867" s="2" t="s">
        <v>104</v>
      </c>
      <c r="X2867" s="2" t="s">
        <v>602</v>
      </c>
      <c r="Y2867" s="2" t="s">
        <v>10545</v>
      </c>
      <c r="Z2867" s="4">
        <v>234</v>
      </c>
      <c r="AA2867" s="4">
        <f>=ROUNDDOWN(156,0)</f>
      </c>
      <c r="AB2867" s="5">
        <v>1.5</v>
      </c>
      <c r="AC2867" s="2" t="s">
        <v>100</v>
      </c>
      <c r="AD2867" s="4"/>
      <c r="AE2867" s="4"/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/>
      <c r="AW2867" s="8"/>
      <c r="AX2867" s="4"/>
      <c r="AY2867" s="8"/>
      <c r="AZ2867" s="7"/>
      <c r="BA2867" s="7"/>
      <c r="BB2867" s="7"/>
      <c r="BC2867" s="4"/>
      <c r="BD2867" s="8"/>
      <c r="BE2867" s="4"/>
      <c r="BF2867" s="8"/>
      <c r="BG2867" s="7"/>
      <c r="BH2867" s="7"/>
      <c r="BI2867" s="7"/>
      <c r="BJ2867" s="4">
        <v>25</v>
      </c>
      <c r="BK2867" s="8">
        <v>4796.47</v>
      </c>
      <c r="BL2867" s="2" t="s">
        <v>10546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147</v>
      </c>
      <c r="BV2867" s="2" t="s">
        <v>97</v>
      </c>
      <c r="BW2867" s="2" t="s">
        <v>100</v>
      </c>
      <c r="BX2867" s="2" t="s">
        <v>100</v>
      </c>
      <c r="BY2867" s="2" t="s">
        <v>112</v>
      </c>
      <c r="BZ2867" s="2" t="s">
        <v>100</v>
      </c>
    </row>
    <row r="2868">
      <c r="A2868" s="2" t="s">
        <v>10547</v>
      </c>
      <c r="B2868" s="2" t="s">
        <v>7252</v>
      </c>
      <c r="C2868" s="2" t="s">
        <v>4305</v>
      </c>
      <c r="D2868" s="2" t="s">
        <v>9266</v>
      </c>
      <c r="E2868" s="2" t="s">
        <v>9267</v>
      </c>
      <c r="F2868" s="2" t="s">
        <v>10548</v>
      </c>
      <c r="G2868" s="2" t="s">
        <v>10548</v>
      </c>
      <c r="H2868" s="2" t="s">
        <v>10548</v>
      </c>
      <c r="I2868" s="2" t="s">
        <v>10549</v>
      </c>
      <c r="J2868" s="2" t="s">
        <v>95</v>
      </c>
      <c r="K2868" s="2" t="s">
        <v>2553</v>
      </c>
      <c r="L2868" s="3">
        <v>169.9</v>
      </c>
      <c r="M2868" s="3">
        <v>178.4</v>
      </c>
      <c r="N2868" s="3">
        <v>329.99</v>
      </c>
      <c r="O2868" s="2" t="s">
        <v>229</v>
      </c>
      <c r="P2868" s="2" t="s">
        <v>198</v>
      </c>
      <c r="Q2868" s="2" t="s">
        <v>99</v>
      </c>
      <c r="R2868" s="2" t="s">
        <v>100</v>
      </c>
      <c r="S2868" s="2" t="s">
        <v>100</v>
      </c>
      <c r="T2868" s="2" t="s">
        <v>100</v>
      </c>
      <c r="U2868" s="2" t="s">
        <v>100</v>
      </c>
      <c r="V2868" s="2" t="s">
        <v>1752</v>
      </c>
      <c r="W2868" s="2" t="s">
        <v>104</v>
      </c>
      <c r="X2868" s="2" t="s">
        <v>602</v>
      </c>
      <c r="Y2868" s="2" t="s">
        <v>10550</v>
      </c>
      <c r="Z2868" s="4">
        <v>772</v>
      </c>
      <c r="AA2868" s="4">
        <f>=ROUNDDOWN(1544,0)</f>
      </c>
      <c r="AB2868" s="5">
        <v>0.5</v>
      </c>
      <c r="AC2868" s="2" t="s">
        <v>100</v>
      </c>
      <c r="AD2868" s="4"/>
      <c r="AE2868" s="4"/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/>
      <c r="AW2868" s="8"/>
      <c r="AX2868" s="4"/>
      <c r="AY2868" s="8"/>
      <c r="AZ2868" s="7"/>
      <c r="BA2868" s="7"/>
      <c r="BB2868" s="7"/>
      <c r="BC2868" s="4"/>
      <c r="BD2868" s="8"/>
      <c r="BE2868" s="4"/>
      <c r="BF2868" s="8"/>
      <c r="BG2868" s="7"/>
      <c r="BH2868" s="7"/>
      <c r="BI2868" s="7"/>
      <c r="BJ2868" s="4">
        <v>5</v>
      </c>
      <c r="BK2868" s="8">
        <v>1020.09</v>
      </c>
      <c r="BL2868" s="2" t="s">
        <v>10551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147</v>
      </c>
      <c r="BV2868" s="2" t="s">
        <v>97</v>
      </c>
      <c r="BW2868" s="2" t="s">
        <v>100</v>
      </c>
      <c r="BX2868" s="2" t="s">
        <v>100</v>
      </c>
      <c r="BY2868" s="2" t="s">
        <v>112</v>
      </c>
      <c r="BZ2868" s="2" t="s">
        <v>100</v>
      </c>
    </row>
    <row r="2869">
      <c r="A2869" s="2" t="s">
        <v>10552</v>
      </c>
      <c r="B2869" s="2" t="s">
        <v>7252</v>
      </c>
      <c r="C2869" s="2" t="s">
        <v>4305</v>
      </c>
      <c r="D2869" s="2" t="s">
        <v>9205</v>
      </c>
      <c r="E2869" s="2" t="s">
        <v>9206</v>
      </c>
      <c r="F2869" s="2" t="s">
        <v>10553</v>
      </c>
      <c r="G2869" s="2" t="s">
        <v>10553</v>
      </c>
      <c r="H2869" s="2" t="s">
        <v>10553</v>
      </c>
      <c r="I2869" s="2" t="s">
        <v>10554</v>
      </c>
      <c r="J2869" s="2" t="s">
        <v>6103</v>
      </c>
      <c r="K2869" s="2" t="s">
        <v>9092</v>
      </c>
      <c r="L2869" s="3">
        <v>95.64</v>
      </c>
      <c r="M2869" s="3">
        <v>100.42</v>
      </c>
      <c r="N2869" s="3">
        <v>189.99</v>
      </c>
      <c r="O2869" s="2" t="s">
        <v>229</v>
      </c>
      <c r="P2869" s="2" t="s">
        <v>198</v>
      </c>
      <c r="Q2869" s="2" t="s">
        <v>99</v>
      </c>
      <c r="R2869" s="2" t="s">
        <v>100</v>
      </c>
      <c r="S2869" s="2" t="s">
        <v>100</v>
      </c>
      <c r="T2869" s="2" t="s">
        <v>100</v>
      </c>
      <c r="U2869" s="2" t="s">
        <v>100</v>
      </c>
      <c r="V2869" s="2" t="s">
        <v>1752</v>
      </c>
      <c r="W2869" s="2" t="s">
        <v>6998</v>
      </c>
      <c r="X2869" s="2" t="s">
        <v>104</v>
      </c>
      <c r="Y2869" s="2" t="s">
        <v>10545</v>
      </c>
      <c r="Z2869" s="4">
        <v>309</v>
      </c>
      <c r="AA2869" s="4">
        <f>=ROUNDDOWN(77.25,0)</f>
      </c>
      <c r="AB2869" s="5">
        <v>4</v>
      </c>
      <c r="AC2869" s="2" t="s">
        <v>100</v>
      </c>
      <c r="AD2869" s="4"/>
      <c r="AE2869" s="4"/>
      <c r="AF2869" s="6">
        <v>74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/>
      <c r="AW2869" s="8"/>
      <c r="AX2869" s="4"/>
      <c r="AY2869" s="8"/>
      <c r="AZ2869" s="7"/>
      <c r="BA2869" s="7"/>
      <c r="BB2869" s="7"/>
      <c r="BC2869" s="4"/>
      <c r="BD2869" s="8"/>
      <c r="BE2869" s="4"/>
      <c r="BF2869" s="8"/>
      <c r="BG2869" s="7"/>
      <c r="BH2869" s="7"/>
      <c r="BI2869" s="7"/>
      <c r="BJ2869" s="4">
        <v>51</v>
      </c>
      <c r="BK2869" s="8">
        <v>3910.56</v>
      </c>
      <c r="BL2869" s="2" t="s">
        <v>10555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147</v>
      </c>
      <c r="BV2869" s="2" t="s">
        <v>97</v>
      </c>
      <c r="BW2869" s="2" t="s">
        <v>100</v>
      </c>
      <c r="BX2869" s="2" t="s">
        <v>100</v>
      </c>
      <c r="BY2869" s="2" t="s">
        <v>112</v>
      </c>
      <c r="BZ2869" s="2" t="s">
        <v>100</v>
      </c>
    </row>
    <row r="2870">
      <c r="A2870" s="2" t="s">
        <v>10556</v>
      </c>
      <c r="B2870" s="2" t="s">
        <v>7252</v>
      </c>
      <c r="C2870" s="2" t="s">
        <v>4305</v>
      </c>
      <c r="D2870" s="2" t="s">
        <v>9205</v>
      </c>
      <c r="E2870" s="2" t="s">
        <v>9206</v>
      </c>
      <c r="F2870" s="2" t="s">
        <v>631</v>
      </c>
      <c r="G2870" s="2" t="s">
        <v>631</v>
      </c>
      <c r="H2870" s="2" t="s">
        <v>631</v>
      </c>
      <c r="I2870" s="2" t="s">
        <v>10557</v>
      </c>
      <c r="J2870" s="2" t="s">
        <v>6103</v>
      </c>
      <c r="K2870" s="2" t="s">
        <v>6531</v>
      </c>
      <c r="L2870" s="3">
        <v>101.26</v>
      </c>
      <c r="M2870" s="3">
        <v>106.32</v>
      </c>
      <c r="N2870" s="3">
        <v>199.99</v>
      </c>
      <c r="O2870" s="2" t="s">
        <v>229</v>
      </c>
      <c r="P2870" s="2" t="s">
        <v>198</v>
      </c>
      <c r="Q2870" s="2" t="s">
        <v>99</v>
      </c>
      <c r="R2870" s="2" t="s">
        <v>100</v>
      </c>
      <c r="S2870" s="2" t="s">
        <v>100</v>
      </c>
      <c r="T2870" s="2" t="s">
        <v>100</v>
      </c>
      <c r="U2870" s="2" t="s">
        <v>100</v>
      </c>
      <c r="V2870" s="2" t="s">
        <v>1752</v>
      </c>
      <c r="W2870" s="2" t="s">
        <v>602</v>
      </c>
      <c r="X2870" s="2" t="s">
        <v>104</v>
      </c>
      <c r="Y2870" s="2" t="s">
        <v>10545</v>
      </c>
      <c r="Z2870" s="4">
        <v>237</v>
      </c>
      <c r="AA2870" s="4">
        <f>=ROUNDDOWN(1185,0)</f>
      </c>
      <c r="AB2870" s="5">
        <v>0.2</v>
      </c>
      <c r="AC2870" s="2" t="s">
        <v>100</v>
      </c>
      <c r="AD2870" s="4"/>
      <c r="AE2870" s="4"/>
      <c r="AF2870" s="6">
        <v>74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/>
      <c r="AW2870" s="8"/>
      <c r="AX2870" s="4"/>
      <c r="AY2870" s="8"/>
      <c r="AZ2870" s="7"/>
      <c r="BA2870" s="7"/>
      <c r="BB2870" s="7"/>
      <c r="BC2870" s="4"/>
      <c r="BD2870" s="8"/>
      <c r="BE2870" s="4"/>
      <c r="BF2870" s="8"/>
      <c r="BG2870" s="7"/>
      <c r="BH2870" s="7"/>
      <c r="BI2870" s="7"/>
      <c r="BJ2870" s="4">
        <v>10</v>
      </c>
      <c r="BK2870" s="8">
        <v>872.26</v>
      </c>
      <c r="BL2870" s="2" t="s">
        <v>10558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147</v>
      </c>
      <c r="BV2870" s="2" t="s">
        <v>97</v>
      </c>
      <c r="BW2870" s="2" t="s">
        <v>100</v>
      </c>
      <c r="BX2870" s="2" t="s">
        <v>100</v>
      </c>
      <c r="BY2870" s="2" t="s">
        <v>112</v>
      </c>
      <c r="BZ2870" s="2" t="s">
        <v>100</v>
      </c>
    </row>
    <row r="2871">
      <c r="A2871" s="2" t="s">
        <v>10559</v>
      </c>
      <c r="B2871" s="2" t="s">
        <v>7252</v>
      </c>
      <c r="C2871" s="2" t="s">
        <v>4305</v>
      </c>
      <c r="D2871" s="2" t="s">
        <v>8817</v>
      </c>
      <c r="E2871" s="2" t="s">
        <v>8818</v>
      </c>
      <c r="F2871" s="2" t="s">
        <v>2006</v>
      </c>
      <c r="G2871" s="2" t="s">
        <v>2006</v>
      </c>
      <c r="H2871" s="2" t="s">
        <v>2006</v>
      </c>
      <c r="I2871" s="2" t="s">
        <v>10560</v>
      </c>
      <c r="J2871" s="2" t="s">
        <v>6103</v>
      </c>
      <c r="K2871" s="2" t="s">
        <v>158</v>
      </c>
      <c r="L2871" s="3">
        <v>105</v>
      </c>
      <c r="M2871" s="3">
        <v>110.25</v>
      </c>
      <c r="N2871" s="3">
        <v>219</v>
      </c>
      <c r="O2871" s="2" t="s">
        <v>97</v>
      </c>
      <c r="P2871" s="2" t="s">
        <v>8446</v>
      </c>
      <c r="Q2871" s="2" t="s">
        <v>99</v>
      </c>
      <c r="R2871" s="2" t="s">
        <v>100</v>
      </c>
      <c r="S2871" s="2" t="s">
        <v>100</v>
      </c>
      <c r="T2871" s="2" t="s">
        <v>100</v>
      </c>
      <c r="U2871" s="2" t="s">
        <v>2104</v>
      </c>
      <c r="V2871" s="2" t="s">
        <v>1752</v>
      </c>
      <c r="W2871" s="2" t="s">
        <v>104</v>
      </c>
      <c r="X2871" s="2" t="s">
        <v>405</v>
      </c>
      <c r="Y2871" s="2" t="s">
        <v>100</v>
      </c>
      <c r="Z2871" s="4"/>
      <c r="AA2871" s="4">
        <f>=ROUNDDOWN({0},0)</f>
      </c>
      <c r="AB2871" s="5"/>
      <c r="AC2871" s="2" t="s">
        <v>3872</v>
      </c>
      <c r="AD2871" s="4">
        <v>89</v>
      </c>
      <c r="AE2871" s="4">
        <v>90</v>
      </c>
      <c r="AF2871" s="6">
        <v>74</v>
      </c>
      <c r="AG2871" s="6"/>
      <c r="AH2871" s="7">
        <v>0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/>
      <c r="BJ2871" s="4"/>
      <c r="BK2871" s="8"/>
      <c r="BL2871" s="2" t="s">
        <v>100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147</v>
      </c>
      <c r="BV2871" s="2" t="s">
        <v>97</v>
      </c>
      <c r="BW2871" s="2" t="s">
        <v>100</v>
      </c>
      <c r="BX2871" s="2" t="s">
        <v>100</v>
      </c>
      <c r="BY2871" s="2" t="s">
        <v>112</v>
      </c>
      <c r="BZ2871" s="2" t="s">
        <v>100</v>
      </c>
    </row>
    <row r="2872">
      <c r="A2872" s="2" t="s">
        <v>10561</v>
      </c>
      <c r="B2872" s="2" t="s">
        <v>7252</v>
      </c>
      <c r="C2872" s="2" t="s">
        <v>4305</v>
      </c>
      <c r="D2872" s="2" t="s">
        <v>8817</v>
      </c>
      <c r="E2872" s="2" t="s">
        <v>8818</v>
      </c>
      <c r="F2872" s="2" t="s">
        <v>2006</v>
      </c>
      <c r="G2872" s="2" t="s">
        <v>2006</v>
      </c>
      <c r="H2872" s="2" t="s">
        <v>2006</v>
      </c>
      <c r="I2872" s="2" t="s">
        <v>10560</v>
      </c>
      <c r="J2872" s="2" t="s">
        <v>6103</v>
      </c>
      <c r="K2872" s="2" t="s">
        <v>7943</v>
      </c>
      <c r="L2872" s="3">
        <v>105</v>
      </c>
      <c r="M2872" s="3">
        <v>110.25</v>
      </c>
      <c r="N2872" s="3">
        <v>219</v>
      </c>
      <c r="O2872" s="2" t="s">
        <v>97</v>
      </c>
      <c r="P2872" s="2" t="s">
        <v>8446</v>
      </c>
      <c r="Q2872" s="2" t="s">
        <v>99</v>
      </c>
      <c r="R2872" s="2" t="s">
        <v>100</v>
      </c>
      <c r="S2872" s="2" t="s">
        <v>100</v>
      </c>
      <c r="T2872" s="2" t="s">
        <v>100</v>
      </c>
      <c r="U2872" s="2" t="s">
        <v>2104</v>
      </c>
      <c r="V2872" s="2" t="s">
        <v>1752</v>
      </c>
      <c r="W2872" s="2" t="s">
        <v>104</v>
      </c>
      <c r="X2872" s="2" t="s">
        <v>405</v>
      </c>
      <c r="Y2872" s="2" t="s">
        <v>100</v>
      </c>
      <c r="Z2872" s="4"/>
      <c r="AA2872" s="4">
        <f>=ROUNDDOWN({0},0)</f>
      </c>
      <c r="AB2872" s="5"/>
      <c r="AC2872" s="2" t="s">
        <v>3872</v>
      </c>
      <c r="AD2872" s="4">
        <v>89</v>
      </c>
      <c r="AE2872" s="4">
        <v>90</v>
      </c>
      <c r="AF2872" s="6">
        <v>74</v>
      </c>
      <c r="AG2872" s="6"/>
      <c r="AH2872" s="7">
        <v>0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/>
      <c r="AW2872" s="8"/>
      <c r="AX2872" s="4"/>
      <c r="AY2872" s="8"/>
      <c r="AZ2872" s="7"/>
      <c r="BA2872" s="7"/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/>
      <c r="BJ2872" s="4"/>
      <c r="BK2872" s="8"/>
      <c r="BL2872" s="2" t="s">
        <v>100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147</v>
      </c>
      <c r="BV2872" s="2" t="s">
        <v>97</v>
      </c>
      <c r="BW2872" s="2" t="s">
        <v>100</v>
      </c>
      <c r="BX2872" s="2" t="s">
        <v>100</v>
      </c>
      <c r="BY2872" s="2" t="s">
        <v>112</v>
      </c>
      <c r="BZ2872" s="2" t="s">
        <v>100</v>
      </c>
    </row>
    <row r="2873">
      <c r="A2873" s="2" t="s">
        <v>10562</v>
      </c>
      <c r="B2873" s="2" t="s">
        <v>7252</v>
      </c>
      <c r="C2873" s="2" t="s">
        <v>4305</v>
      </c>
      <c r="D2873" s="2" t="s">
        <v>8817</v>
      </c>
      <c r="E2873" s="2" t="s">
        <v>8818</v>
      </c>
      <c r="F2873" s="2" t="s">
        <v>2006</v>
      </c>
      <c r="G2873" s="2" t="s">
        <v>2006</v>
      </c>
      <c r="H2873" s="2" t="s">
        <v>2006</v>
      </c>
      <c r="I2873" s="2" t="s">
        <v>10560</v>
      </c>
      <c r="J2873" s="2" t="s">
        <v>6103</v>
      </c>
      <c r="K2873" s="2" t="s">
        <v>123</v>
      </c>
      <c r="L2873" s="3">
        <v>105</v>
      </c>
      <c r="M2873" s="3">
        <v>110.25</v>
      </c>
      <c r="N2873" s="3">
        <v>219</v>
      </c>
      <c r="O2873" s="2" t="s">
        <v>97</v>
      </c>
      <c r="P2873" s="2" t="s">
        <v>8446</v>
      </c>
      <c r="Q2873" s="2" t="s">
        <v>99</v>
      </c>
      <c r="R2873" s="2" t="s">
        <v>100</v>
      </c>
      <c r="S2873" s="2" t="s">
        <v>100</v>
      </c>
      <c r="T2873" s="2" t="s">
        <v>100</v>
      </c>
      <c r="U2873" s="2" t="s">
        <v>2104</v>
      </c>
      <c r="V2873" s="2" t="s">
        <v>1752</v>
      </c>
      <c r="W2873" s="2" t="s">
        <v>104</v>
      </c>
      <c r="X2873" s="2" t="s">
        <v>405</v>
      </c>
      <c r="Y2873" s="2" t="s">
        <v>100</v>
      </c>
      <c r="Z2873" s="4"/>
      <c r="AA2873" s="4">
        <f>=ROUNDDOWN({0},0)</f>
      </c>
      <c r="AB2873" s="5"/>
      <c r="AC2873" s="2" t="s">
        <v>3872</v>
      </c>
      <c r="AD2873" s="4">
        <v>159</v>
      </c>
      <c r="AE2873" s="4">
        <v>160</v>
      </c>
      <c r="AF2873" s="6">
        <v>74</v>
      </c>
      <c r="AG2873" s="6"/>
      <c r="AH2873" s="7">
        <v>0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/>
      <c r="AW2873" s="8"/>
      <c r="AX2873" s="4"/>
      <c r="AY2873" s="8"/>
      <c r="AZ2873" s="7"/>
      <c r="BA2873" s="7"/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/>
      <c r="BJ2873" s="4"/>
      <c r="BK2873" s="8"/>
      <c r="BL2873" s="2" t="s">
        <v>100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147</v>
      </c>
      <c r="BV2873" s="2" t="s">
        <v>97</v>
      </c>
      <c r="BW2873" s="2" t="s">
        <v>100</v>
      </c>
      <c r="BX2873" s="2" t="s">
        <v>100</v>
      </c>
      <c r="BY2873" s="2" t="s">
        <v>112</v>
      </c>
      <c r="BZ2873" s="2" t="s">
        <v>100</v>
      </c>
    </row>
    <row r="2874">
      <c r="A2874" s="2" t="s">
        <v>10563</v>
      </c>
      <c r="B2874" s="2" t="s">
        <v>7252</v>
      </c>
      <c r="C2874" s="2" t="s">
        <v>4305</v>
      </c>
      <c r="D2874" s="2" t="s">
        <v>8817</v>
      </c>
      <c r="E2874" s="2" t="s">
        <v>8818</v>
      </c>
      <c r="F2874" s="2" t="s">
        <v>1590</v>
      </c>
      <c r="G2874" s="2" t="s">
        <v>1590</v>
      </c>
      <c r="H2874" s="2" t="s">
        <v>1590</v>
      </c>
      <c r="I2874" s="2" t="s">
        <v>10564</v>
      </c>
      <c r="J2874" s="2" t="s">
        <v>6103</v>
      </c>
      <c r="K2874" s="2" t="s">
        <v>333</v>
      </c>
      <c r="L2874" s="3">
        <v>102.6</v>
      </c>
      <c r="M2874" s="3">
        <v>107.73</v>
      </c>
      <c r="N2874" s="3">
        <v>219</v>
      </c>
      <c r="O2874" s="2" t="s">
        <v>97</v>
      </c>
      <c r="P2874" s="2" t="s">
        <v>198</v>
      </c>
      <c r="Q2874" s="2" t="s">
        <v>99</v>
      </c>
      <c r="R2874" s="2" t="s">
        <v>100</v>
      </c>
      <c r="S2874" s="2" t="s">
        <v>100</v>
      </c>
      <c r="T2874" s="2" t="s">
        <v>100</v>
      </c>
      <c r="U2874" s="2" t="s">
        <v>2104</v>
      </c>
      <c r="V2874" s="2" t="s">
        <v>1752</v>
      </c>
      <c r="W2874" s="2" t="s">
        <v>104</v>
      </c>
      <c r="X2874" s="2" t="s">
        <v>602</v>
      </c>
      <c r="Y2874" s="2" t="s">
        <v>862</v>
      </c>
      <c r="Z2874" s="4">
        <v>38</v>
      </c>
      <c r="AA2874" s="4">
        <f>=ROUNDDOWN(12.6666666666667,0)</f>
      </c>
      <c r="AB2874" s="5">
        <v>3</v>
      </c>
      <c r="AC2874" s="2" t="s">
        <v>100</v>
      </c>
      <c r="AD2874" s="4"/>
      <c r="AE2874" s="4"/>
      <c r="AF2874" s="6">
        <v>76</v>
      </c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/>
      <c r="AW2874" s="8"/>
      <c r="AX2874" s="4"/>
      <c r="AY2874" s="8"/>
      <c r="AZ2874" s="7"/>
      <c r="BA2874" s="7"/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/>
      <c r="BJ2874" s="4">
        <v>70</v>
      </c>
      <c r="BK2874" s="8">
        <v>7845.07</v>
      </c>
      <c r="BL2874" s="2" t="s">
        <v>10565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6185</v>
      </c>
      <c r="BV2874" s="2" t="s">
        <v>97</v>
      </c>
      <c r="BW2874" s="2" t="s">
        <v>100</v>
      </c>
      <c r="BX2874" s="2" t="s">
        <v>100</v>
      </c>
      <c r="BY2874" s="2" t="s">
        <v>112</v>
      </c>
      <c r="BZ2874" s="2" t="s">
        <v>100</v>
      </c>
    </row>
    <row r="2875">
      <c r="A2875" s="2" t="s">
        <v>10566</v>
      </c>
      <c r="B2875" s="2" t="s">
        <v>7252</v>
      </c>
      <c r="C2875" s="2" t="s">
        <v>4305</v>
      </c>
      <c r="D2875" s="2" t="s">
        <v>8817</v>
      </c>
      <c r="E2875" s="2" t="s">
        <v>8818</v>
      </c>
      <c r="F2875" s="2" t="s">
        <v>1590</v>
      </c>
      <c r="G2875" s="2" t="s">
        <v>1590</v>
      </c>
      <c r="H2875" s="2" t="s">
        <v>1590</v>
      </c>
      <c r="I2875" s="2" t="s">
        <v>10564</v>
      </c>
      <c r="J2875" s="2" t="s">
        <v>6103</v>
      </c>
      <c r="K2875" s="2" t="s">
        <v>7696</v>
      </c>
      <c r="L2875" s="3">
        <v>102.6</v>
      </c>
      <c r="M2875" s="3">
        <v>107.73</v>
      </c>
      <c r="N2875" s="3">
        <v>219</v>
      </c>
      <c r="O2875" s="2" t="s">
        <v>97</v>
      </c>
      <c r="P2875" s="2" t="s">
        <v>1166</v>
      </c>
      <c r="Q2875" s="2" t="s">
        <v>99</v>
      </c>
      <c r="R2875" s="2" t="s">
        <v>100</v>
      </c>
      <c r="S2875" s="2" t="s">
        <v>100</v>
      </c>
      <c r="T2875" s="2" t="s">
        <v>1168</v>
      </c>
      <c r="U2875" s="2" t="s">
        <v>2104</v>
      </c>
      <c r="V2875" s="2" t="s">
        <v>1752</v>
      </c>
      <c r="W2875" s="2" t="s">
        <v>104</v>
      </c>
      <c r="X2875" s="2" t="s">
        <v>602</v>
      </c>
      <c r="Y2875" s="2" t="s">
        <v>100</v>
      </c>
      <c r="Z2875" s="4"/>
      <c r="AA2875" s="4">
        <f>=ROUNDDOWN({0},0)</f>
      </c>
      <c r="AB2875" s="5">
        <v>3</v>
      </c>
      <c r="AC2875" s="2" t="s">
        <v>1328</v>
      </c>
      <c r="AD2875" s="4">
        <v>73</v>
      </c>
      <c r="AE2875" s="4">
        <v>100</v>
      </c>
      <c r="AF2875" s="6">
        <v>76</v>
      </c>
      <c r="AG2875" s="6"/>
      <c r="AH2875" s="7">
        <v>0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/>
      <c r="AW2875" s="8"/>
      <c r="AX2875" s="4"/>
      <c r="AY2875" s="8"/>
      <c r="AZ2875" s="7"/>
      <c r="BA2875" s="7"/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/>
      <c r="BJ2875" s="4"/>
      <c r="BK2875" s="8"/>
      <c r="BL2875" s="2" t="s">
        <v>100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147</v>
      </c>
      <c r="BV2875" s="2" t="s">
        <v>97</v>
      </c>
      <c r="BW2875" s="2" t="s">
        <v>100</v>
      </c>
      <c r="BX2875" s="2" t="s">
        <v>100</v>
      </c>
      <c r="BY2875" s="2" t="s">
        <v>112</v>
      </c>
      <c r="BZ2875" s="2" t="s">
        <v>100</v>
      </c>
    </row>
    <row r="2876">
      <c r="A2876" s="2" t="s">
        <v>10567</v>
      </c>
      <c r="B2876" s="2" t="s">
        <v>7252</v>
      </c>
      <c r="C2876" s="2" t="s">
        <v>4305</v>
      </c>
      <c r="D2876" s="2" t="s">
        <v>8817</v>
      </c>
      <c r="E2876" s="2" t="s">
        <v>8818</v>
      </c>
      <c r="F2876" s="2" t="s">
        <v>1590</v>
      </c>
      <c r="G2876" s="2" t="s">
        <v>1590</v>
      </c>
      <c r="H2876" s="2" t="s">
        <v>1590</v>
      </c>
      <c r="I2876" s="2" t="s">
        <v>10564</v>
      </c>
      <c r="J2876" s="2" t="s">
        <v>6103</v>
      </c>
      <c r="K2876" s="2" t="s">
        <v>10484</v>
      </c>
      <c r="L2876" s="3">
        <v>102.6</v>
      </c>
      <c r="M2876" s="3">
        <v>107.73</v>
      </c>
      <c r="N2876" s="3">
        <v>219</v>
      </c>
      <c r="O2876" s="2" t="s">
        <v>97</v>
      </c>
      <c r="P2876" s="2" t="s">
        <v>1166</v>
      </c>
      <c r="Q2876" s="2" t="s">
        <v>99</v>
      </c>
      <c r="R2876" s="2" t="s">
        <v>100</v>
      </c>
      <c r="S2876" s="2" t="s">
        <v>100</v>
      </c>
      <c r="T2876" s="2" t="s">
        <v>100</v>
      </c>
      <c r="U2876" s="2" t="s">
        <v>2104</v>
      </c>
      <c r="V2876" s="2" t="s">
        <v>1752</v>
      </c>
      <c r="W2876" s="2" t="s">
        <v>104</v>
      </c>
      <c r="X2876" s="2" t="s">
        <v>602</v>
      </c>
      <c r="Y2876" s="2" t="s">
        <v>580</v>
      </c>
      <c r="Z2876" s="4">
        <v>84</v>
      </c>
      <c r="AA2876" s="4">
        <f>=ROUNDDOWN(84,0)</f>
      </c>
      <c r="AB2876" s="5">
        <v>1</v>
      </c>
      <c r="AC2876" s="2" t="s">
        <v>2120</v>
      </c>
      <c r="AD2876" s="4">
        <v>100</v>
      </c>
      <c r="AE2876" s="4">
        <v>100</v>
      </c>
      <c r="AF2876" s="6">
        <v>76</v>
      </c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/>
      <c r="AW2876" s="8"/>
      <c r="AX2876" s="4"/>
      <c r="AY2876" s="8"/>
      <c r="AZ2876" s="7"/>
      <c r="BA2876" s="7"/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/>
      <c r="BJ2876" s="4"/>
      <c r="BK2876" s="8"/>
      <c r="BL2876" s="2" t="s">
        <v>100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6185</v>
      </c>
      <c r="BV2876" s="2" t="s">
        <v>97</v>
      </c>
      <c r="BW2876" s="2" t="s">
        <v>100</v>
      </c>
      <c r="BX2876" s="2" t="s">
        <v>100</v>
      </c>
      <c r="BY2876" s="2" t="s">
        <v>112</v>
      </c>
      <c r="BZ2876" s="2" t="s">
        <v>100</v>
      </c>
    </row>
    <row r="2877">
      <c r="A2877" s="2" t="s">
        <v>10568</v>
      </c>
      <c r="B2877" s="2" t="s">
        <v>7252</v>
      </c>
      <c r="C2877" s="2" t="s">
        <v>4305</v>
      </c>
      <c r="D2877" s="2" t="s">
        <v>8817</v>
      </c>
      <c r="E2877" s="2" t="s">
        <v>8818</v>
      </c>
      <c r="F2877" s="2" t="s">
        <v>1590</v>
      </c>
      <c r="G2877" s="2" t="s">
        <v>1590</v>
      </c>
      <c r="H2877" s="2" t="s">
        <v>1590</v>
      </c>
      <c r="I2877" s="2" t="s">
        <v>10564</v>
      </c>
      <c r="J2877" s="2" t="s">
        <v>6103</v>
      </c>
      <c r="K2877" s="2" t="s">
        <v>622</v>
      </c>
      <c r="L2877" s="3">
        <v>102.6</v>
      </c>
      <c r="M2877" s="3">
        <v>107.73</v>
      </c>
      <c r="N2877" s="3">
        <v>219</v>
      </c>
      <c r="O2877" s="2" t="s">
        <v>97</v>
      </c>
      <c r="P2877" s="2" t="s">
        <v>1166</v>
      </c>
      <c r="Q2877" s="2" t="s">
        <v>99</v>
      </c>
      <c r="R2877" s="2" t="s">
        <v>100</v>
      </c>
      <c r="S2877" s="2" t="s">
        <v>100</v>
      </c>
      <c r="T2877" s="2" t="s">
        <v>100</v>
      </c>
      <c r="U2877" s="2" t="s">
        <v>2104</v>
      </c>
      <c r="V2877" s="2" t="s">
        <v>1752</v>
      </c>
      <c r="W2877" s="2" t="s">
        <v>104</v>
      </c>
      <c r="X2877" s="2" t="s">
        <v>602</v>
      </c>
      <c r="Y2877" s="2" t="s">
        <v>1534</v>
      </c>
      <c r="Z2877" s="4">
        <v>112</v>
      </c>
      <c r="AA2877" s="4">
        <f>=ROUNDDOWN(112,0)</f>
      </c>
      <c r="AB2877" s="5">
        <v>1</v>
      </c>
      <c r="AC2877" s="2" t="s">
        <v>100</v>
      </c>
      <c r="AD2877" s="4"/>
      <c r="AE2877" s="4"/>
      <c r="AF2877" s="6">
        <v>76</v>
      </c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/>
      <c r="AW2877" s="8"/>
      <c r="AX2877" s="4"/>
      <c r="AY2877" s="8"/>
      <c r="AZ2877" s="7"/>
      <c r="BA2877" s="7"/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/>
      <c r="BJ2877" s="4">
        <v>9</v>
      </c>
      <c r="BK2877" s="8">
        <v>895.23</v>
      </c>
      <c r="BL2877" s="2" t="s">
        <v>10569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6185</v>
      </c>
      <c r="BV2877" s="2" t="s">
        <v>97</v>
      </c>
      <c r="BW2877" s="2" t="s">
        <v>100</v>
      </c>
      <c r="BX2877" s="2" t="s">
        <v>100</v>
      </c>
      <c r="BY2877" s="2" t="s">
        <v>112</v>
      </c>
      <c r="BZ2877" s="2" t="s">
        <v>100</v>
      </c>
    </row>
    <row r="2878">
      <c r="A2878" s="2" t="s">
        <v>10570</v>
      </c>
      <c r="B2878" s="2" t="s">
        <v>7252</v>
      </c>
      <c r="C2878" s="2" t="s">
        <v>4305</v>
      </c>
      <c r="D2878" s="2" t="s">
        <v>8575</v>
      </c>
      <c r="E2878" s="2" t="s">
        <v>8676</v>
      </c>
      <c r="F2878" s="2" t="s">
        <v>8273</v>
      </c>
      <c r="G2878" s="2" t="s">
        <v>8273</v>
      </c>
      <c r="H2878" s="2" t="s">
        <v>8273</v>
      </c>
      <c r="I2878" s="2" t="s">
        <v>10571</v>
      </c>
      <c r="J2878" s="2" t="s">
        <v>6103</v>
      </c>
      <c r="K2878" s="2" t="s">
        <v>10572</v>
      </c>
      <c r="L2878" s="3">
        <v>95.64</v>
      </c>
      <c r="M2878" s="3">
        <v>100.42</v>
      </c>
      <c r="N2878" s="3">
        <v>189.99</v>
      </c>
      <c r="O2878" s="2" t="s">
        <v>229</v>
      </c>
      <c r="P2878" s="2" t="s">
        <v>198</v>
      </c>
      <c r="Q2878" s="2" t="s">
        <v>99</v>
      </c>
      <c r="R2878" s="2" t="s">
        <v>100</v>
      </c>
      <c r="S2878" s="2" t="s">
        <v>100</v>
      </c>
      <c r="T2878" s="2" t="s">
        <v>100</v>
      </c>
      <c r="U2878" s="2" t="s">
        <v>100</v>
      </c>
      <c r="V2878" s="2" t="s">
        <v>1752</v>
      </c>
      <c r="W2878" s="2" t="s">
        <v>602</v>
      </c>
      <c r="X2878" s="2" t="s">
        <v>104</v>
      </c>
      <c r="Y2878" s="2" t="s">
        <v>10545</v>
      </c>
      <c r="Z2878" s="4">
        <v>195</v>
      </c>
      <c r="AA2878" s="4">
        <f>=ROUNDDOWN(48.75,0)</f>
      </c>
      <c r="AB2878" s="5">
        <v>4</v>
      </c>
      <c r="AC2878" s="2" t="s">
        <v>100</v>
      </c>
      <c r="AD2878" s="4"/>
      <c r="AE2878" s="4"/>
      <c r="AF2878" s="6">
        <v>74</v>
      </c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/>
      <c r="AW2878" s="8"/>
      <c r="AX2878" s="4"/>
      <c r="AY2878" s="8"/>
      <c r="AZ2878" s="7"/>
      <c r="BA2878" s="7"/>
      <c r="BB2878" s="7"/>
      <c r="BC2878" s="4"/>
      <c r="BD2878" s="8"/>
      <c r="BE2878" s="4"/>
      <c r="BF2878" s="8"/>
      <c r="BG2878" s="7"/>
      <c r="BH2878" s="7"/>
      <c r="BI2878" s="7"/>
      <c r="BJ2878" s="4">
        <v>50</v>
      </c>
      <c r="BK2878" s="8">
        <v>2561.87</v>
      </c>
      <c r="BL2878" s="2" t="s">
        <v>10573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147</v>
      </c>
      <c r="BV2878" s="2" t="s">
        <v>97</v>
      </c>
      <c r="BW2878" s="2" t="s">
        <v>100</v>
      </c>
      <c r="BX2878" s="2" t="s">
        <v>100</v>
      </c>
      <c r="BY2878" s="2" t="s">
        <v>112</v>
      </c>
      <c r="BZ2878" s="2" t="s">
        <v>100</v>
      </c>
    </row>
    <row r="2879">
      <c r="A2879" s="2" t="s">
        <v>10574</v>
      </c>
      <c r="B2879" s="2" t="s">
        <v>7252</v>
      </c>
      <c r="C2879" s="2" t="s">
        <v>5275</v>
      </c>
      <c r="D2879" s="2" t="s">
        <v>8575</v>
      </c>
      <c r="E2879" s="2" t="s">
        <v>8637</v>
      </c>
      <c r="F2879" s="2" t="s">
        <v>4201</v>
      </c>
      <c r="G2879" s="2" t="s">
        <v>4201</v>
      </c>
      <c r="H2879" s="2" t="s">
        <v>4201</v>
      </c>
      <c r="I2879" s="2" t="s">
        <v>10575</v>
      </c>
      <c r="J2879" s="2" t="s">
        <v>6103</v>
      </c>
      <c r="K2879" s="2" t="s">
        <v>8662</v>
      </c>
      <c r="L2879" s="3">
        <v>223.81</v>
      </c>
      <c r="M2879" s="3">
        <v>235</v>
      </c>
      <c r="N2879" s="3">
        <v>529</v>
      </c>
      <c r="O2879" s="2" t="s">
        <v>229</v>
      </c>
      <c r="P2879" s="2" t="s">
        <v>198</v>
      </c>
      <c r="Q2879" s="2" t="s">
        <v>99</v>
      </c>
      <c r="R2879" s="2" t="s">
        <v>100</v>
      </c>
      <c r="S2879" s="2" t="s">
        <v>100</v>
      </c>
      <c r="T2879" s="2" t="s">
        <v>100</v>
      </c>
      <c r="U2879" s="2" t="s">
        <v>3531</v>
      </c>
      <c r="V2879" s="2" t="s">
        <v>601</v>
      </c>
      <c r="W2879" s="2" t="s">
        <v>104</v>
      </c>
      <c r="X2879" s="2" t="s">
        <v>100</v>
      </c>
      <c r="Y2879" s="2" t="s">
        <v>10576</v>
      </c>
      <c r="Z2879" s="4">
        <v>25</v>
      </c>
      <c r="AA2879" s="4">
        <f>=ROUNDDOWN({0},0)</f>
      </c>
      <c r="AB2879" s="5"/>
      <c r="AC2879" s="2" t="s">
        <v>100</v>
      </c>
      <c r="AD2879" s="4"/>
      <c r="AE2879" s="4"/>
      <c r="AF2879" s="6">
        <v>65</v>
      </c>
      <c r="AG2879" s="6">
        <v>48</v>
      </c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/>
      <c r="BD2879" s="8"/>
      <c r="BE2879" s="4"/>
      <c r="BF2879" s="8"/>
      <c r="BG2879" s="7"/>
      <c r="BH2879" s="7"/>
      <c r="BI2879" s="7"/>
      <c r="BJ2879" s="4">
        <v>4</v>
      </c>
      <c r="BK2879" s="8">
        <v>345.44</v>
      </c>
      <c r="BL2879" s="2" t="s">
        <v>5499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5993</v>
      </c>
      <c r="BV2879" s="2" t="s">
        <v>97</v>
      </c>
      <c r="BW2879" s="2" t="s">
        <v>100</v>
      </c>
      <c r="BX2879" s="2" t="s">
        <v>100</v>
      </c>
      <c r="BY2879" s="2" t="s">
        <v>112</v>
      </c>
      <c r="BZ2879" s="2" t="s">
        <v>100</v>
      </c>
    </row>
    <row r="2880">
      <c r="A2880" s="2" t="s">
        <v>10577</v>
      </c>
      <c r="B2880" s="2" t="s">
        <v>10578</v>
      </c>
      <c r="C2880" s="2" t="s">
        <v>4305</v>
      </c>
      <c r="D2880" s="2" t="s">
        <v>10579</v>
      </c>
      <c r="E2880" s="2" t="s">
        <v>10580</v>
      </c>
      <c r="F2880" s="2" t="s">
        <v>10581</v>
      </c>
      <c r="G2880" s="2" t="s">
        <v>10581</v>
      </c>
      <c r="H2880" s="2" t="s">
        <v>10581</v>
      </c>
      <c r="I2880" s="2" t="s">
        <v>10582</v>
      </c>
      <c r="J2880" s="2" t="s">
        <v>6103</v>
      </c>
      <c r="K2880" s="2" t="s">
        <v>1660</v>
      </c>
      <c r="L2880" s="3">
        <v>80.15</v>
      </c>
      <c r="M2880" s="3">
        <v>84.16</v>
      </c>
      <c r="N2880" s="3">
        <v>184.99</v>
      </c>
      <c r="O2880" s="2" t="s">
        <v>97</v>
      </c>
      <c r="P2880" s="2" t="s">
        <v>143</v>
      </c>
      <c r="Q2880" s="2" t="s">
        <v>99</v>
      </c>
      <c r="R2880" s="2" t="s">
        <v>100</v>
      </c>
      <c r="S2880" s="2" t="s">
        <v>100</v>
      </c>
      <c r="T2880" s="2" t="s">
        <v>100</v>
      </c>
      <c r="U2880" s="2" t="s">
        <v>2104</v>
      </c>
      <c r="V2880" s="2" t="s">
        <v>1752</v>
      </c>
      <c r="W2880" s="2" t="s">
        <v>759</v>
      </c>
      <c r="X2880" s="2" t="s">
        <v>100</v>
      </c>
      <c r="Y2880" s="2" t="s">
        <v>4317</v>
      </c>
      <c r="Z2880" s="4">
        <v>2</v>
      </c>
      <c r="AA2880" s="4">
        <f>=ROUNDDOWN(0.357142857142857,0)</f>
      </c>
      <c r="AB2880" s="5">
        <v>5.6</v>
      </c>
      <c r="AC2880" s="2" t="s">
        <v>1193</v>
      </c>
      <c r="AD2880" s="4">
        <v>100</v>
      </c>
      <c r="AE2880" s="4">
        <v>200</v>
      </c>
      <c r="AF2880" s="6">
        <v>65</v>
      </c>
      <c r="AG2880" s="6"/>
      <c r="AH2880" s="7">
        <v>0.9576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>
        <v>0</v>
      </c>
      <c r="AP2880" s="4">
        <v>15</v>
      </c>
      <c r="AQ2880" s="8">
        <v>1262.4</v>
      </c>
      <c r="AR2880" s="4">
        <v>28</v>
      </c>
      <c r="AS2880" s="8">
        <v>2458.96</v>
      </c>
      <c r="AT2880" s="7">
        <v>-0.4643</v>
      </c>
      <c r="AU2880" s="7">
        <v>-0.4866</v>
      </c>
      <c r="AV2880" s="4">
        <v>15</v>
      </c>
      <c r="AW2880" s="8">
        <v>1262.4</v>
      </c>
      <c r="AX2880" s="4">
        <v>28</v>
      </c>
      <c r="AY2880" s="8">
        <v>2458.96</v>
      </c>
      <c r="AZ2880" s="7">
        <v>-0.4643</v>
      </c>
      <c r="BA2880" s="7">
        <v>-0.4866</v>
      </c>
      <c r="BB2880" s="7">
        <v>1</v>
      </c>
      <c r="BC2880" s="4">
        <v>21</v>
      </c>
      <c r="BD2880" s="8">
        <v>1767.36</v>
      </c>
      <c r="BE2880" s="4">
        <v>40</v>
      </c>
      <c r="BF2880" s="8">
        <v>3512.8</v>
      </c>
      <c r="BG2880" s="7">
        <v>-0.475</v>
      </c>
      <c r="BH2880" s="7">
        <v>-0.4969</v>
      </c>
      <c r="BI2880" s="7">
        <v>0.7143</v>
      </c>
      <c r="BJ2880" s="4">
        <v>114</v>
      </c>
      <c r="BK2880" s="8">
        <v>9512.58</v>
      </c>
      <c r="BL2880" s="2" t="s">
        <v>10583</v>
      </c>
      <c r="BM2880" s="7">
        <v>0.1316</v>
      </c>
      <c r="BN2880" s="7">
        <v>0.1327</v>
      </c>
      <c r="BO2880" s="4">
        <v>15</v>
      </c>
      <c r="BP2880" s="8">
        <v>1262.4</v>
      </c>
      <c r="BQ2880" s="4">
        <v>28</v>
      </c>
      <c r="BR2880" s="8">
        <v>2458.96</v>
      </c>
      <c r="BS2880" s="7">
        <v>-0.4643</v>
      </c>
      <c r="BT2880" s="7">
        <v>-0.4866</v>
      </c>
      <c r="BU2880" s="2" t="s">
        <v>109</v>
      </c>
      <c r="BV2880" s="2" t="s">
        <v>97</v>
      </c>
      <c r="BW2880" s="2" t="s">
        <v>8043</v>
      </c>
      <c r="BX2880" s="2" t="s">
        <v>5701</v>
      </c>
      <c r="BY2880" s="2" t="s">
        <v>112</v>
      </c>
      <c r="BZ2880" s="2" t="s">
        <v>100</v>
      </c>
    </row>
    <row r="2881">
      <c r="A2881" s="2" t="s">
        <v>10584</v>
      </c>
      <c r="B2881" s="2" t="s">
        <v>10578</v>
      </c>
      <c r="C2881" s="2" t="s">
        <v>4305</v>
      </c>
      <c r="D2881" s="2" t="s">
        <v>10579</v>
      </c>
      <c r="E2881" s="2" t="s">
        <v>10580</v>
      </c>
      <c r="F2881" s="2" t="s">
        <v>10581</v>
      </c>
      <c r="G2881" s="2" t="s">
        <v>10581</v>
      </c>
      <c r="H2881" s="2" t="s">
        <v>10581</v>
      </c>
      <c r="I2881" s="2" t="s">
        <v>10582</v>
      </c>
      <c r="J2881" s="2" t="s">
        <v>6103</v>
      </c>
      <c r="K2881" s="2" t="s">
        <v>2066</v>
      </c>
      <c r="L2881" s="3">
        <v>80.15</v>
      </c>
      <c r="M2881" s="3">
        <v>84.16</v>
      </c>
      <c r="N2881" s="3">
        <v>184.99</v>
      </c>
      <c r="O2881" s="2" t="s">
        <v>97</v>
      </c>
      <c r="P2881" s="2" t="s">
        <v>143</v>
      </c>
      <c r="Q2881" s="2" t="s">
        <v>99</v>
      </c>
      <c r="R2881" s="2" t="s">
        <v>100</v>
      </c>
      <c r="S2881" s="2" t="s">
        <v>100</v>
      </c>
      <c r="T2881" s="2" t="s">
        <v>100</v>
      </c>
      <c r="U2881" s="2" t="s">
        <v>2104</v>
      </c>
      <c r="V2881" s="2" t="s">
        <v>1752</v>
      </c>
      <c r="W2881" s="2" t="s">
        <v>104</v>
      </c>
      <c r="X2881" s="2" t="s">
        <v>100</v>
      </c>
      <c r="Y2881" s="2" t="s">
        <v>10585</v>
      </c>
      <c r="Z2881" s="4">
        <v>71</v>
      </c>
      <c r="AA2881" s="4">
        <f>=ROUNDDOWN(10.1428571428571,0)</f>
      </c>
      <c r="AB2881" s="5">
        <v>7</v>
      </c>
      <c r="AC2881" s="2" t="s">
        <v>2120</v>
      </c>
      <c r="AD2881" s="4">
        <v>100</v>
      </c>
      <c r="AE2881" s="4">
        <v>300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>
        <v>0</v>
      </c>
      <c r="AP2881" s="4">
        <v>6</v>
      </c>
      <c r="AQ2881" s="8">
        <v>504.96</v>
      </c>
      <c r="AR2881" s="4">
        <v>12</v>
      </c>
      <c r="AS2881" s="8">
        <v>1053.84</v>
      </c>
      <c r="AT2881" s="7">
        <v>-0.5</v>
      </c>
      <c r="AU2881" s="7">
        <v>-0.5208</v>
      </c>
      <c r="AV2881" s="4">
        <v>6</v>
      </c>
      <c r="AW2881" s="8">
        <v>504.96</v>
      </c>
      <c r="AX2881" s="4">
        <v>12</v>
      </c>
      <c r="AY2881" s="8">
        <v>1053.84</v>
      </c>
      <c r="AZ2881" s="7">
        <v>-0.5</v>
      </c>
      <c r="BA2881" s="7">
        <v>-0.5208</v>
      </c>
      <c r="BB2881" s="7">
        <v>1</v>
      </c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>
        <v>0.2857</v>
      </c>
      <c r="BJ2881" s="4">
        <v>166</v>
      </c>
      <c r="BK2881" s="8">
        <v>15022.16</v>
      </c>
      <c r="BL2881" s="2" t="s">
        <v>10586</v>
      </c>
      <c r="BM2881" s="7">
        <v>0.0361</v>
      </c>
      <c r="BN2881" s="7">
        <v>0.0336</v>
      </c>
      <c r="BO2881" s="4">
        <v>6</v>
      </c>
      <c r="BP2881" s="8">
        <v>504.96</v>
      </c>
      <c r="BQ2881" s="4">
        <v>12</v>
      </c>
      <c r="BR2881" s="8">
        <v>1053.84</v>
      </c>
      <c r="BS2881" s="7">
        <v>-0.5</v>
      </c>
      <c r="BT2881" s="7">
        <v>-0.5208</v>
      </c>
      <c r="BU2881" s="2" t="s">
        <v>109</v>
      </c>
      <c r="BV2881" s="2" t="s">
        <v>97</v>
      </c>
      <c r="BW2881" s="2" t="s">
        <v>8043</v>
      </c>
      <c r="BX2881" s="2" t="s">
        <v>8645</v>
      </c>
      <c r="BY2881" s="2" t="s">
        <v>112</v>
      </c>
      <c r="BZ2881" s="2" t="s">
        <v>100</v>
      </c>
    </row>
    <row r="2882">
      <c r="A2882" s="2" t="s">
        <v>10587</v>
      </c>
      <c r="B2882" s="2" t="s">
        <v>10578</v>
      </c>
      <c r="C2882" s="2" t="s">
        <v>4305</v>
      </c>
      <c r="D2882" s="2" t="s">
        <v>10579</v>
      </c>
      <c r="E2882" s="2" t="s">
        <v>10580</v>
      </c>
      <c r="F2882" s="2" t="s">
        <v>10588</v>
      </c>
      <c r="G2882" s="2" t="s">
        <v>10588</v>
      </c>
      <c r="H2882" s="2" t="s">
        <v>10588</v>
      </c>
      <c r="I2882" s="2" t="s">
        <v>10589</v>
      </c>
      <c r="J2882" s="2" t="s">
        <v>6103</v>
      </c>
      <c r="K2882" s="2" t="s">
        <v>158</v>
      </c>
      <c r="L2882" s="3">
        <v>94.62</v>
      </c>
      <c r="M2882" s="3">
        <v>99.35</v>
      </c>
      <c r="N2882" s="3">
        <v>214.99</v>
      </c>
      <c r="O2882" s="2" t="s">
        <v>97</v>
      </c>
      <c r="P2882" s="2" t="s">
        <v>124</v>
      </c>
      <c r="Q2882" s="2" t="s">
        <v>99</v>
      </c>
      <c r="R2882" s="2" t="s">
        <v>100</v>
      </c>
      <c r="S2882" s="2" t="s">
        <v>100</v>
      </c>
      <c r="T2882" s="2" t="s">
        <v>100</v>
      </c>
      <c r="U2882" s="2" t="s">
        <v>100</v>
      </c>
      <c r="V2882" s="2" t="s">
        <v>601</v>
      </c>
      <c r="W2882" s="2" t="s">
        <v>759</v>
      </c>
      <c r="X2882" s="2" t="s">
        <v>100</v>
      </c>
      <c r="Y2882" s="2" t="s">
        <v>10590</v>
      </c>
      <c r="Z2882" s="4">
        <v>106</v>
      </c>
      <c r="AA2882" s="4">
        <f>=ROUNDDOWN(13.25,0)</f>
      </c>
      <c r="AB2882" s="5">
        <v>8</v>
      </c>
      <c r="AC2882" s="2" t="s">
        <v>1193</v>
      </c>
      <c r="AD2882" s="4">
        <v>200</v>
      </c>
      <c r="AE2882" s="4">
        <v>200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>
        <v>0</v>
      </c>
      <c r="AP2882" s="4">
        <v>16</v>
      </c>
      <c r="AQ2882" s="8">
        <v>1589.6</v>
      </c>
      <c r="AR2882" s="4">
        <v>10</v>
      </c>
      <c r="AS2882" s="8">
        <v>1019.42</v>
      </c>
      <c r="AT2882" s="7">
        <v>0.6</v>
      </c>
      <c r="AU2882" s="7">
        <v>0.5593</v>
      </c>
      <c r="AV2882" s="4">
        <v>16</v>
      </c>
      <c r="AW2882" s="8">
        <v>1589.6</v>
      </c>
      <c r="AX2882" s="4">
        <v>10</v>
      </c>
      <c r="AY2882" s="8">
        <v>1019.42</v>
      </c>
      <c r="AZ2882" s="7">
        <v>0.6</v>
      </c>
      <c r="BA2882" s="7">
        <v>0.5593</v>
      </c>
      <c r="BB2882" s="7">
        <v>1</v>
      </c>
      <c r="BC2882" s="4">
        <v>16</v>
      </c>
      <c r="BD2882" s="8">
        <v>1589.6</v>
      </c>
      <c r="BE2882" s="4">
        <v>10</v>
      </c>
      <c r="BF2882" s="8">
        <v>1019.42</v>
      </c>
      <c r="BG2882" s="7">
        <v>0.6</v>
      </c>
      <c r="BH2882" s="7">
        <v>0.5593</v>
      </c>
      <c r="BI2882" s="7">
        <v>1</v>
      </c>
      <c r="BJ2882" s="4">
        <v>186</v>
      </c>
      <c r="BK2882" s="8">
        <v>20259.2</v>
      </c>
      <c r="BL2882" s="2" t="s">
        <v>10591</v>
      </c>
      <c r="BM2882" s="7">
        <v>0.086</v>
      </c>
      <c r="BN2882" s="7">
        <v>0.0785</v>
      </c>
      <c r="BO2882" s="4">
        <v>16</v>
      </c>
      <c r="BP2882" s="8">
        <v>1589.6</v>
      </c>
      <c r="BQ2882" s="4">
        <v>10</v>
      </c>
      <c r="BR2882" s="8">
        <v>1019.42</v>
      </c>
      <c r="BS2882" s="7">
        <v>0.6</v>
      </c>
      <c r="BT2882" s="7">
        <v>0.5593</v>
      </c>
      <c r="BU2882" s="2" t="s">
        <v>109</v>
      </c>
      <c r="BV2882" s="2" t="s">
        <v>97</v>
      </c>
      <c r="BW2882" s="2" t="s">
        <v>8043</v>
      </c>
      <c r="BX2882" s="2" t="s">
        <v>4370</v>
      </c>
      <c r="BY2882" s="2" t="s">
        <v>112</v>
      </c>
      <c r="BZ2882" s="2" t="s">
        <v>100</v>
      </c>
    </row>
    <row r="2883">
      <c r="A2883" s="2" t="s">
        <v>10592</v>
      </c>
      <c r="B2883" s="2" t="s">
        <v>10578</v>
      </c>
      <c r="C2883" s="2" t="s">
        <v>4305</v>
      </c>
      <c r="D2883" s="2" t="s">
        <v>10579</v>
      </c>
      <c r="E2883" s="2" t="s">
        <v>10580</v>
      </c>
      <c r="F2883" s="2" t="s">
        <v>10588</v>
      </c>
      <c r="G2883" s="2" t="s">
        <v>10588</v>
      </c>
      <c r="H2883" s="2" t="s">
        <v>10588</v>
      </c>
      <c r="I2883" s="2" t="s">
        <v>10589</v>
      </c>
      <c r="J2883" s="2" t="s">
        <v>6103</v>
      </c>
      <c r="K2883" s="2" t="s">
        <v>2066</v>
      </c>
      <c r="L2883" s="3">
        <v>102.85</v>
      </c>
      <c r="M2883" s="3">
        <v>107.99</v>
      </c>
      <c r="N2883" s="3">
        <v>214.99</v>
      </c>
      <c r="O2883" s="2" t="s">
        <v>229</v>
      </c>
      <c r="P2883" s="2" t="s">
        <v>198</v>
      </c>
      <c r="Q2883" s="2" t="s">
        <v>99</v>
      </c>
      <c r="R2883" s="2" t="s">
        <v>100</v>
      </c>
      <c r="S2883" s="2" t="s">
        <v>100</v>
      </c>
      <c r="T2883" s="2" t="s">
        <v>100</v>
      </c>
      <c r="U2883" s="2" t="s">
        <v>2104</v>
      </c>
      <c r="V2883" s="2" t="s">
        <v>1752</v>
      </c>
      <c r="W2883" s="2" t="s">
        <v>104</v>
      </c>
      <c r="X2883" s="2" t="s">
        <v>100</v>
      </c>
      <c r="Y2883" s="2" t="s">
        <v>4819</v>
      </c>
      <c r="Z2883" s="4">
        <v>107</v>
      </c>
      <c r="AA2883" s="4">
        <f>=ROUNDDOWN(50.9523809523809,0)</f>
      </c>
      <c r="AB2883" s="5">
        <v>2.1</v>
      </c>
      <c r="AC2883" s="2" t="s">
        <v>100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/>
      <c r="BJ2883" s="4">
        <v>34</v>
      </c>
      <c r="BK2883" s="8">
        <v>2711.01</v>
      </c>
      <c r="BL2883" s="2" t="s">
        <v>10489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147</v>
      </c>
      <c r="BV2883" s="2" t="s">
        <v>97</v>
      </c>
      <c r="BW2883" s="2" t="s">
        <v>100</v>
      </c>
      <c r="BX2883" s="2" t="s">
        <v>100</v>
      </c>
      <c r="BY2883" s="2" t="s">
        <v>112</v>
      </c>
      <c r="BZ2883" s="2" t="s">
        <v>100</v>
      </c>
    </row>
    <row r="2884">
      <c r="A2884" s="2" t="s">
        <v>10593</v>
      </c>
      <c r="B2884" s="2" t="s">
        <v>10578</v>
      </c>
      <c r="C2884" s="2" t="s">
        <v>4305</v>
      </c>
      <c r="D2884" s="2" t="s">
        <v>10579</v>
      </c>
      <c r="E2884" s="2" t="s">
        <v>10580</v>
      </c>
      <c r="F2884" s="2" t="s">
        <v>4678</v>
      </c>
      <c r="G2884" s="2" t="s">
        <v>4678</v>
      </c>
      <c r="H2884" s="2" t="s">
        <v>4678</v>
      </c>
      <c r="I2884" s="2" t="s">
        <v>10594</v>
      </c>
      <c r="J2884" s="2" t="s">
        <v>10106</v>
      </c>
      <c r="K2884" s="2" t="s">
        <v>158</v>
      </c>
      <c r="L2884" s="3">
        <v>68.82</v>
      </c>
      <c r="M2884" s="3">
        <v>72.26</v>
      </c>
      <c r="N2884" s="3">
        <v>149.99</v>
      </c>
      <c r="O2884" s="2" t="s">
        <v>97</v>
      </c>
      <c r="P2884" s="2" t="s">
        <v>143</v>
      </c>
      <c r="Q2884" s="2" t="s">
        <v>99</v>
      </c>
      <c r="R2884" s="2" t="s">
        <v>100</v>
      </c>
      <c r="S2884" s="2" t="s">
        <v>100</v>
      </c>
      <c r="T2884" s="2" t="s">
        <v>100</v>
      </c>
      <c r="U2884" s="2" t="s">
        <v>2104</v>
      </c>
      <c r="V2884" s="2" t="s">
        <v>1752</v>
      </c>
      <c r="W2884" s="2" t="s">
        <v>759</v>
      </c>
      <c r="X2884" s="2" t="s">
        <v>2195</v>
      </c>
      <c r="Y2884" s="2" t="s">
        <v>10595</v>
      </c>
      <c r="Z2884" s="4">
        <v>89</v>
      </c>
      <c r="AA2884" s="4">
        <f>=ROUNDDOWN(17.8,0)</f>
      </c>
      <c r="AB2884" s="5">
        <v>5</v>
      </c>
      <c r="AC2884" s="2" t="s">
        <v>1328</v>
      </c>
      <c r="AD2884" s="4">
        <v>100</v>
      </c>
      <c r="AE2884" s="4">
        <v>100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>
        <v>0</v>
      </c>
      <c r="AP2884" s="4">
        <v>7</v>
      </c>
      <c r="AQ2884" s="8">
        <v>467.32</v>
      </c>
      <c r="AR2884" s="4">
        <v>17</v>
      </c>
      <c r="AS2884" s="8">
        <v>1258.22</v>
      </c>
      <c r="AT2884" s="7">
        <v>-0.5882</v>
      </c>
      <c r="AU2884" s="7">
        <v>-0.6286</v>
      </c>
      <c r="AV2884" s="4">
        <v>7</v>
      </c>
      <c r="AW2884" s="8">
        <v>467.32</v>
      </c>
      <c r="AX2884" s="4">
        <v>17</v>
      </c>
      <c r="AY2884" s="8">
        <v>1258.22</v>
      </c>
      <c r="AZ2884" s="7">
        <v>-0.5882</v>
      </c>
      <c r="BA2884" s="7">
        <v>-0.6286</v>
      </c>
      <c r="BB2884" s="7">
        <v>1</v>
      </c>
      <c r="BC2884" s="4">
        <v>16</v>
      </c>
      <c r="BD2884" s="8">
        <v>1068.16</v>
      </c>
      <c r="BE2884" s="4">
        <v>37</v>
      </c>
      <c r="BF2884" s="8">
        <v>2686.88</v>
      </c>
      <c r="BG2884" s="7">
        <v>-0.5676</v>
      </c>
      <c r="BH2884" s="7">
        <v>-0.6025</v>
      </c>
      <c r="BI2884" s="7">
        <v>0.4375</v>
      </c>
      <c r="BJ2884" s="4">
        <v>114</v>
      </c>
      <c r="BK2884" s="8">
        <v>8637.16</v>
      </c>
      <c r="BL2884" s="2" t="s">
        <v>10596</v>
      </c>
      <c r="BM2884" s="7">
        <v>0.0614</v>
      </c>
      <c r="BN2884" s="7">
        <v>0.0541</v>
      </c>
      <c r="BO2884" s="4">
        <v>7</v>
      </c>
      <c r="BP2884" s="8">
        <v>467.32</v>
      </c>
      <c r="BQ2884" s="4">
        <v>17</v>
      </c>
      <c r="BR2884" s="8">
        <v>1258.22</v>
      </c>
      <c r="BS2884" s="7">
        <v>-0.5882</v>
      </c>
      <c r="BT2884" s="7">
        <v>-0.6286</v>
      </c>
      <c r="BU2884" s="2" t="s">
        <v>109</v>
      </c>
      <c r="BV2884" s="2" t="s">
        <v>97</v>
      </c>
      <c r="BW2884" s="2" t="s">
        <v>8043</v>
      </c>
      <c r="BX2884" s="2" t="s">
        <v>10597</v>
      </c>
      <c r="BY2884" s="2" t="s">
        <v>112</v>
      </c>
      <c r="BZ2884" s="2" t="s">
        <v>100</v>
      </c>
    </row>
    <row r="2885">
      <c r="A2885" s="2" t="s">
        <v>10598</v>
      </c>
      <c r="B2885" s="2" t="s">
        <v>10578</v>
      </c>
      <c r="C2885" s="2" t="s">
        <v>4305</v>
      </c>
      <c r="D2885" s="2" t="s">
        <v>10579</v>
      </c>
      <c r="E2885" s="2" t="s">
        <v>10580</v>
      </c>
      <c r="F2885" s="2" t="s">
        <v>4678</v>
      </c>
      <c r="G2885" s="2" t="s">
        <v>4678</v>
      </c>
      <c r="H2885" s="2" t="s">
        <v>4678</v>
      </c>
      <c r="I2885" s="2" t="s">
        <v>10594</v>
      </c>
      <c r="J2885" s="2" t="s">
        <v>10106</v>
      </c>
      <c r="K2885" s="2" t="s">
        <v>1204</v>
      </c>
      <c r="L2885" s="3">
        <v>68.82</v>
      </c>
      <c r="M2885" s="3">
        <v>72.26</v>
      </c>
      <c r="N2885" s="3">
        <v>149.99</v>
      </c>
      <c r="O2885" s="2" t="s">
        <v>97</v>
      </c>
      <c r="P2885" s="2" t="s">
        <v>143</v>
      </c>
      <c r="Q2885" s="2" t="s">
        <v>99</v>
      </c>
      <c r="R2885" s="2" t="s">
        <v>100</v>
      </c>
      <c r="S2885" s="2" t="s">
        <v>100</v>
      </c>
      <c r="T2885" s="2" t="s">
        <v>100</v>
      </c>
      <c r="U2885" s="2" t="s">
        <v>2104</v>
      </c>
      <c r="V2885" s="2" t="s">
        <v>1752</v>
      </c>
      <c r="W2885" s="2" t="s">
        <v>759</v>
      </c>
      <c r="X2885" s="2" t="s">
        <v>2195</v>
      </c>
      <c r="Y2885" s="2" t="s">
        <v>10595</v>
      </c>
      <c r="Z2885" s="4">
        <v>55</v>
      </c>
      <c r="AA2885" s="4">
        <f>=ROUNDDOWN(13.75,0)</f>
      </c>
      <c r="AB2885" s="5">
        <v>4</v>
      </c>
      <c r="AC2885" s="2" t="s">
        <v>1328</v>
      </c>
      <c r="AD2885" s="4">
        <v>100</v>
      </c>
      <c r="AE2885" s="4">
        <v>100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>
        <v>0</v>
      </c>
      <c r="AP2885" s="4">
        <v>4</v>
      </c>
      <c r="AQ2885" s="8">
        <v>267.04</v>
      </c>
      <c r="AR2885" s="4">
        <v>6</v>
      </c>
      <c r="AS2885" s="8">
        <v>435.9</v>
      </c>
      <c r="AT2885" s="7">
        <v>-0.3333</v>
      </c>
      <c r="AU2885" s="7">
        <v>-0.3874</v>
      </c>
      <c r="AV2885" s="4">
        <v>4</v>
      </c>
      <c r="AW2885" s="8">
        <v>267.04</v>
      </c>
      <c r="AX2885" s="4">
        <v>6</v>
      </c>
      <c r="AY2885" s="8">
        <v>435.9</v>
      </c>
      <c r="AZ2885" s="7">
        <v>-0.3333</v>
      </c>
      <c r="BA2885" s="7">
        <v>-0.3874</v>
      </c>
      <c r="BB2885" s="7">
        <v>1</v>
      </c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>
        <v>0.25</v>
      </c>
      <c r="BJ2885" s="4">
        <v>98</v>
      </c>
      <c r="BK2885" s="8">
        <v>7371.63</v>
      </c>
      <c r="BL2885" s="2" t="s">
        <v>10599</v>
      </c>
      <c r="BM2885" s="7">
        <v>0.0408</v>
      </c>
      <c r="BN2885" s="7">
        <v>0.0362</v>
      </c>
      <c r="BO2885" s="4">
        <v>4</v>
      </c>
      <c r="BP2885" s="8">
        <v>267.04</v>
      </c>
      <c r="BQ2885" s="4">
        <v>6</v>
      </c>
      <c r="BR2885" s="8">
        <v>435.9</v>
      </c>
      <c r="BS2885" s="7">
        <v>-0.3333</v>
      </c>
      <c r="BT2885" s="7">
        <v>-0.3874</v>
      </c>
      <c r="BU2885" s="2" t="s">
        <v>109</v>
      </c>
      <c r="BV2885" s="2" t="s">
        <v>97</v>
      </c>
      <c r="BW2885" s="2" t="s">
        <v>8043</v>
      </c>
      <c r="BX2885" s="2" t="s">
        <v>8832</v>
      </c>
      <c r="BY2885" s="2" t="s">
        <v>112</v>
      </c>
      <c r="BZ2885" s="2" t="s">
        <v>100</v>
      </c>
    </row>
    <row r="2886">
      <c r="A2886" s="2" t="s">
        <v>10600</v>
      </c>
      <c r="B2886" s="2" t="s">
        <v>10578</v>
      </c>
      <c r="C2886" s="2" t="s">
        <v>4305</v>
      </c>
      <c r="D2886" s="2" t="s">
        <v>10579</v>
      </c>
      <c r="E2886" s="2" t="s">
        <v>10580</v>
      </c>
      <c r="F2886" s="2" t="s">
        <v>4678</v>
      </c>
      <c r="G2886" s="2" t="s">
        <v>4678</v>
      </c>
      <c r="H2886" s="2" t="s">
        <v>4678</v>
      </c>
      <c r="I2886" s="2" t="s">
        <v>10594</v>
      </c>
      <c r="J2886" s="2" t="s">
        <v>10106</v>
      </c>
      <c r="K2886" s="2" t="s">
        <v>5935</v>
      </c>
      <c r="L2886" s="3">
        <v>68.82</v>
      </c>
      <c r="M2886" s="3">
        <v>72.26</v>
      </c>
      <c r="N2886" s="3">
        <v>149.99</v>
      </c>
      <c r="O2886" s="2" t="s">
        <v>97</v>
      </c>
      <c r="P2886" s="2" t="s">
        <v>182</v>
      </c>
      <c r="Q2886" s="2" t="s">
        <v>99</v>
      </c>
      <c r="R2886" s="2" t="s">
        <v>100</v>
      </c>
      <c r="S2886" s="2" t="s">
        <v>100</v>
      </c>
      <c r="T2886" s="2" t="s">
        <v>100</v>
      </c>
      <c r="U2886" s="2" t="s">
        <v>2104</v>
      </c>
      <c r="V2886" s="2" t="s">
        <v>1752</v>
      </c>
      <c r="W2886" s="2" t="s">
        <v>759</v>
      </c>
      <c r="X2886" s="2" t="s">
        <v>2195</v>
      </c>
      <c r="Y2886" s="2" t="s">
        <v>10595</v>
      </c>
      <c r="Z2886" s="4">
        <v>148</v>
      </c>
      <c r="AA2886" s="4">
        <f>=ROUNDDOWN(74,0)</f>
      </c>
      <c r="AB2886" s="5">
        <v>2</v>
      </c>
      <c r="AC2886" s="2" t="s">
        <v>100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>
        <v>0</v>
      </c>
      <c r="AP2886" s="4">
        <v>3</v>
      </c>
      <c r="AQ2886" s="8">
        <v>200.28</v>
      </c>
      <c r="AR2886" s="4">
        <v>5</v>
      </c>
      <c r="AS2886" s="8">
        <v>333.8</v>
      </c>
      <c r="AT2886" s="7">
        <v>-0.4</v>
      </c>
      <c r="AU2886" s="7">
        <v>-0.4</v>
      </c>
      <c r="AV2886" s="4">
        <v>3</v>
      </c>
      <c r="AW2886" s="8">
        <v>200.28</v>
      </c>
      <c r="AX2886" s="4">
        <v>5</v>
      </c>
      <c r="AY2886" s="8">
        <v>333.8</v>
      </c>
      <c r="AZ2886" s="7">
        <v>-0.4</v>
      </c>
      <c r="BA2886" s="7">
        <v>-0.4</v>
      </c>
      <c r="BB2886" s="7">
        <v>1</v>
      </c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>
        <v>0.1875</v>
      </c>
      <c r="BJ2886" s="4">
        <v>68</v>
      </c>
      <c r="BK2886" s="8">
        <v>4693.35</v>
      </c>
      <c r="BL2886" s="2" t="s">
        <v>10601</v>
      </c>
      <c r="BM2886" s="7">
        <v>0.0441</v>
      </c>
      <c r="BN2886" s="7">
        <v>0.0427</v>
      </c>
      <c r="BO2886" s="4">
        <v>3</v>
      </c>
      <c r="BP2886" s="8">
        <v>200.28</v>
      </c>
      <c r="BQ2886" s="4">
        <v>5</v>
      </c>
      <c r="BR2886" s="8">
        <v>333.8</v>
      </c>
      <c r="BS2886" s="7">
        <v>-0.4</v>
      </c>
      <c r="BT2886" s="7">
        <v>-0.4</v>
      </c>
      <c r="BU2886" s="2" t="s">
        <v>109</v>
      </c>
      <c r="BV2886" s="2" t="s">
        <v>97</v>
      </c>
      <c r="BW2886" s="2" t="s">
        <v>6267</v>
      </c>
      <c r="BX2886" s="2" t="s">
        <v>8841</v>
      </c>
      <c r="BY2886" s="2" t="s">
        <v>112</v>
      </c>
      <c r="BZ2886" s="2" t="s">
        <v>100</v>
      </c>
    </row>
    <row r="2887">
      <c r="A2887" s="2" t="s">
        <v>10602</v>
      </c>
      <c r="B2887" s="2" t="s">
        <v>10578</v>
      </c>
      <c r="C2887" s="2" t="s">
        <v>4305</v>
      </c>
      <c r="D2887" s="2" t="s">
        <v>10579</v>
      </c>
      <c r="E2887" s="2" t="s">
        <v>10580</v>
      </c>
      <c r="F2887" s="2" t="s">
        <v>4678</v>
      </c>
      <c r="G2887" s="2" t="s">
        <v>4678</v>
      </c>
      <c r="H2887" s="2" t="s">
        <v>4678</v>
      </c>
      <c r="I2887" s="2" t="s">
        <v>10594</v>
      </c>
      <c r="J2887" s="2" t="s">
        <v>10106</v>
      </c>
      <c r="K2887" s="2" t="s">
        <v>2066</v>
      </c>
      <c r="L2887" s="3">
        <v>68.82</v>
      </c>
      <c r="M2887" s="3">
        <v>72.26</v>
      </c>
      <c r="N2887" s="3">
        <v>149.99</v>
      </c>
      <c r="O2887" s="2" t="s">
        <v>97</v>
      </c>
      <c r="P2887" s="2" t="s">
        <v>124</v>
      </c>
      <c r="Q2887" s="2" t="s">
        <v>99</v>
      </c>
      <c r="R2887" s="2" t="s">
        <v>100</v>
      </c>
      <c r="S2887" s="2" t="s">
        <v>100</v>
      </c>
      <c r="T2887" s="2" t="s">
        <v>100</v>
      </c>
      <c r="U2887" s="2" t="s">
        <v>2104</v>
      </c>
      <c r="V2887" s="2" t="s">
        <v>1752</v>
      </c>
      <c r="W2887" s="2" t="s">
        <v>759</v>
      </c>
      <c r="X2887" s="2" t="s">
        <v>100</v>
      </c>
      <c r="Y2887" s="2" t="s">
        <v>4317</v>
      </c>
      <c r="Z2887" s="4">
        <v>275</v>
      </c>
      <c r="AA2887" s="4">
        <f>=ROUNDDOWN(14.4736842105263,0)</f>
      </c>
      <c r="AB2887" s="5">
        <v>19</v>
      </c>
      <c r="AC2887" s="2" t="s">
        <v>3872</v>
      </c>
      <c r="AD2887" s="4">
        <v>300</v>
      </c>
      <c r="AE2887" s="4">
        <v>500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>
        <v>0</v>
      </c>
      <c r="AP2887" s="4">
        <v>2</v>
      </c>
      <c r="AQ2887" s="8">
        <v>133.52</v>
      </c>
      <c r="AR2887" s="4">
        <v>9</v>
      </c>
      <c r="AS2887" s="8">
        <v>658.96</v>
      </c>
      <c r="AT2887" s="7">
        <v>-0.7778</v>
      </c>
      <c r="AU2887" s="7">
        <v>-0.7974</v>
      </c>
      <c r="AV2887" s="4">
        <v>2</v>
      </c>
      <c r="AW2887" s="8">
        <v>133.52</v>
      </c>
      <c r="AX2887" s="4">
        <v>9</v>
      </c>
      <c r="AY2887" s="8">
        <v>658.96</v>
      </c>
      <c r="AZ2887" s="7">
        <v>-0.7778</v>
      </c>
      <c r="BA2887" s="7">
        <v>-0.7974</v>
      </c>
      <c r="BB2887" s="7">
        <v>1</v>
      </c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>
        <v>0.125</v>
      </c>
      <c r="BJ2887" s="4">
        <v>550</v>
      </c>
      <c r="BK2887" s="8">
        <v>43338.51</v>
      </c>
      <c r="BL2887" s="2" t="s">
        <v>10603</v>
      </c>
      <c r="BM2887" s="7">
        <v>0.0036</v>
      </c>
      <c r="BN2887" s="7">
        <v>0.0031</v>
      </c>
      <c r="BO2887" s="4">
        <v>2</v>
      </c>
      <c r="BP2887" s="8">
        <v>133.52</v>
      </c>
      <c r="BQ2887" s="4">
        <v>9</v>
      </c>
      <c r="BR2887" s="8">
        <v>658.96</v>
      </c>
      <c r="BS2887" s="7">
        <v>-0.7778</v>
      </c>
      <c r="BT2887" s="7">
        <v>-0.7974</v>
      </c>
      <c r="BU2887" s="2" t="s">
        <v>109</v>
      </c>
      <c r="BV2887" s="2" t="s">
        <v>97</v>
      </c>
      <c r="BW2887" s="2" t="s">
        <v>10604</v>
      </c>
      <c r="BX2887" s="2" t="s">
        <v>10605</v>
      </c>
      <c r="BY2887" s="2" t="s">
        <v>112</v>
      </c>
      <c r="BZ2887" s="2" t="s">
        <v>100</v>
      </c>
    </row>
    <row r="2888">
      <c r="A2888" s="2" t="s">
        <v>10606</v>
      </c>
      <c r="B2888" s="2" t="s">
        <v>10578</v>
      </c>
      <c r="C2888" s="2" t="s">
        <v>4305</v>
      </c>
      <c r="D2888" s="2" t="s">
        <v>10579</v>
      </c>
      <c r="E2888" s="2" t="s">
        <v>10580</v>
      </c>
      <c r="F2888" s="2" t="s">
        <v>10607</v>
      </c>
      <c r="G2888" s="2" t="s">
        <v>10607</v>
      </c>
      <c r="H2888" s="2" t="s">
        <v>10607</v>
      </c>
      <c r="I2888" s="2" t="s">
        <v>10608</v>
      </c>
      <c r="J2888" s="2" t="s">
        <v>6103</v>
      </c>
      <c r="K2888" s="2" t="s">
        <v>666</v>
      </c>
      <c r="L2888" s="3">
        <v>26.46</v>
      </c>
      <c r="M2888" s="3">
        <v>27.78</v>
      </c>
      <c r="N2888" s="3">
        <v>59.99</v>
      </c>
      <c r="O2888" s="2" t="s">
        <v>97</v>
      </c>
      <c r="P2888" s="2" t="s">
        <v>143</v>
      </c>
      <c r="Q2888" s="2" t="s">
        <v>99</v>
      </c>
      <c r="R2888" s="2" t="s">
        <v>100</v>
      </c>
      <c r="S2888" s="2" t="s">
        <v>100</v>
      </c>
      <c r="T2888" s="2" t="s">
        <v>100</v>
      </c>
      <c r="U2888" s="2" t="s">
        <v>100</v>
      </c>
      <c r="V2888" s="2" t="s">
        <v>601</v>
      </c>
      <c r="W2888" s="2" t="s">
        <v>759</v>
      </c>
      <c r="X2888" s="2" t="s">
        <v>100</v>
      </c>
      <c r="Y2888" s="2" t="s">
        <v>10609</v>
      </c>
      <c r="Z2888" s="4">
        <v>123</v>
      </c>
      <c r="AA2888" s="4">
        <f>=ROUNDDOWN(21.2068965517241,0)</f>
      </c>
      <c r="AB2888" s="5">
        <v>5.8</v>
      </c>
      <c r="AC2888" s="2" t="s">
        <v>1328</v>
      </c>
      <c r="AD2888" s="4">
        <v>150</v>
      </c>
      <c r="AE2888" s="4">
        <v>150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>
        <v>0</v>
      </c>
      <c r="AP2888" s="4">
        <v>20</v>
      </c>
      <c r="AQ2888" s="8">
        <v>555.6</v>
      </c>
      <c r="AR2888" s="4">
        <v>21</v>
      </c>
      <c r="AS2888" s="8">
        <v>583.38</v>
      </c>
      <c r="AT2888" s="7">
        <v>-0.0476</v>
      </c>
      <c r="AU2888" s="7">
        <v>-0.0476</v>
      </c>
      <c r="AV2888" s="4">
        <v>20</v>
      </c>
      <c r="AW2888" s="8">
        <v>555.6</v>
      </c>
      <c r="AX2888" s="4">
        <v>21</v>
      </c>
      <c r="AY2888" s="8">
        <v>583.38</v>
      </c>
      <c r="AZ2888" s="7">
        <v>-0.0476</v>
      </c>
      <c r="BA2888" s="7">
        <v>-0.0476</v>
      </c>
      <c r="BB2888" s="7">
        <v>1</v>
      </c>
      <c r="BC2888" s="4">
        <v>20</v>
      </c>
      <c r="BD2888" s="8">
        <v>555.6</v>
      </c>
      <c r="BE2888" s="4">
        <v>21</v>
      </c>
      <c r="BF2888" s="8">
        <v>583.38</v>
      </c>
      <c r="BG2888" s="7">
        <v>-0.0476</v>
      </c>
      <c r="BH2888" s="7">
        <v>-0.0476</v>
      </c>
      <c r="BI2888" s="7">
        <v>1</v>
      </c>
      <c r="BJ2888" s="4">
        <v>157</v>
      </c>
      <c r="BK2888" s="8">
        <v>4568.31</v>
      </c>
      <c r="BL2888" s="2" t="s">
        <v>10610</v>
      </c>
      <c r="BM2888" s="7">
        <v>0.1274</v>
      </c>
      <c r="BN2888" s="7">
        <v>0.1216</v>
      </c>
      <c r="BO2888" s="4">
        <v>20</v>
      </c>
      <c r="BP2888" s="8">
        <v>555.6</v>
      </c>
      <c r="BQ2888" s="4">
        <v>21</v>
      </c>
      <c r="BR2888" s="8">
        <v>583.38</v>
      </c>
      <c r="BS2888" s="7">
        <v>-0.0476</v>
      </c>
      <c r="BT2888" s="7">
        <v>-0.0476</v>
      </c>
      <c r="BU2888" s="2" t="s">
        <v>109</v>
      </c>
      <c r="BV2888" s="2" t="s">
        <v>97</v>
      </c>
      <c r="BW2888" s="2" t="s">
        <v>8043</v>
      </c>
      <c r="BX2888" s="2" t="s">
        <v>8814</v>
      </c>
      <c r="BY2888" s="2" t="s">
        <v>112</v>
      </c>
      <c r="BZ2888" s="2" t="s">
        <v>100</v>
      </c>
    </row>
    <row r="2889">
      <c r="A2889" s="2" t="s">
        <v>10611</v>
      </c>
      <c r="B2889" s="2" t="s">
        <v>10578</v>
      </c>
      <c r="C2889" s="2" t="s">
        <v>4305</v>
      </c>
      <c r="D2889" s="2" t="s">
        <v>10579</v>
      </c>
      <c r="E2889" s="2" t="s">
        <v>10580</v>
      </c>
      <c r="F2889" s="2" t="s">
        <v>557</v>
      </c>
      <c r="G2889" s="2" t="s">
        <v>557</v>
      </c>
      <c r="H2889" s="2" t="s">
        <v>557</v>
      </c>
      <c r="I2889" s="2" t="s">
        <v>10612</v>
      </c>
      <c r="J2889" s="2" t="s">
        <v>6103</v>
      </c>
      <c r="K2889" s="2" t="s">
        <v>333</v>
      </c>
      <c r="L2889" s="3">
        <v>67.1</v>
      </c>
      <c r="M2889" s="3">
        <v>70.46</v>
      </c>
      <c r="N2889" s="3">
        <v>139.99</v>
      </c>
      <c r="O2889" s="2" t="s">
        <v>97</v>
      </c>
      <c r="P2889" s="2" t="s">
        <v>143</v>
      </c>
      <c r="Q2889" s="2" t="s">
        <v>99</v>
      </c>
      <c r="R2889" s="2" t="s">
        <v>100</v>
      </c>
      <c r="S2889" s="2" t="s">
        <v>100</v>
      </c>
      <c r="T2889" s="2" t="s">
        <v>100</v>
      </c>
      <c r="U2889" s="2" t="s">
        <v>2104</v>
      </c>
      <c r="V2889" s="2" t="s">
        <v>601</v>
      </c>
      <c r="W2889" s="2" t="s">
        <v>759</v>
      </c>
      <c r="X2889" s="2" t="s">
        <v>100</v>
      </c>
      <c r="Y2889" s="2" t="s">
        <v>10613</v>
      </c>
      <c r="Z2889" s="4">
        <v>262</v>
      </c>
      <c r="AA2889" s="4">
        <f>=ROUNDDOWN(43.6666666666667,0)</f>
      </c>
      <c r="AB2889" s="5">
        <v>6</v>
      </c>
      <c r="AC2889" s="2" t="s">
        <v>100</v>
      </c>
      <c r="AD2889" s="4"/>
      <c r="AE2889" s="4"/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>
        <v>0</v>
      </c>
      <c r="AP2889" s="4">
        <v>7</v>
      </c>
      <c r="AQ2889" s="8">
        <v>493.22</v>
      </c>
      <c r="AR2889" s="4">
        <v>10</v>
      </c>
      <c r="AS2889" s="8">
        <v>704.6</v>
      </c>
      <c r="AT2889" s="7">
        <v>-0.3</v>
      </c>
      <c r="AU2889" s="7">
        <v>-0.3</v>
      </c>
      <c r="AV2889" s="4">
        <v>7</v>
      </c>
      <c r="AW2889" s="8">
        <v>493.22</v>
      </c>
      <c r="AX2889" s="4">
        <v>10</v>
      </c>
      <c r="AY2889" s="8">
        <v>704.6</v>
      </c>
      <c r="AZ2889" s="7">
        <v>-0.3</v>
      </c>
      <c r="BA2889" s="7">
        <v>-0.3</v>
      </c>
      <c r="BB2889" s="7">
        <v>1</v>
      </c>
      <c r="BC2889" s="4">
        <v>7</v>
      </c>
      <c r="BD2889" s="8">
        <v>493.22</v>
      </c>
      <c r="BE2889" s="4">
        <v>10</v>
      </c>
      <c r="BF2889" s="8">
        <v>704.6</v>
      </c>
      <c r="BG2889" s="7">
        <v>-0.3</v>
      </c>
      <c r="BH2889" s="7">
        <v>-0.3</v>
      </c>
      <c r="BI2889" s="7">
        <v>1</v>
      </c>
      <c r="BJ2889" s="4">
        <v>144</v>
      </c>
      <c r="BK2889" s="8">
        <v>10468.26</v>
      </c>
      <c r="BL2889" s="2" t="s">
        <v>10614</v>
      </c>
      <c r="BM2889" s="7">
        <v>0.0486</v>
      </c>
      <c r="BN2889" s="7">
        <v>0.0471</v>
      </c>
      <c r="BO2889" s="4">
        <v>7</v>
      </c>
      <c r="BP2889" s="8">
        <v>493.22</v>
      </c>
      <c r="BQ2889" s="4">
        <v>10</v>
      </c>
      <c r="BR2889" s="8">
        <v>704.6</v>
      </c>
      <c r="BS2889" s="7">
        <v>-0.3</v>
      </c>
      <c r="BT2889" s="7">
        <v>-0.3</v>
      </c>
      <c r="BU2889" s="2" t="s">
        <v>109</v>
      </c>
      <c r="BV2889" s="2" t="s">
        <v>97</v>
      </c>
      <c r="BW2889" s="2" t="s">
        <v>8043</v>
      </c>
      <c r="BX2889" s="2" t="s">
        <v>10615</v>
      </c>
      <c r="BY2889" s="2" t="s">
        <v>112</v>
      </c>
      <c r="BZ2889" s="2" t="s">
        <v>100</v>
      </c>
    </row>
    <row r="2890">
      <c r="A2890" s="2" t="s">
        <v>10616</v>
      </c>
      <c r="B2890" s="2" t="s">
        <v>10578</v>
      </c>
      <c r="C2890" s="2" t="s">
        <v>4305</v>
      </c>
      <c r="D2890" s="2" t="s">
        <v>10579</v>
      </c>
      <c r="E2890" s="2" t="s">
        <v>10580</v>
      </c>
      <c r="F2890" s="2" t="s">
        <v>10617</v>
      </c>
      <c r="G2890" s="2" t="s">
        <v>10617</v>
      </c>
      <c r="H2890" s="2" t="s">
        <v>10617</v>
      </c>
      <c r="I2890" s="2" t="s">
        <v>10594</v>
      </c>
      <c r="J2890" s="2" t="s">
        <v>6103</v>
      </c>
      <c r="K2890" s="2" t="s">
        <v>666</v>
      </c>
      <c r="L2890" s="3">
        <v>62.74</v>
      </c>
      <c r="M2890" s="3">
        <v>65.88</v>
      </c>
      <c r="N2890" s="3">
        <v>134.99</v>
      </c>
      <c r="O2890" s="2" t="s">
        <v>97</v>
      </c>
      <c r="P2890" s="2" t="s">
        <v>182</v>
      </c>
      <c r="Q2890" s="2" t="s">
        <v>99</v>
      </c>
      <c r="R2890" s="2" t="s">
        <v>100</v>
      </c>
      <c r="S2890" s="2" t="s">
        <v>100</v>
      </c>
      <c r="T2890" s="2" t="s">
        <v>100</v>
      </c>
      <c r="U2890" s="2" t="s">
        <v>2104</v>
      </c>
      <c r="V2890" s="2" t="s">
        <v>1752</v>
      </c>
      <c r="W2890" s="2" t="s">
        <v>759</v>
      </c>
      <c r="X2890" s="2" t="s">
        <v>100</v>
      </c>
      <c r="Y2890" s="2" t="s">
        <v>4317</v>
      </c>
      <c r="Z2890" s="4">
        <v>87</v>
      </c>
      <c r="AA2890" s="4">
        <f>=ROUNDDOWN(37.8260869565217,0)</f>
      </c>
      <c r="AB2890" s="5">
        <v>2.3</v>
      </c>
      <c r="AC2890" s="2" t="s">
        <v>100</v>
      </c>
      <c r="AD2890" s="4"/>
      <c r="AE2890" s="4"/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>
        <v>0</v>
      </c>
      <c r="AP2890" s="4">
        <v>6</v>
      </c>
      <c r="AQ2890" s="8">
        <v>395.28</v>
      </c>
      <c r="AR2890" s="4">
        <v>3</v>
      </c>
      <c r="AS2890" s="8">
        <v>197.64</v>
      </c>
      <c r="AT2890" s="7">
        <v>1</v>
      </c>
      <c r="AU2890" s="7">
        <v>1</v>
      </c>
      <c r="AV2890" s="4">
        <v>6</v>
      </c>
      <c r="AW2890" s="8">
        <v>395.28</v>
      </c>
      <c r="AX2890" s="4">
        <v>3</v>
      </c>
      <c r="AY2890" s="8">
        <v>197.64</v>
      </c>
      <c r="AZ2890" s="7">
        <v>1</v>
      </c>
      <c r="BA2890" s="7">
        <v>1</v>
      </c>
      <c r="BB2890" s="7">
        <v>1</v>
      </c>
      <c r="BC2890" s="4">
        <v>6</v>
      </c>
      <c r="BD2890" s="8">
        <v>395.28</v>
      </c>
      <c r="BE2890" s="4">
        <v>3</v>
      </c>
      <c r="BF2890" s="8">
        <v>197.64</v>
      </c>
      <c r="BG2890" s="7">
        <v>1</v>
      </c>
      <c r="BH2890" s="7">
        <v>1</v>
      </c>
      <c r="BI2890" s="7">
        <v>1</v>
      </c>
      <c r="BJ2890" s="4">
        <v>48</v>
      </c>
      <c r="BK2890" s="8">
        <v>3742.34</v>
      </c>
      <c r="BL2890" s="2" t="s">
        <v>10618</v>
      </c>
      <c r="BM2890" s="7">
        <v>0.125</v>
      </c>
      <c r="BN2890" s="7">
        <v>0.1056</v>
      </c>
      <c r="BO2890" s="4">
        <v>6</v>
      </c>
      <c r="BP2890" s="8">
        <v>395.28</v>
      </c>
      <c r="BQ2890" s="4">
        <v>3</v>
      </c>
      <c r="BR2890" s="8">
        <v>197.64</v>
      </c>
      <c r="BS2890" s="7">
        <v>1</v>
      </c>
      <c r="BT2890" s="7">
        <v>1</v>
      </c>
      <c r="BU2890" s="2" t="s">
        <v>109</v>
      </c>
      <c r="BV2890" s="2" t="s">
        <v>97</v>
      </c>
      <c r="BW2890" s="2" t="s">
        <v>6267</v>
      </c>
      <c r="BX2890" s="2" t="s">
        <v>2636</v>
      </c>
      <c r="BY2890" s="2" t="s">
        <v>112</v>
      </c>
      <c r="BZ2890" s="2" t="s">
        <v>100</v>
      </c>
    </row>
    <row r="2891">
      <c r="A2891" s="2" t="s">
        <v>10619</v>
      </c>
      <c r="B2891" s="2" t="s">
        <v>10578</v>
      </c>
      <c r="C2891" s="2" t="s">
        <v>4305</v>
      </c>
      <c r="D2891" s="2" t="s">
        <v>10579</v>
      </c>
      <c r="E2891" s="2" t="s">
        <v>10580</v>
      </c>
      <c r="F2891" s="2" t="s">
        <v>1215</v>
      </c>
      <c r="G2891" s="2" t="s">
        <v>1215</v>
      </c>
      <c r="H2891" s="2" t="s">
        <v>1215</v>
      </c>
      <c r="I2891" s="2" t="s">
        <v>10620</v>
      </c>
      <c r="J2891" s="2" t="s">
        <v>6103</v>
      </c>
      <c r="K2891" s="2" t="s">
        <v>5935</v>
      </c>
      <c r="L2891" s="3">
        <v>26.6</v>
      </c>
      <c r="M2891" s="3">
        <v>27.93</v>
      </c>
      <c r="N2891" s="3">
        <v>59.99</v>
      </c>
      <c r="O2891" s="2" t="s">
        <v>97</v>
      </c>
      <c r="P2891" s="2" t="s">
        <v>143</v>
      </c>
      <c r="Q2891" s="2" t="s">
        <v>99</v>
      </c>
      <c r="R2891" s="2" t="s">
        <v>100</v>
      </c>
      <c r="S2891" s="2" t="s">
        <v>100</v>
      </c>
      <c r="T2891" s="2" t="s">
        <v>100</v>
      </c>
      <c r="U2891" s="2" t="s">
        <v>100</v>
      </c>
      <c r="V2891" s="2" t="s">
        <v>1752</v>
      </c>
      <c r="W2891" s="2" t="s">
        <v>104</v>
      </c>
      <c r="X2891" s="2" t="s">
        <v>100</v>
      </c>
      <c r="Y2891" s="2" t="s">
        <v>10621</v>
      </c>
      <c r="Z2891" s="4">
        <v>266</v>
      </c>
      <c r="AA2891" s="4">
        <f>=ROUNDDOWN(24.1818181818182,0)</f>
      </c>
      <c r="AB2891" s="5">
        <v>11</v>
      </c>
      <c r="AC2891" s="2" t="s">
        <v>1193</v>
      </c>
      <c r="AD2891" s="4">
        <v>160</v>
      </c>
      <c r="AE2891" s="4">
        <v>160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>
        <v>0</v>
      </c>
      <c r="AP2891" s="4">
        <v>12</v>
      </c>
      <c r="AQ2891" s="8">
        <v>335.16</v>
      </c>
      <c r="AR2891" s="4">
        <v>38</v>
      </c>
      <c r="AS2891" s="8">
        <v>1092.21</v>
      </c>
      <c r="AT2891" s="7">
        <v>-0.6842</v>
      </c>
      <c r="AU2891" s="7">
        <v>-0.6931</v>
      </c>
      <c r="AV2891" s="4">
        <v>12</v>
      </c>
      <c r="AW2891" s="8">
        <v>335.16</v>
      </c>
      <c r="AX2891" s="4">
        <v>38</v>
      </c>
      <c r="AY2891" s="8">
        <v>1092.21</v>
      </c>
      <c r="AZ2891" s="7">
        <v>-0.6842</v>
      </c>
      <c r="BA2891" s="7">
        <v>-0.6931</v>
      </c>
      <c r="BB2891" s="7">
        <v>1</v>
      </c>
      <c r="BC2891" s="4">
        <v>12</v>
      </c>
      <c r="BD2891" s="8">
        <v>335.16</v>
      </c>
      <c r="BE2891" s="4">
        <v>38</v>
      </c>
      <c r="BF2891" s="8">
        <v>1092.21</v>
      </c>
      <c r="BG2891" s="7">
        <v>-0.6842</v>
      </c>
      <c r="BH2891" s="7">
        <v>-0.6931</v>
      </c>
      <c r="BI2891" s="7">
        <v>1</v>
      </c>
      <c r="BJ2891" s="4">
        <v>282</v>
      </c>
      <c r="BK2891" s="8">
        <v>9056.4</v>
      </c>
      <c r="BL2891" s="2" t="s">
        <v>10622</v>
      </c>
      <c r="BM2891" s="7">
        <v>0.0426</v>
      </c>
      <c r="BN2891" s="7">
        <v>0.037</v>
      </c>
      <c r="BO2891" s="4">
        <v>12</v>
      </c>
      <c r="BP2891" s="8">
        <v>335.16</v>
      </c>
      <c r="BQ2891" s="4">
        <v>38</v>
      </c>
      <c r="BR2891" s="8">
        <v>1092.21</v>
      </c>
      <c r="BS2891" s="7">
        <v>-0.6842</v>
      </c>
      <c r="BT2891" s="7">
        <v>-0.6931</v>
      </c>
      <c r="BU2891" s="2" t="s">
        <v>109</v>
      </c>
      <c r="BV2891" s="2" t="s">
        <v>97</v>
      </c>
      <c r="BW2891" s="2" t="s">
        <v>8043</v>
      </c>
      <c r="BX2891" s="2" t="s">
        <v>10623</v>
      </c>
      <c r="BY2891" s="2" t="s">
        <v>112</v>
      </c>
      <c r="BZ2891" s="2" t="s">
        <v>100</v>
      </c>
    </row>
    <row r="2892">
      <c r="A2892" s="2" t="s">
        <v>10624</v>
      </c>
      <c r="B2892" s="2" t="s">
        <v>10578</v>
      </c>
      <c r="C2892" s="2" t="s">
        <v>4305</v>
      </c>
      <c r="D2892" s="2" t="s">
        <v>10579</v>
      </c>
      <c r="E2892" s="2" t="s">
        <v>10580</v>
      </c>
      <c r="F2892" s="2" t="s">
        <v>10625</v>
      </c>
      <c r="G2892" s="2" t="s">
        <v>10625</v>
      </c>
      <c r="H2892" s="2" t="s">
        <v>10625</v>
      </c>
      <c r="I2892" s="2" t="s">
        <v>10626</v>
      </c>
      <c r="J2892" s="2" t="s">
        <v>6103</v>
      </c>
      <c r="K2892" s="2" t="s">
        <v>10627</v>
      </c>
      <c r="L2892" s="3">
        <v>28.87</v>
      </c>
      <c r="M2892" s="3">
        <v>30.31</v>
      </c>
      <c r="N2892" s="3">
        <v>64.99</v>
      </c>
      <c r="O2892" s="2" t="s">
        <v>97</v>
      </c>
      <c r="P2892" s="2" t="s">
        <v>143</v>
      </c>
      <c r="Q2892" s="2" t="s">
        <v>99</v>
      </c>
      <c r="R2892" s="2" t="s">
        <v>100</v>
      </c>
      <c r="S2892" s="2" t="s">
        <v>100</v>
      </c>
      <c r="T2892" s="2" t="s">
        <v>100</v>
      </c>
      <c r="U2892" s="2" t="s">
        <v>3531</v>
      </c>
      <c r="V2892" s="2" t="s">
        <v>601</v>
      </c>
      <c r="W2892" s="2" t="s">
        <v>759</v>
      </c>
      <c r="X2892" s="2" t="s">
        <v>100</v>
      </c>
      <c r="Y2892" s="2" t="s">
        <v>10590</v>
      </c>
      <c r="Z2892" s="4">
        <v>140</v>
      </c>
      <c r="AA2892" s="4">
        <f>=ROUNDDOWN(20,0)</f>
      </c>
      <c r="AB2892" s="5">
        <v>7</v>
      </c>
      <c r="AC2892" s="2" t="s">
        <v>766</v>
      </c>
      <c r="AD2892" s="4">
        <v>100</v>
      </c>
      <c r="AE2892" s="4">
        <v>100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>
        <v>0</v>
      </c>
      <c r="AP2892" s="4">
        <v>10</v>
      </c>
      <c r="AQ2892" s="8">
        <v>303.2</v>
      </c>
      <c r="AR2892" s="4">
        <v>25</v>
      </c>
      <c r="AS2892" s="8">
        <v>805.04</v>
      </c>
      <c r="AT2892" s="7">
        <v>-0.6</v>
      </c>
      <c r="AU2892" s="7">
        <v>-0.6234</v>
      </c>
      <c r="AV2892" s="4">
        <v>10</v>
      </c>
      <c r="AW2892" s="8">
        <v>303.2</v>
      </c>
      <c r="AX2892" s="4">
        <v>25</v>
      </c>
      <c r="AY2892" s="8">
        <v>805.04</v>
      </c>
      <c r="AZ2892" s="7">
        <v>-0.6</v>
      </c>
      <c r="BA2892" s="7">
        <v>-0.6234</v>
      </c>
      <c r="BB2892" s="7">
        <v>1</v>
      </c>
      <c r="BC2892" s="4">
        <v>10</v>
      </c>
      <c r="BD2892" s="8">
        <v>303.2</v>
      </c>
      <c r="BE2892" s="4">
        <v>25</v>
      </c>
      <c r="BF2892" s="8">
        <v>805.04</v>
      </c>
      <c r="BG2892" s="7">
        <v>-0.6</v>
      </c>
      <c r="BH2892" s="7">
        <v>-0.6234</v>
      </c>
      <c r="BI2892" s="7">
        <v>1</v>
      </c>
      <c r="BJ2892" s="4">
        <v>149</v>
      </c>
      <c r="BK2892" s="8">
        <v>4623.62</v>
      </c>
      <c r="BL2892" s="2" t="s">
        <v>10614</v>
      </c>
      <c r="BM2892" s="7">
        <v>0.0671</v>
      </c>
      <c r="BN2892" s="7">
        <v>0.0656</v>
      </c>
      <c r="BO2892" s="4">
        <v>10</v>
      </c>
      <c r="BP2892" s="8">
        <v>303.2</v>
      </c>
      <c r="BQ2892" s="4">
        <v>25</v>
      </c>
      <c r="BR2892" s="8">
        <v>805.04</v>
      </c>
      <c r="BS2892" s="7">
        <v>-0.6</v>
      </c>
      <c r="BT2892" s="7">
        <v>-0.6234</v>
      </c>
      <c r="BU2892" s="2" t="s">
        <v>109</v>
      </c>
      <c r="BV2892" s="2" t="s">
        <v>97</v>
      </c>
      <c r="BW2892" s="2" t="s">
        <v>8043</v>
      </c>
      <c r="BX2892" s="2" t="s">
        <v>8645</v>
      </c>
      <c r="BY2892" s="2" t="s">
        <v>112</v>
      </c>
      <c r="BZ2892" s="2" t="s">
        <v>100</v>
      </c>
    </row>
    <row r="2893">
      <c r="A2893" s="2" t="s">
        <v>10628</v>
      </c>
      <c r="B2893" s="2" t="s">
        <v>10578</v>
      </c>
      <c r="C2893" s="2" t="s">
        <v>4305</v>
      </c>
      <c r="D2893" s="2" t="s">
        <v>10579</v>
      </c>
      <c r="E2893" s="2" t="s">
        <v>10580</v>
      </c>
      <c r="F2893" s="2" t="s">
        <v>10629</v>
      </c>
      <c r="G2893" s="2" t="s">
        <v>10629</v>
      </c>
      <c r="H2893" s="2" t="s">
        <v>10629</v>
      </c>
      <c r="I2893" s="2" t="s">
        <v>10630</v>
      </c>
      <c r="J2893" s="2" t="s">
        <v>6103</v>
      </c>
      <c r="K2893" s="2" t="s">
        <v>666</v>
      </c>
      <c r="L2893" s="3">
        <v>28.19</v>
      </c>
      <c r="M2893" s="3">
        <v>29.6</v>
      </c>
      <c r="N2893" s="3">
        <v>59.99</v>
      </c>
      <c r="O2893" s="2" t="s">
        <v>97</v>
      </c>
      <c r="P2893" s="2" t="s">
        <v>182</v>
      </c>
      <c r="Q2893" s="2" t="s">
        <v>99</v>
      </c>
      <c r="R2893" s="2" t="s">
        <v>100</v>
      </c>
      <c r="S2893" s="2" t="s">
        <v>100</v>
      </c>
      <c r="T2893" s="2" t="s">
        <v>100</v>
      </c>
      <c r="U2893" s="2" t="s">
        <v>3531</v>
      </c>
      <c r="V2893" s="2" t="s">
        <v>1752</v>
      </c>
      <c r="W2893" s="2" t="s">
        <v>602</v>
      </c>
      <c r="X2893" s="2" t="s">
        <v>100</v>
      </c>
      <c r="Y2893" s="2" t="s">
        <v>10631</v>
      </c>
      <c r="Z2893" s="4">
        <v>165</v>
      </c>
      <c r="AA2893" s="4">
        <f>=ROUNDDOWN(55,0)</f>
      </c>
      <c r="AB2893" s="5">
        <v>3</v>
      </c>
      <c r="AC2893" s="2" t="s">
        <v>100</v>
      </c>
      <c r="AD2893" s="4"/>
      <c r="AE2893" s="4"/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>
        <v>0</v>
      </c>
      <c r="AP2893" s="4">
        <v>7</v>
      </c>
      <c r="AQ2893" s="8">
        <v>196.84</v>
      </c>
      <c r="AR2893" s="4"/>
      <c r="AS2893" s="8"/>
      <c r="AT2893" s="7"/>
      <c r="AU2893" s="7"/>
      <c r="AV2893" s="4">
        <v>7</v>
      </c>
      <c r="AW2893" s="8">
        <v>196.84</v>
      </c>
      <c r="AX2893" s="4"/>
      <c r="AY2893" s="8"/>
      <c r="AZ2893" s="7"/>
      <c r="BA2893" s="7"/>
      <c r="BB2893" s="7">
        <v>1</v>
      </c>
      <c r="BC2893" s="4">
        <v>10</v>
      </c>
      <c r="BD2893" s="8">
        <v>281.2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>
        <v>0.7</v>
      </c>
      <c r="BJ2893" s="4">
        <v>67</v>
      </c>
      <c r="BK2893" s="8">
        <v>1914.98</v>
      </c>
      <c r="BL2893" s="2" t="s">
        <v>10632</v>
      </c>
      <c r="BM2893" s="7">
        <v>0.1045</v>
      </c>
      <c r="BN2893" s="7">
        <v>0.1028</v>
      </c>
      <c r="BO2893" s="4">
        <v>7</v>
      </c>
      <c r="BP2893" s="8">
        <v>196.84</v>
      </c>
      <c r="BQ2893" s="4"/>
      <c r="BR2893" s="8"/>
      <c r="BS2893" s="7"/>
      <c r="BT2893" s="7"/>
      <c r="BU2893" s="2" t="s">
        <v>109</v>
      </c>
      <c r="BV2893" s="2" t="s">
        <v>97</v>
      </c>
      <c r="BW2893" s="2" t="s">
        <v>10633</v>
      </c>
      <c r="BX2893" s="2" t="s">
        <v>2720</v>
      </c>
      <c r="BY2893" s="2" t="s">
        <v>112</v>
      </c>
      <c r="BZ2893" s="2" t="s">
        <v>100</v>
      </c>
    </row>
    <row r="2894">
      <c r="A2894" s="2" t="s">
        <v>10634</v>
      </c>
      <c r="B2894" s="2" t="s">
        <v>10578</v>
      </c>
      <c r="C2894" s="2" t="s">
        <v>4305</v>
      </c>
      <c r="D2894" s="2" t="s">
        <v>10579</v>
      </c>
      <c r="E2894" s="2" t="s">
        <v>10580</v>
      </c>
      <c r="F2894" s="2" t="s">
        <v>10629</v>
      </c>
      <c r="G2894" s="2" t="s">
        <v>10629</v>
      </c>
      <c r="H2894" s="2" t="s">
        <v>10629</v>
      </c>
      <c r="I2894" s="2" t="s">
        <v>10630</v>
      </c>
      <c r="J2894" s="2" t="s">
        <v>6103</v>
      </c>
      <c r="K2894" s="2" t="s">
        <v>142</v>
      </c>
      <c r="L2894" s="3">
        <v>26.78</v>
      </c>
      <c r="M2894" s="3">
        <v>28.12</v>
      </c>
      <c r="N2894" s="3">
        <v>59.99</v>
      </c>
      <c r="O2894" s="2" t="s">
        <v>97</v>
      </c>
      <c r="P2894" s="2" t="s">
        <v>182</v>
      </c>
      <c r="Q2894" s="2" t="s">
        <v>99</v>
      </c>
      <c r="R2894" s="2" t="s">
        <v>100</v>
      </c>
      <c r="S2894" s="2" t="s">
        <v>100</v>
      </c>
      <c r="T2894" s="2" t="s">
        <v>100</v>
      </c>
      <c r="U2894" s="2" t="s">
        <v>3531</v>
      </c>
      <c r="V2894" s="2" t="s">
        <v>1752</v>
      </c>
      <c r="W2894" s="2" t="s">
        <v>602</v>
      </c>
      <c r="X2894" s="2" t="s">
        <v>100</v>
      </c>
      <c r="Y2894" s="2" t="s">
        <v>10631</v>
      </c>
      <c r="Z2894" s="4">
        <v>178</v>
      </c>
      <c r="AA2894" s="4">
        <f>=ROUNDDOWN(161.818181818182,0)</f>
      </c>
      <c r="AB2894" s="5">
        <v>1.1</v>
      </c>
      <c r="AC2894" s="2" t="s">
        <v>100</v>
      </c>
      <c r="AD2894" s="4"/>
      <c r="AE2894" s="4"/>
      <c r="AF2894" s="6">
        <v>65</v>
      </c>
      <c r="AG2894" s="6"/>
      <c r="AH2894" s="7">
        <v>0.9636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>
        <v>0</v>
      </c>
      <c r="AP2894" s="4">
        <v>3</v>
      </c>
      <c r="AQ2894" s="8">
        <v>84.36</v>
      </c>
      <c r="AR2894" s="4"/>
      <c r="AS2894" s="8"/>
      <c r="AT2894" s="7"/>
      <c r="AU2894" s="7"/>
      <c r="AV2894" s="4">
        <v>3</v>
      </c>
      <c r="AW2894" s="8">
        <v>84.36</v>
      </c>
      <c r="AX2894" s="4"/>
      <c r="AY2894" s="8"/>
      <c r="AZ2894" s="7"/>
      <c r="BA2894" s="7"/>
      <c r="BB2894" s="7">
        <v>1</v>
      </c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>
        <v>0.3</v>
      </c>
      <c r="BJ2894" s="4">
        <v>73</v>
      </c>
      <c r="BK2894" s="8">
        <v>2127.93</v>
      </c>
      <c r="BL2894" s="2" t="s">
        <v>10635</v>
      </c>
      <c r="BM2894" s="7">
        <v>0.0411</v>
      </c>
      <c r="BN2894" s="7">
        <v>0.0396</v>
      </c>
      <c r="BO2894" s="4">
        <v>3</v>
      </c>
      <c r="BP2894" s="8">
        <v>84.36</v>
      </c>
      <c r="BQ2894" s="4"/>
      <c r="BR2894" s="8"/>
      <c r="BS2894" s="7"/>
      <c r="BT2894" s="7"/>
      <c r="BU2894" s="2" t="s">
        <v>109</v>
      </c>
      <c r="BV2894" s="2" t="s">
        <v>97</v>
      </c>
      <c r="BW2894" s="2" t="s">
        <v>10633</v>
      </c>
      <c r="BX2894" s="2" t="s">
        <v>7293</v>
      </c>
      <c r="BY2894" s="2" t="s">
        <v>112</v>
      </c>
      <c r="BZ2894" s="2" t="s">
        <v>100</v>
      </c>
    </row>
    <row r="2895">
      <c r="A2895" s="2" t="s">
        <v>10636</v>
      </c>
      <c r="B2895" s="2" t="s">
        <v>10578</v>
      </c>
      <c r="C2895" s="2" t="s">
        <v>4305</v>
      </c>
      <c r="D2895" s="2" t="s">
        <v>10579</v>
      </c>
      <c r="E2895" s="2" t="s">
        <v>10580</v>
      </c>
      <c r="F2895" s="2" t="s">
        <v>10637</v>
      </c>
      <c r="G2895" s="2" t="s">
        <v>10637</v>
      </c>
      <c r="H2895" s="2" t="s">
        <v>10637</v>
      </c>
      <c r="I2895" s="2" t="s">
        <v>10638</v>
      </c>
      <c r="J2895" s="2" t="s">
        <v>6103</v>
      </c>
      <c r="K2895" s="2" t="s">
        <v>333</v>
      </c>
      <c r="L2895" s="3">
        <v>27.48</v>
      </c>
      <c r="M2895" s="3">
        <v>28.85</v>
      </c>
      <c r="N2895" s="3">
        <v>59.99</v>
      </c>
      <c r="O2895" s="2" t="s">
        <v>97</v>
      </c>
      <c r="P2895" s="2" t="s">
        <v>182</v>
      </c>
      <c r="Q2895" s="2" t="s">
        <v>99</v>
      </c>
      <c r="R2895" s="2" t="s">
        <v>100</v>
      </c>
      <c r="S2895" s="2" t="s">
        <v>100</v>
      </c>
      <c r="T2895" s="2" t="s">
        <v>100</v>
      </c>
      <c r="U2895" s="2" t="s">
        <v>3531</v>
      </c>
      <c r="V2895" s="2" t="s">
        <v>1752</v>
      </c>
      <c r="W2895" s="2" t="s">
        <v>602</v>
      </c>
      <c r="X2895" s="2" t="s">
        <v>100</v>
      </c>
      <c r="Y2895" s="2" t="s">
        <v>10631</v>
      </c>
      <c r="Z2895" s="4">
        <v>106</v>
      </c>
      <c r="AA2895" s="4">
        <f>=ROUNDDOWN(26.5,0)</f>
      </c>
      <c r="AB2895" s="5">
        <v>4</v>
      </c>
      <c r="AC2895" s="2" t="s">
        <v>6199</v>
      </c>
      <c r="AD2895" s="4">
        <v>100</v>
      </c>
      <c r="AE2895" s="4">
        <v>100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>
        <v>0</v>
      </c>
      <c r="AP2895" s="4">
        <v>5</v>
      </c>
      <c r="AQ2895" s="8">
        <v>144.3</v>
      </c>
      <c r="AR2895" s="4"/>
      <c r="AS2895" s="8"/>
      <c r="AT2895" s="7"/>
      <c r="AU2895" s="7"/>
      <c r="AV2895" s="4">
        <v>5</v>
      </c>
      <c r="AW2895" s="8">
        <v>144.3</v>
      </c>
      <c r="AX2895" s="4"/>
      <c r="AY2895" s="8"/>
      <c r="AZ2895" s="7"/>
      <c r="BA2895" s="7"/>
      <c r="BB2895" s="7">
        <v>1</v>
      </c>
      <c r="BC2895" s="4">
        <v>5</v>
      </c>
      <c r="BD2895" s="8">
        <v>144.3</v>
      </c>
      <c r="BE2895" s="4"/>
      <c r="BF2895" s="8"/>
      <c r="BG2895" s="7"/>
      <c r="BH2895" s="7"/>
      <c r="BI2895" s="7">
        <v>1</v>
      </c>
      <c r="BJ2895" s="4">
        <v>79</v>
      </c>
      <c r="BK2895" s="8">
        <v>2430.38</v>
      </c>
      <c r="BL2895" s="2" t="s">
        <v>10639</v>
      </c>
      <c r="BM2895" s="7">
        <v>0.0633</v>
      </c>
      <c r="BN2895" s="7">
        <v>0.0594</v>
      </c>
      <c r="BO2895" s="4">
        <v>5</v>
      </c>
      <c r="BP2895" s="8">
        <v>144.3</v>
      </c>
      <c r="BQ2895" s="4"/>
      <c r="BR2895" s="8"/>
      <c r="BS2895" s="7"/>
      <c r="BT2895" s="7"/>
      <c r="BU2895" s="2" t="s">
        <v>109</v>
      </c>
      <c r="BV2895" s="2" t="s">
        <v>97</v>
      </c>
      <c r="BW2895" s="2" t="s">
        <v>10633</v>
      </c>
      <c r="BX2895" s="2" t="s">
        <v>10640</v>
      </c>
      <c r="BY2895" s="2" t="s">
        <v>112</v>
      </c>
      <c r="BZ2895" s="2" t="s">
        <v>100</v>
      </c>
    </row>
    <row r="2896">
      <c r="A2896" s="2" t="s">
        <v>10641</v>
      </c>
      <c r="B2896" s="2" t="s">
        <v>10578</v>
      </c>
      <c r="C2896" s="2" t="s">
        <v>4305</v>
      </c>
      <c r="D2896" s="2" t="s">
        <v>10579</v>
      </c>
      <c r="E2896" s="2" t="s">
        <v>10580</v>
      </c>
      <c r="F2896" s="2" t="s">
        <v>10642</v>
      </c>
      <c r="G2896" s="2" t="s">
        <v>10642</v>
      </c>
      <c r="H2896" s="2" t="s">
        <v>10642</v>
      </c>
      <c r="I2896" s="2" t="s">
        <v>10643</v>
      </c>
      <c r="J2896" s="2" t="s">
        <v>6103</v>
      </c>
      <c r="K2896" s="2" t="s">
        <v>10644</v>
      </c>
      <c r="L2896" s="3">
        <v>33.11</v>
      </c>
      <c r="M2896" s="3">
        <v>34.77</v>
      </c>
      <c r="N2896" s="3">
        <v>74.99</v>
      </c>
      <c r="O2896" s="2" t="s">
        <v>97</v>
      </c>
      <c r="P2896" s="2" t="s">
        <v>182</v>
      </c>
      <c r="Q2896" s="2" t="s">
        <v>99</v>
      </c>
      <c r="R2896" s="2" t="s">
        <v>100</v>
      </c>
      <c r="S2896" s="2" t="s">
        <v>100</v>
      </c>
      <c r="T2896" s="2" t="s">
        <v>100</v>
      </c>
      <c r="U2896" s="2" t="s">
        <v>3531</v>
      </c>
      <c r="V2896" s="2" t="s">
        <v>601</v>
      </c>
      <c r="W2896" s="2" t="s">
        <v>759</v>
      </c>
      <c r="X2896" s="2" t="s">
        <v>100</v>
      </c>
      <c r="Y2896" s="2" t="s">
        <v>10645</v>
      </c>
      <c r="Z2896" s="4">
        <v>24</v>
      </c>
      <c r="AA2896" s="4">
        <f>=ROUNDDOWN(4.8,0)</f>
      </c>
      <c r="AB2896" s="5">
        <v>5</v>
      </c>
      <c r="AC2896" s="2" t="s">
        <v>936</v>
      </c>
      <c r="AD2896" s="4">
        <v>100</v>
      </c>
      <c r="AE2896" s="4">
        <v>200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>
        <v>0</v>
      </c>
      <c r="AP2896" s="4">
        <v>3</v>
      </c>
      <c r="AQ2896" s="8">
        <v>104.28</v>
      </c>
      <c r="AR2896" s="4">
        <v>26</v>
      </c>
      <c r="AS2896" s="8">
        <v>951.34</v>
      </c>
      <c r="AT2896" s="7">
        <v>-0.8846</v>
      </c>
      <c r="AU2896" s="7">
        <v>-0.8904</v>
      </c>
      <c r="AV2896" s="4">
        <v>3</v>
      </c>
      <c r="AW2896" s="8">
        <v>104.28</v>
      </c>
      <c r="AX2896" s="4">
        <v>26</v>
      </c>
      <c r="AY2896" s="8">
        <v>951.34</v>
      </c>
      <c r="AZ2896" s="7">
        <v>-0.8846</v>
      </c>
      <c r="BA2896" s="7">
        <v>-0.8904</v>
      </c>
      <c r="BB2896" s="7">
        <v>1</v>
      </c>
      <c r="BC2896" s="4">
        <v>3</v>
      </c>
      <c r="BD2896" s="8">
        <v>104.28</v>
      </c>
      <c r="BE2896" s="4">
        <v>26</v>
      </c>
      <c r="BF2896" s="8">
        <v>951.34</v>
      </c>
      <c r="BG2896" s="7">
        <v>-0.8846</v>
      </c>
      <c r="BH2896" s="7">
        <v>-0.8904</v>
      </c>
      <c r="BI2896" s="7">
        <v>1</v>
      </c>
      <c r="BJ2896" s="4">
        <v>125</v>
      </c>
      <c r="BK2896" s="8">
        <v>4742.61</v>
      </c>
      <c r="BL2896" s="2" t="s">
        <v>10646</v>
      </c>
      <c r="BM2896" s="7">
        <v>0.024</v>
      </c>
      <c r="BN2896" s="7">
        <v>0.022</v>
      </c>
      <c r="BO2896" s="4">
        <v>3</v>
      </c>
      <c r="BP2896" s="8">
        <v>104.28</v>
      </c>
      <c r="BQ2896" s="4">
        <v>26</v>
      </c>
      <c r="BR2896" s="8">
        <v>951.34</v>
      </c>
      <c r="BS2896" s="7">
        <v>-0.8846</v>
      </c>
      <c r="BT2896" s="7">
        <v>-0.8904</v>
      </c>
      <c r="BU2896" s="2" t="s">
        <v>109</v>
      </c>
      <c r="BV2896" s="2" t="s">
        <v>97</v>
      </c>
      <c r="BW2896" s="2" t="s">
        <v>8043</v>
      </c>
      <c r="BX2896" s="2" t="s">
        <v>10647</v>
      </c>
      <c r="BY2896" s="2" t="s">
        <v>112</v>
      </c>
      <c r="BZ2896" s="2" t="s">
        <v>100</v>
      </c>
    </row>
    <row r="2897">
      <c r="A2897" s="2" t="s">
        <v>10648</v>
      </c>
      <c r="B2897" s="2" t="s">
        <v>10578</v>
      </c>
      <c r="C2897" s="2" t="s">
        <v>4305</v>
      </c>
      <c r="D2897" s="2" t="s">
        <v>10579</v>
      </c>
      <c r="E2897" s="2" t="s">
        <v>10580</v>
      </c>
      <c r="F2897" s="2" t="s">
        <v>10649</v>
      </c>
      <c r="G2897" s="2" t="s">
        <v>10649</v>
      </c>
      <c r="H2897" s="2" t="s">
        <v>10649</v>
      </c>
      <c r="I2897" s="2" t="s">
        <v>10650</v>
      </c>
      <c r="J2897" s="2" t="s">
        <v>6103</v>
      </c>
      <c r="K2897" s="2" t="s">
        <v>1660</v>
      </c>
      <c r="L2897" s="3">
        <v>28.42</v>
      </c>
      <c r="M2897" s="3">
        <v>29.84</v>
      </c>
      <c r="N2897" s="3">
        <v>64.99</v>
      </c>
      <c r="O2897" s="2" t="s">
        <v>97</v>
      </c>
      <c r="P2897" s="2" t="s">
        <v>182</v>
      </c>
      <c r="Q2897" s="2" t="s">
        <v>99</v>
      </c>
      <c r="R2897" s="2" t="s">
        <v>100</v>
      </c>
      <c r="S2897" s="2" t="s">
        <v>100</v>
      </c>
      <c r="T2897" s="2" t="s">
        <v>100</v>
      </c>
      <c r="U2897" s="2" t="s">
        <v>3531</v>
      </c>
      <c r="V2897" s="2" t="s">
        <v>601</v>
      </c>
      <c r="W2897" s="2" t="s">
        <v>759</v>
      </c>
      <c r="X2897" s="2" t="s">
        <v>100</v>
      </c>
      <c r="Y2897" s="2" t="s">
        <v>10651</v>
      </c>
      <c r="Z2897" s="4">
        <v>92</v>
      </c>
      <c r="AA2897" s="4">
        <f>=ROUNDDOWN(23,0)</f>
      </c>
      <c r="AB2897" s="5">
        <v>4</v>
      </c>
      <c r="AC2897" s="2" t="s">
        <v>936</v>
      </c>
      <c r="AD2897" s="4">
        <v>40</v>
      </c>
      <c r="AE2897" s="4">
        <v>100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>
        <v>0</v>
      </c>
      <c r="AP2897" s="4">
        <v>2</v>
      </c>
      <c r="AQ2897" s="8">
        <v>59.68</v>
      </c>
      <c r="AR2897" s="4">
        <v>7</v>
      </c>
      <c r="AS2897" s="8">
        <v>212.04</v>
      </c>
      <c r="AT2897" s="7">
        <v>-0.7143</v>
      </c>
      <c r="AU2897" s="7">
        <v>-0.7185</v>
      </c>
      <c r="AV2897" s="4">
        <v>2</v>
      </c>
      <c r="AW2897" s="8">
        <v>59.68</v>
      </c>
      <c r="AX2897" s="4">
        <v>7</v>
      </c>
      <c r="AY2897" s="8">
        <v>212.04</v>
      </c>
      <c r="AZ2897" s="7">
        <v>-0.7143</v>
      </c>
      <c r="BA2897" s="7">
        <v>-0.7185</v>
      </c>
      <c r="BB2897" s="7">
        <v>1</v>
      </c>
      <c r="BC2897" s="4">
        <v>2</v>
      </c>
      <c r="BD2897" s="8">
        <v>59.68</v>
      </c>
      <c r="BE2897" s="4">
        <v>7</v>
      </c>
      <c r="BF2897" s="8">
        <v>212.04</v>
      </c>
      <c r="BG2897" s="7">
        <v>-0.7143</v>
      </c>
      <c r="BH2897" s="7">
        <v>-0.7185</v>
      </c>
      <c r="BI2897" s="7">
        <v>1</v>
      </c>
      <c r="BJ2897" s="4">
        <v>122</v>
      </c>
      <c r="BK2897" s="8">
        <v>4085.35</v>
      </c>
      <c r="BL2897" s="2" t="s">
        <v>10652</v>
      </c>
      <c r="BM2897" s="7">
        <v>0.0164</v>
      </c>
      <c r="BN2897" s="7">
        <v>0.0146</v>
      </c>
      <c r="BO2897" s="4">
        <v>2</v>
      </c>
      <c r="BP2897" s="8">
        <v>59.68</v>
      </c>
      <c r="BQ2897" s="4">
        <v>7</v>
      </c>
      <c r="BR2897" s="8">
        <v>212.04</v>
      </c>
      <c r="BS2897" s="7">
        <v>-0.7143</v>
      </c>
      <c r="BT2897" s="7">
        <v>-0.7185</v>
      </c>
      <c r="BU2897" s="2" t="s">
        <v>109</v>
      </c>
      <c r="BV2897" s="2" t="s">
        <v>97</v>
      </c>
      <c r="BW2897" s="2" t="s">
        <v>8043</v>
      </c>
      <c r="BX2897" s="2" t="s">
        <v>7124</v>
      </c>
      <c r="BY2897" s="2" t="s">
        <v>112</v>
      </c>
      <c r="BZ2897" s="2" t="s">
        <v>100</v>
      </c>
    </row>
    <row r="2898">
      <c r="A2898" s="2" t="s">
        <v>10653</v>
      </c>
      <c r="B2898" s="2" t="s">
        <v>10578</v>
      </c>
      <c r="C2898" s="2" t="s">
        <v>4305</v>
      </c>
      <c r="D2898" s="2" t="s">
        <v>10579</v>
      </c>
      <c r="E2898" s="2" t="s">
        <v>10580</v>
      </c>
      <c r="F2898" s="2" t="s">
        <v>10654</v>
      </c>
      <c r="G2898" s="2" t="s">
        <v>10654</v>
      </c>
      <c r="H2898" s="2" t="s">
        <v>10654</v>
      </c>
      <c r="I2898" s="2" t="s">
        <v>10655</v>
      </c>
      <c r="J2898" s="2" t="s">
        <v>6103</v>
      </c>
      <c r="K2898" s="2" t="s">
        <v>2066</v>
      </c>
      <c r="L2898" s="3">
        <v>24.8</v>
      </c>
      <c r="M2898" s="3">
        <v>26.04</v>
      </c>
      <c r="N2898" s="3">
        <v>49.99</v>
      </c>
      <c r="O2898" s="2" t="s">
        <v>97</v>
      </c>
      <c r="P2898" s="2" t="s">
        <v>1166</v>
      </c>
      <c r="Q2898" s="2" t="s">
        <v>99</v>
      </c>
      <c r="R2898" s="2" t="s">
        <v>100</v>
      </c>
      <c r="S2898" s="2" t="s">
        <v>100</v>
      </c>
      <c r="T2898" s="2" t="s">
        <v>100</v>
      </c>
      <c r="U2898" s="2" t="s">
        <v>3531</v>
      </c>
      <c r="V2898" s="2" t="s">
        <v>1752</v>
      </c>
      <c r="W2898" s="2" t="s">
        <v>104</v>
      </c>
      <c r="X2898" s="2" t="s">
        <v>759</v>
      </c>
      <c r="Y2898" s="2" t="s">
        <v>100</v>
      </c>
      <c r="Z2898" s="4"/>
      <c r="AA2898" s="4">
        <f>=ROUNDDOWN({0},0)</f>
      </c>
      <c r="AB2898" s="5"/>
      <c r="AC2898" s="2" t="s">
        <v>3872</v>
      </c>
      <c r="AD2898" s="4">
        <v>100</v>
      </c>
      <c r="AE2898" s="4">
        <v>100</v>
      </c>
      <c r="AF2898" s="6">
        <v>65</v>
      </c>
      <c r="AG2898" s="6"/>
      <c r="AH2898" s="7">
        <v>0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/>
      <c r="AW2898" s="8"/>
      <c r="AX2898" s="4"/>
      <c r="AY2898" s="8"/>
      <c r="AZ2898" s="7"/>
      <c r="BA2898" s="7"/>
      <c r="BB2898" s="7"/>
      <c r="BC2898" s="4"/>
      <c r="BD2898" s="8"/>
      <c r="BE2898" s="4"/>
      <c r="BF2898" s="8"/>
      <c r="BG2898" s="7"/>
      <c r="BH2898" s="7"/>
      <c r="BI2898" s="7"/>
      <c r="BJ2898" s="4"/>
      <c r="BK2898" s="8"/>
      <c r="BL2898" s="2" t="s">
        <v>100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147</v>
      </c>
      <c r="BV2898" s="2" t="s">
        <v>97</v>
      </c>
      <c r="BW2898" s="2" t="s">
        <v>100</v>
      </c>
      <c r="BX2898" s="2" t="s">
        <v>100</v>
      </c>
      <c r="BY2898" s="2" t="s">
        <v>112</v>
      </c>
      <c r="BZ2898" s="2" t="s">
        <v>100</v>
      </c>
    </row>
    <row r="2899">
      <c r="A2899" s="2" t="s">
        <v>10656</v>
      </c>
      <c r="B2899" s="2" t="s">
        <v>10578</v>
      </c>
      <c r="C2899" s="2" t="s">
        <v>4305</v>
      </c>
      <c r="D2899" s="2" t="s">
        <v>10579</v>
      </c>
      <c r="E2899" s="2" t="s">
        <v>10580</v>
      </c>
      <c r="F2899" s="2" t="s">
        <v>10657</v>
      </c>
      <c r="G2899" s="2" t="s">
        <v>10657</v>
      </c>
      <c r="H2899" s="2" t="s">
        <v>10657</v>
      </c>
      <c r="I2899" s="2" t="s">
        <v>10658</v>
      </c>
      <c r="J2899" s="2" t="s">
        <v>6103</v>
      </c>
      <c r="K2899" s="2" t="s">
        <v>666</v>
      </c>
      <c r="L2899" s="3">
        <v>43.2</v>
      </c>
      <c r="M2899" s="3">
        <v>45.36</v>
      </c>
      <c r="N2899" s="3">
        <v>99.99</v>
      </c>
      <c r="O2899" s="2" t="s">
        <v>97</v>
      </c>
      <c r="P2899" s="2" t="s">
        <v>198</v>
      </c>
      <c r="Q2899" s="2" t="s">
        <v>99</v>
      </c>
      <c r="R2899" s="2" t="s">
        <v>100</v>
      </c>
      <c r="S2899" s="2" t="s">
        <v>100</v>
      </c>
      <c r="T2899" s="2" t="s">
        <v>100</v>
      </c>
      <c r="U2899" s="2" t="s">
        <v>3531</v>
      </c>
      <c r="V2899" s="2" t="s">
        <v>1752</v>
      </c>
      <c r="W2899" s="2" t="s">
        <v>759</v>
      </c>
      <c r="X2899" s="2" t="s">
        <v>104</v>
      </c>
      <c r="Y2899" s="2" t="s">
        <v>915</v>
      </c>
      <c r="Z2899" s="4">
        <v>55</v>
      </c>
      <c r="AA2899" s="4">
        <f>=ROUNDDOWN(275,0)</f>
      </c>
      <c r="AB2899" s="5">
        <v>0.2</v>
      </c>
      <c r="AC2899" s="2" t="s">
        <v>100</v>
      </c>
      <c r="AD2899" s="4"/>
      <c r="AE2899" s="4"/>
      <c r="AF2899" s="6">
        <v>63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/>
      <c r="AW2899" s="8"/>
      <c r="AX2899" s="4"/>
      <c r="AY2899" s="8"/>
      <c r="AZ2899" s="7"/>
      <c r="BA2899" s="7"/>
      <c r="BB2899" s="7"/>
      <c r="BC2899" s="4"/>
      <c r="BD2899" s="8"/>
      <c r="BE2899" s="4"/>
      <c r="BF2899" s="8"/>
      <c r="BG2899" s="7"/>
      <c r="BH2899" s="7"/>
      <c r="BI2899" s="7"/>
      <c r="BJ2899" s="4">
        <v>24</v>
      </c>
      <c r="BK2899" s="8">
        <v>1360</v>
      </c>
      <c r="BL2899" s="2" t="s">
        <v>10659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147</v>
      </c>
      <c r="BV2899" s="2" t="s">
        <v>97</v>
      </c>
      <c r="BW2899" s="2" t="s">
        <v>100</v>
      </c>
      <c r="BX2899" s="2" t="s">
        <v>100</v>
      </c>
      <c r="BY2899" s="2" t="s">
        <v>112</v>
      </c>
      <c r="BZ2899" s="2" t="s">
        <v>100</v>
      </c>
    </row>
    <row r="2900">
      <c r="A2900" s="2" t="s">
        <v>10660</v>
      </c>
      <c r="B2900" s="2" t="s">
        <v>10578</v>
      </c>
      <c r="C2900" s="2" t="s">
        <v>4305</v>
      </c>
      <c r="D2900" s="2" t="s">
        <v>10579</v>
      </c>
      <c r="E2900" s="2" t="s">
        <v>10580</v>
      </c>
      <c r="F2900" s="2" t="s">
        <v>10661</v>
      </c>
      <c r="G2900" s="2" t="s">
        <v>10661</v>
      </c>
      <c r="H2900" s="2" t="s">
        <v>10661</v>
      </c>
      <c r="I2900" s="2" t="s">
        <v>10662</v>
      </c>
      <c r="J2900" s="2" t="s">
        <v>6103</v>
      </c>
      <c r="K2900" s="2" t="s">
        <v>3764</v>
      </c>
      <c r="L2900" s="3">
        <v>76.5</v>
      </c>
      <c r="M2900" s="3">
        <v>80.33</v>
      </c>
      <c r="N2900" s="3">
        <v>159.99</v>
      </c>
      <c r="O2900" s="2" t="s">
        <v>97</v>
      </c>
      <c r="P2900" s="2" t="s">
        <v>1166</v>
      </c>
      <c r="Q2900" s="2" t="s">
        <v>99</v>
      </c>
      <c r="R2900" s="2" t="s">
        <v>100</v>
      </c>
      <c r="S2900" s="2" t="s">
        <v>100</v>
      </c>
      <c r="T2900" s="2" t="s">
        <v>100</v>
      </c>
      <c r="U2900" s="2" t="s">
        <v>2104</v>
      </c>
      <c r="V2900" s="2" t="s">
        <v>1752</v>
      </c>
      <c r="W2900" s="2" t="s">
        <v>602</v>
      </c>
      <c r="X2900" s="2" t="s">
        <v>602</v>
      </c>
      <c r="Y2900" s="2" t="s">
        <v>10663</v>
      </c>
      <c r="Z2900" s="4">
        <v>80</v>
      </c>
      <c r="AA2900" s="4">
        <f>=ROUNDDOWN(61.5384615384615,0)</f>
      </c>
      <c r="AB2900" s="5">
        <v>1.3</v>
      </c>
      <c r="AC2900" s="2" t="s">
        <v>100</v>
      </c>
      <c r="AD2900" s="4"/>
      <c r="AE2900" s="4"/>
      <c r="AF2900" s="6">
        <v>63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/>
      <c r="AW2900" s="8"/>
      <c r="AX2900" s="4"/>
      <c r="AY2900" s="8"/>
      <c r="AZ2900" s="7"/>
      <c r="BA2900" s="7"/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>
        <v>10</v>
      </c>
      <c r="BK2900" s="8">
        <v>845.82</v>
      </c>
      <c r="BL2900" s="2" t="s">
        <v>10664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9615</v>
      </c>
      <c r="BX2900" s="2" t="s">
        <v>100</v>
      </c>
      <c r="BY2900" s="2" t="s">
        <v>112</v>
      </c>
      <c r="BZ2900" s="2" t="s">
        <v>100</v>
      </c>
    </row>
    <row r="2901">
      <c r="A2901" s="2" t="s">
        <v>10665</v>
      </c>
      <c r="B2901" s="2" t="s">
        <v>10578</v>
      </c>
      <c r="C2901" s="2" t="s">
        <v>4305</v>
      </c>
      <c r="D2901" s="2" t="s">
        <v>10579</v>
      </c>
      <c r="E2901" s="2" t="s">
        <v>10580</v>
      </c>
      <c r="F2901" s="2" t="s">
        <v>10661</v>
      </c>
      <c r="G2901" s="2" t="s">
        <v>10661</v>
      </c>
      <c r="H2901" s="2" t="s">
        <v>10661</v>
      </c>
      <c r="I2901" s="2" t="s">
        <v>10662</v>
      </c>
      <c r="J2901" s="2" t="s">
        <v>6103</v>
      </c>
      <c r="K2901" s="2" t="s">
        <v>10666</v>
      </c>
      <c r="L2901" s="3">
        <v>76.5</v>
      </c>
      <c r="M2901" s="3">
        <v>80.33</v>
      </c>
      <c r="N2901" s="3">
        <v>159.99</v>
      </c>
      <c r="O2901" s="2" t="s">
        <v>97</v>
      </c>
      <c r="P2901" s="2" t="s">
        <v>1166</v>
      </c>
      <c r="Q2901" s="2" t="s">
        <v>99</v>
      </c>
      <c r="R2901" s="2" t="s">
        <v>100</v>
      </c>
      <c r="S2901" s="2" t="s">
        <v>100</v>
      </c>
      <c r="T2901" s="2" t="s">
        <v>100</v>
      </c>
      <c r="U2901" s="2" t="s">
        <v>2104</v>
      </c>
      <c r="V2901" s="2" t="s">
        <v>1752</v>
      </c>
      <c r="W2901" s="2" t="s">
        <v>602</v>
      </c>
      <c r="X2901" s="2" t="s">
        <v>602</v>
      </c>
      <c r="Y2901" s="2" t="s">
        <v>10663</v>
      </c>
      <c r="Z2901" s="4">
        <v>83</v>
      </c>
      <c r="AA2901" s="4">
        <f>=ROUNDDOWN(75.4545454545455,0)</f>
      </c>
      <c r="AB2901" s="5">
        <v>1.1</v>
      </c>
      <c r="AC2901" s="2" t="s">
        <v>100</v>
      </c>
      <c r="AD2901" s="4"/>
      <c r="AE2901" s="4"/>
      <c r="AF2901" s="6">
        <v>63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/>
      <c r="AW2901" s="8"/>
      <c r="AX2901" s="4"/>
      <c r="AY2901" s="8"/>
      <c r="AZ2901" s="7"/>
      <c r="BA2901" s="7"/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>
        <v>12</v>
      </c>
      <c r="BK2901" s="8">
        <v>949.83</v>
      </c>
      <c r="BL2901" s="2" t="s">
        <v>9978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9615</v>
      </c>
      <c r="BX2901" s="2" t="s">
        <v>100</v>
      </c>
      <c r="BY2901" s="2" t="s">
        <v>112</v>
      </c>
      <c r="BZ2901" s="2" t="s">
        <v>100</v>
      </c>
    </row>
    <row r="2902">
      <c r="A2902" s="2" t="s">
        <v>10667</v>
      </c>
      <c r="B2902" s="2" t="s">
        <v>10578</v>
      </c>
      <c r="C2902" s="2" t="s">
        <v>4305</v>
      </c>
      <c r="D2902" s="2" t="s">
        <v>10579</v>
      </c>
      <c r="E2902" s="2" t="s">
        <v>10580</v>
      </c>
      <c r="F2902" s="2" t="s">
        <v>10661</v>
      </c>
      <c r="G2902" s="2" t="s">
        <v>10661</v>
      </c>
      <c r="H2902" s="2" t="s">
        <v>10661</v>
      </c>
      <c r="I2902" s="2" t="s">
        <v>10662</v>
      </c>
      <c r="J2902" s="2" t="s">
        <v>6103</v>
      </c>
      <c r="K2902" s="2" t="s">
        <v>10668</v>
      </c>
      <c r="L2902" s="3">
        <v>76.5</v>
      </c>
      <c r="M2902" s="3">
        <v>80.33</v>
      </c>
      <c r="N2902" s="3">
        <v>159.99</v>
      </c>
      <c r="O2902" s="2" t="s">
        <v>97</v>
      </c>
      <c r="P2902" s="2" t="s">
        <v>1166</v>
      </c>
      <c r="Q2902" s="2" t="s">
        <v>99</v>
      </c>
      <c r="R2902" s="2" t="s">
        <v>100</v>
      </c>
      <c r="S2902" s="2" t="s">
        <v>100</v>
      </c>
      <c r="T2902" s="2" t="s">
        <v>100</v>
      </c>
      <c r="U2902" s="2" t="s">
        <v>2104</v>
      </c>
      <c r="V2902" s="2" t="s">
        <v>1752</v>
      </c>
      <c r="W2902" s="2" t="s">
        <v>602</v>
      </c>
      <c r="X2902" s="2" t="s">
        <v>602</v>
      </c>
      <c r="Y2902" s="2" t="s">
        <v>10663</v>
      </c>
      <c r="Z2902" s="4">
        <v>88</v>
      </c>
      <c r="AA2902" s="4">
        <f>=ROUNDDOWN(88,0)</f>
      </c>
      <c r="AB2902" s="5">
        <v>1</v>
      </c>
      <c r="AC2902" s="2" t="s">
        <v>100</v>
      </c>
      <c r="AD2902" s="4"/>
      <c r="AE2902" s="4"/>
      <c r="AF2902" s="6">
        <v>63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/>
      <c r="AW2902" s="8"/>
      <c r="AX2902" s="4"/>
      <c r="AY2902" s="8"/>
      <c r="AZ2902" s="7"/>
      <c r="BA2902" s="7"/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/>
      <c r="BJ2902" s="4">
        <v>10</v>
      </c>
      <c r="BK2902" s="8">
        <v>757.45</v>
      </c>
      <c r="BL2902" s="2" t="s">
        <v>10669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97</v>
      </c>
      <c r="BW2902" s="2" t="s">
        <v>9615</v>
      </c>
      <c r="BX2902" s="2" t="s">
        <v>100</v>
      </c>
      <c r="BY2902" s="2" t="s">
        <v>112</v>
      </c>
      <c r="BZ2902" s="2" t="s">
        <v>100</v>
      </c>
    </row>
    <row r="2903">
      <c r="A2903" s="2" t="s">
        <v>10670</v>
      </c>
      <c r="B2903" s="2" t="s">
        <v>10578</v>
      </c>
      <c r="C2903" s="2" t="s">
        <v>4305</v>
      </c>
      <c r="D2903" s="2" t="s">
        <v>10579</v>
      </c>
      <c r="E2903" s="2" t="s">
        <v>10580</v>
      </c>
      <c r="F2903" s="2" t="s">
        <v>10671</v>
      </c>
      <c r="G2903" s="2" t="s">
        <v>10671</v>
      </c>
      <c r="H2903" s="2" t="s">
        <v>10671</v>
      </c>
      <c r="I2903" s="2" t="s">
        <v>10672</v>
      </c>
      <c r="J2903" s="2" t="s">
        <v>6103</v>
      </c>
      <c r="K2903" s="2" t="s">
        <v>298</v>
      </c>
      <c r="L2903" s="3">
        <v>44.54</v>
      </c>
      <c r="M2903" s="3">
        <v>46.77</v>
      </c>
      <c r="N2903" s="3">
        <v>94.99</v>
      </c>
      <c r="O2903" s="2" t="s">
        <v>97</v>
      </c>
      <c r="P2903" s="2" t="s">
        <v>182</v>
      </c>
      <c r="Q2903" s="2" t="s">
        <v>99</v>
      </c>
      <c r="R2903" s="2" t="s">
        <v>100</v>
      </c>
      <c r="S2903" s="2" t="s">
        <v>100</v>
      </c>
      <c r="T2903" s="2" t="s">
        <v>100</v>
      </c>
      <c r="U2903" s="2" t="s">
        <v>3531</v>
      </c>
      <c r="V2903" s="2" t="s">
        <v>1752</v>
      </c>
      <c r="W2903" s="2" t="s">
        <v>602</v>
      </c>
      <c r="X2903" s="2" t="s">
        <v>100</v>
      </c>
      <c r="Y2903" s="2" t="s">
        <v>10631</v>
      </c>
      <c r="Z2903" s="4">
        <v>125</v>
      </c>
      <c r="AA2903" s="4">
        <f>=ROUNDDOWN(25,0)</f>
      </c>
      <c r="AB2903" s="5">
        <v>5</v>
      </c>
      <c r="AC2903" s="2" t="s">
        <v>100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/>
      <c r="AW2903" s="8"/>
      <c r="AX2903" s="4"/>
      <c r="AY2903" s="8"/>
      <c r="AZ2903" s="7"/>
      <c r="BA2903" s="7"/>
      <c r="BB2903" s="7"/>
      <c r="BC2903" s="4"/>
      <c r="BD2903" s="8"/>
      <c r="BE2903" s="4"/>
      <c r="BF2903" s="8"/>
      <c r="BG2903" s="7"/>
      <c r="BH2903" s="7"/>
      <c r="BI2903" s="7"/>
      <c r="BJ2903" s="4">
        <v>101</v>
      </c>
      <c r="BK2903" s="8">
        <v>4557.92</v>
      </c>
      <c r="BL2903" s="2" t="s">
        <v>10673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97</v>
      </c>
      <c r="BW2903" s="2" t="s">
        <v>10674</v>
      </c>
      <c r="BX2903" s="2" t="s">
        <v>100</v>
      </c>
      <c r="BY2903" s="2" t="s">
        <v>112</v>
      </c>
      <c r="BZ2903" s="2" t="s">
        <v>100</v>
      </c>
    </row>
    <row r="2904">
      <c r="A2904" s="2" t="s">
        <v>10675</v>
      </c>
      <c r="B2904" s="2" t="s">
        <v>10578</v>
      </c>
      <c r="C2904" s="2" t="s">
        <v>4305</v>
      </c>
      <c r="D2904" s="2" t="s">
        <v>10579</v>
      </c>
      <c r="E2904" s="2" t="s">
        <v>10580</v>
      </c>
      <c r="F2904" s="2" t="s">
        <v>10676</v>
      </c>
      <c r="G2904" s="2" t="s">
        <v>10676</v>
      </c>
      <c r="H2904" s="2" t="s">
        <v>10676</v>
      </c>
      <c r="I2904" s="2" t="s">
        <v>10677</v>
      </c>
      <c r="J2904" s="2" t="s">
        <v>6103</v>
      </c>
      <c r="K2904" s="2" t="s">
        <v>158</v>
      </c>
      <c r="L2904" s="3">
        <v>34</v>
      </c>
      <c r="M2904" s="3">
        <v>35.7</v>
      </c>
      <c r="N2904" s="3">
        <v>69.99</v>
      </c>
      <c r="O2904" s="2" t="s">
        <v>97</v>
      </c>
      <c r="P2904" s="2" t="s">
        <v>1166</v>
      </c>
      <c r="Q2904" s="2" t="s">
        <v>99</v>
      </c>
      <c r="R2904" s="2" t="s">
        <v>100</v>
      </c>
      <c r="S2904" s="2" t="s">
        <v>100</v>
      </c>
      <c r="T2904" s="2" t="s">
        <v>100</v>
      </c>
      <c r="U2904" s="2" t="s">
        <v>3531</v>
      </c>
      <c r="V2904" s="2" t="s">
        <v>1752</v>
      </c>
      <c r="W2904" s="2" t="s">
        <v>104</v>
      </c>
      <c r="X2904" s="2" t="s">
        <v>759</v>
      </c>
      <c r="Y2904" s="2" t="s">
        <v>10678</v>
      </c>
      <c r="Z2904" s="4">
        <v>100</v>
      </c>
      <c r="AA2904" s="4">
        <f>=ROUNDDOWN({0},0)</f>
      </c>
      <c r="AB2904" s="5"/>
      <c r="AC2904" s="2" t="s">
        <v>100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/>
      <c r="AW2904" s="8"/>
      <c r="AX2904" s="4"/>
      <c r="AY2904" s="8"/>
      <c r="AZ2904" s="7"/>
      <c r="BA2904" s="7"/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/>
      <c r="BJ2904" s="4"/>
      <c r="BK2904" s="8"/>
      <c r="BL2904" s="2" t="s">
        <v>100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147</v>
      </c>
      <c r="BV2904" s="2" t="s">
        <v>97</v>
      </c>
      <c r="BW2904" s="2" t="s">
        <v>100</v>
      </c>
      <c r="BX2904" s="2" t="s">
        <v>100</v>
      </c>
      <c r="BY2904" s="2" t="s">
        <v>112</v>
      </c>
      <c r="BZ2904" s="2" t="s">
        <v>100</v>
      </c>
    </row>
    <row r="2905">
      <c r="A2905" s="2" t="s">
        <v>10679</v>
      </c>
      <c r="B2905" s="2" t="s">
        <v>10578</v>
      </c>
      <c r="C2905" s="2" t="s">
        <v>4305</v>
      </c>
      <c r="D2905" s="2" t="s">
        <v>10579</v>
      </c>
      <c r="E2905" s="2" t="s">
        <v>10580</v>
      </c>
      <c r="F2905" s="2" t="s">
        <v>10676</v>
      </c>
      <c r="G2905" s="2" t="s">
        <v>10676</v>
      </c>
      <c r="H2905" s="2" t="s">
        <v>10676</v>
      </c>
      <c r="I2905" s="2" t="s">
        <v>10677</v>
      </c>
      <c r="J2905" s="2" t="s">
        <v>6103</v>
      </c>
      <c r="K2905" s="2" t="s">
        <v>5935</v>
      </c>
      <c r="L2905" s="3">
        <v>34</v>
      </c>
      <c r="M2905" s="3">
        <v>35.7</v>
      </c>
      <c r="N2905" s="3">
        <v>69.99</v>
      </c>
      <c r="O2905" s="2" t="s">
        <v>97</v>
      </c>
      <c r="P2905" s="2" t="s">
        <v>1166</v>
      </c>
      <c r="Q2905" s="2" t="s">
        <v>99</v>
      </c>
      <c r="R2905" s="2" t="s">
        <v>100</v>
      </c>
      <c r="S2905" s="2" t="s">
        <v>100</v>
      </c>
      <c r="T2905" s="2" t="s">
        <v>100</v>
      </c>
      <c r="U2905" s="2" t="s">
        <v>3531</v>
      </c>
      <c r="V2905" s="2" t="s">
        <v>1752</v>
      </c>
      <c r="W2905" s="2" t="s">
        <v>104</v>
      </c>
      <c r="X2905" s="2" t="s">
        <v>759</v>
      </c>
      <c r="Y2905" s="2" t="s">
        <v>10678</v>
      </c>
      <c r="Z2905" s="4">
        <v>80</v>
      </c>
      <c r="AA2905" s="4">
        <f>=ROUNDDOWN({0},0)</f>
      </c>
      <c r="AB2905" s="5"/>
      <c r="AC2905" s="2" t="s">
        <v>100</v>
      </c>
      <c r="AD2905" s="4"/>
      <c r="AE2905" s="4"/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/>
      <c r="BJ2905" s="4"/>
      <c r="BK2905" s="8"/>
      <c r="BL2905" s="2" t="s">
        <v>100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147</v>
      </c>
      <c r="BV2905" s="2" t="s">
        <v>97</v>
      </c>
      <c r="BW2905" s="2" t="s">
        <v>100</v>
      </c>
      <c r="BX2905" s="2" t="s">
        <v>100</v>
      </c>
      <c r="BY2905" s="2" t="s">
        <v>112</v>
      </c>
      <c r="BZ2905" s="2" t="s">
        <v>100</v>
      </c>
    </row>
    <row r="2906">
      <c r="A2906" s="2" t="s">
        <v>10680</v>
      </c>
      <c r="B2906" s="2" t="s">
        <v>10578</v>
      </c>
      <c r="C2906" s="2" t="s">
        <v>4305</v>
      </c>
      <c r="D2906" s="2" t="s">
        <v>10579</v>
      </c>
      <c r="E2906" s="2" t="s">
        <v>10580</v>
      </c>
      <c r="F2906" s="2" t="s">
        <v>10681</v>
      </c>
      <c r="G2906" s="2" t="s">
        <v>10681</v>
      </c>
      <c r="H2906" s="2" t="s">
        <v>10681</v>
      </c>
      <c r="I2906" s="2" t="s">
        <v>10682</v>
      </c>
      <c r="J2906" s="2" t="s">
        <v>6103</v>
      </c>
      <c r="K2906" s="2" t="s">
        <v>10683</v>
      </c>
      <c r="L2906" s="3">
        <v>36</v>
      </c>
      <c r="M2906" s="3">
        <v>37.8</v>
      </c>
      <c r="N2906" s="3">
        <v>74.99</v>
      </c>
      <c r="O2906" s="2" t="s">
        <v>97</v>
      </c>
      <c r="P2906" s="2" t="s">
        <v>124</v>
      </c>
      <c r="Q2906" s="2" t="s">
        <v>99</v>
      </c>
      <c r="R2906" s="2" t="s">
        <v>100</v>
      </c>
      <c r="S2906" s="2" t="s">
        <v>100</v>
      </c>
      <c r="T2906" s="2" t="s">
        <v>100</v>
      </c>
      <c r="U2906" s="2" t="s">
        <v>100</v>
      </c>
      <c r="V2906" s="2" t="s">
        <v>1752</v>
      </c>
      <c r="W2906" s="2" t="s">
        <v>602</v>
      </c>
      <c r="X2906" s="2" t="s">
        <v>104</v>
      </c>
      <c r="Y2906" s="2" t="s">
        <v>5636</v>
      </c>
      <c r="Z2906" s="4">
        <v>249</v>
      </c>
      <c r="AA2906" s="4">
        <f>=ROUNDDOWN(7.54545454545455,0)</f>
      </c>
      <c r="AB2906" s="5">
        <v>33</v>
      </c>
      <c r="AC2906" s="2" t="s">
        <v>2120</v>
      </c>
      <c r="AD2906" s="4">
        <v>450</v>
      </c>
      <c r="AE2906" s="4">
        <v>800</v>
      </c>
      <c r="AF2906" s="6">
        <v>63</v>
      </c>
      <c r="AG2906" s="6"/>
      <c r="AH2906" s="7">
        <v>0.9515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/>
      <c r="AW2906" s="8"/>
      <c r="AX2906" s="4"/>
      <c r="AY2906" s="8"/>
      <c r="AZ2906" s="7"/>
      <c r="BA2906" s="7"/>
      <c r="BB2906" s="7"/>
      <c r="BC2906" s="4"/>
      <c r="BD2906" s="8"/>
      <c r="BE2906" s="4"/>
      <c r="BF2906" s="8"/>
      <c r="BG2906" s="7"/>
      <c r="BH2906" s="7"/>
      <c r="BI2906" s="7"/>
      <c r="BJ2906" s="4">
        <v>630</v>
      </c>
      <c r="BK2906" s="8">
        <v>24417.65</v>
      </c>
      <c r="BL2906" s="2" t="s">
        <v>10684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97</v>
      </c>
      <c r="BW2906" s="2" t="s">
        <v>10674</v>
      </c>
      <c r="BX2906" s="2" t="s">
        <v>100</v>
      </c>
      <c r="BY2906" s="2" t="s">
        <v>112</v>
      </c>
      <c r="BZ2906" s="2" t="s">
        <v>100</v>
      </c>
    </row>
    <row r="2907">
      <c r="A2907" s="2" t="s">
        <v>10685</v>
      </c>
      <c r="B2907" s="2" t="s">
        <v>10578</v>
      </c>
      <c r="C2907" s="2" t="s">
        <v>4305</v>
      </c>
      <c r="D2907" s="2" t="s">
        <v>10686</v>
      </c>
      <c r="E2907" s="2" t="s">
        <v>10687</v>
      </c>
      <c r="F2907" s="2" t="s">
        <v>10688</v>
      </c>
      <c r="G2907" s="2" t="s">
        <v>10688</v>
      </c>
      <c r="H2907" s="2" t="s">
        <v>10688</v>
      </c>
      <c r="I2907" s="2" t="s">
        <v>10689</v>
      </c>
      <c r="J2907" s="2" t="s">
        <v>6103</v>
      </c>
      <c r="K2907" s="2" t="s">
        <v>142</v>
      </c>
      <c r="L2907" s="3">
        <v>117.76</v>
      </c>
      <c r="M2907" s="3">
        <v>123.65</v>
      </c>
      <c r="N2907" s="3">
        <v>279.99</v>
      </c>
      <c r="O2907" s="2" t="s">
        <v>229</v>
      </c>
      <c r="P2907" s="2" t="s">
        <v>198</v>
      </c>
      <c r="Q2907" s="2" t="s">
        <v>99</v>
      </c>
      <c r="R2907" s="2" t="s">
        <v>100</v>
      </c>
      <c r="S2907" s="2" t="s">
        <v>100</v>
      </c>
      <c r="T2907" s="2" t="s">
        <v>100</v>
      </c>
      <c r="U2907" s="2" t="s">
        <v>3531</v>
      </c>
      <c r="V2907" s="2" t="s">
        <v>1752</v>
      </c>
      <c r="W2907" s="2" t="s">
        <v>602</v>
      </c>
      <c r="X2907" s="2" t="s">
        <v>104</v>
      </c>
      <c r="Y2907" s="2" t="s">
        <v>443</v>
      </c>
      <c r="Z2907" s="4">
        <v>68</v>
      </c>
      <c r="AA2907" s="4">
        <f>=ROUNDDOWN(136,0)</f>
      </c>
      <c r="AB2907" s="5">
        <v>0.5</v>
      </c>
      <c r="AC2907" s="2" t="s">
        <v>100</v>
      </c>
      <c r="AD2907" s="4"/>
      <c r="AE2907" s="4"/>
      <c r="AF2907" s="6">
        <v>63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/>
      <c r="AW2907" s="8"/>
      <c r="AX2907" s="4"/>
      <c r="AY2907" s="8"/>
      <c r="AZ2907" s="7"/>
      <c r="BA2907" s="7"/>
      <c r="BB2907" s="7"/>
      <c r="BC2907" s="4"/>
      <c r="BD2907" s="8"/>
      <c r="BE2907" s="4"/>
      <c r="BF2907" s="8"/>
      <c r="BG2907" s="7"/>
      <c r="BH2907" s="7"/>
      <c r="BI2907" s="7"/>
      <c r="BJ2907" s="4">
        <v>9</v>
      </c>
      <c r="BK2907" s="8">
        <v>975.59</v>
      </c>
      <c r="BL2907" s="2" t="s">
        <v>10690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147</v>
      </c>
      <c r="BV2907" s="2" t="s">
        <v>97</v>
      </c>
      <c r="BW2907" s="2" t="s">
        <v>100</v>
      </c>
      <c r="BX2907" s="2" t="s">
        <v>100</v>
      </c>
      <c r="BY2907" s="2" t="s">
        <v>112</v>
      </c>
      <c r="BZ2907" s="2" t="s">
        <v>100</v>
      </c>
    </row>
    <row r="2908">
      <c r="A2908" s="2" t="s">
        <v>10691</v>
      </c>
      <c r="B2908" s="2" t="s">
        <v>10578</v>
      </c>
      <c r="C2908" s="2" t="s">
        <v>4305</v>
      </c>
      <c r="D2908" s="2" t="s">
        <v>10686</v>
      </c>
      <c r="E2908" s="2" t="s">
        <v>10687</v>
      </c>
      <c r="F2908" s="2" t="s">
        <v>10692</v>
      </c>
      <c r="G2908" s="2" t="s">
        <v>10692</v>
      </c>
      <c r="H2908" s="2" t="s">
        <v>10692</v>
      </c>
      <c r="I2908" s="2" t="s">
        <v>10693</v>
      </c>
      <c r="J2908" s="2" t="s">
        <v>6103</v>
      </c>
      <c r="K2908" s="2" t="s">
        <v>666</v>
      </c>
      <c r="L2908" s="3">
        <v>63.75</v>
      </c>
      <c r="M2908" s="3">
        <v>66.94</v>
      </c>
      <c r="N2908" s="3">
        <v>139.99</v>
      </c>
      <c r="O2908" s="2" t="s">
        <v>229</v>
      </c>
      <c r="P2908" s="2" t="s">
        <v>198</v>
      </c>
      <c r="Q2908" s="2" t="s">
        <v>99</v>
      </c>
      <c r="R2908" s="2" t="s">
        <v>100</v>
      </c>
      <c r="S2908" s="2" t="s">
        <v>100</v>
      </c>
      <c r="T2908" s="2" t="s">
        <v>100</v>
      </c>
      <c r="U2908" s="2" t="s">
        <v>3531</v>
      </c>
      <c r="V2908" s="2" t="s">
        <v>1752</v>
      </c>
      <c r="W2908" s="2" t="s">
        <v>104</v>
      </c>
      <c r="X2908" s="2" t="s">
        <v>1288</v>
      </c>
      <c r="Y2908" s="2" t="s">
        <v>10694</v>
      </c>
      <c r="Z2908" s="4">
        <v>87</v>
      </c>
      <c r="AA2908" s="4">
        <f>=ROUNDDOWN(96.6666666666667,0)</f>
      </c>
      <c r="AB2908" s="5">
        <v>0.9</v>
      </c>
      <c r="AC2908" s="2" t="s">
        <v>100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/>
      <c r="AW2908" s="8"/>
      <c r="AX2908" s="4"/>
      <c r="AY2908" s="8"/>
      <c r="AZ2908" s="7"/>
      <c r="BA2908" s="7"/>
      <c r="BB2908" s="7"/>
      <c r="BC2908" s="4"/>
      <c r="BD2908" s="8"/>
      <c r="BE2908" s="4"/>
      <c r="BF2908" s="8"/>
      <c r="BG2908" s="7"/>
      <c r="BH2908" s="7"/>
      <c r="BI2908" s="7"/>
      <c r="BJ2908" s="4">
        <v>12</v>
      </c>
      <c r="BK2908" s="8">
        <v>536.56</v>
      </c>
      <c r="BL2908" s="2" t="s">
        <v>10695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147</v>
      </c>
      <c r="BV2908" s="2" t="s">
        <v>97</v>
      </c>
      <c r="BW2908" s="2" t="s">
        <v>100</v>
      </c>
      <c r="BX2908" s="2" t="s">
        <v>100</v>
      </c>
      <c r="BY2908" s="2" t="s">
        <v>112</v>
      </c>
      <c r="BZ2908" s="2" t="s">
        <v>100</v>
      </c>
    </row>
    <row r="2909">
      <c r="A2909" s="2" t="s">
        <v>10696</v>
      </c>
      <c r="B2909" s="2" t="s">
        <v>10578</v>
      </c>
      <c r="C2909" s="2" t="s">
        <v>5938</v>
      </c>
      <c r="D2909" s="2" t="s">
        <v>10579</v>
      </c>
      <c r="E2909" s="2" t="s">
        <v>10580</v>
      </c>
      <c r="F2909" s="2" t="s">
        <v>10697</v>
      </c>
      <c r="G2909" s="2" t="s">
        <v>10697</v>
      </c>
      <c r="H2909" s="2" t="s">
        <v>10697</v>
      </c>
      <c r="I2909" s="2" t="s">
        <v>10698</v>
      </c>
      <c r="J2909" s="2" t="s">
        <v>6103</v>
      </c>
      <c r="K2909" s="2" t="s">
        <v>10699</v>
      </c>
      <c r="L2909" s="3">
        <v>108.45</v>
      </c>
      <c r="M2909" s="3">
        <v>113.87</v>
      </c>
      <c r="N2909" s="3">
        <v>249.99</v>
      </c>
      <c r="O2909" s="2" t="s">
        <v>97</v>
      </c>
      <c r="P2909" s="2" t="s">
        <v>124</v>
      </c>
      <c r="Q2909" s="2" t="s">
        <v>99</v>
      </c>
      <c r="R2909" s="2" t="s">
        <v>100</v>
      </c>
      <c r="S2909" s="2" t="s">
        <v>10700</v>
      </c>
      <c r="T2909" s="2" t="s">
        <v>100</v>
      </c>
      <c r="U2909" s="2" t="s">
        <v>100</v>
      </c>
      <c r="V2909" s="2" t="s">
        <v>601</v>
      </c>
      <c r="W2909" s="2" t="s">
        <v>104</v>
      </c>
      <c r="X2909" s="2" t="s">
        <v>100</v>
      </c>
      <c r="Y2909" s="2" t="s">
        <v>10701</v>
      </c>
      <c r="Z2909" s="4">
        <v>160</v>
      </c>
      <c r="AA2909" s="4">
        <f>=ROUNDDOWN(16,0)</f>
      </c>
      <c r="AB2909" s="5">
        <v>10</v>
      </c>
      <c r="AC2909" s="2" t="s">
        <v>936</v>
      </c>
      <c r="AD2909" s="4">
        <v>150</v>
      </c>
      <c r="AE2909" s="4">
        <v>150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>
        <v>0</v>
      </c>
      <c r="AP2909" s="4">
        <v>13</v>
      </c>
      <c r="AQ2909" s="8">
        <v>1480.31</v>
      </c>
      <c r="AR2909" s="4">
        <v>14</v>
      </c>
      <c r="AS2909" s="8">
        <v>1623.88</v>
      </c>
      <c r="AT2909" s="7">
        <v>-0.0714</v>
      </c>
      <c r="AU2909" s="7">
        <v>-0.0884</v>
      </c>
      <c r="AV2909" s="4">
        <v>13</v>
      </c>
      <c r="AW2909" s="8">
        <v>1480.31</v>
      </c>
      <c r="AX2909" s="4">
        <v>14</v>
      </c>
      <c r="AY2909" s="8">
        <v>1623.88</v>
      </c>
      <c r="AZ2909" s="7">
        <v>-0.0714</v>
      </c>
      <c r="BA2909" s="7">
        <v>-0.0884</v>
      </c>
      <c r="BB2909" s="7">
        <v>1</v>
      </c>
      <c r="BC2909" s="4">
        <v>15</v>
      </c>
      <c r="BD2909" s="8">
        <v>1708.05</v>
      </c>
      <c r="BE2909" s="4">
        <v>14</v>
      </c>
      <c r="BF2909" s="8">
        <v>1623.88</v>
      </c>
      <c r="BG2909" s="7">
        <v>0.0714</v>
      </c>
      <c r="BH2909" s="7">
        <v>0.0518</v>
      </c>
      <c r="BI2909" s="7">
        <v>0.8667</v>
      </c>
      <c r="BJ2909" s="4">
        <v>230</v>
      </c>
      <c r="BK2909" s="8">
        <v>26797.5</v>
      </c>
      <c r="BL2909" s="2" t="s">
        <v>10702</v>
      </c>
      <c r="BM2909" s="7">
        <v>0.0565</v>
      </c>
      <c r="BN2909" s="7">
        <v>0.0552</v>
      </c>
      <c r="BO2909" s="4">
        <v>13</v>
      </c>
      <c r="BP2909" s="8">
        <v>1480.31</v>
      </c>
      <c r="BQ2909" s="4">
        <v>14</v>
      </c>
      <c r="BR2909" s="8">
        <v>1623.88</v>
      </c>
      <c r="BS2909" s="7">
        <v>-0.0714</v>
      </c>
      <c r="BT2909" s="7">
        <v>-0.0884</v>
      </c>
      <c r="BU2909" s="2" t="s">
        <v>109</v>
      </c>
      <c r="BV2909" s="2" t="s">
        <v>97</v>
      </c>
      <c r="BW2909" s="2" t="s">
        <v>8043</v>
      </c>
      <c r="BX2909" s="2" t="s">
        <v>10703</v>
      </c>
      <c r="BY2909" s="2" t="s">
        <v>112</v>
      </c>
      <c r="BZ2909" s="2" t="s">
        <v>100</v>
      </c>
    </row>
    <row r="2910">
      <c r="A2910" s="2" t="s">
        <v>10704</v>
      </c>
      <c r="B2910" s="2" t="s">
        <v>10578</v>
      </c>
      <c r="C2910" s="2" t="s">
        <v>5938</v>
      </c>
      <c r="D2910" s="2" t="s">
        <v>10579</v>
      </c>
      <c r="E2910" s="2" t="s">
        <v>10580</v>
      </c>
      <c r="F2910" s="2" t="s">
        <v>10697</v>
      </c>
      <c r="G2910" s="2" t="s">
        <v>10697</v>
      </c>
      <c r="H2910" s="2" t="s">
        <v>10697</v>
      </c>
      <c r="I2910" s="2" t="s">
        <v>10698</v>
      </c>
      <c r="J2910" s="2" t="s">
        <v>6103</v>
      </c>
      <c r="K2910" s="2" t="s">
        <v>10705</v>
      </c>
      <c r="L2910" s="3">
        <v>108.45</v>
      </c>
      <c r="M2910" s="3">
        <v>113.87</v>
      </c>
      <c r="N2910" s="3">
        <v>249.99</v>
      </c>
      <c r="O2910" s="2" t="s">
        <v>97</v>
      </c>
      <c r="P2910" s="2" t="s">
        <v>182</v>
      </c>
      <c r="Q2910" s="2" t="s">
        <v>99</v>
      </c>
      <c r="R2910" s="2" t="s">
        <v>100</v>
      </c>
      <c r="S2910" s="2" t="s">
        <v>100</v>
      </c>
      <c r="T2910" s="2" t="s">
        <v>100</v>
      </c>
      <c r="U2910" s="2" t="s">
        <v>3531</v>
      </c>
      <c r="V2910" s="2" t="s">
        <v>1752</v>
      </c>
      <c r="W2910" s="2" t="s">
        <v>104</v>
      </c>
      <c r="X2910" s="2" t="s">
        <v>100</v>
      </c>
      <c r="Y2910" s="2" t="s">
        <v>10706</v>
      </c>
      <c r="Z2910" s="4">
        <v>59</v>
      </c>
      <c r="AA2910" s="4">
        <f>=ROUNDDOWN(29.5,0)</f>
      </c>
      <c r="AB2910" s="5">
        <v>2</v>
      </c>
      <c r="AC2910" s="2" t="s">
        <v>100</v>
      </c>
      <c r="AD2910" s="4"/>
      <c r="AE2910" s="4"/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>
        <v>0</v>
      </c>
      <c r="AP2910" s="4">
        <v>2</v>
      </c>
      <c r="AQ2910" s="8">
        <v>227.74</v>
      </c>
      <c r="AR2910" s="4"/>
      <c r="AS2910" s="8"/>
      <c r="AT2910" s="7"/>
      <c r="AU2910" s="7"/>
      <c r="AV2910" s="4">
        <v>2</v>
      </c>
      <c r="AW2910" s="8">
        <v>227.74</v>
      </c>
      <c r="AX2910" s="4"/>
      <c r="AY2910" s="8"/>
      <c r="AZ2910" s="7"/>
      <c r="BA2910" s="7"/>
      <c r="BB2910" s="7">
        <v>1</v>
      </c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>
        <v>0.1333</v>
      </c>
      <c r="BJ2910" s="4">
        <v>40</v>
      </c>
      <c r="BK2910" s="8">
        <v>4492.81</v>
      </c>
      <c r="BL2910" s="2" t="s">
        <v>10707</v>
      </c>
      <c r="BM2910" s="7">
        <v>0.05</v>
      </c>
      <c r="BN2910" s="7">
        <v>0.0507</v>
      </c>
      <c r="BO2910" s="4">
        <v>2</v>
      </c>
      <c r="BP2910" s="8">
        <v>227.74</v>
      </c>
      <c r="BQ2910" s="4"/>
      <c r="BR2910" s="8"/>
      <c r="BS2910" s="7"/>
      <c r="BT2910" s="7"/>
      <c r="BU2910" s="2" t="s">
        <v>109</v>
      </c>
      <c r="BV2910" s="2" t="s">
        <v>97</v>
      </c>
      <c r="BW2910" s="2" t="s">
        <v>10633</v>
      </c>
      <c r="BX2910" s="2" t="s">
        <v>7580</v>
      </c>
      <c r="BY2910" s="2" t="s">
        <v>112</v>
      </c>
      <c r="BZ2910" s="2" t="s">
        <v>100</v>
      </c>
    </row>
    <row r="2911">
      <c r="A2911" s="2" t="s">
        <v>10708</v>
      </c>
      <c r="B2911" s="2" t="s">
        <v>10578</v>
      </c>
      <c r="C2911" s="2" t="s">
        <v>5938</v>
      </c>
      <c r="D2911" s="2" t="s">
        <v>10579</v>
      </c>
      <c r="E2911" s="2" t="s">
        <v>10580</v>
      </c>
      <c r="F2911" s="2" t="s">
        <v>10709</v>
      </c>
      <c r="G2911" s="2" t="s">
        <v>10709</v>
      </c>
      <c r="H2911" s="2" t="s">
        <v>10709</v>
      </c>
      <c r="I2911" s="2" t="s">
        <v>10630</v>
      </c>
      <c r="J2911" s="2" t="s">
        <v>6103</v>
      </c>
      <c r="K2911" s="2" t="s">
        <v>666</v>
      </c>
      <c r="L2911" s="3">
        <v>37.75</v>
      </c>
      <c r="M2911" s="3">
        <v>39.64</v>
      </c>
      <c r="N2911" s="3">
        <v>84.99</v>
      </c>
      <c r="O2911" s="2" t="s">
        <v>97</v>
      </c>
      <c r="P2911" s="2" t="s">
        <v>182</v>
      </c>
      <c r="Q2911" s="2" t="s">
        <v>99</v>
      </c>
      <c r="R2911" s="2" t="s">
        <v>100</v>
      </c>
      <c r="S2911" s="2" t="s">
        <v>100</v>
      </c>
      <c r="T2911" s="2" t="s">
        <v>100</v>
      </c>
      <c r="U2911" s="2" t="s">
        <v>3531</v>
      </c>
      <c r="V2911" s="2" t="s">
        <v>1752</v>
      </c>
      <c r="W2911" s="2" t="s">
        <v>602</v>
      </c>
      <c r="X2911" s="2" t="s">
        <v>100</v>
      </c>
      <c r="Y2911" s="2" t="s">
        <v>10710</v>
      </c>
      <c r="Z2911" s="4">
        <v>124</v>
      </c>
      <c r="AA2911" s="4">
        <f>=ROUNDDOWN(77.5,0)</f>
      </c>
      <c r="AB2911" s="5">
        <v>1.6</v>
      </c>
      <c r="AC2911" s="2" t="s">
        <v>100</v>
      </c>
      <c r="AD2911" s="4"/>
      <c r="AE2911" s="4"/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>
        <v>0</v>
      </c>
      <c r="AP2911" s="4">
        <v>3</v>
      </c>
      <c r="AQ2911" s="8">
        <v>118.92</v>
      </c>
      <c r="AR2911" s="4"/>
      <c r="AS2911" s="8"/>
      <c r="AT2911" s="7"/>
      <c r="AU2911" s="7"/>
      <c r="AV2911" s="4">
        <v>3</v>
      </c>
      <c r="AW2911" s="8">
        <v>118.92</v>
      </c>
      <c r="AX2911" s="4"/>
      <c r="AY2911" s="8"/>
      <c r="AZ2911" s="7"/>
      <c r="BA2911" s="7"/>
      <c r="BB2911" s="7">
        <v>1</v>
      </c>
      <c r="BC2911" s="4">
        <v>3</v>
      </c>
      <c r="BD2911" s="8">
        <v>118.92</v>
      </c>
      <c r="BE2911" s="4"/>
      <c r="BF2911" s="8"/>
      <c r="BG2911" s="7"/>
      <c r="BH2911" s="7"/>
      <c r="BI2911" s="7">
        <v>1</v>
      </c>
      <c r="BJ2911" s="4">
        <v>66</v>
      </c>
      <c r="BK2911" s="8">
        <v>3020.03</v>
      </c>
      <c r="BL2911" s="2" t="s">
        <v>10711</v>
      </c>
      <c r="BM2911" s="7">
        <v>0.0455</v>
      </c>
      <c r="BN2911" s="7">
        <v>0.0394</v>
      </c>
      <c r="BO2911" s="4">
        <v>3</v>
      </c>
      <c r="BP2911" s="8">
        <v>118.92</v>
      </c>
      <c r="BQ2911" s="4"/>
      <c r="BR2911" s="8"/>
      <c r="BS2911" s="7"/>
      <c r="BT2911" s="7"/>
      <c r="BU2911" s="2" t="s">
        <v>109</v>
      </c>
      <c r="BV2911" s="2" t="s">
        <v>97</v>
      </c>
      <c r="BW2911" s="2" t="s">
        <v>10633</v>
      </c>
      <c r="BX2911" s="2" t="s">
        <v>7580</v>
      </c>
      <c r="BY2911" s="2" t="s">
        <v>112</v>
      </c>
      <c r="BZ2911" s="2" t="s">
        <v>100</v>
      </c>
    </row>
    <row r="2912">
      <c r="A2912" s="2" t="s">
        <v>10712</v>
      </c>
      <c r="B2912" s="2" t="s">
        <v>10578</v>
      </c>
      <c r="C2912" s="2" t="s">
        <v>5938</v>
      </c>
      <c r="D2912" s="2" t="s">
        <v>10579</v>
      </c>
      <c r="E2912" s="2" t="s">
        <v>10580</v>
      </c>
      <c r="F2912" s="2" t="s">
        <v>10713</v>
      </c>
      <c r="G2912" s="2" t="s">
        <v>10713</v>
      </c>
      <c r="H2912" s="2" t="s">
        <v>10713</v>
      </c>
      <c r="I2912" s="2" t="s">
        <v>10714</v>
      </c>
      <c r="J2912" s="2" t="s">
        <v>6103</v>
      </c>
      <c r="K2912" s="2" t="s">
        <v>10715</v>
      </c>
      <c r="L2912" s="3">
        <v>78.14</v>
      </c>
      <c r="M2912" s="3">
        <v>82.05</v>
      </c>
      <c r="N2912" s="3">
        <v>179.99</v>
      </c>
      <c r="O2912" s="2" t="s">
        <v>97</v>
      </c>
      <c r="P2912" s="2" t="s">
        <v>182</v>
      </c>
      <c r="Q2912" s="2" t="s">
        <v>99</v>
      </c>
      <c r="R2912" s="2" t="s">
        <v>100</v>
      </c>
      <c r="S2912" s="2" t="s">
        <v>100</v>
      </c>
      <c r="T2912" s="2" t="s">
        <v>100</v>
      </c>
      <c r="U2912" s="2" t="s">
        <v>3531</v>
      </c>
      <c r="V2912" s="2" t="s">
        <v>1752</v>
      </c>
      <c r="W2912" s="2" t="s">
        <v>100</v>
      </c>
      <c r="X2912" s="2" t="s">
        <v>100</v>
      </c>
      <c r="Y2912" s="2" t="s">
        <v>10716</v>
      </c>
      <c r="Z2912" s="4">
        <v>63</v>
      </c>
      <c r="AA2912" s="4">
        <f>=ROUNDDOWN(9.84375,0)</f>
      </c>
      <c r="AB2912" s="5">
        <v>6.4</v>
      </c>
      <c r="AC2912" s="2" t="s">
        <v>100</v>
      </c>
      <c r="AD2912" s="4"/>
      <c r="AE2912" s="4"/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>
        <v>0</v>
      </c>
      <c r="AP2912" s="4">
        <v>1</v>
      </c>
      <c r="AQ2912" s="8">
        <v>82.05</v>
      </c>
      <c r="AR2912" s="4">
        <v>4</v>
      </c>
      <c r="AS2912" s="8">
        <v>356.76</v>
      </c>
      <c r="AT2912" s="7">
        <v>-0.75</v>
      </c>
      <c r="AU2912" s="7">
        <v>-0.77</v>
      </c>
      <c r="AV2912" s="4">
        <v>1</v>
      </c>
      <c r="AW2912" s="8">
        <v>82.05</v>
      </c>
      <c r="AX2912" s="4">
        <v>4</v>
      </c>
      <c r="AY2912" s="8">
        <v>356.76</v>
      </c>
      <c r="AZ2912" s="7">
        <v>-0.75</v>
      </c>
      <c r="BA2912" s="7">
        <v>-0.77</v>
      </c>
      <c r="BB2912" s="7">
        <v>1</v>
      </c>
      <c r="BC2912" s="4">
        <v>1</v>
      </c>
      <c r="BD2912" s="8">
        <v>82.05</v>
      </c>
      <c r="BE2912" s="4">
        <v>4</v>
      </c>
      <c r="BF2912" s="8">
        <v>356.76</v>
      </c>
      <c r="BG2912" s="7">
        <v>-0.75</v>
      </c>
      <c r="BH2912" s="7">
        <v>-0.77</v>
      </c>
      <c r="BI2912" s="7">
        <v>1</v>
      </c>
      <c r="BJ2912" s="4">
        <v>72</v>
      </c>
      <c r="BK2912" s="8">
        <v>6264.42</v>
      </c>
      <c r="BL2912" s="2" t="s">
        <v>10717</v>
      </c>
      <c r="BM2912" s="7">
        <v>0.0139</v>
      </c>
      <c r="BN2912" s="7">
        <v>0.0131</v>
      </c>
      <c r="BO2912" s="4">
        <v>1</v>
      </c>
      <c r="BP2912" s="8">
        <v>82.05</v>
      </c>
      <c r="BQ2912" s="4">
        <v>4</v>
      </c>
      <c r="BR2912" s="8">
        <v>356.76</v>
      </c>
      <c r="BS2912" s="7">
        <v>-0.75</v>
      </c>
      <c r="BT2912" s="7">
        <v>-0.77</v>
      </c>
      <c r="BU2912" s="2" t="s">
        <v>109</v>
      </c>
      <c r="BV2912" s="2" t="s">
        <v>97</v>
      </c>
      <c r="BW2912" s="2" t="s">
        <v>8043</v>
      </c>
      <c r="BX2912" s="2" t="s">
        <v>7723</v>
      </c>
      <c r="BY2912" s="2" t="s">
        <v>112</v>
      </c>
      <c r="BZ2912" s="2" t="s">
        <v>100</v>
      </c>
    </row>
    <row r="2913">
      <c r="A2913" s="2" t="s">
        <v>10718</v>
      </c>
      <c r="B2913" s="2" t="s">
        <v>10578</v>
      </c>
      <c r="C2913" s="2" t="s">
        <v>5938</v>
      </c>
      <c r="D2913" s="2" t="s">
        <v>10579</v>
      </c>
      <c r="E2913" s="2" t="s">
        <v>10580</v>
      </c>
      <c r="F2913" s="2" t="s">
        <v>10719</v>
      </c>
      <c r="G2913" s="2" t="s">
        <v>10719</v>
      </c>
      <c r="H2913" s="2" t="s">
        <v>10719</v>
      </c>
      <c r="I2913" s="2" t="s">
        <v>10720</v>
      </c>
      <c r="J2913" s="2" t="s">
        <v>6103</v>
      </c>
      <c r="K2913" s="2" t="s">
        <v>635</v>
      </c>
      <c r="L2913" s="3">
        <v>72</v>
      </c>
      <c r="M2913" s="3">
        <v>75.6</v>
      </c>
      <c r="N2913" s="3">
        <v>149.99</v>
      </c>
      <c r="O2913" s="2" t="s">
        <v>97</v>
      </c>
      <c r="P2913" s="2" t="s">
        <v>182</v>
      </c>
      <c r="Q2913" s="2" t="s">
        <v>99</v>
      </c>
      <c r="R2913" s="2" t="s">
        <v>100</v>
      </c>
      <c r="S2913" s="2" t="s">
        <v>10721</v>
      </c>
      <c r="T2913" s="2" t="s">
        <v>100</v>
      </c>
      <c r="U2913" s="2" t="s">
        <v>100</v>
      </c>
      <c r="V2913" s="2" t="s">
        <v>601</v>
      </c>
      <c r="W2913" s="2" t="s">
        <v>602</v>
      </c>
      <c r="X2913" s="2" t="s">
        <v>100</v>
      </c>
      <c r="Y2913" s="2" t="s">
        <v>106</v>
      </c>
      <c r="Z2913" s="4">
        <v>99</v>
      </c>
      <c r="AA2913" s="4">
        <f>=ROUNDDOWN(24.75,0)</f>
      </c>
      <c r="AB2913" s="5">
        <v>4</v>
      </c>
      <c r="AC2913" s="2" t="s">
        <v>766</v>
      </c>
      <c r="AD2913" s="4">
        <v>100</v>
      </c>
      <c r="AE2913" s="4">
        <v>100</v>
      </c>
      <c r="AF2913" s="6">
        <v>65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>
        <v>0</v>
      </c>
      <c r="AP2913" s="4">
        <v>1</v>
      </c>
      <c r="AQ2913" s="8">
        <v>75.6</v>
      </c>
      <c r="AR2913" s="4">
        <v>5</v>
      </c>
      <c r="AS2913" s="8">
        <v>378</v>
      </c>
      <c r="AT2913" s="7">
        <v>-0.8</v>
      </c>
      <c r="AU2913" s="7">
        <v>-0.8</v>
      </c>
      <c r="AV2913" s="4">
        <v>1</v>
      </c>
      <c r="AW2913" s="8">
        <v>75.6</v>
      </c>
      <c r="AX2913" s="4">
        <v>5</v>
      </c>
      <c r="AY2913" s="8">
        <v>378</v>
      </c>
      <c r="AZ2913" s="7">
        <v>-0.8</v>
      </c>
      <c r="BA2913" s="7">
        <v>-0.8</v>
      </c>
      <c r="BB2913" s="7">
        <v>1</v>
      </c>
      <c r="BC2913" s="4">
        <v>1</v>
      </c>
      <c r="BD2913" s="8">
        <v>75.6</v>
      </c>
      <c r="BE2913" s="4">
        <v>5</v>
      </c>
      <c r="BF2913" s="8">
        <v>378</v>
      </c>
      <c r="BG2913" s="7">
        <v>-0.8</v>
      </c>
      <c r="BH2913" s="7">
        <v>-0.8</v>
      </c>
      <c r="BI2913" s="7">
        <v>1</v>
      </c>
      <c r="BJ2913" s="4">
        <v>76</v>
      </c>
      <c r="BK2913" s="8">
        <v>6081.72</v>
      </c>
      <c r="BL2913" s="2" t="s">
        <v>10722</v>
      </c>
      <c r="BM2913" s="7">
        <v>0.0132</v>
      </c>
      <c r="BN2913" s="7">
        <v>0.0124</v>
      </c>
      <c r="BO2913" s="4">
        <v>1</v>
      </c>
      <c r="BP2913" s="8">
        <v>75.6</v>
      </c>
      <c r="BQ2913" s="4">
        <v>5</v>
      </c>
      <c r="BR2913" s="8">
        <v>378</v>
      </c>
      <c r="BS2913" s="7">
        <v>-0.8</v>
      </c>
      <c r="BT2913" s="7">
        <v>-0.8</v>
      </c>
      <c r="BU2913" s="2" t="s">
        <v>109</v>
      </c>
      <c r="BV2913" s="2" t="s">
        <v>97</v>
      </c>
      <c r="BW2913" s="2" t="s">
        <v>8043</v>
      </c>
      <c r="BX2913" s="2" t="s">
        <v>4328</v>
      </c>
      <c r="BY2913" s="2" t="s">
        <v>112</v>
      </c>
      <c r="BZ2913" s="2" t="s">
        <v>100</v>
      </c>
    </row>
    <row r="2914">
      <c r="A2914" s="2" t="s">
        <v>10723</v>
      </c>
      <c r="B2914" s="2" t="s">
        <v>10578</v>
      </c>
      <c r="C2914" s="2" t="s">
        <v>5938</v>
      </c>
      <c r="D2914" s="2" t="s">
        <v>10579</v>
      </c>
      <c r="E2914" s="2" t="s">
        <v>10580</v>
      </c>
      <c r="F2914" s="2" t="s">
        <v>4791</v>
      </c>
      <c r="G2914" s="2" t="s">
        <v>4791</v>
      </c>
      <c r="H2914" s="2" t="s">
        <v>4791</v>
      </c>
      <c r="I2914" s="2" t="s">
        <v>10724</v>
      </c>
      <c r="J2914" s="2" t="s">
        <v>6103</v>
      </c>
      <c r="K2914" s="2" t="s">
        <v>2066</v>
      </c>
      <c r="L2914" s="3">
        <v>52.44</v>
      </c>
      <c r="M2914" s="3">
        <v>55.06</v>
      </c>
      <c r="N2914" s="3">
        <v>119.99</v>
      </c>
      <c r="O2914" s="2" t="s">
        <v>229</v>
      </c>
      <c r="P2914" s="2" t="s">
        <v>198</v>
      </c>
      <c r="Q2914" s="2" t="s">
        <v>99</v>
      </c>
      <c r="R2914" s="2" t="s">
        <v>100</v>
      </c>
      <c r="S2914" s="2" t="s">
        <v>100</v>
      </c>
      <c r="T2914" s="2" t="s">
        <v>100</v>
      </c>
      <c r="U2914" s="2" t="s">
        <v>3531</v>
      </c>
      <c r="V2914" s="2" t="s">
        <v>1752</v>
      </c>
      <c r="W2914" s="2" t="s">
        <v>602</v>
      </c>
      <c r="X2914" s="2" t="s">
        <v>104</v>
      </c>
      <c r="Y2914" s="2" t="s">
        <v>6740</v>
      </c>
      <c r="Z2914" s="4">
        <v>33</v>
      </c>
      <c r="AA2914" s="4">
        <f>=ROUNDDOWN(55,0)</f>
      </c>
      <c r="AB2914" s="5">
        <v>0.6</v>
      </c>
      <c r="AC2914" s="2" t="s">
        <v>100</v>
      </c>
      <c r="AD2914" s="4"/>
      <c r="AE2914" s="4"/>
      <c r="AF2914" s="6">
        <v>63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>
        <v>0</v>
      </c>
      <c r="AP2914" s="4">
        <v>1</v>
      </c>
      <c r="AQ2914" s="8">
        <v>55.07</v>
      </c>
      <c r="AR2914" s="4"/>
      <c r="AS2914" s="8"/>
      <c r="AT2914" s="7"/>
      <c r="AU2914" s="7"/>
      <c r="AV2914" s="4">
        <v>1</v>
      </c>
      <c r="AW2914" s="8">
        <v>55.07</v>
      </c>
      <c r="AX2914" s="4"/>
      <c r="AY2914" s="8"/>
      <c r="AZ2914" s="7"/>
      <c r="BA2914" s="7"/>
      <c r="BB2914" s="7">
        <v>1</v>
      </c>
      <c r="BC2914" s="4">
        <v>1</v>
      </c>
      <c r="BD2914" s="8">
        <v>55.07</v>
      </c>
      <c r="BE2914" s="4"/>
      <c r="BF2914" s="8"/>
      <c r="BG2914" s="7"/>
      <c r="BH2914" s="7"/>
      <c r="BI2914" s="7">
        <v>1</v>
      </c>
      <c r="BJ2914" s="4">
        <v>17</v>
      </c>
      <c r="BK2914" s="8">
        <v>972.83</v>
      </c>
      <c r="BL2914" s="2" t="s">
        <v>10725</v>
      </c>
      <c r="BM2914" s="7">
        <v>0.0588</v>
      </c>
      <c r="BN2914" s="7">
        <v>0.0566</v>
      </c>
      <c r="BO2914" s="4">
        <v>1</v>
      </c>
      <c r="BP2914" s="8">
        <v>55.07</v>
      </c>
      <c r="BQ2914" s="4"/>
      <c r="BR2914" s="8"/>
      <c r="BS2914" s="7"/>
      <c r="BT2914" s="7"/>
      <c r="BU2914" s="2" t="s">
        <v>109</v>
      </c>
      <c r="BV2914" s="2" t="s">
        <v>97</v>
      </c>
      <c r="BW2914" s="2" t="s">
        <v>10633</v>
      </c>
      <c r="BX2914" s="2" t="s">
        <v>10342</v>
      </c>
      <c r="BY2914" s="2" t="s">
        <v>112</v>
      </c>
      <c r="BZ2914" s="2" t="s">
        <v>100</v>
      </c>
    </row>
    <row r="2915">
      <c r="A2915" s="2" t="s">
        <v>10726</v>
      </c>
      <c r="B2915" s="2" t="s">
        <v>10578</v>
      </c>
      <c r="C2915" s="2" t="s">
        <v>5938</v>
      </c>
      <c r="D2915" s="2" t="s">
        <v>10579</v>
      </c>
      <c r="E2915" s="2" t="s">
        <v>10580</v>
      </c>
      <c r="F2915" s="2" t="s">
        <v>10727</v>
      </c>
      <c r="G2915" s="2" t="s">
        <v>10727</v>
      </c>
      <c r="H2915" s="2" t="s">
        <v>10727</v>
      </c>
      <c r="I2915" s="2" t="s">
        <v>10728</v>
      </c>
      <c r="J2915" s="2" t="s">
        <v>6103</v>
      </c>
      <c r="K2915" s="2" t="s">
        <v>635</v>
      </c>
      <c r="L2915" s="3">
        <v>50.14</v>
      </c>
      <c r="M2915" s="3">
        <v>52.65</v>
      </c>
      <c r="N2915" s="3">
        <v>119.99</v>
      </c>
      <c r="O2915" s="2" t="s">
        <v>97</v>
      </c>
      <c r="P2915" s="2" t="s">
        <v>182</v>
      </c>
      <c r="Q2915" s="2" t="s">
        <v>99</v>
      </c>
      <c r="R2915" s="2" t="s">
        <v>100</v>
      </c>
      <c r="S2915" s="2" t="s">
        <v>100</v>
      </c>
      <c r="T2915" s="2" t="s">
        <v>100</v>
      </c>
      <c r="U2915" s="2" t="s">
        <v>3531</v>
      </c>
      <c r="V2915" s="2" t="s">
        <v>1752</v>
      </c>
      <c r="W2915" s="2" t="s">
        <v>104</v>
      </c>
      <c r="X2915" s="2" t="s">
        <v>602</v>
      </c>
      <c r="Y2915" s="2" t="s">
        <v>915</v>
      </c>
      <c r="Z2915" s="4">
        <v>96</v>
      </c>
      <c r="AA2915" s="4">
        <f>=ROUNDDOWN(43.6363636363636,0)</f>
      </c>
      <c r="AB2915" s="5">
        <v>2.2</v>
      </c>
      <c r="AC2915" s="2" t="s">
        <v>100</v>
      </c>
      <c r="AD2915" s="4"/>
      <c r="AE2915" s="4"/>
      <c r="AF2915" s="6">
        <v>63</v>
      </c>
      <c r="AG2915" s="6"/>
      <c r="AH2915" s="7">
        <v>0.7697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/>
      <c r="BD2915" s="8"/>
      <c r="BE2915" s="4"/>
      <c r="BF2915" s="8"/>
      <c r="BG2915" s="7"/>
      <c r="BH2915" s="7"/>
      <c r="BI2915" s="7"/>
      <c r="BJ2915" s="4">
        <v>53</v>
      </c>
      <c r="BK2915" s="8">
        <v>3107.71</v>
      </c>
      <c r="BL2915" s="2" t="s">
        <v>10729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97</v>
      </c>
      <c r="BW2915" s="2" t="s">
        <v>10633</v>
      </c>
      <c r="BX2915" s="2" t="s">
        <v>100</v>
      </c>
      <c r="BY2915" s="2" t="s">
        <v>112</v>
      </c>
      <c r="BZ2915" s="2" t="s">
        <v>100</v>
      </c>
    </row>
    <row r="2916">
      <c r="A2916" s="2" t="s">
        <v>10730</v>
      </c>
      <c r="B2916" s="2" t="s">
        <v>10578</v>
      </c>
      <c r="C2916" s="2" t="s">
        <v>5938</v>
      </c>
      <c r="D2916" s="2" t="s">
        <v>10579</v>
      </c>
      <c r="E2916" s="2" t="s">
        <v>10580</v>
      </c>
      <c r="F2916" s="2" t="s">
        <v>10731</v>
      </c>
      <c r="G2916" s="2" t="s">
        <v>10731</v>
      </c>
      <c r="H2916" s="2" t="s">
        <v>10731</v>
      </c>
      <c r="I2916" s="2" t="s">
        <v>10732</v>
      </c>
      <c r="J2916" s="2" t="s">
        <v>6103</v>
      </c>
      <c r="K2916" s="2" t="s">
        <v>666</v>
      </c>
      <c r="L2916" s="3">
        <v>45.36</v>
      </c>
      <c r="M2916" s="3">
        <v>47.63</v>
      </c>
      <c r="N2916" s="3">
        <v>104.99</v>
      </c>
      <c r="O2916" s="2" t="s">
        <v>229</v>
      </c>
      <c r="P2916" s="2" t="s">
        <v>198</v>
      </c>
      <c r="Q2916" s="2" t="s">
        <v>99</v>
      </c>
      <c r="R2916" s="2" t="s">
        <v>100</v>
      </c>
      <c r="S2916" s="2" t="s">
        <v>100</v>
      </c>
      <c r="T2916" s="2" t="s">
        <v>100</v>
      </c>
      <c r="U2916" s="2" t="s">
        <v>3531</v>
      </c>
      <c r="V2916" s="2" t="s">
        <v>1752</v>
      </c>
      <c r="W2916" s="2" t="s">
        <v>602</v>
      </c>
      <c r="X2916" s="2" t="s">
        <v>104</v>
      </c>
      <c r="Y2916" s="2" t="s">
        <v>10694</v>
      </c>
      <c r="Z2916" s="4">
        <v>5</v>
      </c>
      <c r="AA2916" s="4">
        <f>=ROUNDDOWN(1.66666666666667,0)</f>
      </c>
      <c r="AB2916" s="5">
        <v>3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/>
      <c r="BD2916" s="8"/>
      <c r="BE2916" s="4"/>
      <c r="BF2916" s="8"/>
      <c r="BG2916" s="7"/>
      <c r="BH2916" s="7"/>
      <c r="BI2916" s="7"/>
      <c r="BJ2916" s="4">
        <v>9</v>
      </c>
      <c r="BK2916" s="8">
        <v>501.84</v>
      </c>
      <c r="BL2916" s="2" t="s">
        <v>10733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97</v>
      </c>
      <c r="BW2916" s="2" t="s">
        <v>10633</v>
      </c>
      <c r="BX2916" s="2" t="s">
        <v>100</v>
      </c>
      <c r="BY2916" s="2" t="s">
        <v>112</v>
      </c>
      <c r="BZ2916" s="2" t="s">
        <v>100</v>
      </c>
    </row>
    <row r="2917">
      <c r="A2917" s="2" t="s">
        <v>10734</v>
      </c>
      <c r="B2917" s="2" t="s">
        <v>10578</v>
      </c>
      <c r="C2917" s="2" t="s">
        <v>5938</v>
      </c>
      <c r="D2917" s="2" t="s">
        <v>10579</v>
      </c>
      <c r="E2917" s="2" t="s">
        <v>10580</v>
      </c>
      <c r="F2917" s="2" t="s">
        <v>7319</v>
      </c>
      <c r="G2917" s="2" t="s">
        <v>7319</v>
      </c>
      <c r="H2917" s="2" t="s">
        <v>7319</v>
      </c>
      <c r="I2917" s="2" t="s">
        <v>10735</v>
      </c>
      <c r="J2917" s="2" t="s">
        <v>6103</v>
      </c>
      <c r="K2917" s="2" t="s">
        <v>635</v>
      </c>
      <c r="L2917" s="3">
        <v>81.97</v>
      </c>
      <c r="M2917" s="3">
        <v>86.07</v>
      </c>
      <c r="N2917" s="3">
        <v>189.99</v>
      </c>
      <c r="O2917" s="2" t="s">
        <v>97</v>
      </c>
      <c r="P2917" s="2" t="s">
        <v>182</v>
      </c>
      <c r="Q2917" s="2" t="s">
        <v>99</v>
      </c>
      <c r="R2917" s="2" t="s">
        <v>100</v>
      </c>
      <c r="S2917" s="2" t="s">
        <v>10736</v>
      </c>
      <c r="T2917" s="2" t="s">
        <v>100</v>
      </c>
      <c r="U2917" s="2" t="s">
        <v>100</v>
      </c>
      <c r="V2917" s="2" t="s">
        <v>601</v>
      </c>
      <c r="W2917" s="2" t="s">
        <v>104</v>
      </c>
      <c r="X2917" s="2" t="s">
        <v>100</v>
      </c>
      <c r="Y2917" s="2" t="s">
        <v>106</v>
      </c>
      <c r="Z2917" s="4">
        <v>3</v>
      </c>
      <c r="AA2917" s="4">
        <f>=ROUNDDOWN(0.272727272727273,0)</f>
      </c>
      <c r="AB2917" s="5">
        <v>11</v>
      </c>
      <c r="AC2917" s="2" t="s">
        <v>2120</v>
      </c>
      <c r="AD2917" s="4">
        <v>300</v>
      </c>
      <c r="AE2917" s="4">
        <v>300</v>
      </c>
      <c r="AF2917" s="6">
        <v>65</v>
      </c>
      <c r="AG2917" s="6"/>
      <c r="AH2917" s="7">
        <v>0.7697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>
        <v>0</v>
      </c>
      <c r="AP2917" s="4"/>
      <c r="AQ2917" s="8"/>
      <c r="AR2917" s="4">
        <v>2</v>
      </c>
      <c r="AS2917" s="8">
        <v>187.12</v>
      </c>
      <c r="AT2917" s="7">
        <v>-1</v>
      </c>
      <c r="AU2917" s="7">
        <v>-1</v>
      </c>
      <c r="AV2917" s="4"/>
      <c r="AW2917" s="8"/>
      <c r="AX2917" s="4">
        <v>2</v>
      </c>
      <c r="AY2917" s="8">
        <v>187.12</v>
      </c>
      <c r="AZ2917" s="7">
        <v>-1</v>
      </c>
      <c r="BA2917" s="7">
        <v>-1</v>
      </c>
      <c r="BB2917" s="7"/>
      <c r="BC2917" s="4"/>
      <c r="BD2917" s="8"/>
      <c r="BE2917" s="4">
        <v>2</v>
      </c>
      <c r="BF2917" s="8">
        <v>187.12</v>
      </c>
      <c r="BG2917" s="7">
        <v>-1</v>
      </c>
      <c r="BH2917" s="7">
        <v>-1</v>
      </c>
      <c r="BI2917" s="7"/>
      <c r="BJ2917" s="4">
        <v>194</v>
      </c>
      <c r="BK2917" s="8">
        <v>15946.49</v>
      </c>
      <c r="BL2917" s="2" t="s">
        <v>10737</v>
      </c>
      <c r="BM2917" s="7"/>
      <c r="BN2917" s="7"/>
      <c r="BO2917" s="4"/>
      <c r="BP2917" s="8"/>
      <c r="BQ2917" s="4">
        <v>2</v>
      </c>
      <c r="BR2917" s="8">
        <v>187.12</v>
      </c>
      <c r="BS2917" s="7">
        <v>-1</v>
      </c>
      <c r="BT2917" s="7">
        <v>-1</v>
      </c>
      <c r="BU2917" s="2" t="s">
        <v>109</v>
      </c>
      <c r="BV2917" s="2" t="s">
        <v>97</v>
      </c>
      <c r="BW2917" s="2" t="s">
        <v>8043</v>
      </c>
      <c r="BX2917" s="2" t="s">
        <v>1008</v>
      </c>
      <c r="BY2917" s="2" t="s">
        <v>112</v>
      </c>
      <c r="BZ2917" s="2" t="s">
        <v>100</v>
      </c>
    </row>
    <row r="2918">
      <c r="A2918" s="2" t="s">
        <v>10738</v>
      </c>
      <c r="B2918" s="2" t="s">
        <v>10578</v>
      </c>
      <c r="C2918" s="2" t="s">
        <v>5938</v>
      </c>
      <c r="D2918" s="2" t="s">
        <v>10579</v>
      </c>
      <c r="E2918" s="2" t="s">
        <v>10580</v>
      </c>
      <c r="F2918" s="2" t="s">
        <v>10739</v>
      </c>
      <c r="G2918" s="2" t="s">
        <v>10739</v>
      </c>
      <c r="H2918" s="2" t="s">
        <v>10739</v>
      </c>
      <c r="I2918" s="2" t="s">
        <v>10740</v>
      </c>
      <c r="J2918" s="2" t="s">
        <v>6103</v>
      </c>
      <c r="K2918" s="2" t="s">
        <v>10741</v>
      </c>
      <c r="L2918" s="3">
        <v>56.1</v>
      </c>
      <c r="M2918" s="3">
        <v>58.9</v>
      </c>
      <c r="N2918" s="3">
        <v>119.99</v>
      </c>
      <c r="O2918" s="2" t="s">
        <v>229</v>
      </c>
      <c r="P2918" s="2" t="s">
        <v>198</v>
      </c>
      <c r="Q2918" s="2" t="s">
        <v>99</v>
      </c>
      <c r="R2918" s="2" t="s">
        <v>100</v>
      </c>
      <c r="S2918" s="2" t="s">
        <v>100</v>
      </c>
      <c r="T2918" s="2" t="s">
        <v>100</v>
      </c>
      <c r="U2918" s="2" t="s">
        <v>3531</v>
      </c>
      <c r="V2918" s="2" t="s">
        <v>1752</v>
      </c>
      <c r="W2918" s="2" t="s">
        <v>602</v>
      </c>
      <c r="X2918" s="2" t="s">
        <v>104</v>
      </c>
      <c r="Y2918" s="2" t="s">
        <v>10315</v>
      </c>
      <c r="Z2918" s="4">
        <v>12</v>
      </c>
      <c r="AA2918" s="4">
        <f>=ROUNDDOWN(17.1428571428571,0)</f>
      </c>
      <c r="AB2918" s="5">
        <v>0.7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/>
      <c r="AW2918" s="8"/>
      <c r="AX2918" s="4"/>
      <c r="AY2918" s="8"/>
      <c r="AZ2918" s="7"/>
      <c r="BA2918" s="7"/>
      <c r="BB2918" s="7"/>
      <c r="BC2918" s="4"/>
      <c r="BD2918" s="8"/>
      <c r="BE2918" s="4"/>
      <c r="BF2918" s="8"/>
      <c r="BG2918" s="7"/>
      <c r="BH2918" s="7"/>
      <c r="BI2918" s="7"/>
      <c r="BJ2918" s="4">
        <v>11</v>
      </c>
      <c r="BK2918" s="8">
        <v>601.41</v>
      </c>
      <c r="BL2918" s="2" t="s">
        <v>2187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147</v>
      </c>
      <c r="BV2918" s="2" t="s">
        <v>97</v>
      </c>
      <c r="BW2918" s="2" t="s">
        <v>100</v>
      </c>
      <c r="BX2918" s="2" t="s">
        <v>100</v>
      </c>
      <c r="BY2918" s="2" t="s">
        <v>112</v>
      </c>
      <c r="BZ2918" s="2" t="s">
        <v>100</v>
      </c>
    </row>
    <row r="2919">
      <c r="A2919" s="2" t="s">
        <v>10742</v>
      </c>
      <c r="B2919" s="2" t="s">
        <v>10578</v>
      </c>
      <c r="C2919" s="2" t="s">
        <v>5938</v>
      </c>
      <c r="D2919" s="2" t="s">
        <v>10579</v>
      </c>
      <c r="E2919" s="2" t="s">
        <v>10580</v>
      </c>
      <c r="F2919" s="2" t="s">
        <v>10743</v>
      </c>
      <c r="G2919" s="2" t="s">
        <v>10743</v>
      </c>
      <c r="H2919" s="2" t="s">
        <v>10743</v>
      </c>
      <c r="I2919" s="2" t="s">
        <v>10744</v>
      </c>
      <c r="J2919" s="2" t="s">
        <v>6103</v>
      </c>
      <c r="K2919" s="2" t="s">
        <v>7165</v>
      </c>
      <c r="L2919" s="3">
        <v>62</v>
      </c>
      <c r="M2919" s="3">
        <v>65.1</v>
      </c>
      <c r="N2919" s="3">
        <v>129.99</v>
      </c>
      <c r="O2919" s="2" t="s">
        <v>97</v>
      </c>
      <c r="P2919" s="2" t="s">
        <v>1166</v>
      </c>
      <c r="Q2919" s="2" t="s">
        <v>99</v>
      </c>
      <c r="R2919" s="2" t="s">
        <v>100</v>
      </c>
      <c r="S2919" s="2" t="s">
        <v>100</v>
      </c>
      <c r="T2919" s="2" t="s">
        <v>100</v>
      </c>
      <c r="U2919" s="2" t="s">
        <v>3531</v>
      </c>
      <c r="V2919" s="2" t="s">
        <v>1752</v>
      </c>
      <c r="W2919" s="2" t="s">
        <v>759</v>
      </c>
      <c r="X2919" s="2" t="s">
        <v>405</v>
      </c>
      <c r="Y2919" s="2" t="s">
        <v>943</v>
      </c>
      <c r="Z2919" s="4">
        <v>94</v>
      </c>
      <c r="AA2919" s="4">
        <f>=ROUNDDOWN(85.4545454545455,0)</f>
      </c>
      <c r="AB2919" s="5">
        <v>1.1</v>
      </c>
      <c r="AC2919" s="2" t="s">
        <v>100</v>
      </c>
      <c r="AD2919" s="4"/>
      <c r="AE2919" s="4"/>
      <c r="AF2919" s="6">
        <v>63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 t="s">
        <v>100</v>
      </c>
      <c r="BD2919" s="8" t="s">
        <v>100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/>
      <c r="BJ2919" s="4">
        <v>3</v>
      </c>
      <c r="BK2919" s="8">
        <v>175.78</v>
      </c>
      <c r="BL2919" s="2" t="s">
        <v>5499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9615</v>
      </c>
      <c r="BX2919" s="2" t="s">
        <v>100</v>
      </c>
      <c r="BY2919" s="2" t="s">
        <v>112</v>
      </c>
      <c r="BZ2919" s="2" t="s">
        <v>100</v>
      </c>
    </row>
    <row r="2920">
      <c r="A2920" s="2" t="s">
        <v>10745</v>
      </c>
      <c r="B2920" s="2" t="s">
        <v>10578</v>
      </c>
      <c r="C2920" s="2" t="s">
        <v>5938</v>
      </c>
      <c r="D2920" s="2" t="s">
        <v>10579</v>
      </c>
      <c r="E2920" s="2" t="s">
        <v>10580</v>
      </c>
      <c r="F2920" s="2" t="s">
        <v>10743</v>
      </c>
      <c r="G2920" s="2" t="s">
        <v>10743</v>
      </c>
      <c r="H2920" s="2" t="s">
        <v>10743</v>
      </c>
      <c r="I2920" s="2" t="s">
        <v>10744</v>
      </c>
      <c r="J2920" s="2" t="s">
        <v>6103</v>
      </c>
      <c r="K2920" s="2" t="s">
        <v>158</v>
      </c>
      <c r="L2920" s="3">
        <v>57</v>
      </c>
      <c r="M2920" s="3">
        <v>59.85</v>
      </c>
      <c r="N2920" s="3">
        <v>119</v>
      </c>
      <c r="O2920" s="2" t="s">
        <v>97</v>
      </c>
      <c r="P2920" s="2" t="s">
        <v>1166</v>
      </c>
      <c r="Q2920" s="2" t="s">
        <v>99</v>
      </c>
      <c r="R2920" s="2" t="s">
        <v>100</v>
      </c>
      <c r="S2920" s="2" t="s">
        <v>100</v>
      </c>
      <c r="T2920" s="2" t="s">
        <v>100</v>
      </c>
      <c r="U2920" s="2" t="s">
        <v>3531</v>
      </c>
      <c r="V2920" s="2" t="s">
        <v>1752</v>
      </c>
      <c r="W2920" s="2" t="s">
        <v>759</v>
      </c>
      <c r="X2920" s="2" t="s">
        <v>405</v>
      </c>
      <c r="Y2920" s="2" t="s">
        <v>10746</v>
      </c>
      <c r="Z2920" s="4">
        <v>66</v>
      </c>
      <c r="AA2920" s="4">
        <f>=ROUNDDOWN(82.5,0)</f>
      </c>
      <c r="AB2920" s="5">
        <v>0.8</v>
      </c>
      <c r="AC2920" s="2" t="s">
        <v>100</v>
      </c>
      <c r="AD2920" s="4"/>
      <c r="AE2920" s="4"/>
      <c r="AF2920" s="6">
        <v>63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/>
      <c r="AW2920" s="8"/>
      <c r="AX2920" s="4"/>
      <c r="AY2920" s="8"/>
      <c r="AZ2920" s="7"/>
      <c r="BA2920" s="7"/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/>
      <c r="BJ2920" s="4">
        <v>21</v>
      </c>
      <c r="BK2920" s="8">
        <v>1311.22</v>
      </c>
      <c r="BL2920" s="2" t="s">
        <v>10747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97</v>
      </c>
      <c r="BW2920" s="2" t="s">
        <v>9615</v>
      </c>
      <c r="BX2920" s="2" t="s">
        <v>100</v>
      </c>
      <c r="BY2920" s="2" t="s">
        <v>112</v>
      </c>
      <c r="BZ2920" s="2" t="s">
        <v>100</v>
      </c>
    </row>
    <row r="2921">
      <c r="A2921" s="2" t="s">
        <v>10748</v>
      </c>
      <c r="B2921" s="2" t="s">
        <v>10578</v>
      </c>
      <c r="C2921" s="2" t="s">
        <v>5938</v>
      </c>
      <c r="D2921" s="2" t="s">
        <v>10579</v>
      </c>
      <c r="E2921" s="2" t="s">
        <v>10580</v>
      </c>
      <c r="F2921" s="2" t="s">
        <v>10749</v>
      </c>
      <c r="G2921" s="2" t="s">
        <v>10749</v>
      </c>
      <c r="H2921" s="2" t="s">
        <v>10749</v>
      </c>
      <c r="I2921" s="2" t="s">
        <v>10677</v>
      </c>
      <c r="J2921" s="2" t="s">
        <v>6103</v>
      </c>
      <c r="K2921" s="2" t="s">
        <v>181</v>
      </c>
      <c r="L2921" s="3">
        <v>38</v>
      </c>
      <c r="M2921" s="3">
        <v>39.9</v>
      </c>
      <c r="N2921" s="3">
        <v>79.99</v>
      </c>
      <c r="O2921" s="2" t="s">
        <v>97</v>
      </c>
      <c r="P2921" s="2" t="s">
        <v>1166</v>
      </c>
      <c r="Q2921" s="2" t="s">
        <v>99</v>
      </c>
      <c r="R2921" s="2" t="s">
        <v>100</v>
      </c>
      <c r="S2921" s="2" t="s">
        <v>100</v>
      </c>
      <c r="T2921" s="2" t="s">
        <v>100</v>
      </c>
      <c r="U2921" s="2" t="s">
        <v>3531</v>
      </c>
      <c r="V2921" s="2" t="s">
        <v>1752</v>
      </c>
      <c r="W2921" s="2" t="s">
        <v>104</v>
      </c>
      <c r="X2921" s="2" t="s">
        <v>100</v>
      </c>
      <c r="Y2921" s="2" t="s">
        <v>10678</v>
      </c>
      <c r="Z2921" s="4">
        <v>100</v>
      </c>
      <c r="AA2921" s="4">
        <f>=ROUNDDOWN({0},0)</f>
      </c>
      <c r="AB2921" s="5"/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/>
      <c r="AW2921" s="8"/>
      <c r="AX2921" s="4"/>
      <c r="AY2921" s="8"/>
      <c r="AZ2921" s="7"/>
      <c r="BA2921" s="7"/>
      <c r="BB2921" s="7"/>
      <c r="BC2921" s="4"/>
      <c r="BD2921" s="8"/>
      <c r="BE2921" s="4"/>
      <c r="BF2921" s="8"/>
      <c r="BG2921" s="7"/>
      <c r="BH2921" s="7"/>
      <c r="BI2921" s="7"/>
      <c r="BJ2921" s="4"/>
      <c r="BK2921" s="8"/>
      <c r="BL2921" s="2" t="s">
        <v>100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147</v>
      </c>
      <c r="BV2921" s="2" t="s">
        <v>97</v>
      </c>
      <c r="BW2921" s="2" t="s">
        <v>100</v>
      </c>
      <c r="BX2921" s="2" t="s">
        <v>100</v>
      </c>
      <c r="BY2921" s="2" t="s">
        <v>112</v>
      </c>
      <c r="BZ2921" s="2" t="s">
        <v>100</v>
      </c>
    </row>
    <row r="2922">
      <c r="A2922" s="2" t="s">
        <v>10750</v>
      </c>
      <c r="B2922" s="2" t="s">
        <v>10578</v>
      </c>
      <c r="C2922" s="2" t="s">
        <v>5938</v>
      </c>
      <c r="D2922" s="2" t="s">
        <v>10579</v>
      </c>
      <c r="E2922" s="2" t="s">
        <v>10580</v>
      </c>
      <c r="F2922" s="2" t="s">
        <v>10751</v>
      </c>
      <c r="G2922" s="2" t="s">
        <v>10751</v>
      </c>
      <c r="H2922" s="2" t="s">
        <v>10751</v>
      </c>
      <c r="I2922" s="2" t="s">
        <v>10752</v>
      </c>
      <c r="J2922" s="2" t="s">
        <v>6103</v>
      </c>
      <c r="K2922" s="2" t="s">
        <v>267</v>
      </c>
      <c r="L2922" s="3">
        <v>50</v>
      </c>
      <c r="M2922" s="3">
        <v>52.5</v>
      </c>
      <c r="N2922" s="3">
        <v>104.99</v>
      </c>
      <c r="O2922" s="2" t="s">
        <v>97</v>
      </c>
      <c r="P2922" s="2" t="s">
        <v>1166</v>
      </c>
      <c r="Q2922" s="2" t="s">
        <v>99</v>
      </c>
      <c r="R2922" s="2" t="s">
        <v>100</v>
      </c>
      <c r="S2922" s="2" t="s">
        <v>100</v>
      </c>
      <c r="T2922" s="2" t="s">
        <v>100</v>
      </c>
      <c r="U2922" s="2" t="s">
        <v>3531</v>
      </c>
      <c r="V2922" s="2" t="s">
        <v>1752</v>
      </c>
      <c r="W2922" s="2" t="s">
        <v>906</v>
      </c>
      <c r="X2922" s="2" t="s">
        <v>104</v>
      </c>
      <c r="Y2922" s="2" t="s">
        <v>1531</v>
      </c>
      <c r="Z2922" s="4">
        <v>80</v>
      </c>
      <c r="AA2922" s="4">
        <f>=ROUNDDOWN(33.3333333333333,0)</f>
      </c>
      <c r="AB2922" s="5">
        <v>2.4</v>
      </c>
      <c r="AC2922" s="2" t="s">
        <v>100</v>
      </c>
      <c r="AD2922" s="4"/>
      <c r="AE2922" s="4"/>
      <c r="AF2922" s="6">
        <v>63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/>
      <c r="AW2922" s="8"/>
      <c r="AX2922" s="4"/>
      <c r="AY2922" s="8"/>
      <c r="AZ2922" s="7"/>
      <c r="BA2922" s="7"/>
      <c r="BB2922" s="7"/>
      <c r="BC2922" s="4"/>
      <c r="BD2922" s="8"/>
      <c r="BE2922" s="4"/>
      <c r="BF2922" s="8"/>
      <c r="BG2922" s="7"/>
      <c r="BH2922" s="7"/>
      <c r="BI2922" s="7"/>
      <c r="BJ2922" s="4">
        <v>19</v>
      </c>
      <c r="BK2922" s="8">
        <v>1011.68</v>
      </c>
      <c r="BL2922" s="2" t="s">
        <v>10753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147</v>
      </c>
      <c r="BV2922" s="2" t="s">
        <v>97</v>
      </c>
      <c r="BW2922" s="2" t="s">
        <v>100</v>
      </c>
      <c r="BX2922" s="2" t="s">
        <v>100</v>
      </c>
      <c r="BY2922" s="2" t="s">
        <v>112</v>
      </c>
      <c r="BZ2922" s="2" t="s">
        <v>100</v>
      </c>
    </row>
    <row r="2923">
      <c r="A2923" s="2" t="s">
        <v>10754</v>
      </c>
      <c r="B2923" s="2" t="s">
        <v>10578</v>
      </c>
      <c r="C2923" s="2" t="s">
        <v>5938</v>
      </c>
      <c r="D2923" s="2" t="s">
        <v>10579</v>
      </c>
      <c r="E2923" s="2" t="s">
        <v>10580</v>
      </c>
      <c r="F2923" s="2" t="s">
        <v>10755</v>
      </c>
      <c r="G2923" s="2" t="s">
        <v>10755</v>
      </c>
      <c r="H2923" s="2" t="s">
        <v>10755</v>
      </c>
      <c r="I2923" s="2" t="s">
        <v>10756</v>
      </c>
      <c r="J2923" s="2" t="s">
        <v>6103</v>
      </c>
      <c r="K2923" s="2" t="s">
        <v>10042</v>
      </c>
      <c r="L2923" s="3">
        <v>113.85</v>
      </c>
      <c r="M2923" s="3">
        <v>119.54</v>
      </c>
      <c r="N2923" s="3">
        <v>249.99</v>
      </c>
      <c r="O2923" s="2" t="s">
        <v>97</v>
      </c>
      <c r="P2923" s="2" t="s">
        <v>124</v>
      </c>
      <c r="Q2923" s="2" t="s">
        <v>99</v>
      </c>
      <c r="R2923" s="2" t="s">
        <v>100</v>
      </c>
      <c r="S2923" s="2" t="s">
        <v>10757</v>
      </c>
      <c r="T2923" s="2" t="s">
        <v>100</v>
      </c>
      <c r="U2923" s="2" t="s">
        <v>100</v>
      </c>
      <c r="V2923" s="2" t="s">
        <v>601</v>
      </c>
      <c r="W2923" s="2" t="s">
        <v>104</v>
      </c>
      <c r="X2923" s="2" t="s">
        <v>100</v>
      </c>
      <c r="Y2923" s="2" t="s">
        <v>10758</v>
      </c>
      <c r="Z2923" s="4">
        <v>143</v>
      </c>
      <c r="AA2923" s="4">
        <f>=ROUNDDOWN(13.8834951456311,0)</f>
      </c>
      <c r="AB2923" s="5">
        <v>10.3</v>
      </c>
      <c r="AC2923" s="2" t="s">
        <v>766</v>
      </c>
      <c r="AD2923" s="4">
        <v>150</v>
      </c>
      <c r="AE2923" s="4">
        <v>150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>
        <v>0</v>
      </c>
      <c r="AP2923" s="4"/>
      <c r="AQ2923" s="8"/>
      <c r="AR2923" s="4">
        <v>2</v>
      </c>
      <c r="AS2923" s="8">
        <v>265.66</v>
      </c>
      <c r="AT2923" s="7">
        <v>-1</v>
      </c>
      <c r="AU2923" s="7">
        <v>-1</v>
      </c>
      <c r="AV2923" s="4"/>
      <c r="AW2923" s="8"/>
      <c r="AX2923" s="4">
        <v>2</v>
      </c>
      <c r="AY2923" s="8">
        <v>265.66</v>
      </c>
      <c r="AZ2923" s="7">
        <v>-1</v>
      </c>
      <c r="BA2923" s="7">
        <v>-1</v>
      </c>
      <c r="BB2923" s="7"/>
      <c r="BC2923" s="4"/>
      <c r="BD2923" s="8"/>
      <c r="BE2923" s="4">
        <v>2</v>
      </c>
      <c r="BF2923" s="8">
        <v>265.66</v>
      </c>
      <c r="BG2923" s="7">
        <v>-1</v>
      </c>
      <c r="BH2923" s="7">
        <v>-1</v>
      </c>
      <c r="BI2923" s="7"/>
      <c r="BJ2923" s="4">
        <v>221</v>
      </c>
      <c r="BK2923" s="8">
        <v>28471.87</v>
      </c>
      <c r="BL2923" s="2" t="s">
        <v>10759</v>
      </c>
      <c r="BM2923" s="7"/>
      <c r="BN2923" s="7"/>
      <c r="BO2923" s="4"/>
      <c r="BP2923" s="8"/>
      <c r="BQ2923" s="4">
        <v>2</v>
      </c>
      <c r="BR2923" s="8">
        <v>265.66</v>
      </c>
      <c r="BS2923" s="7">
        <v>-1</v>
      </c>
      <c r="BT2923" s="7">
        <v>-1</v>
      </c>
      <c r="BU2923" s="2" t="s">
        <v>109</v>
      </c>
      <c r="BV2923" s="2" t="s">
        <v>97</v>
      </c>
      <c r="BW2923" s="2" t="s">
        <v>3424</v>
      </c>
      <c r="BX2923" s="2" t="s">
        <v>10760</v>
      </c>
      <c r="BY2923" s="2" t="s">
        <v>112</v>
      </c>
      <c r="BZ2923" s="2" t="s">
        <v>100</v>
      </c>
    </row>
    <row r="2924">
      <c r="A2924" s="2" t="s">
        <v>10761</v>
      </c>
      <c r="B2924" s="2" t="s">
        <v>10578</v>
      </c>
      <c r="C2924" s="2" t="s">
        <v>5938</v>
      </c>
      <c r="D2924" s="2" t="s">
        <v>10579</v>
      </c>
      <c r="E2924" s="2" t="s">
        <v>10580</v>
      </c>
      <c r="F2924" s="2" t="s">
        <v>10762</v>
      </c>
      <c r="G2924" s="2" t="s">
        <v>10762</v>
      </c>
      <c r="H2924" s="2" t="s">
        <v>10762</v>
      </c>
      <c r="I2924" s="2" t="s">
        <v>10763</v>
      </c>
      <c r="J2924" s="2" t="s">
        <v>6103</v>
      </c>
      <c r="K2924" s="2" t="s">
        <v>158</v>
      </c>
      <c r="L2924" s="3">
        <v>53</v>
      </c>
      <c r="M2924" s="3">
        <v>55.65</v>
      </c>
      <c r="N2924" s="3">
        <v>109.99</v>
      </c>
      <c r="O2924" s="2" t="s">
        <v>97</v>
      </c>
      <c r="P2924" s="2" t="s">
        <v>1166</v>
      </c>
      <c r="Q2924" s="2" t="s">
        <v>99</v>
      </c>
      <c r="R2924" s="2" t="s">
        <v>100</v>
      </c>
      <c r="S2924" s="2" t="s">
        <v>100</v>
      </c>
      <c r="T2924" s="2" t="s">
        <v>100</v>
      </c>
      <c r="U2924" s="2" t="s">
        <v>3531</v>
      </c>
      <c r="V2924" s="2" t="s">
        <v>1752</v>
      </c>
      <c r="W2924" s="2" t="s">
        <v>104</v>
      </c>
      <c r="X2924" s="2" t="s">
        <v>1190</v>
      </c>
      <c r="Y2924" s="2" t="s">
        <v>10342</v>
      </c>
      <c r="Z2924" s="4">
        <v>72</v>
      </c>
      <c r="AA2924" s="4">
        <f>=ROUNDDOWN(72,0)</f>
      </c>
      <c r="AB2924" s="5">
        <v>1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/>
      <c r="AW2924" s="8"/>
      <c r="AX2924" s="4"/>
      <c r="AY2924" s="8"/>
      <c r="AZ2924" s="7"/>
      <c r="BA2924" s="7"/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/>
      <c r="BJ2924" s="4">
        <v>8</v>
      </c>
      <c r="BK2924" s="8">
        <v>451.88</v>
      </c>
      <c r="BL2924" s="2" t="s">
        <v>3510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147</v>
      </c>
      <c r="BV2924" s="2" t="s">
        <v>97</v>
      </c>
      <c r="BW2924" s="2" t="s">
        <v>100</v>
      </c>
      <c r="BX2924" s="2" t="s">
        <v>100</v>
      </c>
      <c r="BY2924" s="2" t="s">
        <v>112</v>
      </c>
      <c r="BZ2924" s="2" t="s">
        <v>100</v>
      </c>
    </row>
    <row r="2925">
      <c r="A2925" s="2" t="s">
        <v>10764</v>
      </c>
      <c r="B2925" s="2" t="s">
        <v>10578</v>
      </c>
      <c r="C2925" s="2" t="s">
        <v>5938</v>
      </c>
      <c r="D2925" s="2" t="s">
        <v>10579</v>
      </c>
      <c r="E2925" s="2" t="s">
        <v>10580</v>
      </c>
      <c r="F2925" s="2" t="s">
        <v>10762</v>
      </c>
      <c r="G2925" s="2" t="s">
        <v>10762</v>
      </c>
      <c r="H2925" s="2" t="s">
        <v>10762</v>
      </c>
      <c r="I2925" s="2" t="s">
        <v>10763</v>
      </c>
      <c r="J2925" s="2" t="s">
        <v>6103</v>
      </c>
      <c r="K2925" s="2" t="s">
        <v>181</v>
      </c>
      <c r="L2925" s="3">
        <v>53</v>
      </c>
      <c r="M2925" s="3">
        <v>55.65</v>
      </c>
      <c r="N2925" s="3">
        <v>109.99</v>
      </c>
      <c r="O2925" s="2" t="s">
        <v>97</v>
      </c>
      <c r="P2925" s="2" t="s">
        <v>1166</v>
      </c>
      <c r="Q2925" s="2" t="s">
        <v>99</v>
      </c>
      <c r="R2925" s="2" t="s">
        <v>100</v>
      </c>
      <c r="S2925" s="2" t="s">
        <v>100</v>
      </c>
      <c r="T2925" s="2" t="s">
        <v>100</v>
      </c>
      <c r="U2925" s="2" t="s">
        <v>3531</v>
      </c>
      <c r="V2925" s="2" t="s">
        <v>1752</v>
      </c>
      <c r="W2925" s="2" t="s">
        <v>104</v>
      </c>
      <c r="X2925" s="2" t="s">
        <v>1190</v>
      </c>
      <c r="Y2925" s="2" t="s">
        <v>10342</v>
      </c>
      <c r="Z2925" s="4">
        <v>42</v>
      </c>
      <c r="AA2925" s="4">
        <f>=ROUNDDOWN(42,0)</f>
      </c>
      <c r="AB2925" s="5">
        <v>1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/>
      <c r="AW2925" s="8"/>
      <c r="AX2925" s="4"/>
      <c r="AY2925" s="8"/>
      <c r="AZ2925" s="7"/>
      <c r="BA2925" s="7"/>
      <c r="BB2925" s="7"/>
      <c r="BC2925" s="4" t="s">
        <v>100</v>
      </c>
      <c r="BD2925" s="8" t="s">
        <v>100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/>
      <c r="BJ2925" s="4">
        <v>7</v>
      </c>
      <c r="BK2925" s="8">
        <v>396.23</v>
      </c>
      <c r="BL2925" s="2" t="s">
        <v>6642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147</v>
      </c>
      <c r="BV2925" s="2" t="s">
        <v>97</v>
      </c>
      <c r="BW2925" s="2" t="s">
        <v>100</v>
      </c>
      <c r="BX2925" s="2" t="s">
        <v>100</v>
      </c>
      <c r="BY2925" s="2" t="s">
        <v>112</v>
      </c>
      <c r="BZ2925" s="2" t="s">
        <v>100</v>
      </c>
    </row>
    <row r="2926">
      <c r="A2926" s="2" t="s">
        <v>10765</v>
      </c>
      <c r="B2926" s="2" t="s">
        <v>10578</v>
      </c>
      <c r="C2926" s="2" t="s">
        <v>5938</v>
      </c>
      <c r="D2926" s="2" t="s">
        <v>10579</v>
      </c>
      <c r="E2926" s="2" t="s">
        <v>10580</v>
      </c>
      <c r="F2926" s="2" t="s">
        <v>10762</v>
      </c>
      <c r="G2926" s="2" t="s">
        <v>10762</v>
      </c>
      <c r="H2926" s="2" t="s">
        <v>10762</v>
      </c>
      <c r="I2926" s="2" t="s">
        <v>10763</v>
      </c>
      <c r="J2926" s="2" t="s">
        <v>6103</v>
      </c>
      <c r="K2926" s="2" t="s">
        <v>333</v>
      </c>
      <c r="L2926" s="3">
        <v>53</v>
      </c>
      <c r="M2926" s="3">
        <v>55.65</v>
      </c>
      <c r="N2926" s="3">
        <v>109.99</v>
      </c>
      <c r="O2926" s="2" t="s">
        <v>97</v>
      </c>
      <c r="P2926" s="2" t="s">
        <v>1166</v>
      </c>
      <c r="Q2926" s="2" t="s">
        <v>99</v>
      </c>
      <c r="R2926" s="2" t="s">
        <v>100</v>
      </c>
      <c r="S2926" s="2" t="s">
        <v>100</v>
      </c>
      <c r="T2926" s="2" t="s">
        <v>100</v>
      </c>
      <c r="U2926" s="2" t="s">
        <v>3531</v>
      </c>
      <c r="V2926" s="2" t="s">
        <v>1752</v>
      </c>
      <c r="W2926" s="2" t="s">
        <v>104</v>
      </c>
      <c r="X2926" s="2" t="s">
        <v>1190</v>
      </c>
      <c r="Y2926" s="2" t="s">
        <v>10342</v>
      </c>
      <c r="Z2926" s="4">
        <v>116</v>
      </c>
      <c r="AA2926" s="4">
        <f>=ROUNDDOWN(116,0)</f>
      </c>
      <c r="AB2926" s="5">
        <v>1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/>
      <c r="AW2926" s="8"/>
      <c r="AX2926" s="4"/>
      <c r="AY2926" s="8"/>
      <c r="AZ2926" s="7"/>
      <c r="BA2926" s="7"/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/>
      <c r="BJ2926" s="4">
        <v>4</v>
      </c>
      <c r="BK2926" s="8">
        <v>259.7</v>
      </c>
      <c r="BL2926" s="2" t="s">
        <v>1609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147</v>
      </c>
      <c r="BV2926" s="2" t="s">
        <v>97</v>
      </c>
      <c r="BW2926" s="2" t="s">
        <v>100</v>
      </c>
      <c r="BX2926" s="2" t="s">
        <v>100</v>
      </c>
      <c r="BY2926" s="2" t="s">
        <v>112</v>
      </c>
      <c r="BZ2926" s="2" t="s">
        <v>100</v>
      </c>
    </row>
    <row r="2927">
      <c r="A2927" s="2" t="s">
        <v>10766</v>
      </c>
      <c r="B2927" s="2" t="s">
        <v>10578</v>
      </c>
      <c r="C2927" s="2" t="s">
        <v>5938</v>
      </c>
      <c r="D2927" s="2" t="s">
        <v>10579</v>
      </c>
      <c r="E2927" s="2" t="s">
        <v>10580</v>
      </c>
      <c r="F2927" s="2" t="s">
        <v>10767</v>
      </c>
      <c r="G2927" s="2" t="s">
        <v>10767</v>
      </c>
      <c r="H2927" s="2" t="s">
        <v>10767</v>
      </c>
      <c r="I2927" s="2" t="s">
        <v>10768</v>
      </c>
      <c r="J2927" s="2" t="s">
        <v>6103</v>
      </c>
      <c r="K2927" s="2" t="s">
        <v>158</v>
      </c>
      <c r="L2927" s="3">
        <v>52</v>
      </c>
      <c r="M2927" s="3">
        <v>54.6</v>
      </c>
      <c r="N2927" s="3">
        <v>109.99</v>
      </c>
      <c r="O2927" s="2" t="s">
        <v>97</v>
      </c>
      <c r="P2927" s="2" t="s">
        <v>1166</v>
      </c>
      <c r="Q2927" s="2" t="s">
        <v>99</v>
      </c>
      <c r="R2927" s="2" t="s">
        <v>100</v>
      </c>
      <c r="S2927" s="2" t="s">
        <v>100</v>
      </c>
      <c r="T2927" s="2" t="s">
        <v>100</v>
      </c>
      <c r="U2927" s="2" t="s">
        <v>3531</v>
      </c>
      <c r="V2927" s="2" t="s">
        <v>1752</v>
      </c>
      <c r="W2927" s="2" t="s">
        <v>1190</v>
      </c>
      <c r="X2927" s="2" t="s">
        <v>104</v>
      </c>
      <c r="Y2927" s="2" t="s">
        <v>10342</v>
      </c>
      <c r="Z2927" s="4">
        <v>90</v>
      </c>
      <c r="AA2927" s="4">
        <f>=ROUNDDOWN(45,0)</f>
      </c>
      <c r="AB2927" s="5">
        <v>2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/>
      <c r="AW2927" s="8"/>
      <c r="AX2927" s="4"/>
      <c r="AY2927" s="8"/>
      <c r="AZ2927" s="7"/>
      <c r="BA2927" s="7"/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/>
      <c r="BJ2927" s="4">
        <v>10</v>
      </c>
      <c r="BK2927" s="8">
        <v>576.23</v>
      </c>
      <c r="BL2927" s="2" t="s">
        <v>10769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147</v>
      </c>
      <c r="BV2927" s="2" t="s">
        <v>97</v>
      </c>
      <c r="BW2927" s="2" t="s">
        <v>100</v>
      </c>
      <c r="BX2927" s="2" t="s">
        <v>100</v>
      </c>
      <c r="BY2927" s="2" t="s">
        <v>112</v>
      </c>
      <c r="BZ2927" s="2" t="s">
        <v>100</v>
      </c>
    </row>
    <row r="2928">
      <c r="A2928" s="2" t="s">
        <v>10770</v>
      </c>
      <c r="B2928" s="2" t="s">
        <v>10578</v>
      </c>
      <c r="C2928" s="2" t="s">
        <v>5938</v>
      </c>
      <c r="D2928" s="2" t="s">
        <v>10579</v>
      </c>
      <c r="E2928" s="2" t="s">
        <v>10580</v>
      </c>
      <c r="F2928" s="2" t="s">
        <v>10767</v>
      </c>
      <c r="G2928" s="2" t="s">
        <v>10767</v>
      </c>
      <c r="H2928" s="2" t="s">
        <v>10767</v>
      </c>
      <c r="I2928" s="2" t="s">
        <v>10771</v>
      </c>
      <c r="J2928" s="2" t="s">
        <v>6103</v>
      </c>
      <c r="K2928" s="2" t="s">
        <v>323</v>
      </c>
      <c r="L2928" s="3">
        <v>52</v>
      </c>
      <c r="M2928" s="3">
        <v>54.6</v>
      </c>
      <c r="N2928" s="3">
        <v>109.99</v>
      </c>
      <c r="O2928" s="2" t="s">
        <v>97</v>
      </c>
      <c r="P2928" s="2" t="s">
        <v>1166</v>
      </c>
      <c r="Q2928" s="2" t="s">
        <v>99</v>
      </c>
      <c r="R2928" s="2" t="s">
        <v>100</v>
      </c>
      <c r="S2928" s="2" t="s">
        <v>100</v>
      </c>
      <c r="T2928" s="2" t="s">
        <v>100</v>
      </c>
      <c r="U2928" s="2" t="s">
        <v>3531</v>
      </c>
      <c r="V2928" s="2" t="s">
        <v>1752</v>
      </c>
      <c r="W2928" s="2" t="s">
        <v>1190</v>
      </c>
      <c r="X2928" s="2" t="s">
        <v>104</v>
      </c>
      <c r="Y2928" s="2" t="s">
        <v>10342</v>
      </c>
      <c r="Z2928" s="4">
        <v>92</v>
      </c>
      <c r="AA2928" s="4">
        <f>=ROUNDDOWN(153.333333333333,0)</f>
      </c>
      <c r="AB2928" s="5">
        <v>0.6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/>
      <c r="AW2928" s="8"/>
      <c r="AX2928" s="4"/>
      <c r="AY2928" s="8"/>
      <c r="AZ2928" s="7"/>
      <c r="BA2928" s="7"/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/>
      <c r="BJ2928" s="4">
        <v>8</v>
      </c>
      <c r="BK2928" s="8">
        <v>420.42</v>
      </c>
      <c r="BL2928" s="2" t="s">
        <v>5499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147</v>
      </c>
      <c r="BV2928" s="2" t="s">
        <v>97</v>
      </c>
      <c r="BW2928" s="2" t="s">
        <v>100</v>
      </c>
      <c r="BX2928" s="2" t="s">
        <v>100</v>
      </c>
      <c r="BY2928" s="2" t="s">
        <v>112</v>
      </c>
      <c r="BZ2928" s="2" t="s">
        <v>100</v>
      </c>
    </row>
    <row r="2929">
      <c r="A2929" s="2" t="s">
        <v>10772</v>
      </c>
      <c r="B2929" s="2" t="s">
        <v>10578</v>
      </c>
      <c r="C2929" s="2" t="s">
        <v>5938</v>
      </c>
      <c r="D2929" s="2" t="s">
        <v>10579</v>
      </c>
      <c r="E2929" s="2" t="s">
        <v>10580</v>
      </c>
      <c r="F2929" s="2" t="s">
        <v>10767</v>
      </c>
      <c r="G2929" s="2" t="s">
        <v>10767</v>
      </c>
      <c r="H2929" s="2" t="s">
        <v>10767</v>
      </c>
      <c r="I2929" s="2" t="s">
        <v>10773</v>
      </c>
      <c r="J2929" s="2" t="s">
        <v>6103</v>
      </c>
      <c r="K2929" s="2" t="s">
        <v>181</v>
      </c>
      <c r="L2929" s="3">
        <v>52</v>
      </c>
      <c r="M2929" s="3">
        <v>54.6</v>
      </c>
      <c r="N2929" s="3">
        <v>109.99</v>
      </c>
      <c r="O2929" s="2" t="s">
        <v>97</v>
      </c>
      <c r="P2929" s="2" t="s">
        <v>1166</v>
      </c>
      <c r="Q2929" s="2" t="s">
        <v>99</v>
      </c>
      <c r="R2929" s="2" t="s">
        <v>100</v>
      </c>
      <c r="S2929" s="2" t="s">
        <v>100</v>
      </c>
      <c r="T2929" s="2" t="s">
        <v>100</v>
      </c>
      <c r="U2929" s="2" t="s">
        <v>3531</v>
      </c>
      <c r="V2929" s="2" t="s">
        <v>1752</v>
      </c>
      <c r="W2929" s="2" t="s">
        <v>1190</v>
      </c>
      <c r="X2929" s="2" t="s">
        <v>104</v>
      </c>
      <c r="Y2929" s="2" t="s">
        <v>10342</v>
      </c>
      <c r="Z2929" s="4">
        <v>28</v>
      </c>
      <c r="AA2929" s="4">
        <f>=ROUNDDOWN(14,0)</f>
      </c>
      <c r="AB2929" s="5">
        <v>2</v>
      </c>
      <c r="AC2929" s="2" t="s">
        <v>100</v>
      </c>
      <c r="AD2929" s="4"/>
      <c r="AE2929" s="4"/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/>
      <c r="AW2929" s="8"/>
      <c r="AX2929" s="4"/>
      <c r="AY2929" s="8"/>
      <c r="AZ2929" s="7"/>
      <c r="BA2929" s="7"/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/>
      <c r="BJ2929" s="4">
        <v>19</v>
      </c>
      <c r="BK2929" s="8">
        <v>1115.29</v>
      </c>
      <c r="BL2929" s="2" t="s">
        <v>3311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147</v>
      </c>
      <c r="BV2929" s="2" t="s">
        <v>97</v>
      </c>
      <c r="BW2929" s="2" t="s">
        <v>100</v>
      </c>
      <c r="BX2929" s="2" t="s">
        <v>100</v>
      </c>
      <c r="BY2929" s="2" t="s">
        <v>112</v>
      </c>
      <c r="BZ2929" s="2" t="s">
        <v>100</v>
      </c>
    </row>
    <row r="2930">
      <c r="A2930" s="2" t="s">
        <v>10774</v>
      </c>
      <c r="B2930" s="2" t="s">
        <v>10578</v>
      </c>
      <c r="C2930" s="2" t="s">
        <v>5938</v>
      </c>
      <c r="D2930" s="2" t="s">
        <v>10775</v>
      </c>
      <c r="E2930" s="2" t="s">
        <v>10776</v>
      </c>
      <c r="F2930" s="2" t="s">
        <v>4791</v>
      </c>
      <c r="G2930" s="2" t="s">
        <v>4791</v>
      </c>
      <c r="H2930" s="2" t="s">
        <v>4791</v>
      </c>
      <c r="I2930" s="2" t="s">
        <v>10777</v>
      </c>
      <c r="J2930" s="2" t="s">
        <v>10778</v>
      </c>
      <c r="K2930" s="2" t="s">
        <v>10779</v>
      </c>
      <c r="L2930" s="3">
        <v>47.52</v>
      </c>
      <c r="M2930" s="3">
        <v>49.9</v>
      </c>
      <c r="N2930" s="3">
        <v>109.99</v>
      </c>
      <c r="O2930" s="2" t="s">
        <v>97</v>
      </c>
      <c r="P2930" s="2" t="s">
        <v>182</v>
      </c>
      <c r="Q2930" s="2" t="s">
        <v>99</v>
      </c>
      <c r="R2930" s="2" t="s">
        <v>100</v>
      </c>
      <c r="S2930" s="2" t="s">
        <v>100</v>
      </c>
      <c r="T2930" s="2" t="s">
        <v>100</v>
      </c>
      <c r="U2930" s="2" t="s">
        <v>3531</v>
      </c>
      <c r="V2930" s="2" t="s">
        <v>1752</v>
      </c>
      <c r="W2930" s="2" t="s">
        <v>104</v>
      </c>
      <c r="X2930" s="2" t="s">
        <v>1288</v>
      </c>
      <c r="Y2930" s="2" t="s">
        <v>6163</v>
      </c>
      <c r="Z2930" s="4">
        <v>52</v>
      </c>
      <c r="AA2930" s="4">
        <f>=ROUNDDOWN(10.4,0)</f>
      </c>
      <c r="AB2930" s="5">
        <v>5</v>
      </c>
      <c r="AC2930" s="2" t="s">
        <v>2120</v>
      </c>
      <c r="AD2930" s="4">
        <v>200</v>
      </c>
      <c r="AE2930" s="4">
        <v>200</v>
      </c>
      <c r="AF2930" s="6">
        <v>63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>
        <v>0</v>
      </c>
      <c r="AP2930" s="4">
        <v>4</v>
      </c>
      <c r="AQ2930" s="8">
        <v>199.6</v>
      </c>
      <c r="AR2930" s="4"/>
      <c r="AS2930" s="8"/>
      <c r="AT2930" s="7"/>
      <c r="AU2930" s="7"/>
      <c r="AV2930" s="4">
        <v>4</v>
      </c>
      <c r="AW2930" s="8">
        <v>199.6</v>
      </c>
      <c r="AX2930" s="4"/>
      <c r="AY2930" s="8"/>
      <c r="AZ2930" s="7"/>
      <c r="BA2930" s="7"/>
      <c r="BB2930" s="7">
        <v>1</v>
      </c>
      <c r="BC2930" s="4">
        <v>8</v>
      </c>
      <c r="BD2930" s="8">
        <v>399.2</v>
      </c>
      <c r="BE2930" s="4">
        <v>21</v>
      </c>
      <c r="BF2930" s="8">
        <v>1108.84</v>
      </c>
      <c r="BG2930" s="7">
        <v>-0.619</v>
      </c>
      <c r="BH2930" s="7">
        <v>-0.64</v>
      </c>
      <c r="BI2930" s="7">
        <v>0.5</v>
      </c>
      <c r="BJ2930" s="4">
        <v>112</v>
      </c>
      <c r="BK2930" s="8">
        <v>6097.83</v>
      </c>
      <c r="BL2930" s="2" t="s">
        <v>10780</v>
      </c>
      <c r="BM2930" s="7">
        <v>0.0357</v>
      </c>
      <c r="BN2930" s="7">
        <v>0.0327</v>
      </c>
      <c r="BO2930" s="4">
        <v>4</v>
      </c>
      <c r="BP2930" s="8">
        <v>199.6</v>
      </c>
      <c r="BQ2930" s="4"/>
      <c r="BR2930" s="8"/>
      <c r="BS2930" s="7"/>
      <c r="BT2930" s="7"/>
      <c r="BU2930" s="2" t="s">
        <v>109</v>
      </c>
      <c r="BV2930" s="2" t="s">
        <v>97</v>
      </c>
      <c r="BW2930" s="2" t="s">
        <v>10633</v>
      </c>
      <c r="BX2930" s="2" t="s">
        <v>5759</v>
      </c>
      <c r="BY2930" s="2" t="s">
        <v>112</v>
      </c>
      <c r="BZ2930" s="2" t="s">
        <v>100</v>
      </c>
    </row>
    <row r="2931">
      <c r="A2931" s="2" t="s">
        <v>10781</v>
      </c>
      <c r="B2931" s="2" t="s">
        <v>10578</v>
      </c>
      <c r="C2931" s="2" t="s">
        <v>5938</v>
      </c>
      <c r="D2931" s="2" t="s">
        <v>10775</v>
      </c>
      <c r="E2931" s="2" t="s">
        <v>10776</v>
      </c>
      <c r="F2931" s="2" t="s">
        <v>4791</v>
      </c>
      <c r="G2931" s="2" t="s">
        <v>4791</v>
      </c>
      <c r="H2931" s="2" t="s">
        <v>4791</v>
      </c>
      <c r="I2931" s="2" t="s">
        <v>10777</v>
      </c>
      <c r="J2931" s="2" t="s">
        <v>10782</v>
      </c>
      <c r="K2931" s="2" t="s">
        <v>10783</v>
      </c>
      <c r="L2931" s="3">
        <v>72</v>
      </c>
      <c r="M2931" s="3">
        <v>75.6</v>
      </c>
      <c r="N2931" s="3">
        <v>149.99</v>
      </c>
      <c r="O2931" s="2" t="s">
        <v>97</v>
      </c>
      <c r="P2931" s="2" t="s">
        <v>1166</v>
      </c>
      <c r="Q2931" s="2" t="s">
        <v>99</v>
      </c>
      <c r="R2931" s="2" t="s">
        <v>100</v>
      </c>
      <c r="S2931" s="2" t="s">
        <v>100</v>
      </c>
      <c r="T2931" s="2" t="s">
        <v>100</v>
      </c>
      <c r="U2931" s="2" t="s">
        <v>3531</v>
      </c>
      <c r="V2931" s="2" t="s">
        <v>1752</v>
      </c>
      <c r="W2931" s="2" t="s">
        <v>104</v>
      </c>
      <c r="X2931" s="2" t="s">
        <v>1288</v>
      </c>
      <c r="Y2931" s="2" t="s">
        <v>1531</v>
      </c>
      <c r="Z2931" s="4">
        <v>19</v>
      </c>
      <c r="AA2931" s="4">
        <f>=ROUNDDOWN(2.375,0)</f>
      </c>
      <c r="AB2931" s="5">
        <v>8</v>
      </c>
      <c r="AC2931" s="2" t="s">
        <v>1328</v>
      </c>
      <c r="AD2931" s="4">
        <v>100</v>
      </c>
      <c r="AE2931" s="4">
        <v>250</v>
      </c>
      <c r="AF2931" s="6">
        <v>63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>
        <v>2</v>
      </c>
      <c r="AW2931" s="8">
        <v>99.8</v>
      </c>
      <c r="AX2931" s="4">
        <v>13</v>
      </c>
      <c r="AY2931" s="8">
        <v>687.48</v>
      </c>
      <c r="AZ2931" s="7">
        <v>-0.8462</v>
      </c>
      <c r="BA2931" s="7">
        <v>-0.8548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>
        <v>0.25</v>
      </c>
      <c r="BJ2931" s="4">
        <v>81</v>
      </c>
      <c r="BK2931" s="8">
        <v>6425.64</v>
      </c>
      <c r="BL2931" s="2" t="s">
        <v>10784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97</v>
      </c>
      <c r="BW2931" s="2" t="s">
        <v>9615</v>
      </c>
      <c r="BX2931" s="2" t="s">
        <v>100</v>
      </c>
      <c r="BY2931" s="2" t="s">
        <v>112</v>
      </c>
      <c r="BZ2931" s="2" t="s">
        <v>100</v>
      </c>
    </row>
    <row r="2932">
      <c r="A2932" s="2" t="s">
        <v>10785</v>
      </c>
      <c r="B2932" s="2" t="s">
        <v>10578</v>
      </c>
      <c r="C2932" s="2" t="s">
        <v>5938</v>
      </c>
      <c r="D2932" s="2" t="s">
        <v>10775</v>
      </c>
      <c r="E2932" s="2" t="s">
        <v>10776</v>
      </c>
      <c r="F2932" s="2" t="s">
        <v>4791</v>
      </c>
      <c r="G2932" s="2" t="s">
        <v>4791</v>
      </c>
      <c r="H2932" s="2" t="s">
        <v>4791</v>
      </c>
      <c r="I2932" s="2" t="s">
        <v>10777</v>
      </c>
      <c r="J2932" s="2" t="s">
        <v>10778</v>
      </c>
      <c r="K2932" s="2" t="s">
        <v>10783</v>
      </c>
      <c r="L2932" s="3">
        <v>47.52</v>
      </c>
      <c r="M2932" s="3">
        <v>49.9</v>
      </c>
      <c r="N2932" s="3">
        <v>109.99</v>
      </c>
      <c r="O2932" s="2" t="s">
        <v>97</v>
      </c>
      <c r="P2932" s="2" t="s">
        <v>124</v>
      </c>
      <c r="Q2932" s="2" t="s">
        <v>99</v>
      </c>
      <c r="R2932" s="2" t="s">
        <v>100</v>
      </c>
      <c r="S2932" s="2" t="s">
        <v>10786</v>
      </c>
      <c r="T2932" s="2" t="s">
        <v>100</v>
      </c>
      <c r="U2932" s="2" t="s">
        <v>3531</v>
      </c>
      <c r="V2932" s="2" t="s">
        <v>601</v>
      </c>
      <c r="W2932" s="2" t="s">
        <v>104</v>
      </c>
      <c r="X2932" s="2" t="s">
        <v>1288</v>
      </c>
      <c r="Y2932" s="2" t="s">
        <v>9684</v>
      </c>
      <c r="Z2932" s="4">
        <v>1320</v>
      </c>
      <c r="AA2932" s="4">
        <f>=ROUNDDOWN(22.7586206896552,0)</f>
      </c>
      <c r="AB2932" s="5">
        <v>58</v>
      </c>
      <c r="AC2932" s="2" t="s">
        <v>1193</v>
      </c>
      <c r="AD2932" s="4">
        <v>500</v>
      </c>
      <c r="AE2932" s="4">
        <v>900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>
        <v>0</v>
      </c>
      <c r="AP2932" s="4">
        <v>2</v>
      </c>
      <c r="AQ2932" s="8">
        <v>99.8</v>
      </c>
      <c r="AR2932" s="4">
        <v>13</v>
      </c>
      <c r="AS2932" s="8">
        <v>687.48</v>
      </c>
      <c r="AT2932" s="7">
        <v>-0.8462</v>
      </c>
      <c r="AU2932" s="7">
        <v>-0.8548</v>
      </c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>
        <v>1</v>
      </c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 t="s">
        <v>100</v>
      </c>
      <c r="BJ2932" s="4">
        <v>1194</v>
      </c>
      <c r="BK2932" s="8">
        <v>61794.38</v>
      </c>
      <c r="BL2932" s="2" t="s">
        <v>10787</v>
      </c>
      <c r="BM2932" s="7">
        <v>0.0017</v>
      </c>
      <c r="BN2932" s="7">
        <v>0.0016</v>
      </c>
      <c r="BO2932" s="4">
        <v>2</v>
      </c>
      <c r="BP2932" s="8">
        <v>99.8</v>
      </c>
      <c r="BQ2932" s="4">
        <v>13</v>
      </c>
      <c r="BR2932" s="8">
        <v>687.48</v>
      </c>
      <c r="BS2932" s="7">
        <v>-0.8462</v>
      </c>
      <c r="BT2932" s="7">
        <v>-0.8548</v>
      </c>
      <c r="BU2932" s="2" t="s">
        <v>109</v>
      </c>
      <c r="BV2932" s="2" t="s">
        <v>97</v>
      </c>
      <c r="BW2932" s="2" t="s">
        <v>6267</v>
      </c>
      <c r="BX2932" s="2" t="s">
        <v>10788</v>
      </c>
      <c r="BY2932" s="2" t="s">
        <v>112</v>
      </c>
      <c r="BZ2932" s="2" t="s">
        <v>100</v>
      </c>
    </row>
    <row r="2933">
      <c r="A2933" s="2" t="s">
        <v>10789</v>
      </c>
      <c r="B2933" s="2" t="s">
        <v>10578</v>
      </c>
      <c r="C2933" s="2" t="s">
        <v>5938</v>
      </c>
      <c r="D2933" s="2" t="s">
        <v>10775</v>
      </c>
      <c r="E2933" s="2" t="s">
        <v>10776</v>
      </c>
      <c r="F2933" s="2" t="s">
        <v>4791</v>
      </c>
      <c r="G2933" s="2" t="s">
        <v>4791</v>
      </c>
      <c r="H2933" s="2" t="s">
        <v>4791</v>
      </c>
      <c r="I2933" s="2" t="s">
        <v>10777</v>
      </c>
      <c r="J2933" s="2" t="s">
        <v>10778</v>
      </c>
      <c r="K2933" s="2" t="s">
        <v>10790</v>
      </c>
      <c r="L2933" s="3">
        <v>47.52</v>
      </c>
      <c r="M2933" s="3">
        <v>49.9</v>
      </c>
      <c r="N2933" s="3">
        <v>109.99</v>
      </c>
      <c r="O2933" s="2" t="s">
        <v>97</v>
      </c>
      <c r="P2933" s="2" t="s">
        <v>143</v>
      </c>
      <c r="Q2933" s="2" t="s">
        <v>99</v>
      </c>
      <c r="R2933" s="2" t="s">
        <v>100</v>
      </c>
      <c r="S2933" s="2" t="s">
        <v>100</v>
      </c>
      <c r="T2933" s="2" t="s">
        <v>100</v>
      </c>
      <c r="U2933" s="2" t="s">
        <v>3531</v>
      </c>
      <c r="V2933" s="2" t="s">
        <v>1752</v>
      </c>
      <c r="W2933" s="2" t="s">
        <v>104</v>
      </c>
      <c r="X2933" s="2" t="s">
        <v>1288</v>
      </c>
      <c r="Y2933" s="2" t="s">
        <v>10791</v>
      </c>
      <c r="Z2933" s="4">
        <v>138</v>
      </c>
      <c r="AA2933" s="4">
        <f>=ROUNDDOWN(11.5,0)</f>
      </c>
      <c r="AB2933" s="5">
        <v>12</v>
      </c>
      <c r="AC2933" s="2" t="s">
        <v>3872</v>
      </c>
      <c r="AD2933" s="4">
        <v>170</v>
      </c>
      <c r="AE2933" s="4">
        <v>370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>
        <v>0</v>
      </c>
      <c r="AP2933" s="4">
        <v>2</v>
      </c>
      <c r="AQ2933" s="8">
        <v>99.8</v>
      </c>
      <c r="AR2933" s="4">
        <v>8</v>
      </c>
      <c r="AS2933" s="8">
        <v>421.36</v>
      </c>
      <c r="AT2933" s="7">
        <v>-0.75</v>
      </c>
      <c r="AU2933" s="7">
        <v>-0.7631</v>
      </c>
      <c r="AV2933" s="4">
        <v>2</v>
      </c>
      <c r="AW2933" s="8">
        <v>99.8</v>
      </c>
      <c r="AX2933" s="4">
        <v>8</v>
      </c>
      <c r="AY2933" s="8">
        <v>421.36</v>
      </c>
      <c r="AZ2933" s="7">
        <v>-0.75</v>
      </c>
      <c r="BA2933" s="7">
        <v>-0.7631</v>
      </c>
      <c r="BB2933" s="7">
        <v>1</v>
      </c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>
        <v>0.25</v>
      </c>
      <c r="BJ2933" s="4">
        <v>303</v>
      </c>
      <c r="BK2933" s="8">
        <v>16410.1</v>
      </c>
      <c r="BL2933" s="2" t="s">
        <v>10792</v>
      </c>
      <c r="BM2933" s="7">
        <v>0.0066</v>
      </c>
      <c r="BN2933" s="7">
        <v>0.0061</v>
      </c>
      <c r="BO2933" s="4">
        <v>2</v>
      </c>
      <c r="BP2933" s="8">
        <v>99.8</v>
      </c>
      <c r="BQ2933" s="4">
        <v>8</v>
      </c>
      <c r="BR2933" s="8">
        <v>421.36</v>
      </c>
      <c r="BS2933" s="7">
        <v>-0.75</v>
      </c>
      <c r="BT2933" s="7">
        <v>-0.7631</v>
      </c>
      <c r="BU2933" s="2" t="s">
        <v>109</v>
      </c>
      <c r="BV2933" s="2" t="s">
        <v>97</v>
      </c>
      <c r="BW2933" s="2" t="s">
        <v>8043</v>
      </c>
      <c r="BX2933" s="2" t="s">
        <v>10793</v>
      </c>
      <c r="BY2933" s="2" t="s">
        <v>112</v>
      </c>
      <c r="BZ2933" s="2" t="s">
        <v>100</v>
      </c>
    </row>
    <row r="2934">
      <c r="A2934" s="2" t="s">
        <v>10794</v>
      </c>
      <c r="B2934" s="2" t="s">
        <v>10578</v>
      </c>
      <c r="C2934" s="2" t="s">
        <v>5938</v>
      </c>
      <c r="D2934" s="2" t="s">
        <v>10775</v>
      </c>
      <c r="E2934" s="2" t="s">
        <v>10776</v>
      </c>
      <c r="F2934" s="2" t="s">
        <v>4791</v>
      </c>
      <c r="G2934" s="2" t="s">
        <v>4791</v>
      </c>
      <c r="H2934" s="2" t="s">
        <v>4791</v>
      </c>
      <c r="I2934" s="2" t="s">
        <v>10777</v>
      </c>
      <c r="J2934" s="2" t="s">
        <v>10778</v>
      </c>
      <c r="K2934" s="2" t="s">
        <v>10795</v>
      </c>
      <c r="L2934" s="3">
        <v>47.52</v>
      </c>
      <c r="M2934" s="3">
        <v>49.9</v>
      </c>
      <c r="N2934" s="3">
        <v>109.99</v>
      </c>
      <c r="O2934" s="2" t="s">
        <v>97</v>
      </c>
      <c r="P2934" s="2" t="s">
        <v>143</v>
      </c>
      <c r="Q2934" s="2" t="s">
        <v>99</v>
      </c>
      <c r="R2934" s="2" t="s">
        <v>100</v>
      </c>
      <c r="S2934" s="2" t="s">
        <v>100</v>
      </c>
      <c r="T2934" s="2" t="s">
        <v>100</v>
      </c>
      <c r="U2934" s="2" t="s">
        <v>3531</v>
      </c>
      <c r="V2934" s="2" t="s">
        <v>1752</v>
      </c>
      <c r="W2934" s="2" t="s">
        <v>104</v>
      </c>
      <c r="X2934" s="2" t="s">
        <v>1288</v>
      </c>
      <c r="Y2934" s="2" t="s">
        <v>10791</v>
      </c>
      <c r="Z2934" s="4">
        <v>186</v>
      </c>
      <c r="AA2934" s="4">
        <f>=ROUNDDOWN(8.85714285714286,0)</f>
      </c>
      <c r="AB2934" s="5">
        <v>21</v>
      </c>
      <c r="AC2934" s="2" t="s">
        <v>2120</v>
      </c>
      <c r="AD2934" s="4">
        <v>400</v>
      </c>
      <c r="AE2934" s="4">
        <v>600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>
        <v>319</v>
      </c>
      <c r="BK2934" s="8">
        <v>18341.52</v>
      </c>
      <c r="BL2934" s="2" t="s">
        <v>10796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8043</v>
      </c>
      <c r="BX2934" s="2" t="s">
        <v>100</v>
      </c>
      <c r="BY2934" s="2" t="s">
        <v>112</v>
      </c>
      <c r="BZ2934" s="2" t="s">
        <v>100</v>
      </c>
    </row>
    <row r="2935">
      <c r="A2935" s="2" t="s">
        <v>10797</v>
      </c>
      <c r="B2935" s="2" t="s">
        <v>10578</v>
      </c>
      <c r="C2935" s="2" t="s">
        <v>5938</v>
      </c>
      <c r="D2935" s="2" t="s">
        <v>10775</v>
      </c>
      <c r="E2935" s="2" t="s">
        <v>10776</v>
      </c>
      <c r="F2935" s="2" t="s">
        <v>4791</v>
      </c>
      <c r="G2935" s="2" t="s">
        <v>4791</v>
      </c>
      <c r="H2935" s="2" t="s">
        <v>4791</v>
      </c>
      <c r="I2935" s="2" t="s">
        <v>10777</v>
      </c>
      <c r="J2935" s="2" t="s">
        <v>10778</v>
      </c>
      <c r="K2935" s="2" t="s">
        <v>10798</v>
      </c>
      <c r="L2935" s="3">
        <v>47.52</v>
      </c>
      <c r="M2935" s="3">
        <v>49.9</v>
      </c>
      <c r="N2935" s="3">
        <v>109.99</v>
      </c>
      <c r="O2935" s="2" t="s">
        <v>97</v>
      </c>
      <c r="P2935" s="2" t="s">
        <v>1166</v>
      </c>
      <c r="Q2935" s="2" t="s">
        <v>99</v>
      </c>
      <c r="R2935" s="2" t="s">
        <v>100</v>
      </c>
      <c r="S2935" s="2" t="s">
        <v>100</v>
      </c>
      <c r="T2935" s="2" t="s">
        <v>100</v>
      </c>
      <c r="U2935" s="2" t="s">
        <v>3531</v>
      </c>
      <c r="V2935" s="2" t="s">
        <v>1752</v>
      </c>
      <c r="W2935" s="2" t="s">
        <v>104</v>
      </c>
      <c r="X2935" s="2" t="s">
        <v>1288</v>
      </c>
      <c r="Y2935" s="2" t="s">
        <v>10342</v>
      </c>
      <c r="Z2935" s="4">
        <v>101</v>
      </c>
      <c r="AA2935" s="4">
        <f>=ROUNDDOWN(25.25,0)</f>
      </c>
      <c r="AB2935" s="5">
        <v>4</v>
      </c>
      <c r="AC2935" s="2" t="s">
        <v>100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>
        <v>19</v>
      </c>
      <c r="BK2935" s="8">
        <v>1024.1</v>
      </c>
      <c r="BL2935" s="2" t="s">
        <v>10799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147</v>
      </c>
      <c r="BV2935" s="2" t="s">
        <v>97</v>
      </c>
      <c r="BW2935" s="2" t="s">
        <v>100</v>
      </c>
      <c r="BX2935" s="2" t="s">
        <v>100</v>
      </c>
      <c r="BY2935" s="2" t="s">
        <v>112</v>
      </c>
      <c r="BZ2935" s="2" t="s">
        <v>100</v>
      </c>
    </row>
    <row r="2936">
      <c r="A2936" s="2" t="s">
        <v>10800</v>
      </c>
      <c r="B2936" s="2" t="s">
        <v>10578</v>
      </c>
      <c r="C2936" s="2" t="s">
        <v>5938</v>
      </c>
      <c r="D2936" s="2" t="s">
        <v>10775</v>
      </c>
      <c r="E2936" s="2" t="s">
        <v>10776</v>
      </c>
      <c r="F2936" s="2" t="s">
        <v>1283</v>
      </c>
      <c r="G2936" s="2" t="s">
        <v>1283</v>
      </c>
      <c r="H2936" s="2" t="s">
        <v>1283</v>
      </c>
      <c r="I2936" s="2" t="s">
        <v>10801</v>
      </c>
      <c r="J2936" s="2" t="s">
        <v>6103</v>
      </c>
      <c r="K2936" s="2" t="s">
        <v>10802</v>
      </c>
      <c r="L2936" s="3">
        <v>39.9</v>
      </c>
      <c r="M2936" s="3">
        <v>41.9</v>
      </c>
      <c r="N2936" s="3">
        <v>84.99</v>
      </c>
      <c r="O2936" s="2" t="s">
        <v>229</v>
      </c>
      <c r="P2936" s="2" t="s">
        <v>198</v>
      </c>
      <c r="Q2936" s="2" t="s">
        <v>99</v>
      </c>
      <c r="R2936" s="2" t="s">
        <v>100</v>
      </c>
      <c r="S2936" s="2" t="s">
        <v>100</v>
      </c>
      <c r="T2936" s="2" t="s">
        <v>100</v>
      </c>
      <c r="U2936" s="2" t="s">
        <v>3531</v>
      </c>
      <c r="V2936" s="2" t="s">
        <v>1752</v>
      </c>
      <c r="W2936" s="2" t="s">
        <v>1288</v>
      </c>
      <c r="X2936" s="2" t="s">
        <v>100</v>
      </c>
      <c r="Y2936" s="2" t="s">
        <v>4370</v>
      </c>
      <c r="Z2936" s="4">
        <v>155</v>
      </c>
      <c r="AA2936" s="4">
        <f>=ROUNDDOWN(119.230769230769,0)</f>
      </c>
      <c r="AB2936" s="5">
        <v>1.3</v>
      </c>
      <c r="AC2936" s="2" t="s">
        <v>100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/>
      <c r="BD2936" s="8"/>
      <c r="BE2936" s="4"/>
      <c r="BF2936" s="8"/>
      <c r="BG2936" s="7"/>
      <c r="BH2936" s="7"/>
      <c r="BI2936" s="7"/>
      <c r="BJ2936" s="4">
        <v>18</v>
      </c>
      <c r="BK2936" s="8">
        <v>690.19</v>
      </c>
      <c r="BL2936" s="2" t="s">
        <v>10803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147</v>
      </c>
      <c r="BV2936" s="2" t="s">
        <v>97</v>
      </c>
      <c r="BW2936" s="2" t="s">
        <v>100</v>
      </c>
      <c r="BX2936" s="2" t="s">
        <v>100</v>
      </c>
      <c r="BY2936" s="2" t="s">
        <v>112</v>
      </c>
      <c r="BZ2936" s="2" t="s">
        <v>100</v>
      </c>
    </row>
    <row r="2937">
      <c r="A2937" s="2" t="s">
        <v>10804</v>
      </c>
      <c r="B2937" s="2" t="s">
        <v>10578</v>
      </c>
      <c r="C2937" s="2" t="s">
        <v>5938</v>
      </c>
      <c r="D2937" s="2" t="s">
        <v>10805</v>
      </c>
      <c r="E2937" s="2" t="s">
        <v>10806</v>
      </c>
      <c r="F2937" s="2" t="s">
        <v>10807</v>
      </c>
      <c r="G2937" s="2" t="s">
        <v>10807</v>
      </c>
      <c r="H2937" s="2" t="s">
        <v>10807</v>
      </c>
      <c r="I2937" s="2" t="s">
        <v>10808</v>
      </c>
      <c r="J2937" s="2" t="s">
        <v>6103</v>
      </c>
      <c r="K2937" s="2" t="s">
        <v>2066</v>
      </c>
      <c r="L2937" s="3">
        <v>63</v>
      </c>
      <c r="M2937" s="3">
        <v>66.15</v>
      </c>
      <c r="N2937" s="3">
        <v>134.99</v>
      </c>
      <c r="O2937" s="2" t="s">
        <v>97</v>
      </c>
      <c r="P2937" s="2" t="s">
        <v>143</v>
      </c>
      <c r="Q2937" s="2" t="s">
        <v>99</v>
      </c>
      <c r="R2937" s="2" t="s">
        <v>100</v>
      </c>
      <c r="S2937" s="2" t="s">
        <v>100</v>
      </c>
      <c r="T2937" s="2" t="s">
        <v>100</v>
      </c>
      <c r="U2937" s="2" t="s">
        <v>3531</v>
      </c>
      <c r="V2937" s="2" t="s">
        <v>1752</v>
      </c>
      <c r="W2937" s="2" t="s">
        <v>104</v>
      </c>
      <c r="X2937" s="2" t="s">
        <v>100</v>
      </c>
      <c r="Y2937" s="2" t="s">
        <v>4370</v>
      </c>
      <c r="Z2937" s="4">
        <v>396</v>
      </c>
      <c r="AA2937" s="4">
        <f>=ROUNDDOWN(79.2,0)</f>
      </c>
      <c r="AB2937" s="5">
        <v>5</v>
      </c>
      <c r="AC2937" s="2" t="s">
        <v>100</v>
      </c>
      <c r="AD2937" s="4"/>
      <c r="AE2937" s="4"/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>
        <v>0</v>
      </c>
      <c r="AP2937" s="4">
        <v>3</v>
      </c>
      <c r="AQ2937" s="8">
        <v>198.45</v>
      </c>
      <c r="AR2937" s="4"/>
      <c r="AS2937" s="8"/>
      <c r="AT2937" s="7"/>
      <c r="AU2937" s="7"/>
      <c r="AV2937" s="4">
        <v>3</v>
      </c>
      <c r="AW2937" s="8">
        <v>198.45</v>
      </c>
      <c r="AX2937" s="4"/>
      <c r="AY2937" s="8"/>
      <c r="AZ2937" s="7"/>
      <c r="BA2937" s="7"/>
      <c r="BB2937" s="7">
        <v>1</v>
      </c>
      <c r="BC2937" s="4">
        <v>3</v>
      </c>
      <c r="BD2937" s="8">
        <v>198.45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>
        <v>1</v>
      </c>
      <c r="BJ2937" s="4">
        <v>121</v>
      </c>
      <c r="BK2937" s="8">
        <v>9088.96</v>
      </c>
      <c r="BL2937" s="2" t="s">
        <v>10809</v>
      </c>
      <c r="BM2937" s="7">
        <v>0.0248</v>
      </c>
      <c r="BN2937" s="7">
        <v>0.0218</v>
      </c>
      <c r="BO2937" s="4">
        <v>3</v>
      </c>
      <c r="BP2937" s="8">
        <v>198.45</v>
      </c>
      <c r="BQ2937" s="4"/>
      <c r="BR2937" s="8"/>
      <c r="BS2937" s="7"/>
      <c r="BT2937" s="7"/>
      <c r="BU2937" s="2" t="s">
        <v>109</v>
      </c>
      <c r="BV2937" s="2" t="s">
        <v>97</v>
      </c>
      <c r="BW2937" s="2" t="s">
        <v>10633</v>
      </c>
      <c r="BX2937" s="2" t="s">
        <v>1169</v>
      </c>
      <c r="BY2937" s="2" t="s">
        <v>112</v>
      </c>
      <c r="BZ2937" s="2" t="s">
        <v>100</v>
      </c>
    </row>
    <row r="2938">
      <c r="A2938" s="2" t="s">
        <v>10810</v>
      </c>
      <c r="B2938" s="2" t="s">
        <v>10578</v>
      </c>
      <c r="C2938" s="2" t="s">
        <v>5938</v>
      </c>
      <c r="D2938" s="2" t="s">
        <v>10805</v>
      </c>
      <c r="E2938" s="2" t="s">
        <v>10806</v>
      </c>
      <c r="F2938" s="2" t="s">
        <v>10807</v>
      </c>
      <c r="G2938" s="2" t="s">
        <v>10807</v>
      </c>
      <c r="H2938" s="2" t="s">
        <v>10807</v>
      </c>
      <c r="I2938" s="2" t="s">
        <v>10808</v>
      </c>
      <c r="J2938" s="2" t="s">
        <v>6103</v>
      </c>
      <c r="K2938" s="2" t="s">
        <v>1660</v>
      </c>
      <c r="L2938" s="3">
        <v>63</v>
      </c>
      <c r="M2938" s="3">
        <v>66.15</v>
      </c>
      <c r="N2938" s="3">
        <v>134.99</v>
      </c>
      <c r="O2938" s="2" t="s">
        <v>97</v>
      </c>
      <c r="P2938" s="2" t="s">
        <v>1265</v>
      </c>
      <c r="Q2938" s="2" t="s">
        <v>99</v>
      </c>
      <c r="R2938" s="2" t="s">
        <v>100</v>
      </c>
      <c r="S2938" s="2" t="s">
        <v>100</v>
      </c>
      <c r="T2938" s="2" t="s">
        <v>100</v>
      </c>
      <c r="U2938" s="2" t="s">
        <v>100</v>
      </c>
      <c r="V2938" s="2" t="s">
        <v>1752</v>
      </c>
      <c r="W2938" s="2" t="s">
        <v>104</v>
      </c>
      <c r="X2938" s="2" t="s">
        <v>100</v>
      </c>
      <c r="Y2938" s="2" t="s">
        <v>3242</v>
      </c>
      <c r="Z2938" s="4">
        <v>40</v>
      </c>
      <c r="AA2938" s="4">
        <f>=ROUNDDOWN(20,0)</f>
      </c>
      <c r="AB2938" s="5">
        <v>2</v>
      </c>
      <c r="AC2938" s="2" t="s">
        <v>100</v>
      </c>
      <c r="AD2938" s="4"/>
      <c r="AE2938" s="4"/>
      <c r="AF2938" s="6">
        <v>63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/>
      <c r="AW2938" s="8"/>
      <c r="AX2938" s="4"/>
      <c r="AY2938" s="8"/>
      <c r="AZ2938" s="7"/>
      <c r="BA2938" s="7"/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>
        <v>29</v>
      </c>
      <c r="BK2938" s="8">
        <v>2019.61</v>
      </c>
      <c r="BL2938" s="2" t="s">
        <v>10811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97</v>
      </c>
      <c r="BW2938" s="2" t="s">
        <v>9615</v>
      </c>
      <c r="BX2938" s="2" t="s">
        <v>100</v>
      </c>
      <c r="BY2938" s="2" t="s">
        <v>112</v>
      </c>
      <c r="BZ2938" s="2" t="s">
        <v>100</v>
      </c>
    </row>
    <row r="2939">
      <c r="A2939" s="2" t="s">
        <v>10812</v>
      </c>
      <c r="B2939" s="2" t="s">
        <v>10578</v>
      </c>
      <c r="C2939" s="2" t="s">
        <v>5938</v>
      </c>
      <c r="D2939" s="2" t="s">
        <v>10805</v>
      </c>
      <c r="E2939" s="2" t="s">
        <v>10806</v>
      </c>
      <c r="F2939" s="2" t="s">
        <v>4791</v>
      </c>
      <c r="G2939" s="2" t="s">
        <v>4791</v>
      </c>
      <c r="H2939" s="2" t="s">
        <v>4791</v>
      </c>
      <c r="I2939" s="2" t="s">
        <v>10813</v>
      </c>
      <c r="J2939" s="2" t="s">
        <v>6103</v>
      </c>
      <c r="K2939" s="2" t="s">
        <v>2066</v>
      </c>
      <c r="L2939" s="3">
        <v>86.4</v>
      </c>
      <c r="M2939" s="3">
        <v>90.72</v>
      </c>
      <c r="N2939" s="3">
        <v>179.99</v>
      </c>
      <c r="O2939" s="2" t="s">
        <v>97</v>
      </c>
      <c r="P2939" s="2" t="s">
        <v>143</v>
      </c>
      <c r="Q2939" s="2" t="s">
        <v>99</v>
      </c>
      <c r="R2939" s="2" t="s">
        <v>100</v>
      </c>
      <c r="S2939" s="2" t="s">
        <v>100</v>
      </c>
      <c r="T2939" s="2" t="s">
        <v>100</v>
      </c>
      <c r="U2939" s="2" t="s">
        <v>3531</v>
      </c>
      <c r="V2939" s="2" t="s">
        <v>1752</v>
      </c>
      <c r="W2939" s="2" t="s">
        <v>104</v>
      </c>
      <c r="X2939" s="2" t="s">
        <v>100</v>
      </c>
      <c r="Y2939" s="2" t="s">
        <v>10791</v>
      </c>
      <c r="Z2939" s="4">
        <v>131</v>
      </c>
      <c r="AA2939" s="4">
        <f>=ROUNDDOWN(48.5185185185185,0)</f>
      </c>
      <c r="AB2939" s="5">
        <v>2.7</v>
      </c>
      <c r="AC2939" s="2" t="s">
        <v>100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>
        <v>0</v>
      </c>
      <c r="AP2939" s="4">
        <v>2</v>
      </c>
      <c r="AQ2939" s="8">
        <v>181.44</v>
      </c>
      <c r="AR2939" s="4">
        <v>3</v>
      </c>
      <c r="AS2939" s="8">
        <v>272.16</v>
      </c>
      <c r="AT2939" s="7">
        <v>-0.3333</v>
      </c>
      <c r="AU2939" s="7">
        <v>-0.3333</v>
      </c>
      <c r="AV2939" s="4">
        <v>2</v>
      </c>
      <c r="AW2939" s="8">
        <v>181.44</v>
      </c>
      <c r="AX2939" s="4">
        <v>3</v>
      </c>
      <c r="AY2939" s="8">
        <v>272.16</v>
      </c>
      <c r="AZ2939" s="7">
        <v>-0.3333</v>
      </c>
      <c r="BA2939" s="7">
        <v>-0.3333</v>
      </c>
      <c r="BB2939" s="7">
        <v>1</v>
      </c>
      <c r="BC2939" s="4">
        <v>2</v>
      </c>
      <c r="BD2939" s="8">
        <v>181.44</v>
      </c>
      <c r="BE2939" s="4">
        <v>3</v>
      </c>
      <c r="BF2939" s="8">
        <v>272.16</v>
      </c>
      <c r="BG2939" s="7">
        <v>-0.3333</v>
      </c>
      <c r="BH2939" s="7">
        <v>-0.3333</v>
      </c>
      <c r="BI2939" s="7">
        <v>1</v>
      </c>
      <c r="BJ2939" s="4">
        <v>85</v>
      </c>
      <c r="BK2939" s="8">
        <v>8402.29</v>
      </c>
      <c r="BL2939" s="2" t="s">
        <v>10814</v>
      </c>
      <c r="BM2939" s="7">
        <v>0.0235</v>
      </c>
      <c r="BN2939" s="7">
        <v>0.0216</v>
      </c>
      <c r="BO2939" s="4">
        <v>2</v>
      </c>
      <c r="BP2939" s="8">
        <v>181.44</v>
      </c>
      <c r="BQ2939" s="4">
        <v>3</v>
      </c>
      <c r="BR2939" s="8">
        <v>272.16</v>
      </c>
      <c r="BS2939" s="7">
        <v>-0.3333</v>
      </c>
      <c r="BT2939" s="7">
        <v>-0.3333</v>
      </c>
      <c r="BU2939" s="2" t="s">
        <v>109</v>
      </c>
      <c r="BV2939" s="2" t="s">
        <v>97</v>
      </c>
      <c r="BW2939" s="2" t="s">
        <v>8043</v>
      </c>
      <c r="BX2939" s="2" t="s">
        <v>9477</v>
      </c>
      <c r="BY2939" s="2" t="s">
        <v>112</v>
      </c>
      <c r="BZ2939" s="2" t="s">
        <v>100</v>
      </c>
    </row>
    <row r="2940">
      <c r="A2940" s="2" t="s">
        <v>10815</v>
      </c>
      <c r="B2940" s="2" t="s">
        <v>10578</v>
      </c>
      <c r="C2940" s="2" t="s">
        <v>5938</v>
      </c>
      <c r="D2940" s="2" t="s">
        <v>10805</v>
      </c>
      <c r="E2940" s="2" t="s">
        <v>10806</v>
      </c>
      <c r="F2940" s="2" t="s">
        <v>10816</v>
      </c>
      <c r="G2940" s="2" t="s">
        <v>10816</v>
      </c>
      <c r="H2940" s="2" t="s">
        <v>10816</v>
      </c>
      <c r="I2940" s="2" t="s">
        <v>10817</v>
      </c>
      <c r="J2940" s="2" t="s">
        <v>6103</v>
      </c>
      <c r="K2940" s="2" t="s">
        <v>10818</v>
      </c>
      <c r="L2940" s="3">
        <v>54.27</v>
      </c>
      <c r="M2940" s="3">
        <v>56.98</v>
      </c>
      <c r="N2940" s="3">
        <v>129.99</v>
      </c>
      <c r="O2940" s="2" t="s">
        <v>97</v>
      </c>
      <c r="P2940" s="2" t="s">
        <v>182</v>
      </c>
      <c r="Q2940" s="2" t="s">
        <v>99</v>
      </c>
      <c r="R2940" s="2" t="s">
        <v>100</v>
      </c>
      <c r="S2940" s="2" t="s">
        <v>100</v>
      </c>
      <c r="T2940" s="2" t="s">
        <v>100</v>
      </c>
      <c r="U2940" s="2" t="s">
        <v>3531</v>
      </c>
      <c r="V2940" s="2" t="s">
        <v>1752</v>
      </c>
      <c r="W2940" s="2" t="s">
        <v>104</v>
      </c>
      <c r="X2940" s="2" t="s">
        <v>100</v>
      </c>
      <c r="Y2940" s="2" t="s">
        <v>4370</v>
      </c>
      <c r="Z2940" s="4">
        <v>109</v>
      </c>
      <c r="AA2940" s="4">
        <f>=ROUNDDOWN(12.1111111111111,0)</f>
      </c>
      <c r="AB2940" s="5">
        <v>9</v>
      </c>
      <c r="AC2940" s="2" t="s">
        <v>1328</v>
      </c>
      <c r="AD2940" s="4">
        <v>100</v>
      </c>
      <c r="AE2940" s="4">
        <v>200</v>
      </c>
      <c r="AF2940" s="6">
        <v>65</v>
      </c>
      <c r="AG2940" s="6"/>
      <c r="AH2940" s="7">
        <v>0.8788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/>
      <c r="AW2940" s="8"/>
      <c r="AX2940" s="4"/>
      <c r="AY2940" s="8"/>
      <c r="AZ2940" s="7"/>
      <c r="BA2940" s="7"/>
      <c r="BB2940" s="7"/>
      <c r="BC2940" s="4"/>
      <c r="BD2940" s="8"/>
      <c r="BE2940" s="4"/>
      <c r="BF2940" s="8"/>
      <c r="BG2940" s="7"/>
      <c r="BH2940" s="7"/>
      <c r="BI2940" s="7"/>
      <c r="BJ2940" s="4">
        <v>173</v>
      </c>
      <c r="BK2940" s="8">
        <v>10226.6</v>
      </c>
      <c r="BL2940" s="2" t="s">
        <v>10819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97</v>
      </c>
      <c r="BW2940" s="2" t="s">
        <v>10633</v>
      </c>
      <c r="BX2940" s="2" t="s">
        <v>100</v>
      </c>
      <c r="BY2940" s="2" t="s">
        <v>112</v>
      </c>
      <c r="BZ2940" s="2" t="s">
        <v>100</v>
      </c>
    </row>
    <row r="2941">
      <c r="A2941" s="2" t="s">
        <v>10820</v>
      </c>
      <c r="B2941" s="2" t="s">
        <v>10578</v>
      </c>
      <c r="C2941" s="2" t="s">
        <v>5938</v>
      </c>
      <c r="D2941" s="2" t="s">
        <v>10805</v>
      </c>
      <c r="E2941" s="2" t="s">
        <v>10806</v>
      </c>
      <c r="F2941" s="2" t="s">
        <v>10821</v>
      </c>
      <c r="G2941" s="2" t="s">
        <v>10821</v>
      </c>
      <c r="H2941" s="2" t="s">
        <v>10821</v>
      </c>
      <c r="I2941" s="2" t="s">
        <v>10822</v>
      </c>
      <c r="J2941" s="2" t="s">
        <v>6103</v>
      </c>
      <c r="K2941" s="2" t="s">
        <v>2066</v>
      </c>
      <c r="L2941" s="3">
        <v>80.1</v>
      </c>
      <c r="M2941" s="3">
        <v>84.1</v>
      </c>
      <c r="N2941" s="3">
        <v>169.99</v>
      </c>
      <c r="O2941" s="2" t="s">
        <v>229</v>
      </c>
      <c r="P2941" s="2" t="s">
        <v>198</v>
      </c>
      <c r="Q2941" s="2" t="s">
        <v>99</v>
      </c>
      <c r="R2941" s="2" t="s">
        <v>100</v>
      </c>
      <c r="S2941" s="2" t="s">
        <v>10823</v>
      </c>
      <c r="T2941" s="2" t="s">
        <v>100</v>
      </c>
      <c r="U2941" s="2" t="s">
        <v>100</v>
      </c>
      <c r="V2941" s="2" t="s">
        <v>1122</v>
      </c>
      <c r="W2941" s="2" t="s">
        <v>602</v>
      </c>
      <c r="X2941" s="2" t="s">
        <v>100</v>
      </c>
      <c r="Y2941" s="2" t="s">
        <v>106</v>
      </c>
      <c r="Z2941" s="4"/>
      <c r="AA2941" s="4">
        <f>=ROUNDDOWN({0},0)</f>
      </c>
      <c r="AB2941" s="5"/>
      <c r="AC2941" s="2" t="s">
        <v>100</v>
      </c>
      <c r="AD2941" s="4"/>
      <c r="AE2941" s="4"/>
      <c r="AF2941" s="6">
        <v>65</v>
      </c>
      <c r="AG2941" s="6"/>
      <c r="AH2941" s="7">
        <v>0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>
        <v>0</v>
      </c>
      <c r="AP2941" s="4"/>
      <c r="AQ2941" s="8"/>
      <c r="AR2941" s="4">
        <v>1</v>
      </c>
      <c r="AS2941" s="8">
        <v>84.11</v>
      </c>
      <c r="AT2941" s="7">
        <v>-1</v>
      </c>
      <c r="AU2941" s="7">
        <v>-1</v>
      </c>
      <c r="AV2941" s="4"/>
      <c r="AW2941" s="8"/>
      <c r="AX2941" s="4">
        <v>1</v>
      </c>
      <c r="AY2941" s="8">
        <v>84.11</v>
      </c>
      <c r="AZ2941" s="7">
        <v>-1</v>
      </c>
      <c r="BA2941" s="7">
        <v>-1</v>
      </c>
      <c r="BB2941" s="7"/>
      <c r="BC2941" s="4"/>
      <c r="BD2941" s="8"/>
      <c r="BE2941" s="4">
        <v>1</v>
      </c>
      <c r="BF2941" s="8">
        <v>84.11</v>
      </c>
      <c r="BG2941" s="7">
        <v>-1</v>
      </c>
      <c r="BH2941" s="7">
        <v>-1</v>
      </c>
      <c r="BI2941" s="7"/>
      <c r="BJ2941" s="4"/>
      <c r="BK2941" s="8"/>
      <c r="BL2941" s="2" t="s">
        <v>10824</v>
      </c>
      <c r="BM2941" s="7"/>
      <c r="BN2941" s="7"/>
      <c r="BO2941" s="4"/>
      <c r="BP2941" s="8"/>
      <c r="BQ2941" s="4">
        <v>1</v>
      </c>
      <c r="BR2941" s="8">
        <v>84.11</v>
      </c>
      <c r="BS2941" s="7">
        <v>-1</v>
      </c>
      <c r="BT2941" s="7">
        <v>-1</v>
      </c>
      <c r="BU2941" s="2" t="s">
        <v>109</v>
      </c>
      <c r="BV2941" s="2" t="s">
        <v>552</v>
      </c>
      <c r="BW2941" s="2" t="s">
        <v>8043</v>
      </c>
      <c r="BX2941" s="2" t="s">
        <v>4849</v>
      </c>
      <c r="BY2941" s="2" t="s">
        <v>112</v>
      </c>
      <c r="BZ2941" s="2" t="s">
        <v>100</v>
      </c>
    </row>
    <row r="2942">
      <c r="A2942" s="2" t="s">
        <v>10825</v>
      </c>
      <c r="B2942" s="2" t="s">
        <v>10578</v>
      </c>
      <c r="C2942" s="2" t="s">
        <v>5938</v>
      </c>
      <c r="D2942" s="2" t="s">
        <v>10805</v>
      </c>
      <c r="E2942" s="2" t="s">
        <v>10806</v>
      </c>
      <c r="F2942" s="2" t="s">
        <v>10826</v>
      </c>
      <c r="G2942" s="2" t="s">
        <v>10826</v>
      </c>
      <c r="H2942" s="2" t="s">
        <v>10826</v>
      </c>
      <c r="I2942" s="2" t="s">
        <v>10827</v>
      </c>
      <c r="J2942" s="2" t="s">
        <v>6103</v>
      </c>
      <c r="K2942" s="2" t="s">
        <v>3764</v>
      </c>
      <c r="L2942" s="3">
        <v>70.3</v>
      </c>
      <c r="M2942" s="3">
        <v>73.82</v>
      </c>
      <c r="N2942" s="3">
        <v>159.99</v>
      </c>
      <c r="O2942" s="2" t="s">
        <v>97</v>
      </c>
      <c r="P2942" s="2" t="s">
        <v>198</v>
      </c>
      <c r="Q2942" s="2" t="s">
        <v>99</v>
      </c>
      <c r="R2942" s="2" t="s">
        <v>100</v>
      </c>
      <c r="S2942" s="2" t="s">
        <v>100</v>
      </c>
      <c r="T2942" s="2" t="s">
        <v>100</v>
      </c>
      <c r="U2942" s="2" t="s">
        <v>3531</v>
      </c>
      <c r="V2942" s="2" t="s">
        <v>1752</v>
      </c>
      <c r="W2942" s="2" t="s">
        <v>602</v>
      </c>
      <c r="X2942" s="2" t="s">
        <v>100</v>
      </c>
      <c r="Y2942" s="2" t="s">
        <v>4370</v>
      </c>
      <c r="Z2942" s="4">
        <v>18</v>
      </c>
      <c r="AA2942" s="4">
        <f>=ROUNDDOWN(6,0)</f>
      </c>
      <c r="AB2942" s="5">
        <v>3</v>
      </c>
      <c r="AC2942" s="2" t="s">
        <v>100</v>
      </c>
      <c r="AD2942" s="4"/>
      <c r="AE2942" s="4"/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/>
      <c r="AW2942" s="8"/>
      <c r="AX2942" s="4"/>
      <c r="AY2942" s="8"/>
      <c r="AZ2942" s="7"/>
      <c r="BA2942" s="7"/>
      <c r="BB2942" s="7"/>
      <c r="BC2942" s="4"/>
      <c r="BD2942" s="8"/>
      <c r="BE2942" s="4"/>
      <c r="BF2942" s="8"/>
      <c r="BG2942" s="7"/>
      <c r="BH2942" s="7"/>
      <c r="BI2942" s="7"/>
      <c r="BJ2942" s="4">
        <v>36</v>
      </c>
      <c r="BK2942" s="8">
        <v>2528.1</v>
      </c>
      <c r="BL2942" s="2" t="s">
        <v>10828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147</v>
      </c>
      <c r="BV2942" s="2" t="s">
        <v>97</v>
      </c>
      <c r="BW2942" s="2" t="s">
        <v>100</v>
      </c>
      <c r="BX2942" s="2" t="s">
        <v>100</v>
      </c>
      <c r="BY2942" s="2" t="s">
        <v>112</v>
      </c>
      <c r="BZ2942" s="2" t="s">
        <v>100</v>
      </c>
    </row>
    <row r="2943">
      <c r="A2943" s="2" t="s">
        <v>10829</v>
      </c>
      <c r="B2943" s="2" t="s">
        <v>10578</v>
      </c>
      <c r="C2943" s="2" t="s">
        <v>5938</v>
      </c>
      <c r="D2943" s="2" t="s">
        <v>10686</v>
      </c>
      <c r="E2943" s="2" t="s">
        <v>10687</v>
      </c>
      <c r="F2943" s="2" t="s">
        <v>10830</v>
      </c>
      <c r="G2943" s="2" t="s">
        <v>10830</v>
      </c>
      <c r="H2943" s="2" t="s">
        <v>10830</v>
      </c>
      <c r="I2943" s="2" t="s">
        <v>10831</v>
      </c>
      <c r="J2943" s="2" t="s">
        <v>6103</v>
      </c>
      <c r="K2943" s="2" t="s">
        <v>10683</v>
      </c>
      <c r="L2943" s="3">
        <v>123.35</v>
      </c>
      <c r="M2943" s="3">
        <v>129.52</v>
      </c>
      <c r="N2943" s="3">
        <v>259.99</v>
      </c>
      <c r="O2943" s="2" t="s">
        <v>97</v>
      </c>
      <c r="P2943" s="2" t="s">
        <v>124</v>
      </c>
      <c r="Q2943" s="2" t="s">
        <v>99</v>
      </c>
      <c r="R2943" s="2" t="s">
        <v>100</v>
      </c>
      <c r="S2943" s="2" t="s">
        <v>10832</v>
      </c>
      <c r="T2943" s="2" t="s">
        <v>100</v>
      </c>
      <c r="U2943" s="2" t="s">
        <v>100</v>
      </c>
      <c r="V2943" s="2" t="s">
        <v>601</v>
      </c>
      <c r="W2943" s="2" t="s">
        <v>104</v>
      </c>
      <c r="X2943" s="2" t="s">
        <v>100</v>
      </c>
      <c r="Y2943" s="2" t="s">
        <v>5442</v>
      </c>
      <c r="Z2943" s="4">
        <v>735</v>
      </c>
      <c r="AA2943" s="4">
        <f>=ROUNDDOWN(56.5384615384615,0)</f>
      </c>
      <c r="AB2943" s="5">
        <v>13</v>
      </c>
      <c r="AC2943" s="2" t="s">
        <v>100</v>
      </c>
      <c r="AD2943" s="4"/>
      <c r="AE2943" s="4"/>
      <c r="AF2943" s="6">
        <v>63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>
        <v>0</v>
      </c>
      <c r="AP2943" s="4">
        <v>2</v>
      </c>
      <c r="AQ2943" s="8">
        <v>259.04</v>
      </c>
      <c r="AR2943" s="4">
        <v>2</v>
      </c>
      <c r="AS2943" s="8">
        <v>265.85</v>
      </c>
      <c r="AT2943" s="7"/>
      <c r="AU2943" s="7">
        <v>-0.0256</v>
      </c>
      <c r="AV2943" s="4">
        <v>2</v>
      </c>
      <c r="AW2943" s="8">
        <v>259.04</v>
      </c>
      <c r="AX2943" s="4">
        <v>2</v>
      </c>
      <c r="AY2943" s="8">
        <v>265.85</v>
      </c>
      <c r="AZ2943" s="7"/>
      <c r="BA2943" s="7">
        <v>-0.0256</v>
      </c>
      <c r="BB2943" s="7">
        <v>1</v>
      </c>
      <c r="BC2943" s="4">
        <v>2</v>
      </c>
      <c r="BD2943" s="8">
        <v>259.04</v>
      </c>
      <c r="BE2943" s="4">
        <v>7</v>
      </c>
      <c r="BF2943" s="8">
        <v>933.88</v>
      </c>
      <c r="BG2943" s="7">
        <v>-0.7143</v>
      </c>
      <c r="BH2943" s="7">
        <v>-0.7226</v>
      </c>
      <c r="BI2943" s="7">
        <v>1</v>
      </c>
      <c r="BJ2943" s="4">
        <v>265</v>
      </c>
      <c r="BK2943" s="8">
        <v>36601.95</v>
      </c>
      <c r="BL2943" s="2" t="s">
        <v>10833</v>
      </c>
      <c r="BM2943" s="7">
        <v>0.0075</v>
      </c>
      <c r="BN2943" s="7">
        <v>0.0071</v>
      </c>
      <c r="BO2943" s="4">
        <v>2</v>
      </c>
      <c r="BP2943" s="8">
        <v>259.04</v>
      </c>
      <c r="BQ2943" s="4">
        <v>2</v>
      </c>
      <c r="BR2943" s="8">
        <v>265.85</v>
      </c>
      <c r="BS2943" s="7"/>
      <c r="BT2943" s="7">
        <v>-0.0256</v>
      </c>
      <c r="BU2943" s="2" t="s">
        <v>109</v>
      </c>
      <c r="BV2943" s="2" t="s">
        <v>97</v>
      </c>
      <c r="BW2943" s="2" t="s">
        <v>10647</v>
      </c>
      <c r="BX2943" s="2" t="s">
        <v>4328</v>
      </c>
      <c r="BY2943" s="2" t="s">
        <v>112</v>
      </c>
      <c r="BZ2943" s="2" t="s">
        <v>100</v>
      </c>
    </row>
    <row r="2944">
      <c r="A2944" s="2" t="s">
        <v>10834</v>
      </c>
      <c r="B2944" s="2" t="s">
        <v>10578</v>
      </c>
      <c r="C2944" s="2" t="s">
        <v>5938</v>
      </c>
      <c r="D2944" s="2" t="s">
        <v>10686</v>
      </c>
      <c r="E2944" s="2" t="s">
        <v>10687</v>
      </c>
      <c r="F2944" s="2" t="s">
        <v>10830</v>
      </c>
      <c r="G2944" s="2" t="s">
        <v>10830</v>
      </c>
      <c r="H2944" s="2" t="s">
        <v>10830</v>
      </c>
      <c r="I2944" s="2" t="s">
        <v>10835</v>
      </c>
      <c r="J2944" s="2" t="s">
        <v>6103</v>
      </c>
      <c r="K2944" s="2" t="s">
        <v>10836</v>
      </c>
      <c r="L2944" s="3">
        <v>123.35</v>
      </c>
      <c r="M2944" s="3">
        <v>129.52</v>
      </c>
      <c r="N2944" s="3">
        <v>259.99</v>
      </c>
      <c r="O2944" s="2" t="s">
        <v>97</v>
      </c>
      <c r="P2944" s="2" t="s">
        <v>143</v>
      </c>
      <c r="Q2944" s="2" t="s">
        <v>99</v>
      </c>
      <c r="R2944" s="2" t="s">
        <v>100</v>
      </c>
      <c r="S2944" s="2" t="s">
        <v>100</v>
      </c>
      <c r="T2944" s="2" t="s">
        <v>100</v>
      </c>
      <c r="U2944" s="2" t="s">
        <v>3531</v>
      </c>
      <c r="V2944" s="2" t="s">
        <v>1752</v>
      </c>
      <c r="W2944" s="2" t="s">
        <v>104</v>
      </c>
      <c r="X2944" s="2" t="s">
        <v>100</v>
      </c>
      <c r="Y2944" s="2" t="s">
        <v>588</v>
      </c>
      <c r="Z2944" s="4">
        <v>241</v>
      </c>
      <c r="AA2944" s="4">
        <f>=ROUNDDOWN(26.7777777777778,0)</f>
      </c>
      <c r="AB2944" s="5">
        <v>9</v>
      </c>
      <c r="AC2944" s="2" t="s">
        <v>100</v>
      </c>
      <c r="AD2944" s="4"/>
      <c r="AE2944" s="4"/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>
        <v>0</v>
      </c>
      <c r="AP2944" s="4"/>
      <c r="AQ2944" s="8"/>
      <c r="AR2944" s="4">
        <v>1</v>
      </c>
      <c r="AS2944" s="8">
        <v>136.33</v>
      </c>
      <c r="AT2944" s="7">
        <v>-1</v>
      </c>
      <c r="AU2944" s="7">
        <v>-1</v>
      </c>
      <c r="AV2944" s="4"/>
      <c r="AW2944" s="8"/>
      <c r="AX2944" s="4">
        <v>1</v>
      </c>
      <c r="AY2944" s="8">
        <v>136.33</v>
      </c>
      <c r="AZ2944" s="7">
        <v>-1</v>
      </c>
      <c r="BA2944" s="7">
        <v>-1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/>
      <c r="BJ2944" s="4">
        <v>188</v>
      </c>
      <c r="BK2944" s="8">
        <v>26756.17</v>
      </c>
      <c r="BL2944" s="2" t="s">
        <v>10837</v>
      </c>
      <c r="BM2944" s="7"/>
      <c r="BN2944" s="7"/>
      <c r="BO2944" s="4"/>
      <c r="BP2944" s="8"/>
      <c r="BQ2944" s="4">
        <v>1</v>
      </c>
      <c r="BR2944" s="8">
        <v>136.33</v>
      </c>
      <c r="BS2944" s="7">
        <v>-1</v>
      </c>
      <c r="BT2944" s="7">
        <v>-1</v>
      </c>
      <c r="BU2944" s="2" t="s">
        <v>109</v>
      </c>
      <c r="BV2944" s="2" t="s">
        <v>97</v>
      </c>
      <c r="BW2944" s="2" t="s">
        <v>8043</v>
      </c>
      <c r="BX2944" s="2" t="s">
        <v>640</v>
      </c>
      <c r="BY2944" s="2" t="s">
        <v>112</v>
      </c>
      <c r="BZ2944" s="2" t="s">
        <v>100</v>
      </c>
    </row>
    <row r="2945">
      <c r="A2945" s="2" t="s">
        <v>10838</v>
      </c>
      <c r="B2945" s="2" t="s">
        <v>10578</v>
      </c>
      <c r="C2945" s="2" t="s">
        <v>5938</v>
      </c>
      <c r="D2945" s="2" t="s">
        <v>10686</v>
      </c>
      <c r="E2945" s="2" t="s">
        <v>10687</v>
      </c>
      <c r="F2945" s="2" t="s">
        <v>10830</v>
      </c>
      <c r="G2945" s="2" t="s">
        <v>10830</v>
      </c>
      <c r="H2945" s="2" t="s">
        <v>10830</v>
      </c>
      <c r="I2945" s="2" t="s">
        <v>10831</v>
      </c>
      <c r="J2945" s="2" t="s">
        <v>6103</v>
      </c>
      <c r="K2945" s="2" t="s">
        <v>10839</v>
      </c>
      <c r="L2945" s="3">
        <v>123.35</v>
      </c>
      <c r="M2945" s="3">
        <v>129.52</v>
      </c>
      <c r="N2945" s="3">
        <v>259.99</v>
      </c>
      <c r="O2945" s="2" t="s">
        <v>97</v>
      </c>
      <c r="P2945" s="2" t="s">
        <v>143</v>
      </c>
      <c r="Q2945" s="2" t="s">
        <v>99</v>
      </c>
      <c r="R2945" s="2" t="s">
        <v>100</v>
      </c>
      <c r="S2945" s="2" t="s">
        <v>100</v>
      </c>
      <c r="T2945" s="2" t="s">
        <v>100</v>
      </c>
      <c r="U2945" s="2" t="s">
        <v>100</v>
      </c>
      <c r="V2945" s="2" t="s">
        <v>1752</v>
      </c>
      <c r="W2945" s="2" t="s">
        <v>104</v>
      </c>
      <c r="X2945" s="2" t="s">
        <v>100</v>
      </c>
      <c r="Y2945" s="2" t="s">
        <v>10840</v>
      </c>
      <c r="Z2945" s="4">
        <v>100</v>
      </c>
      <c r="AA2945" s="4">
        <f>=ROUNDDOWN(16.6666666666667,0)</f>
      </c>
      <c r="AB2945" s="5">
        <v>6</v>
      </c>
      <c r="AC2945" s="2" t="s">
        <v>2120</v>
      </c>
      <c r="AD2945" s="4">
        <v>150</v>
      </c>
      <c r="AE2945" s="4">
        <v>150</v>
      </c>
      <c r="AF2945" s="6">
        <v>63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>
        <v>0</v>
      </c>
      <c r="AP2945" s="4"/>
      <c r="AQ2945" s="8"/>
      <c r="AR2945" s="4">
        <v>4</v>
      </c>
      <c r="AS2945" s="8">
        <v>531.7</v>
      </c>
      <c r="AT2945" s="7">
        <v>-1</v>
      </c>
      <c r="AU2945" s="7">
        <v>-1</v>
      </c>
      <c r="AV2945" s="4"/>
      <c r="AW2945" s="8"/>
      <c r="AX2945" s="4">
        <v>4</v>
      </c>
      <c r="AY2945" s="8">
        <v>531.7</v>
      </c>
      <c r="AZ2945" s="7">
        <v>-1</v>
      </c>
      <c r="BA2945" s="7">
        <v>-1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>
        <v>142</v>
      </c>
      <c r="BK2945" s="8">
        <v>19549.29</v>
      </c>
      <c r="BL2945" s="2" t="s">
        <v>10841</v>
      </c>
      <c r="BM2945" s="7"/>
      <c r="BN2945" s="7"/>
      <c r="BO2945" s="4"/>
      <c r="BP2945" s="8"/>
      <c r="BQ2945" s="4">
        <v>4</v>
      </c>
      <c r="BR2945" s="8">
        <v>531.7</v>
      </c>
      <c r="BS2945" s="7">
        <v>-1</v>
      </c>
      <c r="BT2945" s="7">
        <v>-1</v>
      </c>
      <c r="BU2945" s="2" t="s">
        <v>109</v>
      </c>
      <c r="BV2945" s="2" t="s">
        <v>97</v>
      </c>
      <c r="BW2945" s="2" t="s">
        <v>8043</v>
      </c>
      <c r="BX2945" s="2" t="s">
        <v>10842</v>
      </c>
      <c r="BY2945" s="2" t="s">
        <v>112</v>
      </c>
      <c r="BZ2945" s="2" t="s">
        <v>100</v>
      </c>
    </row>
    <row r="2946">
      <c r="A2946" s="2" t="s">
        <v>10843</v>
      </c>
      <c r="B2946" s="2" t="s">
        <v>10578</v>
      </c>
      <c r="C2946" s="2" t="s">
        <v>5938</v>
      </c>
      <c r="D2946" s="2" t="s">
        <v>10686</v>
      </c>
      <c r="E2946" s="2" t="s">
        <v>10687</v>
      </c>
      <c r="F2946" s="2" t="s">
        <v>7772</v>
      </c>
      <c r="G2946" s="2" t="s">
        <v>7772</v>
      </c>
      <c r="H2946" s="2" t="s">
        <v>7772</v>
      </c>
      <c r="I2946" s="2" t="s">
        <v>10844</v>
      </c>
      <c r="J2946" s="2" t="s">
        <v>6103</v>
      </c>
      <c r="K2946" s="2" t="s">
        <v>666</v>
      </c>
      <c r="L2946" s="3">
        <v>109.35</v>
      </c>
      <c r="M2946" s="3">
        <v>114.82</v>
      </c>
      <c r="N2946" s="3">
        <v>254.99</v>
      </c>
      <c r="O2946" s="2" t="s">
        <v>229</v>
      </c>
      <c r="P2946" s="2" t="s">
        <v>198</v>
      </c>
      <c r="Q2946" s="2" t="s">
        <v>99</v>
      </c>
      <c r="R2946" s="2" t="s">
        <v>100</v>
      </c>
      <c r="S2946" s="2" t="s">
        <v>100</v>
      </c>
      <c r="T2946" s="2" t="s">
        <v>100</v>
      </c>
      <c r="U2946" s="2" t="s">
        <v>3531</v>
      </c>
      <c r="V2946" s="2" t="s">
        <v>1752</v>
      </c>
      <c r="W2946" s="2" t="s">
        <v>2195</v>
      </c>
      <c r="X2946" s="2" t="s">
        <v>100</v>
      </c>
      <c r="Y2946" s="2" t="s">
        <v>10845</v>
      </c>
      <c r="Z2946" s="4">
        <v>59</v>
      </c>
      <c r="AA2946" s="4">
        <f>=ROUNDDOWN(98.3333333333333,0)</f>
      </c>
      <c r="AB2946" s="5">
        <v>0.6</v>
      </c>
      <c r="AC2946" s="2" t="s">
        <v>100</v>
      </c>
      <c r="AD2946" s="4"/>
      <c r="AE2946" s="4"/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/>
      <c r="AW2946" s="8"/>
      <c r="AX2946" s="4"/>
      <c r="AY2946" s="8"/>
      <c r="AZ2946" s="7"/>
      <c r="BA2946" s="7"/>
      <c r="BB2946" s="7"/>
      <c r="BC2946" s="4"/>
      <c r="BD2946" s="8"/>
      <c r="BE2946" s="4"/>
      <c r="BF2946" s="8"/>
      <c r="BG2946" s="7"/>
      <c r="BH2946" s="7"/>
      <c r="BI2946" s="7"/>
      <c r="BJ2946" s="4">
        <v>12</v>
      </c>
      <c r="BK2946" s="8">
        <v>1278.43</v>
      </c>
      <c r="BL2946" s="2" t="s">
        <v>5088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147</v>
      </c>
      <c r="BV2946" s="2" t="s">
        <v>97</v>
      </c>
      <c r="BW2946" s="2" t="s">
        <v>100</v>
      </c>
      <c r="BX2946" s="2" t="s">
        <v>100</v>
      </c>
      <c r="BY2946" s="2" t="s">
        <v>112</v>
      </c>
      <c r="BZ2946" s="2" t="s">
        <v>100</v>
      </c>
    </row>
    <row r="2947">
      <c r="A2947" s="2" t="s">
        <v>10846</v>
      </c>
      <c r="B2947" s="2" t="s">
        <v>10578</v>
      </c>
      <c r="C2947" s="2" t="s">
        <v>5938</v>
      </c>
      <c r="D2947" s="2" t="s">
        <v>10686</v>
      </c>
      <c r="E2947" s="2" t="s">
        <v>10687</v>
      </c>
      <c r="F2947" s="2" t="s">
        <v>787</v>
      </c>
      <c r="G2947" s="2" t="s">
        <v>787</v>
      </c>
      <c r="H2947" s="2" t="s">
        <v>787</v>
      </c>
      <c r="I2947" s="2" t="s">
        <v>10693</v>
      </c>
      <c r="J2947" s="2" t="s">
        <v>6103</v>
      </c>
      <c r="K2947" s="2" t="s">
        <v>10847</v>
      </c>
      <c r="L2947" s="3">
        <v>113.4</v>
      </c>
      <c r="M2947" s="3">
        <v>119.07</v>
      </c>
      <c r="N2947" s="3">
        <v>269.99</v>
      </c>
      <c r="O2947" s="2" t="s">
        <v>229</v>
      </c>
      <c r="P2947" s="2" t="s">
        <v>198</v>
      </c>
      <c r="Q2947" s="2" t="s">
        <v>99</v>
      </c>
      <c r="R2947" s="2" t="s">
        <v>100</v>
      </c>
      <c r="S2947" s="2" t="s">
        <v>100</v>
      </c>
      <c r="T2947" s="2" t="s">
        <v>100</v>
      </c>
      <c r="U2947" s="2" t="s">
        <v>3531</v>
      </c>
      <c r="V2947" s="2" t="s">
        <v>1752</v>
      </c>
      <c r="W2947" s="2" t="s">
        <v>602</v>
      </c>
      <c r="X2947" s="2" t="s">
        <v>100</v>
      </c>
      <c r="Y2947" s="2" t="s">
        <v>10694</v>
      </c>
      <c r="Z2947" s="4">
        <v>92</v>
      </c>
      <c r="AA2947" s="4">
        <f>=ROUNDDOWN(920,0)</f>
      </c>
      <c r="AB2947" s="5">
        <v>0.1</v>
      </c>
      <c r="AC2947" s="2" t="s">
        <v>100</v>
      </c>
      <c r="AD2947" s="4"/>
      <c r="AE2947" s="4"/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/>
      <c r="AW2947" s="8"/>
      <c r="AX2947" s="4"/>
      <c r="AY2947" s="8"/>
      <c r="AZ2947" s="7"/>
      <c r="BA2947" s="7"/>
      <c r="BB2947" s="7"/>
      <c r="BC2947" s="4"/>
      <c r="BD2947" s="8"/>
      <c r="BE2947" s="4"/>
      <c r="BF2947" s="8"/>
      <c r="BG2947" s="7"/>
      <c r="BH2947" s="7"/>
      <c r="BI2947" s="7"/>
      <c r="BJ2947" s="4">
        <v>3</v>
      </c>
      <c r="BK2947" s="8">
        <v>317.45</v>
      </c>
      <c r="BL2947" s="2" t="s">
        <v>3510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147</v>
      </c>
      <c r="BV2947" s="2" t="s">
        <v>97</v>
      </c>
      <c r="BW2947" s="2" t="s">
        <v>100</v>
      </c>
      <c r="BX2947" s="2" t="s">
        <v>100</v>
      </c>
      <c r="BY2947" s="2" t="s">
        <v>112</v>
      </c>
      <c r="BZ2947" s="2" t="s">
        <v>100</v>
      </c>
    </row>
    <row r="2948">
      <c r="A2948" s="2" t="s">
        <v>10848</v>
      </c>
      <c r="B2948" s="2" t="s">
        <v>10578</v>
      </c>
      <c r="C2948" s="2" t="s">
        <v>5938</v>
      </c>
      <c r="D2948" s="2" t="s">
        <v>10686</v>
      </c>
      <c r="E2948" s="2" t="s">
        <v>10687</v>
      </c>
      <c r="F2948" s="2" t="s">
        <v>4289</v>
      </c>
      <c r="G2948" s="2" t="s">
        <v>4289</v>
      </c>
      <c r="H2948" s="2" t="s">
        <v>4289</v>
      </c>
      <c r="I2948" s="2" t="s">
        <v>10849</v>
      </c>
      <c r="J2948" s="2" t="s">
        <v>6103</v>
      </c>
      <c r="K2948" s="2" t="s">
        <v>10850</v>
      </c>
      <c r="L2948" s="3">
        <v>130.68</v>
      </c>
      <c r="M2948" s="3">
        <v>137.21</v>
      </c>
      <c r="N2948" s="3">
        <v>299.99</v>
      </c>
      <c r="O2948" s="2" t="s">
        <v>97</v>
      </c>
      <c r="P2948" s="2" t="s">
        <v>124</v>
      </c>
      <c r="Q2948" s="2" t="s">
        <v>99</v>
      </c>
      <c r="R2948" s="2" t="s">
        <v>100</v>
      </c>
      <c r="S2948" s="2" t="s">
        <v>100</v>
      </c>
      <c r="T2948" s="2" t="s">
        <v>100</v>
      </c>
      <c r="U2948" s="2" t="s">
        <v>3531</v>
      </c>
      <c r="V2948" s="2" t="s">
        <v>601</v>
      </c>
      <c r="W2948" s="2" t="s">
        <v>104</v>
      </c>
      <c r="X2948" s="2" t="s">
        <v>100</v>
      </c>
      <c r="Y2948" s="2" t="s">
        <v>10851</v>
      </c>
      <c r="Z2948" s="4">
        <v>234</v>
      </c>
      <c r="AA2948" s="4">
        <f>=ROUNDDOWN(33.4285714285714,0)</f>
      </c>
      <c r="AB2948" s="5">
        <v>7</v>
      </c>
      <c r="AC2948" s="2" t="s">
        <v>1193</v>
      </c>
      <c r="AD2948" s="4">
        <v>200</v>
      </c>
      <c r="AE2948" s="4">
        <v>200</v>
      </c>
      <c r="AF2948" s="6">
        <v>65</v>
      </c>
      <c r="AG2948" s="6"/>
      <c r="AH2948" s="7">
        <v>0.8909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>
        <v>0</v>
      </c>
      <c r="AP2948" s="4"/>
      <c r="AQ2948" s="8"/>
      <c r="AR2948" s="4">
        <v>1</v>
      </c>
      <c r="AS2948" s="8">
        <v>137.21</v>
      </c>
      <c r="AT2948" s="7">
        <v>-1</v>
      </c>
      <c r="AU2948" s="7">
        <v>-1</v>
      </c>
      <c r="AV2948" s="4"/>
      <c r="AW2948" s="8"/>
      <c r="AX2948" s="4">
        <v>1</v>
      </c>
      <c r="AY2948" s="8">
        <v>137.21</v>
      </c>
      <c r="AZ2948" s="7">
        <v>-1</v>
      </c>
      <c r="BA2948" s="7">
        <v>-1</v>
      </c>
      <c r="BB2948" s="7"/>
      <c r="BC2948" s="4"/>
      <c r="BD2948" s="8"/>
      <c r="BE2948" s="4">
        <v>1</v>
      </c>
      <c r="BF2948" s="8">
        <v>137.21</v>
      </c>
      <c r="BG2948" s="7">
        <v>-1</v>
      </c>
      <c r="BH2948" s="7">
        <v>-1</v>
      </c>
      <c r="BI2948" s="7"/>
      <c r="BJ2948" s="4">
        <v>144</v>
      </c>
      <c r="BK2948" s="8">
        <v>19348.18</v>
      </c>
      <c r="BL2948" s="2" t="s">
        <v>10852</v>
      </c>
      <c r="BM2948" s="7"/>
      <c r="BN2948" s="7"/>
      <c r="BO2948" s="4"/>
      <c r="BP2948" s="8"/>
      <c r="BQ2948" s="4">
        <v>1</v>
      </c>
      <c r="BR2948" s="8">
        <v>137.21</v>
      </c>
      <c r="BS2948" s="7">
        <v>-1</v>
      </c>
      <c r="BT2948" s="7">
        <v>-1</v>
      </c>
      <c r="BU2948" s="2" t="s">
        <v>109</v>
      </c>
      <c r="BV2948" s="2" t="s">
        <v>97</v>
      </c>
      <c r="BW2948" s="2" t="s">
        <v>8043</v>
      </c>
      <c r="BX2948" s="2" t="s">
        <v>10853</v>
      </c>
      <c r="BY2948" s="2" t="s">
        <v>112</v>
      </c>
      <c r="BZ2948" s="2" t="s">
        <v>100</v>
      </c>
    </row>
    <row r="2949">
      <c r="A2949" s="2" t="s">
        <v>10854</v>
      </c>
      <c r="B2949" s="2" t="s">
        <v>10578</v>
      </c>
      <c r="C2949" s="2" t="s">
        <v>5938</v>
      </c>
      <c r="D2949" s="2" t="s">
        <v>10686</v>
      </c>
      <c r="E2949" s="2" t="s">
        <v>10687</v>
      </c>
      <c r="F2949" s="2" t="s">
        <v>10855</v>
      </c>
      <c r="G2949" s="2" t="s">
        <v>10855</v>
      </c>
      <c r="H2949" s="2" t="s">
        <v>10855</v>
      </c>
      <c r="I2949" s="2" t="s">
        <v>10856</v>
      </c>
      <c r="J2949" s="2" t="s">
        <v>6103</v>
      </c>
      <c r="K2949" s="2" t="s">
        <v>10818</v>
      </c>
      <c r="L2949" s="3">
        <v>136</v>
      </c>
      <c r="M2949" s="3">
        <v>142.8</v>
      </c>
      <c r="N2949" s="3">
        <v>279.99</v>
      </c>
      <c r="O2949" s="2" t="s">
        <v>97</v>
      </c>
      <c r="P2949" s="2" t="s">
        <v>8446</v>
      </c>
      <c r="Q2949" s="2" t="s">
        <v>99</v>
      </c>
      <c r="R2949" s="2" t="s">
        <v>100</v>
      </c>
      <c r="S2949" s="2" t="s">
        <v>100</v>
      </c>
      <c r="T2949" s="2" t="s">
        <v>100</v>
      </c>
      <c r="U2949" s="2" t="s">
        <v>3531</v>
      </c>
      <c r="V2949" s="2" t="s">
        <v>1752</v>
      </c>
      <c r="W2949" s="2" t="s">
        <v>104</v>
      </c>
      <c r="X2949" s="2" t="s">
        <v>602</v>
      </c>
      <c r="Y2949" s="2" t="s">
        <v>100</v>
      </c>
      <c r="Z2949" s="4"/>
      <c r="AA2949" s="4">
        <f>=ROUNDDOWN({0},0)</f>
      </c>
      <c r="AB2949" s="5"/>
      <c r="AC2949" s="2" t="s">
        <v>7845</v>
      </c>
      <c r="AD2949" s="4">
        <v>150</v>
      </c>
      <c r="AE2949" s="4">
        <v>150</v>
      </c>
      <c r="AF2949" s="6">
        <v>72</v>
      </c>
      <c r="AG2949" s="6"/>
      <c r="AH2949" s="7">
        <v>0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/>
      <c r="AW2949" s="8"/>
      <c r="AX2949" s="4"/>
      <c r="AY2949" s="8"/>
      <c r="AZ2949" s="7"/>
      <c r="BA2949" s="7"/>
      <c r="BB2949" s="7"/>
      <c r="BC2949" s="4"/>
      <c r="BD2949" s="8"/>
      <c r="BE2949" s="4"/>
      <c r="BF2949" s="8"/>
      <c r="BG2949" s="7"/>
      <c r="BH2949" s="7"/>
      <c r="BI2949" s="7"/>
      <c r="BJ2949" s="4"/>
      <c r="BK2949" s="8"/>
      <c r="BL2949" s="2" t="s">
        <v>100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147</v>
      </c>
      <c r="BV2949" s="2" t="s">
        <v>97</v>
      </c>
      <c r="BW2949" s="2" t="s">
        <v>100</v>
      </c>
      <c r="BX2949" s="2" t="s">
        <v>100</v>
      </c>
      <c r="BY2949" s="2" t="s">
        <v>112</v>
      </c>
      <c r="BZ2949" s="2" t="s">
        <v>100</v>
      </c>
    </row>
    <row r="2950">
      <c r="A2950" s="2" t="s">
        <v>10857</v>
      </c>
      <c r="B2950" s="2" t="s">
        <v>10578</v>
      </c>
      <c r="C2950" s="2" t="s">
        <v>5938</v>
      </c>
      <c r="D2950" s="2" t="s">
        <v>10686</v>
      </c>
      <c r="E2950" s="2" t="s">
        <v>10687</v>
      </c>
      <c r="F2950" s="2" t="s">
        <v>10858</v>
      </c>
      <c r="G2950" s="2" t="s">
        <v>10858</v>
      </c>
      <c r="H2950" s="2" t="s">
        <v>10858</v>
      </c>
      <c r="I2950" s="2" t="s">
        <v>10859</v>
      </c>
      <c r="J2950" s="2" t="s">
        <v>6103</v>
      </c>
      <c r="K2950" s="2" t="s">
        <v>1695</v>
      </c>
      <c r="L2950" s="3">
        <v>166.06</v>
      </c>
      <c r="M2950" s="3">
        <v>174.36</v>
      </c>
      <c r="N2950" s="3">
        <v>379.99</v>
      </c>
      <c r="O2950" s="2" t="s">
        <v>229</v>
      </c>
      <c r="P2950" s="2" t="s">
        <v>198</v>
      </c>
      <c r="Q2950" s="2" t="s">
        <v>99</v>
      </c>
      <c r="R2950" s="2" t="s">
        <v>100</v>
      </c>
      <c r="S2950" s="2" t="s">
        <v>100</v>
      </c>
      <c r="T2950" s="2" t="s">
        <v>100</v>
      </c>
      <c r="U2950" s="2" t="s">
        <v>3531</v>
      </c>
      <c r="V2950" s="2" t="s">
        <v>1752</v>
      </c>
      <c r="W2950" s="2" t="s">
        <v>405</v>
      </c>
      <c r="X2950" s="2" t="s">
        <v>1288</v>
      </c>
      <c r="Y2950" s="2" t="s">
        <v>443</v>
      </c>
      <c r="Z2950" s="4">
        <v>97</v>
      </c>
      <c r="AA2950" s="4">
        <f>=ROUNDDOWN(97,0)</f>
      </c>
      <c r="AB2950" s="5">
        <v>1</v>
      </c>
      <c r="AC2950" s="2" t="s">
        <v>100</v>
      </c>
      <c r="AD2950" s="4"/>
      <c r="AE2950" s="4"/>
      <c r="AF2950" s="6">
        <v>63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/>
      <c r="AW2950" s="8"/>
      <c r="AX2950" s="4"/>
      <c r="AY2950" s="8"/>
      <c r="AZ2950" s="7"/>
      <c r="BA2950" s="7"/>
      <c r="BB2950" s="7"/>
      <c r="BC2950" s="4"/>
      <c r="BD2950" s="8"/>
      <c r="BE2950" s="4"/>
      <c r="BF2950" s="8"/>
      <c r="BG2950" s="7"/>
      <c r="BH2950" s="7"/>
      <c r="BI2950" s="7"/>
      <c r="BJ2950" s="4">
        <v>1</v>
      </c>
      <c r="BK2950" s="8">
        <v>201.89</v>
      </c>
      <c r="BL2950" s="2" t="s">
        <v>8801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147</v>
      </c>
      <c r="BV2950" s="2" t="s">
        <v>97</v>
      </c>
      <c r="BW2950" s="2" t="s">
        <v>100</v>
      </c>
      <c r="BX2950" s="2" t="s">
        <v>100</v>
      </c>
      <c r="BY2950" s="2" t="s">
        <v>112</v>
      </c>
      <c r="BZ2950" s="2" t="s">
        <v>100</v>
      </c>
    </row>
    <row r="2951">
      <c r="A2951" s="2" t="s">
        <v>10860</v>
      </c>
      <c r="B2951" s="2" t="s">
        <v>10578</v>
      </c>
      <c r="C2951" s="2" t="s">
        <v>5938</v>
      </c>
      <c r="D2951" s="2" t="s">
        <v>10686</v>
      </c>
      <c r="E2951" s="2" t="s">
        <v>10687</v>
      </c>
      <c r="F2951" s="2" t="s">
        <v>10861</v>
      </c>
      <c r="G2951" s="2" t="s">
        <v>10861</v>
      </c>
      <c r="H2951" s="2" t="s">
        <v>10861</v>
      </c>
      <c r="I2951" s="2" t="s">
        <v>10862</v>
      </c>
      <c r="J2951" s="2" t="s">
        <v>6103</v>
      </c>
      <c r="K2951" s="2" t="s">
        <v>10863</v>
      </c>
      <c r="L2951" s="3">
        <v>66.24</v>
      </c>
      <c r="M2951" s="3">
        <v>69.55</v>
      </c>
      <c r="N2951" s="3">
        <v>149.99</v>
      </c>
      <c r="O2951" s="2" t="s">
        <v>229</v>
      </c>
      <c r="P2951" s="2" t="s">
        <v>198</v>
      </c>
      <c r="Q2951" s="2" t="s">
        <v>99</v>
      </c>
      <c r="R2951" s="2" t="s">
        <v>100</v>
      </c>
      <c r="S2951" s="2" t="s">
        <v>100</v>
      </c>
      <c r="T2951" s="2" t="s">
        <v>100</v>
      </c>
      <c r="U2951" s="2" t="s">
        <v>3531</v>
      </c>
      <c r="V2951" s="2" t="s">
        <v>1752</v>
      </c>
      <c r="W2951" s="2" t="s">
        <v>602</v>
      </c>
      <c r="X2951" s="2" t="s">
        <v>100</v>
      </c>
      <c r="Y2951" s="2" t="s">
        <v>7314</v>
      </c>
      <c r="Z2951" s="4">
        <v>126</v>
      </c>
      <c r="AA2951" s="4">
        <f>=ROUNDDOWN(252,0)</f>
      </c>
      <c r="AB2951" s="5">
        <v>0.5</v>
      </c>
      <c r="AC2951" s="2" t="s">
        <v>100</v>
      </c>
      <c r="AD2951" s="4"/>
      <c r="AE2951" s="4"/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/>
      <c r="AW2951" s="8"/>
      <c r="AX2951" s="4"/>
      <c r="AY2951" s="8"/>
      <c r="AZ2951" s="7"/>
      <c r="BA2951" s="7"/>
      <c r="BB2951" s="7"/>
      <c r="BC2951" s="4"/>
      <c r="BD2951" s="8"/>
      <c r="BE2951" s="4"/>
      <c r="BF2951" s="8"/>
      <c r="BG2951" s="7"/>
      <c r="BH2951" s="7"/>
      <c r="BI2951" s="7"/>
      <c r="BJ2951" s="4">
        <v>8</v>
      </c>
      <c r="BK2951" s="8">
        <v>559.1</v>
      </c>
      <c r="BL2951" s="2" t="s">
        <v>10864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147</v>
      </c>
      <c r="BV2951" s="2" t="s">
        <v>97</v>
      </c>
      <c r="BW2951" s="2" t="s">
        <v>100</v>
      </c>
      <c r="BX2951" s="2" t="s">
        <v>100</v>
      </c>
      <c r="BY2951" s="2" t="s">
        <v>112</v>
      </c>
      <c r="BZ2951" s="2" t="s">
        <v>100</v>
      </c>
    </row>
    <row r="2952">
      <c r="A2952" s="2" t="s">
        <v>10865</v>
      </c>
      <c r="B2952" s="2" t="s">
        <v>10578</v>
      </c>
      <c r="C2952" s="2" t="s">
        <v>5938</v>
      </c>
      <c r="D2952" s="2" t="s">
        <v>10686</v>
      </c>
      <c r="E2952" s="2" t="s">
        <v>10687</v>
      </c>
      <c r="F2952" s="2" t="s">
        <v>10866</v>
      </c>
      <c r="G2952" s="2" t="s">
        <v>10866</v>
      </c>
      <c r="H2952" s="2" t="s">
        <v>10866</v>
      </c>
      <c r="I2952" s="2" t="s">
        <v>10867</v>
      </c>
      <c r="J2952" s="2" t="s">
        <v>6103</v>
      </c>
      <c r="K2952" s="2" t="s">
        <v>142</v>
      </c>
      <c r="L2952" s="3">
        <v>96.12</v>
      </c>
      <c r="M2952" s="3">
        <v>100.93</v>
      </c>
      <c r="N2952" s="3">
        <v>214.99</v>
      </c>
      <c r="O2952" s="2" t="s">
        <v>229</v>
      </c>
      <c r="P2952" s="2" t="s">
        <v>198</v>
      </c>
      <c r="Q2952" s="2" t="s">
        <v>99</v>
      </c>
      <c r="R2952" s="2" t="s">
        <v>100</v>
      </c>
      <c r="S2952" s="2" t="s">
        <v>100</v>
      </c>
      <c r="T2952" s="2" t="s">
        <v>100</v>
      </c>
      <c r="U2952" s="2" t="s">
        <v>3531</v>
      </c>
      <c r="V2952" s="2" t="s">
        <v>1752</v>
      </c>
      <c r="W2952" s="2" t="s">
        <v>1288</v>
      </c>
      <c r="X2952" s="2" t="s">
        <v>405</v>
      </c>
      <c r="Y2952" s="2" t="s">
        <v>6440</v>
      </c>
      <c r="Z2952" s="4">
        <v>48</v>
      </c>
      <c r="AA2952" s="4">
        <f>=ROUNDDOWN(48,0)</f>
      </c>
      <c r="AB2952" s="5">
        <v>1</v>
      </c>
      <c r="AC2952" s="2" t="s">
        <v>100</v>
      </c>
      <c r="AD2952" s="4"/>
      <c r="AE2952" s="4"/>
      <c r="AF2952" s="6">
        <v>63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/>
      <c r="AW2952" s="8"/>
      <c r="AX2952" s="4"/>
      <c r="AY2952" s="8"/>
      <c r="AZ2952" s="7"/>
      <c r="BA2952" s="7"/>
      <c r="BB2952" s="7"/>
      <c r="BC2952" s="4"/>
      <c r="BD2952" s="8"/>
      <c r="BE2952" s="4"/>
      <c r="BF2952" s="8"/>
      <c r="BG2952" s="7"/>
      <c r="BH2952" s="7"/>
      <c r="BI2952" s="7"/>
      <c r="BJ2952" s="4">
        <v>26</v>
      </c>
      <c r="BK2952" s="8">
        <v>2081.49</v>
      </c>
      <c r="BL2952" s="2" t="s">
        <v>10868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147</v>
      </c>
      <c r="BV2952" s="2" t="s">
        <v>97</v>
      </c>
      <c r="BW2952" s="2" t="s">
        <v>100</v>
      </c>
      <c r="BX2952" s="2" t="s">
        <v>100</v>
      </c>
      <c r="BY2952" s="2" t="s">
        <v>112</v>
      </c>
      <c r="BZ2952" s="2" t="s">
        <v>100</v>
      </c>
    </row>
    <row r="2953">
      <c r="A2953" s="2" t="s">
        <v>10869</v>
      </c>
      <c r="B2953" s="2" t="s">
        <v>10578</v>
      </c>
      <c r="C2953" s="2" t="s">
        <v>5938</v>
      </c>
      <c r="D2953" s="2" t="s">
        <v>10686</v>
      </c>
      <c r="E2953" s="2" t="s">
        <v>10687</v>
      </c>
      <c r="F2953" s="2" t="s">
        <v>10870</v>
      </c>
      <c r="G2953" s="2" t="s">
        <v>10870</v>
      </c>
      <c r="H2953" s="2" t="s">
        <v>10870</v>
      </c>
      <c r="I2953" s="2" t="s">
        <v>10871</v>
      </c>
      <c r="J2953" s="2" t="s">
        <v>6103</v>
      </c>
      <c r="K2953" s="2" t="s">
        <v>10818</v>
      </c>
      <c r="L2953" s="3">
        <v>180</v>
      </c>
      <c r="M2953" s="3">
        <v>189</v>
      </c>
      <c r="N2953" s="3">
        <v>379.99</v>
      </c>
      <c r="O2953" s="2" t="s">
        <v>97</v>
      </c>
      <c r="P2953" s="2" t="s">
        <v>8446</v>
      </c>
      <c r="Q2953" s="2" t="s">
        <v>99</v>
      </c>
      <c r="R2953" s="2" t="s">
        <v>100</v>
      </c>
      <c r="S2953" s="2" t="s">
        <v>100</v>
      </c>
      <c r="T2953" s="2" t="s">
        <v>100</v>
      </c>
      <c r="U2953" s="2" t="s">
        <v>3531</v>
      </c>
      <c r="V2953" s="2" t="s">
        <v>1752</v>
      </c>
      <c r="W2953" s="2" t="s">
        <v>602</v>
      </c>
      <c r="X2953" s="2" t="s">
        <v>104</v>
      </c>
      <c r="Y2953" s="2" t="s">
        <v>100</v>
      </c>
      <c r="Z2953" s="4"/>
      <c r="AA2953" s="4">
        <f>=ROUNDDOWN({0},0)</f>
      </c>
      <c r="AB2953" s="5"/>
      <c r="AC2953" s="2" t="s">
        <v>7845</v>
      </c>
      <c r="AD2953" s="4">
        <v>150</v>
      </c>
      <c r="AE2953" s="4">
        <v>150</v>
      </c>
      <c r="AF2953" s="6">
        <v>72</v>
      </c>
      <c r="AG2953" s="6"/>
      <c r="AH2953" s="7">
        <v>0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/>
      <c r="AW2953" s="8"/>
      <c r="AX2953" s="4"/>
      <c r="AY2953" s="8"/>
      <c r="AZ2953" s="7"/>
      <c r="BA2953" s="7"/>
      <c r="BB2953" s="7"/>
      <c r="BC2953" s="4"/>
      <c r="BD2953" s="8"/>
      <c r="BE2953" s="4"/>
      <c r="BF2953" s="8"/>
      <c r="BG2953" s="7"/>
      <c r="BH2953" s="7"/>
      <c r="BI2953" s="7"/>
      <c r="BJ2953" s="4"/>
      <c r="BK2953" s="8"/>
      <c r="BL2953" s="2" t="s">
        <v>100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147</v>
      </c>
      <c r="BV2953" s="2" t="s">
        <v>97</v>
      </c>
      <c r="BW2953" s="2" t="s">
        <v>100</v>
      </c>
      <c r="BX2953" s="2" t="s">
        <v>100</v>
      </c>
      <c r="BY2953" s="2" t="s">
        <v>112</v>
      </c>
      <c r="BZ2953" s="2" t="s">
        <v>100</v>
      </c>
    </row>
    <row r="2954">
      <c r="A2954" s="2" t="s">
        <v>10872</v>
      </c>
      <c r="B2954" s="2" t="s">
        <v>10578</v>
      </c>
      <c r="C2954" s="2" t="s">
        <v>5938</v>
      </c>
      <c r="D2954" s="2" t="s">
        <v>10686</v>
      </c>
      <c r="E2954" s="2" t="s">
        <v>10687</v>
      </c>
      <c r="F2954" s="2" t="s">
        <v>10873</v>
      </c>
      <c r="G2954" s="2" t="s">
        <v>10873</v>
      </c>
      <c r="H2954" s="2" t="s">
        <v>10873</v>
      </c>
      <c r="I2954" s="2" t="s">
        <v>10874</v>
      </c>
      <c r="J2954" s="2" t="s">
        <v>6103</v>
      </c>
      <c r="K2954" s="2" t="s">
        <v>2066</v>
      </c>
      <c r="L2954" s="3">
        <v>105.3</v>
      </c>
      <c r="M2954" s="3">
        <v>110.56</v>
      </c>
      <c r="N2954" s="3">
        <v>244.99</v>
      </c>
      <c r="O2954" s="2" t="s">
        <v>229</v>
      </c>
      <c r="P2954" s="2" t="s">
        <v>198</v>
      </c>
      <c r="Q2954" s="2" t="s">
        <v>99</v>
      </c>
      <c r="R2954" s="2" t="s">
        <v>100</v>
      </c>
      <c r="S2954" s="2" t="s">
        <v>100</v>
      </c>
      <c r="T2954" s="2" t="s">
        <v>100</v>
      </c>
      <c r="U2954" s="2" t="s">
        <v>3531</v>
      </c>
      <c r="V2954" s="2" t="s">
        <v>1752</v>
      </c>
      <c r="W2954" s="2" t="s">
        <v>405</v>
      </c>
      <c r="X2954" s="2" t="s">
        <v>100</v>
      </c>
      <c r="Y2954" s="2" t="s">
        <v>4370</v>
      </c>
      <c r="Z2954" s="4">
        <v>42</v>
      </c>
      <c r="AA2954" s="4">
        <f>=ROUNDDOWN(21,0)</f>
      </c>
      <c r="AB2954" s="5">
        <v>2</v>
      </c>
      <c r="AC2954" s="2" t="s">
        <v>100</v>
      </c>
      <c r="AD2954" s="4"/>
      <c r="AE2954" s="4"/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/>
      <c r="AW2954" s="8"/>
      <c r="AX2954" s="4"/>
      <c r="AY2954" s="8"/>
      <c r="AZ2954" s="7"/>
      <c r="BA2954" s="7"/>
      <c r="BB2954" s="7"/>
      <c r="BC2954" s="4"/>
      <c r="BD2954" s="8"/>
      <c r="BE2954" s="4"/>
      <c r="BF2954" s="8"/>
      <c r="BG2954" s="7"/>
      <c r="BH2954" s="7"/>
      <c r="BI2954" s="7"/>
      <c r="BJ2954" s="4">
        <v>13</v>
      </c>
      <c r="BK2954" s="8">
        <v>1775.79</v>
      </c>
      <c r="BL2954" s="2" t="s">
        <v>10875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147</v>
      </c>
      <c r="BV2954" s="2" t="s">
        <v>97</v>
      </c>
      <c r="BW2954" s="2" t="s">
        <v>100</v>
      </c>
      <c r="BX2954" s="2" t="s">
        <v>100</v>
      </c>
      <c r="BY2954" s="2" t="s">
        <v>112</v>
      </c>
      <c r="BZ2954" s="2" t="s">
        <v>100</v>
      </c>
    </row>
    <row r="2955">
      <c r="A2955" s="2" t="s">
        <v>10876</v>
      </c>
      <c r="B2955" s="2" t="s">
        <v>10578</v>
      </c>
      <c r="C2955" s="2" t="s">
        <v>5938</v>
      </c>
      <c r="D2955" s="2" t="s">
        <v>10877</v>
      </c>
      <c r="E2955" s="2" t="s">
        <v>10878</v>
      </c>
      <c r="F2955" s="2" t="s">
        <v>7642</v>
      </c>
      <c r="G2955" s="2" t="s">
        <v>7642</v>
      </c>
      <c r="H2955" s="2" t="s">
        <v>7642</v>
      </c>
      <c r="I2955" s="2" t="s">
        <v>10879</v>
      </c>
      <c r="J2955" s="2" t="s">
        <v>6103</v>
      </c>
      <c r="K2955" s="2" t="s">
        <v>2066</v>
      </c>
      <c r="L2955" s="3">
        <v>74.1</v>
      </c>
      <c r="M2955" s="3">
        <v>77.8</v>
      </c>
      <c r="N2955" s="3">
        <v>164.99</v>
      </c>
      <c r="O2955" s="2" t="s">
        <v>97</v>
      </c>
      <c r="P2955" s="2" t="s">
        <v>182</v>
      </c>
      <c r="Q2955" s="2" t="s">
        <v>99</v>
      </c>
      <c r="R2955" s="2" t="s">
        <v>100</v>
      </c>
      <c r="S2955" s="2" t="s">
        <v>100</v>
      </c>
      <c r="T2955" s="2" t="s">
        <v>100</v>
      </c>
      <c r="U2955" s="2" t="s">
        <v>2104</v>
      </c>
      <c r="V2955" s="2" t="s">
        <v>1752</v>
      </c>
      <c r="W2955" s="2" t="s">
        <v>405</v>
      </c>
      <c r="X2955" s="2" t="s">
        <v>104</v>
      </c>
      <c r="Y2955" s="2" t="s">
        <v>10880</v>
      </c>
      <c r="Z2955" s="4">
        <v>60</v>
      </c>
      <c r="AA2955" s="4">
        <f>=ROUNDDOWN(15,0)</f>
      </c>
      <c r="AB2955" s="5">
        <v>4</v>
      </c>
      <c r="AC2955" s="2" t="s">
        <v>6199</v>
      </c>
      <c r="AD2955" s="4">
        <v>100</v>
      </c>
      <c r="AE2955" s="4">
        <v>100</v>
      </c>
      <c r="AF2955" s="6">
        <v>63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>
        <v>0</v>
      </c>
      <c r="AP2955" s="4">
        <v>2</v>
      </c>
      <c r="AQ2955" s="8">
        <v>155.62</v>
      </c>
      <c r="AR2955" s="4"/>
      <c r="AS2955" s="8"/>
      <c r="AT2955" s="7"/>
      <c r="AU2955" s="7"/>
      <c r="AV2955" s="4">
        <v>2</v>
      </c>
      <c r="AW2955" s="8">
        <v>155.62</v>
      </c>
      <c r="AX2955" s="4"/>
      <c r="AY2955" s="8"/>
      <c r="AZ2955" s="7"/>
      <c r="BA2955" s="7"/>
      <c r="BB2955" s="7">
        <v>1</v>
      </c>
      <c r="BC2955" s="4">
        <v>2</v>
      </c>
      <c r="BD2955" s="8">
        <v>155.62</v>
      </c>
      <c r="BE2955" s="4"/>
      <c r="BF2955" s="8"/>
      <c r="BG2955" s="7"/>
      <c r="BH2955" s="7"/>
      <c r="BI2955" s="7">
        <v>1</v>
      </c>
      <c r="BJ2955" s="4">
        <v>55</v>
      </c>
      <c r="BK2955" s="8">
        <v>4069.48</v>
      </c>
      <c r="BL2955" s="2" t="s">
        <v>10881</v>
      </c>
      <c r="BM2955" s="7">
        <v>0.0364</v>
      </c>
      <c r="BN2955" s="7">
        <v>0.0382</v>
      </c>
      <c r="BO2955" s="4">
        <v>2</v>
      </c>
      <c r="BP2955" s="8">
        <v>155.62</v>
      </c>
      <c r="BQ2955" s="4"/>
      <c r="BR2955" s="8"/>
      <c r="BS2955" s="7"/>
      <c r="BT2955" s="7"/>
      <c r="BU2955" s="2" t="s">
        <v>109</v>
      </c>
      <c r="BV2955" s="2" t="s">
        <v>97</v>
      </c>
      <c r="BW2955" s="2" t="s">
        <v>10633</v>
      </c>
      <c r="BX2955" s="2" t="s">
        <v>1169</v>
      </c>
      <c r="BY2955" s="2" t="s">
        <v>112</v>
      </c>
      <c r="BZ2955" s="2" t="s">
        <v>100</v>
      </c>
    </row>
    <row r="2956">
      <c r="A2956" s="2" t="s">
        <v>10882</v>
      </c>
      <c r="B2956" s="2" t="s">
        <v>10578</v>
      </c>
      <c r="C2956" s="2" t="s">
        <v>5938</v>
      </c>
      <c r="D2956" s="2" t="s">
        <v>10877</v>
      </c>
      <c r="E2956" s="2" t="s">
        <v>10878</v>
      </c>
      <c r="F2956" s="2" t="s">
        <v>10883</v>
      </c>
      <c r="G2956" s="2" t="s">
        <v>10883</v>
      </c>
      <c r="H2956" s="2" t="s">
        <v>10883</v>
      </c>
      <c r="I2956" s="2" t="s">
        <v>10884</v>
      </c>
      <c r="J2956" s="2" t="s">
        <v>6103</v>
      </c>
      <c r="K2956" s="2" t="s">
        <v>10885</v>
      </c>
      <c r="L2956" s="3">
        <v>48</v>
      </c>
      <c r="M2956" s="3">
        <v>50.4</v>
      </c>
      <c r="N2956" s="3">
        <v>99.99</v>
      </c>
      <c r="O2956" s="2" t="s">
        <v>97</v>
      </c>
      <c r="P2956" s="2" t="s">
        <v>182</v>
      </c>
      <c r="Q2956" s="2" t="s">
        <v>99</v>
      </c>
      <c r="R2956" s="2" t="s">
        <v>100</v>
      </c>
      <c r="S2956" s="2" t="s">
        <v>100</v>
      </c>
      <c r="T2956" s="2" t="s">
        <v>100</v>
      </c>
      <c r="U2956" s="2" t="s">
        <v>3531</v>
      </c>
      <c r="V2956" s="2" t="s">
        <v>1752</v>
      </c>
      <c r="W2956" s="2" t="s">
        <v>1190</v>
      </c>
      <c r="X2956" s="2" t="s">
        <v>100</v>
      </c>
      <c r="Y2956" s="2" t="s">
        <v>10886</v>
      </c>
      <c r="Z2956" s="4">
        <v>72</v>
      </c>
      <c r="AA2956" s="4">
        <f>=ROUNDDOWN(36,0)</f>
      </c>
      <c r="AB2956" s="5">
        <v>2</v>
      </c>
      <c r="AC2956" s="2" t="s">
        <v>100</v>
      </c>
      <c r="AD2956" s="4"/>
      <c r="AE2956" s="4"/>
      <c r="AF2956" s="6">
        <v>63</v>
      </c>
      <c r="AG2956" s="6"/>
      <c r="AH2956" s="7">
        <v>0.9273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/>
      <c r="AW2956" s="8"/>
      <c r="AX2956" s="4"/>
      <c r="AY2956" s="8"/>
      <c r="AZ2956" s="7"/>
      <c r="BA2956" s="7"/>
      <c r="BB2956" s="7"/>
      <c r="BC2956" s="4"/>
      <c r="BD2956" s="8"/>
      <c r="BE2956" s="4"/>
      <c r="BF2956" s="8"/>
      <c r="BG2956" s="7"/>
      <c r="BH2956" s="7"/>
      <c r="BI2956" s="7"/>
      <c r="BJ2956" s="4">
        <v>55</v>
      </c>
      <c r="BK2956" s="8">
        <v>3023.28</v>
      </c>
      <c r="BL2956" s="2" t="s">
        <v>10887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97</v>
      </c>
      <c r="BW2956" s="2" t="s">
        <v>10633</v>
      </c>
      <c r="BX2956" s="2" t="s">
        <v>100</v>
      </c>
      <c r="BY2956" s="2" t="s">
        <v>112</v>
      </c>
      <c r="BZ2956" s="2" t="s">
        <v>100</v>
      </c>
    </row>
    <row r="2957">
      <c r="A2957" s="2" t="s">
        <v>10888</v>
      </c>
      <c r="B2957" s="2" t="s">
        <v>10578</v>
      </c>
      <c r="C2957" s="2" t="s">
        <v>5938</v>
      </c>
      <c r="D2957" s="2" t="s">
        <v>10877</v>
      </c>
      <c r="E2957" s="2" t="s">
        <v>10878</v>
      </c>
      <c r="F2957" s="2" t="s">
        <v>10889</v>
      </c>
      <c r="G2957" s="2" t="s">
        <v>10889</v>
      </c>
      <c r="H2957" s="2" t="s">
        <v>10889</v>
      </c>
      <c r="I2957" s="2" t="s">
        <v>10890</v>
      </c>
      <c r="J2957" s="2" t="s">
        <v>6103</v>
      </c>
      <c r="K2957" s="2" t="s">
        <v>10683</v>
      </c>
      <c r="L2957" s="3">
        <v>45</v>
      </c>
      <c r="M2957" s="3">
        <v>47.25</v>
      </c>
      <c r="N2957" s="3">
        <v>94.99</v>
      </c>
      <c r="O2957" s="2" t="s">
        <v>97</v>
      </c>
      <c r="P2957" s="2" t="s">
        <v>1166</v>
      </c>
      <c r="Q2957" s="2" t="s">
        <v>99</v>
      </c>
      <c r="R2957" s="2" t="s">
        <v>100</v>
      </c>
      <c r="S2957" s="2" t="s">
        <v>100</v>
      </c>
      <c r="T2957" s="2" t="s">
        <v>100</v>
      </c>
      <c r="U2957" s="2" t="s">
        <v>3531</v>
      </c>
      <c r="V2957" s="2" t="s">
        <v>1752</v>
      </c>
      <c r="W2957" s="2" t="s">
        <v>405</v>
      </c>
      <c r="X2957" s="2" t="s">
        <v>1190</v>
      </c>
      <c r="Y2957" s="2" t="s">
        <v>10891</v>
      </c>
      <c r="Z2957" s="4">
        <v>100</v>
      </c>
      <c r="AA2957" s="4">
        <f>=ROUNDDOWN(25,0)</f>
      </c>
      <c r="AB2957" s="5">
        <v>4</v>
      </c>
      <c r="AC2957" s="2" t="s">
        <v>100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/>
      <c r="AW2957" s="8"/>
      <c r="AX2957" s="4"/>
      <c r="AY2957" s="8"/>
      <c r="AZ2957" s="7"/>
      <c r="BA2957" s="7"/>
      <c r="BB2957" s="7"/>
      <c r="BC2957" s="4"/>
      <c r="BD2957" s="8"/>
      <c r="BE2957" s="4"/>
      <c r="BF2957" s="8"/>
      <c r="BG2957" s="7"/>
      <c r="BH2957" s="7"/>
      <c r="BI2957" s="7"/>
      <c r="BJ2957" s="4"/>
      <c r="BK2957" s="8"/>
      <c r="BL2957" s="2" t="s">
        <v>100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147</v>
      </c>
      <c r="BV2957" s="2" t="s">
        <v>97</v>
      </c>
      <c r="BW2957" s="2" t="s">
        <v>100</v>
      </c>
      <c r="BX2957" s="2" t="s">
        <v>100</v>
      </c>
      <c r="BY2957" s="2" t="s">
        <v>112</v>
      </c>
      <c r="BZ2957" s="2" t="s">
        <v>100</v>
      </c>
    </row>
    <row r="2958">
      <c r="A2958" s="2" t="s">
        <v>10892</v>
      </c>
      <c r="B2958" s="2" t="s">
        <v>10578</v>
      </c>
      <c r="C2958" s="2" t="s">
        <v>4677</v>
      </c>
      <c r="D2958" s="2" t="s">
        <v>10579</v>
      </c>
      <c r="E2958" s="2" t="s">
        <v>10580</v>
      </c>
      <c r="F2958" s="2" t="s">
        <v>10893</v>
      </c>
      <c r="G2958" s="2" t="s">
        <v>10893</v>
      </c>
      <c r="H2958" s="2" t="s">
        <v>10893</v>
      </c>
      <c r="I2958" s="2" t="s">
        <v>10672</v>
      </c>
      <c r="J2958" s="2" t="s">
        <v>6103</v>
      </c>
      <c r="K2958" s="2" t="s">
        <v>158</v>
      </c>
      <c r="L2958" s="3">
        <v>40.38</v>
      </c>
      <c r="M2958" s="3">
        <v>42.4</v>
      </c>
      <c r="N2958" s="3">
        <v>89.99</v>
      </c>
      <c r="O2958" s="2" t="s">
        <v>97</v>
      </c>
      <c r="P2958" s="2" t="s">
        <v>182</v>
      </c>
      <c r="Q2958" s="2" t="s">
        <v>99</v>
      </c>
      <c r="R2958" s="2" t="s">
        <v>100</v>
      </c>
      <c r="S2958" s="2" t="s">
        <v>100</v>
      </c>
      <c r="T2958" s="2" t="s">
        <v>100</v>
      </c>
      <c r="U2958" s="2" t="s">
        <v>3531</v>
      </c>
      <c r="V2958" s="2" t="s">
        <v>1752</v>
      </c>
      <c r="W2958" s="2" t="s">
        <v>602</v>
      </c>
      <c r="X2958" s="2" t="s">
        <v>100</v>
      </c>
      <c r="Y2958" s="2" t="s">
        <v>10631</v>
      </c>
      <c r="Z2958" s="4">
        <v>113</v>
      </c>
      <c r="AA2958" s="4">
        <f>=ROUNDDOWN(37.6666666666667,0)</f>
      </c>
      <c r="AB2958" s="5">
        <v>3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>
        <v>0</v>
      </c>
      <c r="AP2958" s="4">
        <v>7</v>
      </c>
      <c r="AQ2958" s="8">
        <v>296.8</v>
      </c>
      <c r="AR2958" s="4"/>
      <c r="AS2958" s="8"/>
      <c r="AT2958" s="7"/>
      <c r="AU2958" s="7"/>
      <c r="AV2958" s="4">
        <v>7</v>
      </c>
      <c r="AW2958" s="8">
        <v>296.8</v>
      </c>
      <c r="AX2958" s="4"/>
      <c r="AY2958" s="8"/>
      <c r="AZ2958" s="7"/>
      <c r="BA2958" s="7"/>
      <c r="BB2958" s="7">
        <v>1</v>
      </c>
      <c r="BC2958" s="4">
        <v>7</v>
      </c>
      <c r="BD2958" s="8">
        <v>296.8</v>
      </c>
      <c r="BE2958" s="4"/>
      <c r="BF2958" s="8"/>
      <c r="BG2958" s="7"/>
      <c r="BH2958" s="7"/>
      <c r="BI2958" s="7">
        <v>1</v>
      </c>
      <c r="BJ2958" s="4">
        <v>83</v>
      </c>
      <c r="BK2958" s="8">
        <v>3857.21</v>
      </c>
      <c r="BL2958" s="2" t="s">
        <v>10894</v>
      </c>
      <c r="BM2958" s="7">
        <v>0.0843</v>
      </c>
      <c r="BN2958" s="7">
        <v>0.0769</v>
      </c>
      <c r="BO2958" s="4">
        <v>7</v>
      </c>
      <c r="BP2958" s="8">
        <v>296.8</v>
      </c>
      <c r="BQ2958" s="4"/>
      <c r="BR2958" s="8"/>
      <c r="BS2958" s="7"/>
      <c r="BT2958" s="7"/>
      <c r="BU2958" s="2" t="s">
        <v>109</v>
      </c>
      <c r="BV2958" s="2" t="s">
        <v>97</v>
      </c>
      <c r="BW2958" s="2" t="s">
        <v>10633</v>
      </c>
      <c r="BX2958" s="2" t="s">
        <v>2061</v>
      </c>
      <c r="BY2958" s="2" t="s">
        <v>112</v>
      </c>
      <c r="BZ2958" s="2" t="s">
        <v>100</v>
      </c>
    </row>
    <row r="2959">
      <c r="A2959" s="2" t="s">
        <v>10895</v>
      </c>
      <c r="B2959" s="2" t="s">
        <v>10578</v>
      </c>
      <c r="C2959" s="2" t="s">
        <v>4677</v>
      </c>
      <c r="D2959" s="2" t="s">
        <v>10579</v>
      </c>
      <c r="E2959" s="2" t="s">
        <v>10580</v>
      </c>
      <c r="F2959" s="2" t="s">
        <v>10896</v>
      </c>
      <c r="G2959" s="2" t="s">
        <v>10896</v>
      </c>
      <c r="H2959" s="2" t="s">
        <v>10896</v>
      </c>
      <c r="I2959" s="2" t="s">
        <v>10897</v>
      </c>
      <c r="J2959" s="2" t="s">
        <v>6103</v>
      </c>
      <c r="K2959" s="2" t="s">
        <v>10042</v>
      </c>
      <c r="L2959" s="3">
        <v>71.54</v>
      </c>
      <c r="M2959" s="3">
        <v>75.12</v>
      </c>
      <c r="N2959" s="3">
        <v>157.99</v>
      </c>
      <c r="O2959" s="2" t="s">
        <v>97</v>
      </c>
      <c r="P2959" s="2" t="s">
        <v>182</v>
      </c>
      <c r="Q2959" s="2" t="s">
        <v>99</v>
      </c>
      <c r="R2959" s="2" t="s">
        <v>100</v>
      </c>
      <c r="S2959" s="2" t="s">
        <v>100</v>
      </c>
      <c r="T2959" s="2" t="s">
        <v>100</v>
      </c>
      <c r="U2959" s="2" t="s">
        <v>100</v>
      </c>
      <c r="V2959" s="2" t="s">
        <v>1752</v>
      </c>
      <c r="W2959" s="2" t="s">
        <v>602</v>
      </c>
      <c r="X2959" s="2" t="s">
        <v>100</v>
      </c>
      <c r="Y2959" s="2" t="s">
        <v>9623</v>
      </c>
      <c r="Z2959" s="4">
        <v>78</v>
      </c>
      <c r="AA2959" s="4">
        <f>=ROUNDDOWN(39,0)</f>
      </c>
      <c r="AB2959" s="5">
        <v>2</v>
      </c>
      <c r="AC2959" s="2" t="s">
        <v>100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>
        <v>0</v>
      </c>
      <c r="AP2959" s="4">
        <v>2</v>
      </c>
      <c r="AQ2959" s="8">
        <v>150.24</v>
      </c>
      <c r="AR2959" s="4">
        <v>2</v>
      </c>
      <c r="AS2959" s="8">
        <v>158.14</v>
      </c>
      <c r="AT2959" s="7"/>
      <c r="AU2959" s="7">
        <v>-0.05</v>
      </c>
      <c r="AV2959" s="4">
        <v>2</v>
      </c>
      <c r="AW2959" s="8">
        <v>150.24</v>
      </c>
      <c r="AX2959" s="4">
        <v>2</v>
      </c>
      <c r="AY2959" s="8">
        <v>158.14</v>
      </c>
      <c r="AZ2959" s="7"/>
      <c r="BA2959" s="7">
        <v>-0.05</v>
      </c>
      <c r="BB2959" s="7">
        <v>1</v>
      </c>
      <c r="BC2959" s="4">
        <v>2</v>
      </c>
      <c r="BD2959" s="8">
        <v>150.24</v>
      </c>
      <c r="BE2959" s="4">
        <v>2</v>
      </c>
      <c r="BF2959" s="8">
        <v>158.14</v>
      </c>
      <c r="BG2959" s="7"/>
      <c r="BH2959" s="7">
        <v>-0.05</v>
      </c>
      <c r="BI2959" s="7">
        <v>1</v>
      </c>
      <c r="BJ2959" s="4">
        <v>58</v>
      </c>
      <c r="BK2959" s="8">
        <v>4430.66</v>
      </c>
      <c r="BL2959" s="2" t="s">
        <v>10898</v>
      </c>
      <c r="BM2959" s="7">
        <v>0.0345</v>
      </c>
      <c r="BN2959" s="7">
        <v>0.0339</v>
      </c>
      <c r="BO2959" s="4">
        <v>2</v>
      </c>
      <c r="BP2959" s="8">
        <v>150.24</v>
      </c>
      <c r="BQ2959" s="4">
        <v>2</v>
      </c>
      <c r="BR2959" s="8">
        <v>158.14</v>
      </c>
      <c r="BS2959" s="7"/>
      <c r="BT2959" s="7">
        <v>-0.05</v>
      </c>
      <c r="BU2959" s="2" t="s">
        <v>109</v>
      </c>
      <c r="BV2959" s="2" t="s">
        <v>97</v>
      </c>
      <c r="BW2959" s="2" t="s">
        <v>8043</v>
      </c>
      <c r="BX2959" s="2" t="s">
        <v>361</v>
      </c>
      <c r="BY2959" s="2" t="s">
        <v>112</v>
      </c>
      <c r="BZ2959" s="2" t="s">
        <v>100</v>
      </c>
    </row>
    <row r="2960">
      <c r="A2960" s="2" t="s">
        <v>10899</v>
      </c>
      <c r="B2960" s="2" t="s">
        <v>10578</v>
      </c>
      <c r="C2960" s="2" t="s">
        <v>4677</v>
      </c>
      <c r="D2960" s="2" t="s">
        <v>10579</v>
      </c>
      <c r="E2960" s="2" t="s">
        <v>10580</v>
      </c>
      <c r="F2960" s="2" t="s">
        <v>10900</v>
      </c>
      <c r="G2960" s="2" t="s">
        <v>10900</v>
      </c>
      <c r="H2960" s="2" t="s">
        <v>10900</v>
      </c>
      <c r="I2960" s="2" t="s">
        <v>10901</v>
      </c>
      <c r="J2960" s="2" t="s">
        <v>6103</v>
      </c>
      <c r="K2960" s="2" t="s">
        <v>635</v>
      </c>
      <c r="L2960" s="3">
        <v>46.72</v>
      </c>
      <c r="M2960" s="3">
        <v>49.06</v>
      </c>
      <c r="N2960" s="3">
        <v>109.99</v>
      </c>
      <c r="O2960" s="2" t="s">
        <v>97</v>
      </c>
      <c r="P2960" s="2" t="s">
        <v>182</v>
      </c>
      <c r="Q2960" s="2" t="s">
        <v>99</v>
      </c>
      <c r="R2960" s="2" t="s">
        <v>100</v>
      </c>
      <c r="S2960" s="2" t="s">
        <v>10902</v>
      </c>
      <c r="T2960" s="2" t="s">
        <v>100</v>
      </c>
      <c r="U2960" s="2" t="s">
        <v>100</v>
      </c>
      <c r="V2960" s="2" t="s">
        <v>601</v>
      </c>
      <c r="W2960" s="2" t="s">
        <v>602</v>
      </c>
      <c r="X2960" s="2" t="s">
        <v>100</v>
      </c>
      <c r="Y2960" s="2" t="s">
        <v>106</v>
      </c>
      <c r="Z2960" s="4">
        <v>64</v>
      </c>
      <c r="AA2960" s="4">
        <f>=ROUNDDOWN(16,0)</f>
      </c>
      <c r="AB2960" s="5">
        <v>4</v>
      </c>
      <c r="AC2960" s="2" t="s">
        <v>1328</v>
      </c>
      <c r="AD2960" s="4">
        <v>100</v>
      </c>
      <c r="AE2960" s="4">
        <v>100</v>
      </c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>
        <v>0</v>
      </c>
      <c r="AP2960" s="4">
        <v>3</v>
      </c>
      <c r="AQ2960" s="8">
        <v>147.18</v>
      </c>
      <c r="AR2960" s="4">
        <v>26</v>
      </c>
      <c r="AS2960" s="8">
        <v>1384.56</v>
      </c>
      <c r="AT2960" s="7">
        <v>-0.8846</v>
      </c>
      <c r="AU2960" s="7">
        <v>-0.8937</v>
      </c>
      <c r="AV2960" s="4">
        <v>3</v>
      </c>
      <c r="AW2960" s="8">
        <v>147.18</v>
      </c>
      <c r="AX2960" s="4">
        <v>26</v>
      </c>
      <c r="AY2960" s="8">
        <v>1384.56</v>
      </c>
      <c r="AZ2960" s="7">
        <v>-0.8846</v>
      </c>
      <c r="BA2960" s="7">
        <v>-0.8937</v>
      </c>
      <c r="BB2960" s="7">
        <v>1</v>
      </c>
      <c r="BC2960" s="4">
        <v>3</v>
      </c>
      <c r="BD2960" s="8">
        <v>147.18</v>
      </c>
      <c r="BE2960" s="4">
        <v>26</v>
      </c>
      <c r="BF2960" s="8">
        <v>1384.56</v>
      </c>
      <c r="BG2960" s="7">
        <v>-0.8846</v>
      </c>
      <c r="BH2960" s="7">
        <v>-0.8937</v>
      </c>
      <c r="BI2960" s="7">
        <v>1</v>
      </c>
      <c r="BJ2960" s="4">
        <v>106</v>
      </c>
      <c r="BK2960" s="8">
        <v>5780.87</v>
      </c>
      <c r="BL2960" s="2" t="s">
        <v>10903</v>
      </c>
      <c r="BM2960" s="7">
        <v>0.0283</v>
      </c>
      <c r="BN2960" s="7">
        <v>0.0255</v>
      </c>
      <c r="BO2960" s="4">
        <v>3</v>
      </c>
      <c r="BP2960" s="8">
        <v>147.18</v>
      </c>
      <c r="BQ2960" s="4">
        <v>26</v>
      </c>
      <c r="BR2960" s="8">
        <v>1384.56</v>
      </c>
      <c r="BS2960" s="7">
        <v>-0.8846</v>
      </c>
      <c r="BT2960" s="7">
        <v>-0.8937</v>
      </c>
      <c r="BU2960" s="2" t="s">
        <v>109</v>
      </c>
      <c r="BV2960" s="2" t="s">
        <v>97</v>
      </c>
      <c r="BW2960" s="2" t="s">
        <v>8043</v>
      </c>
      <c r="BX2960" s="2" t="s">
        <v>10904</v>
      </c>
      <c r="BY2960" s="2" t="s">
        <v>112</v>
      </c>
      <c r="BZ2960" s="2" t="s">
        <v>100</v>
      </c>
    </row>
    <row r="2961">
      <c r="A2961" s="2" t="s">
        <v>10905</v>
      </c>
      <c r="B2961" s="2" t="s">
        <v>10578</v>
      </c>
      <c r="C2961" s="2" t="s">
        <v>4677</v>
      </c>
      <c r="D2961" s="2" t="s">
        <v>10579</v>
      </c>
      <c r="E2961" s="2" t="s">
        <v>10580</v>
      </c>
      <c r="F2961" s="2" t="s">
        <v>1282</v>
      </c>
      <c r="G2961" s="2" t="s">
        <v>1282</v>
      </c>
      <c r="H2961" s="2" t="s">
        <v>1282</v>
      </c>
      <c r="I2961" s="2" t="s">
        <v>10906</v>
      </c>
      <c r="J2961" s="2" t="s">
        <v>6103</v>
      </c>
      <c r="K2961" s="2" t="s">
        <v>2066</v>
      </c>
      <c r="L2961" s="3">
        <v>45</v>
      </c>
      <c r="M2961" s="3">
        <v>47.25</v>
      </c>
      <c r="N2961" s="3">
        <v>104.99</v>
      </c>
      <c r="O2961" s="2" t="s">
        <v>97</v>
      </c>
      <c r="P2961" s="2" t="s">
        <v>182</v>
      </c>
      <c r="Q2961" s="2" t="s">
        <v>99</v>
      </c>
      <c r="R2961" s="2" t="s">
        <v>100</v>
      </c>
      <c r="S2961" s="2" t="s">
        <v>100</v>
      </c>
      <c r="T2961" s="2" t="s">
        <v>100</v>
      </c>
      <c r="U2961" s="2" t="s">
        <v>3531</v>
      </c>
      <c r="V2961" s="2" t="s">
        <v>1752</v>
      </c>
      <c r="W2961" s="2" t="s">
        <v>602</v>
      </c>
      <c r="X2961" s="2" t="s">
        <v>1190</v>
      </c>
      <c r="Y2961" s="2" t="s">
        <v>10333</v>
      </c>
      <c r="Z2961" s="4">
        <v>122</v>
      </c>
      <c r="AA2961" s="4">
        <f>=ROUNDDOWN(30.5,0)</f>
      </c>
      <c r="AB2961" s="5">
        <v>4</v>
      </c>
      <c r="AC2961" s="2" t="s">
        <v>100</v>
      </c>
      <c r="AD2961" s="4"/>
      <c r="AE2961" s="4"/>
      <c r="AF2961" s="6">
        <v>63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>
        <v>0</v>
      </c>
      <c r="AP2961" s="4">
        <v>2</v>
      </c>
      <c r="AQ2961" s="8">
        <v>94.5</v>
      </c>
      <c r="AR2961" s="4"/>
      <c r="AS2961" s="8"/>
      <c r="AT2961" s="7"/>
      <c r="AU2961" s="7"/>
      <c r="AV2961" s="4">
        <v>2</v>
      </c>
      <c r="AW2961" s="8">
        <v>94.5</v>
      </c>
      <c r="AX2961" s="4"/>
      <c r="AY2961" s="8"/>
      <c r="AZ2961" s="7"/>
      <c r="BA2961" s="7"/>
      <c r="BB2961" s="7">
        <v>1</v>
      </c>
      <c r="BC2961" s="4">
        <v>2</v>
      </c>
      <c r="BD2961" s="8">
        <v>94.5</v>
      </c>
      <c r="BE2961" s="4"/>
      <c r="BF2961" s="8"/>
      <c r="BG2961" s="7"/>
      <c r="BH2961" s="7"/>
      <c r="BI2961" s="7">
        <v>1</v>
      </c>
      <c r="BJ2961" s="4">
        <v>88</v>
      </c>
      <c r="BK2961" s="8">
        <v>5005.69</v>
      </c>
      <c r="BL2961" s="2" t="s">
        <v>10907</v>
      </c>
      <c r="BM2961" s="7">
        <v>0.0227</v>
      </c>
      <c r="BN2961" s="7">
        <v>0.0189</v>
      </c>
      <c r="BO2961" s="4">
        <v>2</v>
      </c>
      <c r="BP2961" s="8">
        <v>94.5</v>
      </c>
      <c r="BQ2961" s="4"/>
      <c r="BR2961" s="8"/>
      <c r="BS2961" s="7"/>
      <c r="BT2961" s="7"/>
      <c r="BU2961" s="2" t="s">
        <v>109</v>
      </c>
      <c r="BV2961" s="2" t="s">
        <v>97</v>
      </c>
      <c r="BW2961" s="2" t="s">
        <v>10633</v>
      </c>
      <c r="BX2961" s="2" t="s">
        <v>3876</v>
      </c>
      <c r="BY2961" s="2" t="s">
        <v>112</v>
      </c>
      <c r="BZ2961" s="2" t="s">
        <v>100</v>
      </c>
    </row>
    <row r="2962">
      <c r="A2962" s="2" t="s">
        <v>10908</v>
      </c>
      <c r="B2962" s="2" t="s">
        <v>10578</v>
      </c>
      <c r="C2962" s="2" t="s">
        <v>4677</v>
      </c>
      <c r="D2962" s="2" t="s">
        <v>10579</v>
      </c>
      <c r="E2962" s="2" t="s">
        <v>10580</v>
      </c>
      <c r="F2962" s="2" t="s">
        <v>10909</v>
      </c>
      <c r="G2962" s="2" t="s">
        <v>10909</v>
      </c>
      <c r="H2962" s="2" t="s">
        <v>10909</v>
      </c>
      <c r="I2962" s="2" t="s">
        <v>10910</v>
      </c>
      <c r="J2962" s="2" t="s">
        <v>6103</v>
      </c>
      <c r="K2962" s="2" t="s">
        <v>10042</v>
      </c>
      <c r="L2962" s="3">
        <v>43.2</v>
      </c>
      <c r="M2962" s="3">
        <v>45.36</v>
      </c>
      <c r="N2962" s="3">
        <v>99.99</v>
      </c>
      <c r="O2962" s="2" t="s">
        <v>97</v>
      </c>
      <c r="P2962" s="2" t="s">
        <v>182</v>
      </c>
      <c r="Q2962" s="2" t="s">
        <v>99</v>
      </c>
      <c r="R2962" s="2" t="s">
        <v>100</v>
      </c>
      <c r="S2962" s="2" t="s">
        <v>100</v>
      </c>
      <c r="T2962" s="2" t="s">
        <v>100</v>
      </c>
      <c r="U2962" s="2" t="s">
        <v>3531</v>
      </c>
      <c r="V2962" s="2" t="s">
        <v>1752</v>
      </c>
      <c r="W2962" s="2" t="s">
        <v>104</v>
      </c>
      <c r="X2962" s="2" t="s">
        <v>100</v>
      </c>
      <c r="Y2962" s="2" t="s">
        <v>10333</v>
      </c>
      <c r="Z2962" s="4">
        <v>11</v>
      </c>
      <c r="AA2962" s="4">
        <f>=ROUNDDOWN(1.57142857142857,0)</f>
      </c>
      <c r="AB2962" s="5">
        <v>7</v>
      </c>
      <c r="AC2962" s="2" t="s">
        <v>1328</v>
      </c>
      <c r="AD2962" s="4">
        <v>150</v>
      </c>
      <c r="AE2962" s="4">
        <v>150</v>
      </c>
      <c r="AF2962" s="6">
        <v>63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>
        <v>0</v>
      </c>
      <c r="AP2962" s="4">
        <v>2</v>
      </c>
      <c r="AQ2962" s="8">
        <v>90.72</v>
      </c>
      <c r="AR2962" s="4"/>
      <c r="AS2962" s="8"/>
      <c r="AT2962" s="7"/>
      <c r="AU2962" s="7"/>
      <c r="AV2962" s="4">
        <v>2</v>
      </c>
      <c r="AW2962" s="8">
        <v>90.72</v>
      </c>
      <c r="AX2962" s="4"/>
      <c r="AY2962" s="8"/>
      <c r="AZ2962" s="7"/>
      <c r="BA2962" s="7"/>
      <c r="BB2962" s="7">
        <v>1</v>
      </c>
      <c r="BC2962" s="4">
        <v>2</v>
      </c>
      <c r="BD2962" s="8">
        <v>90.72</v>
      </c>
      <c r="BE2962" s="4"/>
      <c r="BF2962" s="8"/>
      <c r="BG2962" s="7"/>
      <c r="BH2962" s="7"/>
      <c r="BI2962" s="7">
        <v>1</v>
      </c>
      <c r="BJ2962" s="4">
        <v>159</v>
      </c>
      <c r="BK2962" s="8">
        <v>8661.06</v>
      </c>
      <c r="BL2962" s="2" t="s">
        <v>10911</v>
      </c>
      <c r="BM2962" s="7">
        <v>0.0126</v>
      </c>
      <c r="BN2962" s="7">
        <v>0.0105</v>
      </c>
      <c r="BO2962" s="4">
        <v>2</v>
      </c>
      <c r="BP2962" s="8">
        <v>90.72</v>
      </c>
      <c r="BQ2962" s="4"/>
      <c r="BR2962" s="8"/>
      <c r="BS2962" s="7"/>
      <c r="BT2962" s="7"/>
      <c r="BU2962" s="2" t="s">
        <v>109</v>
      </c>
      <c r="BV2962" s="2" t="s">
        <v>97</v>
      </c>
      <c r="BW2962" s="2" t="s">
        <v>10633</v>
      </c>
      <c r="BX2962" s="2" t="s">
        <v>1169</v>
      </c>
      <c r="BY2962" s="2" t="s">
        <v>112</v>
      </c>
      <c r="BZ2962" s="2" t="s">
        <v>100</v>
      </c>
    </row>
    <row r="2963">
      <c r="A2963" s="2" t="s">
        <v>10912</v>
      </c>
      <c r="B2963" s="2" t="s">
        <v>10578</v>
      </c>
      <c r="C2963" s="2" t="s">
        <v>4677</v>
      </c>
      <c r="D2963" s="2" t="s">
        <v>10579</v>
      </c>
      <c r="E2963" s="2" t="s">
        <v>10580</v>
      </c>
      <c r="F2963" s="2" t="s">
        <v>10913</v>
      </c>
      <c r="G2963" s="2" t="s">
        <v>10913</v>
      </c>
      <c r="H2963" s="2" t="s">
        <v>10913</v>
      </c>
      <c r="I2963" s="2" t="s">
        <v>10914</v>
      </c>
      <c r="J2963" s="2" t="s">
        <v>6103</v>
      </c>
      <c r="K2963" s="2" t="s">
        <v>666</v>
      </c>
      <c r="L2963" s="3">
        <v>46.17</v>
      </c>
      <c r="M2963" s="3">
        <v>48.48</v>
      </c>
      <c r="N2963" s="3">
        <v>104.99</v>
      </c>
      <c r="O2963" s="2" t="s">
        <v>97</v>
      </c>
      <c r="P2963" s="2" t="s">
        <v>182</v>
      </c>
      <c r="Q2963" s="2" t="s">
        <v>99</v>
      </c>
      <c r="R2963" s="2" t="s">
        <v>100</v>
      </c>
      <c r="S2963" s="2" t="s">
        <v>100</v>
      </c>
      <c r="T2963" s="2" t="s">
        <v>100</v>
      </c>
      <c r="U2963" s="2" t="s">
        <v>3531</v>
      </c>
      <c r="V2963" s="2" t="s">
        <v>1752</v>
      </c>
      <c r="W2963" s="2" t="s">
        <v>602</v>
      </c>
      <c r="X2963" s="2" t="s">
        <v>100</v>
      </c>
      <c r="Y2963" s="2" t="s">
        <v>10915</v>
      </c>
      <c r="Z2963" s="4">
        <v>82</v>
      </c>
      <c r="AA2963" s="4">
        <f>=ROUNDDOWN(37.2727272727273,0)</f>
      </c>
      <c r="AB2963" s="5">
        <v>2.2</v>
      </c>
      <c r="AC2963" s="2" t="s">
        <v>100</v>
      </c>
      <c r="AD2963" s="4"/>
      <c r="AE2963" s="4"/>
      <c r="AF2963" s="6">
        <v>65</v>
      </c>
      <c r="AG2963" s="6"/>
      <c r="AH2963" s="7">
        <v>0.9818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>
        <v>0</v>
      </c>
      <c r="AP2963" s="4">
        <v>1</v>
      </c>
      <c r="AQ2963" s="8">
        <v>48.48</v>
      </c>
      <c r="AR2963" s="4"/>
      <c r="AS2963" s="8"/>
      <c r="AT2963" s="7"/>
      <c r="AU2963" s="7"/>
      <c r="AV2963" s="4">
        <v>1</v>
      </c>
      <c r="AW2963" s="8">
        <v>48.48</v>
      </c>
      <c r="AX2963" s="4"/>
      <c r="AY2963" s="8"/>
      <c r="AZ2963" s="7"/>
      <c r="BA2963" s="7"/>
      <c r="BB2963" s="7">
        <v>1</v>
      </c>
      <c r="BC2963" s="4">
        <v>1</v>
      </c>
      <c r="BD2963" s="8">
        <v>48.48</v>
      </c>
      <c r="BE2963" s="4"/>
      <c r="BF2963" s="8"/>
      <c r="BG2963" s="7"/>
      <c r="BH2963" s="7"/>
      <c r="BI2963" s="7">
        <v>1</v>
      </c>
      <c r="BJ2963" s="4">
        <v>41</v>
      </c>
      <c r="BK2963" s="8">
        <v>2134.62</v>
      </c>
      <c r="BL2963" s="2" t="s">
        <v>10881</v>
      </c>
      <c r="BM2963" s="7">
        <v>0.0244</v>
      </c>
      <c r="BN2963" s="7">
        <v>0.0227</v>
      </c>
      <c r="BO2963" s="4">
        <v>1</v>
      </c>
      <c r="BP2963" s="8">
        <v>48.48</v>
      </c>
      <c r="BQ2963" s="4"/>
      <c r="BR2963" s="8"/>
      <c r="BS2963" s="7"/>
      <c r="BT2963" s="7"/>
      <c r="BU2963" s="2" t="s">
        <v>109</v>
      </c>
      <c r="BV2963" s="2" t="s">
        <v>97</v>
      </c>
      <c r="BW2963" s="2" t="s">
        <v>10633</v>
      </c>
      <c r="BX2963" s="2" t="s">
        <v>580</v>
      </c>
      <c r="BY2963" s="2" t="s">
        <v>112</v>
      </c>
      <c r="BZ2963" s="2" t="s">
        <v>100</v>
      </c>
    </row>
    <row r="2964">
      <c r="A2964" s="2" t="s">
        <v>10916</v>
      </c>
      <c r="B2964" s="2" t="s">
        <v>10578</v>
      </c>
      <c r="C2964" s="2" t="s">
        <v>4677</v>
      </c>
      <c r="D2964" s="2" t="s">
        <v>10579</v>
      </c>
      <c r="E2964" s="2" t="s">
        <v>10580</v>
      </c>
      <c r="F2964" s="2" t="s">
        <v>10917</v>
      </c>
      <c r="G2964" s="2" t="s">
        <v>10917</v>
      </c>
      <c r="H2964" s="2" t="s">
        <v>10917</v>
      </c>
      <c r="I2964" s="2" t="s">
        <v>10918</v>
      </c>
      <c r="J2964" s="2" t="s">
        <v>6103</v>
      </c>
      <c r="K2964" s="2" t="s">
        <v>666</v>
      </c>
      <c r="L2964" s="3">
        <v>29.7</v>
      </c>
      <c r="M2964" s="3">
        <v>31.18</v>
      </c>
      <c r="N2964" s="3">
        <v>69.99</v>
      </c>
      <c r="O2964" s="2" t="s">
        <v>97</v>
      </c>
      <c r="P2964" s="2" t="s">
        <v>182</v>
      </c>
      <c r="Q2964" s="2" t="s">
        <v>99</v>
      </c>
      <c r="R2964" s="2" t="s">
        <v>100</v>
      </c>
      <c r="S2964" s="2" t="s">
        <v>100</v>
      </c>
      <c r="T2964" s="2" t="s">
        <v>100</v>
      </c>
      <c r="U2964" s="2" t="s">
        <v>3531</v>
      </c>
      <c r="V2964" s="2" t="s">
        <v>601</v>
      </c>
      <c r="W2964" s="2" t="s">
        <v>602</v>
      </c>
      <c r="X2964" s="2" t="s">
        <v>104</v>
      </c>
      <c r="Y2964" s="2" t="s">
        <v>5636</v>
      </c>
      <c r="Z2964" s="4">
        <v>95</v>
      </c>
      <c r="AA2964" s="4">
        <f>=ROUNDDOWN(47.5,0)</f>
      </c>
      <c r="AB2964" s="5">
        <v>2</v>
      </c>
      <c r="AC2964" s="2" t="s">
        <v>100</v>
      </c>
      <c r="AD2964" s="4"/>
      <c r="AE2964" s="4"/>
      <c r="AF2964" s="6">
        <v>63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>
        <v>0</v>
      </c>
      <c r="AP2964" s="4">
        <v>1</v>
      </c>
      <c r="AQ2964" s="8">
        <v>31.19</v>
      </c>
      <c r="AR2964" s="4"/>
      <c r="AS2964" s="8"/>
      <c r="AT2964" s="7"/>
      <c r="AU2964" s="7"/>
      <c r="AV2964" s="4">
        <v>1</v>
      </c>
      <c r="AW2964" s="8">
        <v>31.19</v>
      </c>
      <c r="AX2964" s="4"/>
      <c r="AY2964" s="8"/>
      <c r="AZ2964" s="7"/>
      <c r="BA2964" s="7"/>
      <c r="BB2964" s="7">
        <v>1</v>
      </c>
      <c r="BC2964" s="4">
        <v>1</v>
      </c>
      <c r="BD2964" s="8">
        <v>31.19</v>
      </c>
      <c r="BE2964" s="4"/>
      <c r="BF2964" s="8"/>
      <c r="BG2964" s="7"/>
      <c r="BH2964" s="7"/>
      <c r="BI2964" s="7">
        <v>1</v>
      </c>
      <c r="BJ2964" s="4">
        <v>34</v>
      </c>
      <c r="BK2964" s="8">
        <v>1188.14</v>
      </c>
      <c r="BL2964" s="2" t="s">
        <v>10919</v>
      </c>
      <c r="BM2964" s="7">
        <v>0.0294</v>
      </c>
      <c r="BN2964" s="7">
        <v>0.0263</v>
      </c>
      <c r="BO2964" s="4">
        <v>1</v>
      </c>
      <c r="BP2964" s="8">
        <v>31.19</v>
      </c>
      <c r="BQ2964" s="4"/>
      <c r="BR2964" s="8"/>
      <c r="BS2964" s="7"/>
      <c r="BT2964" s="7"/>
      <c r="BU2964" s="2" t="s">
        <v>109</v>
      </c>
      <c r="BV2964" s="2" t="s">
        <v>97</v>
      </c>
      <c r="BW2964" s="2" t="s">
        <v>10633</v>
      </c>
      <c r="BX2964" s="2" t="s">
        <v>3161</v>
      </c>
      <c r="BY2964" s="2" t="s">
        <v>112</v>
      </c>
      <c r="BZ2964" s="2" t="s">
        <v>100</v>
      </c>
    </row>
    <row r="2965">
      <c r="A2965" s="2" t="s">
        <v>10920</v>
      </c>
      <c r="B2965" s="2" t="s">
        <v>10578</v>
      </c>
      <c r="C2965" s="2" t="s">
        <v>4677</v>
      </c>
      <c r="D2965" s="2" t="s">
        <v>10579</v>
      </c>
      <c r="E2965" s="2" t="s">
        <v>10580</v>
      </c>
      <c r="F2965" s="2" t="s">
        <v>10921</v>
      </c>
      <c r="G2965" s="2" t="s">
        <v>10921</v>
      </c>
      <c r="H2965" s="2" t="s">
        <v>10921</v>
      </c>
      <c r="I2965" s="2" t="s">
        <v>10922</v>
      </c>
      <c r="J2965" s="2" t="s">
        <v>6103</v>
      </c>
      <c r="K2965" s="2" t="s">
        <v>2367</v>
      </c>
      <c r="L2965" s="3">
        <v>24.5</v>
      </c>
      <c r="M2965" s="3">
        <v>25.73</v>
      </c>
      <c r="N2965" s="3">
        <v>49.99</v>
      </c>
      <c r="O2965" s="2" t="s">
        <v>97</v>
      </c>
      <c r="P2965" s="2" t="s">
        <v>1166</v>
      </c>
      <c r="Q2965" s="2" t="s">
        <v>99</v>
      </c>
      <c r="R2965" s="2" t="s">
        <v>100</v>
      </c>
      <c r="S2965" s="2" t="s">
        <v>100</v>
      </c>
      <c r="T2965" s="2" t="s">
        <v>100</v>
      </c>
      <c r="U2965" s="2" t="s">
        <v>3531</v>
      </c>
      <c r="V2965" s="2" t="s">
        <v>1752</v>
      </c>
      <c r="W2965" s="2" t="s">
        <v>759</v>
      </c>
      <c r="X2965" s="2" t="s">
        <v>602</v>
      </c>
      <c r="Y2965" s="2" t="s">
        <v>7911</v>
      </c>
      <c r="Z2965" s="4"/>
      <c r="AA2965" s="4">
        <f>=ROUNDDOWN({0},0)</f>
      </c>
      <c r="AB2965" s="5">
        <v>1</v>
      </c>
      <c r="AC2965" s="2" t="s">
        <v>936</v>
      </c>
      <c r="AD2965" s="4">
        <v>100</v>
      </c>
      <c r="AE2965" s="4">
        <v>100</v>
      </c>
      <c r="AF2965" s="6">
        <v>65</v>
      </c>
      <c r="AG2965" s="6"/>
      <c r="AH2965" s="7">
        <v>0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/>
      <c r="AW2965" s="8"/>
      <c r="AX2965" s="4"/>
      <c r="AY2965" s="8"/>
      <c r="AZ2965" s="7"/>
      <c r="BA2965" s="7"/>
      <c r="BB2965" s="7"/>
      <c r="BC2965" s="4"/>
      <c r="BD2965" s="8"/>
      <c r="BE2965" s="4"/>
      <c r="BF2965" s="8"/>
      <c r="BG2965" s="7"/>
      <c r="BH2965" s="7"/>
      <c r="BI2965" s="7"/>
      <c r="BJ2965" s="4"/>
      <c r="BK2965" s="8"/>
      <c r="BL2965" s="2" t="s">
        <v>100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147</v>
      </c>
      <c r="BV2965" s="2" t="s">
        <v>97</v>
      </c>
      <c r="BW2965" s="2" t="s">
        <v>100</v>
      </c>
      <c r="BX2965" s="2" t="s">
        <v>100</v>
      </c>
      <c r="BY2965" s="2" t="s">
        <v>112</v>
      </c>
      <c r="BZ2965" s="2" t="s">
        <v>100</v>
      </c>
    </row>
    <row r="2966">
      <c r="A2966" s="2" t="s">
        <v>10923</v>
      </c>
      <c r="B2966" s="2" t="s">
        <v>10578</v>
      </c>
      <c r="C2966" s="2" t="s">
        <v>4677</v>
      </c>
      <c r="D2966" s="2" t="s">
        <v>10579</v>
      </c>
      <c r="E2966" s="2" t="s">
        <v>10580</v>
      </c>
      <c r="F2966" s="2" t="s">
        <v>10924</v>
      </c>
      <c r="G2966" s="2" t="s">
        <v>10924</v>
      </c>
      <c r="H2966" s="2" t="s">
        <v>10924</v>
      </c>
      <c r="I2966" s="2" t="s">
        <v>10901</v>
      </c>
      <c r="J2966" s="2" t="s">
        <v>6103</v>
      </c>
      <c r="K2966" s="2" t="s">
        <v>2367</v>
      </c>
      <c r="L2966" s="3">
        <v>45.25</v>
      </c>
      <c r="M2966" s="3">
        <v>47.51</v>
      </c>
      <c r="N2966" s="3">
        <v>99.99</v>
      </c>
      <c r="O2966" s="2" t="s">
        <v>97</v>
      </c>
      <c r="P2966" s="2" t="s">
        <v>182</v>
      </c>
      <c r="Q2966" s="2" t="s">
        <v>99</v>
      </c>
      <c r="R2966" s="2" t="s">
        <v>100</v>
      </c>
      <c r="S2966" s="2" t="s">
        <v>100</v>
      </c>
      <c r="T2966" s="2" t="s">
        <v>100</v>
      </c>
      <c r="U2966" s="2" t="s">
        <v>3531</v>
      </c>
      <c r="V2966" s="2" t="s">
        <v>1752</v>
      </c>
      <c r="W2966" s="2" t="s">
        <v>602</v>
      </c>
      <c r="X2966" s="2" t="s">
        <v>100</v>
      </c>
      <c r="Y2966" s="2" t="s">
        <v>10631</v>
      </c>
      <c r="Z2966" s="4">
        <v>95</v>
      </c>
      <c r="AA2966" s="4">
        <f>=ROUNDDOWN(32.7586206896552,0)</f>
      </c>
      <c r="AB2966" s="5">
        <v>2.9</v>
      </c>
      <c r="AC2966" s="2" t="s">
        <v>3872</v>
      </c>
      <c r="AD2966" s="4">
        <v>100</v>
      </c>
      <c r="AE2966" s="4">
        <v>100</v>
      </c>
      <c r="AF2966" s="6">
        <v>65</v>
      </c>
      <c r="AG2966" s="6"/>
      <c r="AH2966" s="7">
        <v>0.9394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/>
      <c r="AW2966" s="8"/>
      <c r="AX2966" s="4"/>
      <c r="AY2966" s="8"/>
      <c r="AZ2966" s="7"/>
      <c r="BA2966" s="7"/>
      <c r="BB2966" s="7"/>
      <c r="BC2966" s="4"/>
      <c r="BD2966" s="8"/>
      <c r="BE2966" s="4"/>
      <c r="BF2966" s="8"/>
      <c r="BG2966" s="7"/>
      <c r="BH2966" s="7"/>
      <c r="BI2966" s="7"/>
      <c r="BJ2966" s="4">
        <v>123</v>
      </c>
      <c r="BK2966" s="8">
        <v>6273.1</v>
      </c>
      <c r="BL2966" s="2" t="s">
        <v>10925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97</v>
      </c>
      <c r="BW2966" s="2" t="s">
        <v>10633</v>
      </c>
      <c r="BX2966" s="2" t="s">
        <v>100</v>
      </c>
      <c r="BY2966" s="2" t="s">
        <v>112</v>
      </c>
      <c r="BZ2966" s="2" t="s">
        <v>100</v>
      </c>
    </row>
    <row r="2967">
      <c r="A2967" s="2" t="s">
        <v>10926</v>
      </c>
      <c r="B2967" s="2" t="s">
        <v>10578</v>
      </c>
      <c r="C2967" s="2" t="s">
        <v>4677</v>
      </c>
      <c r="D2967" s="2" t="s">
        <v>10579</v>
      </c>
      <c r="E2967" s="2" t="s">
        <v>10580</v>
      </c>
      <c r="F2967" s="2" t="s">
        <v>10927</v>
      </c>
      <c r="G2967" s="2" t="s">
        <v>10928</v>
      </c>
      <c r="H2967" s="2" t="s">
        <v>10927</v>
      </c>
      <c r="I2967" s="2" t="s">
        <v>10929</v>
      </c>
      <c r="J2967" s="2" t="s">
        <v>6103</v>
      </c>
      <c r="K2967" s="2" t="s">
        <v>158</v>
      </c>
      <c r="L2967" s="3">
        <v>53</v>
      </c>
      <c r="M2967" s="3">
        <v>55.65</v>
      </c>
      <c r="N2967" s="3">
        <v>109.99</v>
      </c>
      <c r="O2967" s="2" t="s">
        <v>97</v>
      </c>
      <c r="P2967" s="2" t="s">
        <v>1166</v>
      </c>
      <c r="Q2967" s="2" t="s">
        <v>99</v>
      </c>
      <c r="R2967" s="2" t="s">
        <v>100</v>
      </c>
      <c r="S2967" s="2" t="s">
        <v>100</v>
      </c>
      <c r="T2967" s="2" t="s">
        <v>100</v>
      </c>
      <c r="U2967" s="2" t="s">
        <v>3531</v>
      </c>
      <c r="V2967" s="2" t="s">
        <v>1752</v>
      </c>
      <c r="W2967" s="2" t="s">
        <v>1403</v>
      </c>
      <c r="X2967" s="2" t="s">
        <v>602</v>
      </c>
      <c r="Y2967" s="2" t="s">
        <v>7911</v>
      </c>
      <c r="Z2967" s="4"/>
      <c r="AA2967" s="4">
        <f>=ROUNDDOWN({0},0)</f>
      </c>
      <c r="AB2967" s="5"/>
      <c r="AC2967" s="2" t="s">
        <v>936</v>
      </c>
      <c r="AD2967" s="4">
        <v>100</v>
      </c>
      <c r="AE2967" s="4">
        <v>100</v>
      </c>
      <c r="AF2967" s="6">
        <v>65</v>
      </c>
      <c r="AG2967" s="6"/>
      <c r="AH2967" s="7">
        <v>0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/>
      <c r="BK2967" s="8"/>
      <c r="BL2967" s="2" t="s">
        <v>100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147</v>
      </c>
      <c r="BV2967" s="2" t="s">
        <v>97</v>
      </c>
      <c r="BW2967" s="2" t="s">
        <v>100</v>
      </c>
      <c r="BX2967" s="2" t="s">
        <v>100</v>
      </c>
      <c r="BY2967" s="2" t="s">
        <v>112</v>
      </c>
      <c r="BZ2967" s="2" t="s">
        <v>100</v>
      </c>
    </row>
    <row r="2968">
      <c r="A2968" s="2" t="s">
        <v>10930</v>
      </c>
      <c r="B2968" s="2" t="s">
        <v>10578</v>
      </c>
      <c r="C2968" s="2" t="s">
        <v>4677</v>
      </c>
      <c r="D2968" s="2" t="s">
        <v>10579</v>
      </c>
      <c r="E2968" s="2" t="s">
        <v>10580</v>
      </c>
      <c r="F2968" s="2" t="s">
        <v>10931</v>
      </c>
      <c r="G2968" s="2" t="s">
        <v>10931</v>
      </c>
      <c r="H2968" s="2" t="s">
        <v>10931</v>
      </c>
      <c r="I2968" s="2" t="s">
        <v>10932</v>
      </c>
      <c r="J2968" s="2" t="s">
        <v>6103</v>
      </c>
      <c r="K2968" s="2" t="s">
        <v>3764</v>
      </c>
      <c r="L2968" s="3">
        <v>52.65</v>
      </c>
      <c r="M2968" s="3">
        <v>55.28</v>
      </c>
      <c r="N2968" s="3">
        <v>124.99</v>
      </c>
      <c r="O2968" s="2" t="s">
        <v>229</v>
      </c>
      <c r="P2968" s="2" t="s">
        <v>198</v>
      </c>
      <c r="Q2968" s="2" t="s">
        <v>99</v>
      </c>
      <c r="R2968" s="2" t="s">
        <v>100</v>
      </c>
      <c r="S2968" s="2" t="s">
        <v>100</v>
      </c>
      <c r="T2968" s="2" t="s">
        <v>100</v>
      </c>
      <c r="U2968" s="2" t="s">
        <v>3531</v>
      </c>
      <c r="V2968" s="2" t="s">
        <v>1752</v>
      </c>
      <c r="W2968" s="2" t="s">
        <v>2195</v>
      </c>
      <c r="X2968" s="2" t="s">
        <v>100</v>
      </c>
      <c r="Y2968" s="2" t="s">
        <v>10694</v>
      </c>
      <c r="Z2968" s="4">
        <v>19</v>
      </c>
      <c r="AA2968" s="4">
        <f>=ROUNDDOWN(6.33333333333333,0)</f>
      </c>
      <c r="AB2968" s="5">
        <v>3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/>
      <c r="AW2968" s="8"/>
      <c r="AX2968" s="4"/>
      <c r="AY2968" s="8"/>
      <c r="AZ2968" s="7"/>
      <c r="BA2968" s="7"/>
      <c r="BB2968" s="7"/>
      <c r="BC2968" s="4"/>
      <c r="BD2968" s="8"/>
      <c r="BE2968" s="4"/>
      <c r="BF2968" s="8"/>
      <c r="BG2968" s="7"/>
      <c r="BH2968" s="7"/>
      <c r="BI2968" s="7"/>
      <c r="BJ2968" s="4">
        <v>40</v>
      </c>
      <c r="BK2968" s="8">
        <v>2306.3</v>
      </c>
      <c r="BL2968" s="2" t="s">
        <v>10933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147</v>
      </c>
      <c r="BV2968" s="2" t="s">
        <v>97</v>
      </c>
      <c r="BW2968" s="2" t="s">
        <v>100</v>
      </c>
      <c r="BX2968" s="2" t="s">
        <v>100</v>
      </c>
      <c r="BY2968" s="2" t="s">
        <v>112</v>
      </c>
      <c r="BZ2968" s="2" t="s">
        <v>100</v>
      </c>
    </row>
    <row r="2969">
      <c r="A2969" s="2" t="s">
        <v>10934</v>
      </c>
      <c r="B2969" s="2" t="s">
        <v>10578</v>
      </c>
      <c r="C2969" s="2" t="s">
        <v>4677</v>
      </c>
      <c r="D2969" s="2" t="s">
        <v>10579</v>
      </c>
      <c r="E2969" s="2" t="s">
        <v>10580</v>
      </c>
      <c r="F2969" s="2" t="s">
        <v>10935</v>
      </c>
      <c r="G2969" s="2" t="s">
        <v>10935</v>
      </c>
      <c r="H2969" s="2" t="s">
        <v>10935</v>
      </c>
      <c r="I2969" s="2" t="s">
        <v>10936</v>
      </c>
      <c r="J2969" s="2" t="s">
        <v>6103</v>
      </c>
      <c r="K2969" s="2" t="s">
        <v>10937</v>
      </c>
      <c r="L2969" s="3">
        <v>38.7</v>
      </c>
      <c r="M2969" s="3">
        <v>40.64</v>
      </c>
      <c r="N2969" s="3">
        <v>89.99</v>
      </c>
      <c r="O2969" s="2" t="s">
        <v>97</v>
      </c>
      <c r="P2969" s="2" t="s">
        <v>182</v>
      </c>
      <c r="Q2969" s="2" t="s">
        <v>99</v>
      </c>
      <c r="R2969" s="2" t="s">
        <v>100</v>
      </c>
      <c r="S2969" s="2" t="s">
        <v>100</v>
      </c>
      <c r="T2969" s="2" t="s">
        <v>100</v>
      </c>
      <c r="U2969" s="2" t="s">
        <v>3531</v>
      </c>
      <c r="V2969" s="2" t="s">
        <v>1752</v>
      </c>
      <c r="W2969" s="2" t="s">
        <v>2195</v>
      </c>
      <c r="X2969" s="2" t="s">
        <v>100</v>
      </c>
      <c r="Y2969" s="2" t="s">
        <v>10333</v>
      </c>
      <c r="Z2969" s="4">
        <v>59</v>
      </c>
      <c r="AA2969" s="4">
        <f>=ROUNDDOWN(9.83333333333333,0)</f>
      </c>
      <c r="AB2969" s="5">
        <v>6</v>
      </c>
      <c r="AC2969" s="2" t="s">
        <v>1328</v>
      </c>
      <c r="AD2969" s="4">
        <v>100</v>
      </c>
      <c r="AE2969" s="4">
        <v>100</v>
      </c>
      <c r="AF2969" s="6">
        <v>63</v>
      </c>
      <c r="AG2969" s="6"/>
      <c r="AH2969" s="7">
        <v>0.8727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/>
      <c r="AW2969" s="8"/>
      <c r="AX2969" s="4"/>
      <c r="AY2969" s="8"/>
      <c r="AZ2969" s="7"/>
      <c r="BA2969" s="7"/>
      <c r="BB2969" s="7"/>
      <c r="BC2969" s="4"/>
      <c r="BD2969" s="8"/>
      <c r="BE2969" s="4"/>
      <c r="BF2969" s="8"/>
      <c r="BG2969" s="7"/>
      <c r="BH2969" s="7"/>
      <c r="BI2969" s="7"/>
      <c r="BJ2969" s="4">
        <v>136</v>
      </c>
      <c r="BK2969" s="8">
        <v>6392.85</v>
      </c>
      <c r="BL2969" s="2" t="s">
        <v>10938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97</v>
      </c>
      <c r="BW2969" s="2" t="s">
        <v>10633</v>
      </c>
      <c r="BX2969" s="2" t="s">
        <v>100</v>
      </c>
      <c r="BY2969" s="2" t="s">
        <v>112</v>
      </c>
      <c r="BZ2969" s="2" t="s">
        <v>100</v>
      </c>
    </row>
    <row r="2970">
      <c r="A2970" s="2" t="s">
        <v>10939</v>
      </c>
      <c r="B2970" s="2" t="s">
        <v>10578</v>
      </c>
      <c r="C2970" s="2" t="s">
        <v>4677</v>
      </c>
      <c r="D2970" s="2" t="s">
        <v>10579</v>
      </c>
      <c r="E2970" s="2" t="s">
        <v>10580</v>
      </c>
      <c r="F2970" s="2" t="s">
        <v>10940</v>
      </c>
      <c r="G2970" s="2" t="s">
        <v>10940</v>
      </c>
      <c r="H2970" s="2" t="s">
        <v>10940</v>
      </c>
      <c r="I2970" s="2" t="s">
        <v>10941</v>
      </c>
      <c r="J2970" s="2" t="s">
        <v>6103</v>
      </c>
      <c r="K2970" s="2" t="s">
        <v>10937</v>
      </c>
      <c r="L2970" s="3">
        <v>67.24</v>
      </c>
      <c r="M2970" s="3">
        <v>70.6</v>
      </c>
      <c r="N2970" s="3">
        <v>159.99</v>
      </c>
      <c r="O2970" s="2" t="s">
        <v>97</v>
      </c>
      <c r="P2970" s="2" t="s">
        <v>124</v>
      </c>
      <c r="Q2970" s="2" t="s">
        <v>99</v>
      </c>
      <c r="R2970" s="2" t="s">
        <v>100</v>
      </c>
      <c r="S2970" s="2" t="s">
        <v>10942</v>
      </c>
      <c r="T2970" s="2" t="s">
        <v>100</v>
      </c>
      <c r="U2970" s="2" t="s">
        <v>100</v>
      </c>
      <c r="V2970" s="2" t="s">
        <v>1122</v>
      </c>
      <c r="W2970" s="2" t="s">
        <v>2195</v>
      </c>
      <c r="X2970" s="2" t="s">
        <v>602</v>
      </c>
      <c r="Y2970" s="2" t="s">
        <v>8464</v>
      </c>
      <c r="Z2970" s="4">
        <v>60</v>
      </c>
      <c r="AA2970" s="4">
        <f>=ROUNDDOWN(4,0)</f>
      </c>
      <c r="AB2970" s="5">
        <v>15</v>
      </c>
      <c r="AC2970" s="2" t="s">
        <v>936</v>
      </c>
      <c r="AD2970" s="4">
        <v>250</v>
      </c>
      <c r="AE2970" s="4">
        <v>650</v>
      </c>
      <c r="AF2970" s="6">
        <v>65</v>
      </c>
      <c r="AG2970" s="6"/>
      <c r="AH2970" s="7">
        <v>0.8303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>
        <v>0</v>
      </c>
      <c r="AP2970" s="4"/>
      <c r="AQ2970" s="8"/>
      <c r="AR2970" s="4">
        <v>2</v>
      </c>
      <c r="AS2970" s="8">
        <v>149.05</v>
      </c>
      <c r="AT2970" s="7">
        <v>-1</v>
      </c>
      <c r="AU2970" s="7">
        <v>-1</v>
      </c>
      <c r="AV2970" s="4"/>
      <c r="AW2970" s="8"/>
      <c r="AX2970" s="4">
        <v>2</v>
      </c>
      <c r="AY2970" s="8">
        <v>149.05</v>
      </c>
      <c r="AZ2970" s="7">
        <v>-1</v>
      </c>
      <c r="BA2970" s="7">
        <v>-1</v>
      </c>
      <c r="BB2970" s="7"/>
      <c r="BC2970" s="4"/>
      <c r="BD2970" s="8"/>
      <c r="BE2970" s="4">
        <v>2</v>
      </c>
      <c r="BF2970" s="8">
        <v>149.05</v>
      </c>
      <c r="BG2970" s="7">
        <v>-1</v>
      </c>
      <c r="BH2970" s="7">
        <v>-1</v>
      </c>
      <c r="BI2970" s="7"/>
      <c r="BJ2970" s="4">
        <v>385</v>
      </c>
      <c r="BK2970" s="8">
        <v>30416.22</v>
      </c>
      <c r="BL2970" s="2" t="s">
        <v>10943</v>
      </c>
      <c r="BM2970" s="7"/>
      <c r="BN2970" s="7"/>
      <c r="BO2970" s="4"/>
      <c r="BP2970" s="8"/>
      <c r="BQ2970" s="4">
        <v>2</v>
      </c>
      <c r="BR2970" s="8">
        <v>149.05</v>
      </c>
      <c r="BS2970" s="7">
        <v>-1</v>
      </c>
      <c r="BT2970" s="7">
        <v>-1</v>
      </c>
      <c r="BU2970" s="2" t="s">
        <v>109</v>
      </c>
      <c r="BV2970" s="2" t="s">
        <v>97</v>
      </c>
      <c r="BW2970" s="2" t="s">
        <v>8043</v>
      </c>
      <c r="BX2970" s="2" t="s">
        <v>4328</v>
      </c>
      <c r="BY2970" s="2" t="s">
        <v>112</v>
      </c>
      <c r="BZ2970" s="2" t="s">
        <v>100</v>
      </c>
    </row>
    <row r="2971">
      <c r="A2971" s="2" t="s">
        <v>10944</v>
      </c>
      <c r="B2971" s="2" t="s">
        <v>10578</v>
      </c>
      <c r="C2971" s="2" t="s">
        <v>4677</v>
      </c>
      <c r="D2971" s="2" t="s">
        <v>10579</v>
      </c>
      <c r="E2971" s="2" t="s">
        <v>10580</v>
      </c>
      <c r="F2971" s="2" t="s">
        <v>10945</v>
      </c>
      <c r="G2971" s="2" t="s">
        <v>10945</v>
      </c>
      <c r="H2971" s="2" t="s">
        <v>10945</v>
      </c>
      <c r="I2971" s="2" t="s">
        <v>10946</v>
      </c>
      <c r="J2971" s="2" t="s">
        <v>6103</v>
      </c>
      <c r="K2971" s="2" t="s">
        <v>2066</v>
      </c>
      <c r="L2971" s="3">
        <v>52</v>
      </c>
      <c r="M2971" s="3">
        <v>54.6</v>
      </c>
      <c r="N2971" s="3">
        <v>109.99</v>
      </c>
      <c r="O2971" s="2" t="s">
        <v>97</v>
      </c>
      <c r="P2971" s="2" t="s">
        <v>1166</v>
      </c>
      <c r="Q2971" s="2" t="s">
        <v>99</v>
      </c>
      <c r="R2971" s="2" t="s">
        <v>100</v>
      </c>
      <c r="S2971" s="2" t="s">
        <v>100</v>
      </c>
      <c r="T2971" s="2" t="s">
        <v>100</v>
      </c>
      <c r="U2971" s="2" t="s">
        <v>3531</v>
      </c>
      <c r="V2971" s="2" t="s">
        <v>1752</v>
      </c>
      <c r="W2971" s="2" t="s">
        <v>602</v>
      </c>
      <c r="X2971" s="2" t="s">
        <v>759</v>
      </c>
      <c r="Y2971" s="2" t="s">
        <v>10947</v>
      </c>
      <c r="Z2971" s="4">
        <v>97</v>
      </c>
      <c r="AA2971" s="4">
        <f>=ROUNDDOWN(48.5,0)</f>
      </c>
      <c r="AB2971" s="5">
        <v>2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/>
      <c r="AW2971" s="8"/>
      <c r="AX2971" s="4"/>
      <c r="AY2971" s="8"/>
      <c r="AZ2971" s="7"/>
      <c r="BA2971" s="7"/>
      <c r="BB2971" s="7"/>
      <c r="BC2971" s="4"/>
      <c r="BD2971" s="8"/>
      <c r="BE2971" s="4"/>
      <c r="BF2971" s="8"/>
      <c r="BG2971" s="7"/>
      <c r="BH2971" s="7"/>
      <c r="BI2971" s="7"/>
      <c r="BJ2971" s="4">
        <v>2</v>
      </c>
      <c r="BK2971" s="8">
        <v>122.3</v>
      </c>
      <c r="BL2971" s="2" t="s">
        <v>1674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147</v>
      </c>
      <c r="BV2971" s="2" t="s">
        <v>97</v>
      </c>
      <c r="BW2971" s="2" t="s">
        <v>100</v>
      </c>
      <c r="BX2971" s="2" t="s">
        <v>100</v>
      </c>
      <c r="BY2971" s="2" t="s">
        <v>112</v>
      </c>
      <c r="BZ2971" s="2" t="s">
        <v>100</v>
      </c>
    </row>
    <row r="2972">
      <c r="A2972" s="2" t="s">
        <v>10948</v>
      </c>
      <c r="B2972" s="2" t="s">
        <v>10578</v>
      </c>
      <c r="C2972" s="2" t="s">
        <v>4677</v>
      </c>
      <c r="D2972" s="2" t="s">
        <v>10579</v>
      </c>
      <c r="E2972" s="2" t="s">
        <v>10580</v>
      </c>
      <c r="F2972" s="2" t="s">
        <v>10949</v>
      </c>
      <c r="G2972" s="2" t="s">
        <v>10949</v>
      </c>
      <c r="H2972" s="2" t="s">
        <v>10949</v>
      </c>
      <c r="I2972" s="2" t="s">
        <v>10901</v>
      </c>
      <c r="J2972" s="2" t="s">
        <v>6103</v>
      </c>
      <c r="K2972" s="2" t="s">
        <v>666</v>
      </c>
      <c r="L2972" s="3">
        <v>44</v>
      </c>
      <c r="M2972" s="3">
        <v>46.2</v>
      </c>
      <c r="N2972" s="3">
        <v>89.99</v>
      </c>
      <c r="O2972" s="2" t="s">
        <v>97</v>
      </c>
      <c r="P2972" s="2" t="s">
        <v>1166</v>
      </c>
      <c r="Q2972" s="2" t="s">
        <v>99</v>
      </c>
      <c r="R2972" s="2" t="s">
        <v>100</v>
      </c>
      <c r="S2972" s="2" t="s">
        <v>100</v>
      </c>
      <c r="T2972" s="2" t="s">
        <v>100</v>
      </c>
      <c r="U2972" s="2" t="s">
        <v>3531</v>
      </c>
      <c r="V2972" s="2" t="s">
        <v>1752</v>
      </c>
      <c r="W2972" s="2" t="s">
        <v>1403</v>
      </c>
      <c r="X2972" s="2" t="s">
        <v>602</v>
      </c>
      <c r="Y2972" s="2" t="s">
        <v>100</v>
      </c>
      <c r="Z2972" s="4"/>
      <c r="AA2972" s="4">
        <f>=ROUNDDOWN({0},0)</f>
      </c>
      <c r="AB2972" s="5"/>
      <c r="AC2972" s="2" t="s">
        <v>3872</v>
      </c>
      <c r="AD2972" s="4">
        <v>100</v>
      </c>
      <c r="AE2972" s="4">
        <v>100</v>
      </c>
      <c r="AF2972" s="6">
        <v>65</v>
      </c>
      <c r="AG2972" s="6"/>
      <c r="AH2972" s="7">
        <v>0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/>
      <c r="AW2972" s="8"/>
      <c r="AX2972" s="4"/>
      <c r="AY2972" s="8"/>
      <c r="AZ2972" s="7"/>
      <c r="BA2972" s="7"/>
      <c r="BB2972" s="7"/>
      <c r="BC2972" s="4"/>
      <c r="BD2972" s="8"/>
      <c r="BE2972" s="4"/>
      <c r="BF2972" s="8"/>
      <c r="BG2972" s="7"/>
      <c r="BH2972" s="7"/>
      <c r="BI2972" s="7"/>
      <c r="BJ2972" s="4"/>
      <c r="BK2972" s="8"/>
      <c r="BL2972" s="2" t="s">
        <v>100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147</v>
      </c>
      <c r="BV2972" s="2" t="s">
        <v>97</v>
      </c>
      <c r="BW2972" s="2" t="s">
        <v>100</v>
      </c>
      <c r="BX2972" s="2" t="s">
        <v>100</v>
      </c>
      <c r="BY2972" s="2" t="s">
        <v>112</v>
      </c>
      <c r="BZ2972" s="2" t="s">
        <v>100</v>
      </c>
    </row>
    <row r="2973">
      <c r="A2973" s="2" t="s">
        <v>10950</v>
      </c>
      <c r="B2973" s="2" t="s">
        <v>10578</v>
      </c>
      <c r="C2973" s="2" t="s">
        <v>4677</v>
      </c>
      <c r="D2973" s="2" t="s">
        <v>10579</v>
      </c>
      <c r="E2973" s="2" t="s">
        <v>10580</v>
      </c>
      <c r="F2973" s="2" t="s">
        <v>1590</v>
      </c>
      <c r="G2973" s="2" t="s">
        <v>1590</v>
      </c>
      <c r="H2973" s="2" t="s">
        <v>1590</v>
      </c>
      <c r="I2973" s="2" t="s">
        <v>10951</v>
      </c>
      <c r="J2973" s="2" t="s">
        <v>6103</v>
      </c>
      <c r="K2973" s="2" t="s">
        <v>666</v>
      </c>
      <c r="L2973" s="3">
        <v>39.5</v>
      </c>
      <c r="M2973" s="3">
        <v>41.48</v>
      </c>
      <c r="N2973" s="3">
        <v>89.99</v>
      </c>
      <c r="O2973" s="2" t="s">
        <v>97</v>
      </c>
      <c r="P2973" s="2" t="s">
        <v>182</v>
      </c>
      <c r="Q2973" s="2" t="s">
        <v>99</v>
      </c>
      <c r="R2973" s="2" t="s">
        <v>100</v>
      </c>
      <c r="S2973" s="2" t="s">
        <v>100</v>
      </c>
      <c r="T2973" s="2" t="s">
        <v>100</v>
      </c>
      <c r="U2973" s="2" t="s">
        <v>3531</v>
      </c>
      <c r="V2973" s="2" t="s">
        <v>1752</v>
      </c>
      <c r="W2973" s="2" t="s">
        <v>602</v>
      </c>
      <c r="X2973" s="2" t="s">
        <v>100</v>
      </c>
      <c r="Y2973" s="2" t="s">
        <v>10631</v>
      </c>
      <c r="Z2973" s="4">
        <v>77</v>
      </c>
      <c r="AA2973" s="4">
        <f>=ROUNDDOWN(38.5,0)</f>
      </c>
      <c r="AB2973" s="5">
        <v>2</v>
      </c>
      <c r="AC2973" s="2" t="s">
        <v>3872</v>
      </c>
      <c r="AD2973" s="4">
        <v>100</v>
      </c>
      <c r="AE2973" s="4">
        <v>100</v>
      </c>
      <c r="AF2973" s="6">
        <v>65</v>
      </c>
      <c r="AG2973" s="6"/>
      <c r="AH2973" s="7">
        <v>0.7576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/>
      <c r="AW2973" s="8"/>
      <c r="AX2973" s="4"/>
      <c r="AY2973" s="8"/>
      <c r="AZ2973" s="7"/>
      <c r="BA2973" s="7"/>
      <c r="BB2973" s="7"/>
      <c r="BC2973" s="4"/>
      <c r="BD2973" s="8"/>
      <c r="BE2973" s="4"/>
      <c r="BF2973" s="8"/>
      <c r="BG2973" s="7"/>
      <c r="BH2973" s="7"/>
      <c r="BI2973" s="7"/>
      <c r="BJ2973" s="4">
        <v>26</v>
      </c>
      <c r="BK2973" s="8">
        <v>1207.78</v>
      </c>
      <c r="BL2973" s="2" t="s">
        <v>10952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97</v>
      </c>
      <c r="BW2973" s="2" t="s">
        <v>10633</v>
      </c>
      <c r="BX2973" s="2" t="s">
        <v>100</v>
      </c>
      <c r="BY2973" s="2" t="s">
        <v>112</v>
      </c>
      <c r="BZ2973" s="2" t="s">
        <v>100</v>
      </c>
    </row>
    <row r="2974">
      <c r="A2974" s="2" t="s">
        <v>10953</v>
      </c>
      <c r="B2974" s="2" t="s">
        <v>10578</v>
      </c>
      <c r="C2974" s="2" t="s">
        <v>4677</v>
      </c>
      <c r="D2974" s="2" t="s">
        <v>10579</v>
      </c>
      <c r="E2974" s="2" t="s">
        <v>10580</v>
      </c>
      <c r="F2974" s="2" t="s">
        <v>10954</v>
      </c>
      <c r="G2974" s="2" t="s">
        <v>10954</v>
      </c>
      <c r="H2974" s="2" t="s">
        <v>10954</v>
      </c>
      <c r="I2974" s="2" t="s">
        <v>10955</v>
      </c>
      <c r="J2974" s="2" t="s">
        <v>6103</v>
      </c>
      <c r="K2974" s="2" t="s">
        <v>10373</v>
      </c>
      <c r="L2974" s="3">
        <v>49</v>
      </c>
      <c r="M2974" s="3">
        <v>51.45</v>
      </c>
      <c r="N2974" s="3">
        <v>99.99</v>
      </c>
      <c r="O2974" s="2" t="s">
        <v>97</v>
      </c>
      <c r="P2974" s="2" t="s">
        <v>1166</v>
      </c>
      <c r="Q2974" s="2" t="s">
        <v>99</v>
      </c>
      <c r="R2974" s="2" t="s">
        <v>100</v>
      </c>
      <c r="S2974" s="2" t="s">
        <v>100</v>
      </c>
      <c r="T2974" s="2" t="s">
        <v>100</v>
      </c>
      <c r="U2974" s="2" t="s">
        <v>3531</v>
      </c>
      <c r="V2974" s="2" t="s">
        <v>1752</v>
      </c>
      <c r="W2974" s="2" t="s">
        <v>602</v>
      </c>
      <c r="X2974" s="2" t="s">
        <v>759</v>
      </c>
      <c r="Y2974" s="2" t="s">
        <v>10746</v>
      </c>
      <c r="Z2974" s="4">
        <v>76</v>
      </c>
      <c r="AA2974" s="4">
        <f>=ROUNDDOWN(76,0)</f>
      </c>
      <c r="AB2974" s="5">
        <v>1</v>
      </c>
      <c r="AC2974" s="2" t="s">
        <v>100</v>
      </c>
      <c r="AD2974" s="4"/>
      <c r="AE2974" s="4"/>
      <c r="AF2974" s="6">
        <v>63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/>
      <c r="AW2974" s="8"/>
      <c r="AX2974" s="4"/>
      <c r="AY2974" s="8"/>
      <c r="AZ2974" s="7"/>
      <c r="BA2974" s="7"/>
      <c r="BB2974" s="7"/>
      <c r="BC2974" s="4"/>
      <c r="BD2974" s="8"/>
      <c r="BE2974" s="4"/>
      <c r="BF2974" s="8"/>
      <c r="BG2974" s="7"/>
      <c r="BH2974" s="7"/>
      <c r="BI2974" s="7"/>
      <c r="BJ2974" s="4">
        <v>11</v>
      </c>
      <c r="BK2974" s="8">
        <v>618.77</v>
      </c>
      <c r="BL2974" s="2" t="s">
        <v>10664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97</v>
      </c>
      <c r="BW2974" s="2" t="s">
        <v>9615</v>
      </c>
      <c r="BX2974" s="2" t="s">
        <v>100</v>
      </c>
      <c r="BY2974" s="2" t="s">
        <v>112</v>
      </c>
      <c r="BZ2974" s="2" t="s">
        <v>100</v>
      </c>
    </row>
    <row r="2975">
      <c r="A2975" s="2" t="s">
        <v>10956</v>
      </c>
      <c r="B2975" s="2" t="s">
        <v>10578</v>
      </c>
      <c r="C2975" s="2" t="s">
        <v>4677</v>
      </c>
      <c r="D2975" s="2" t="s">
        <v>10579</v>
      </c>
      <c r="E2975" s="2" t="s">
        <v>10580</v>
      </c>
      <c r="F2975" s="2" t="s">
        <v>10957</v>
      </c>
      <c r="G2975" s="2" t="s">
        <v>10957</v>
      </c>
      <c r="H2975" s="2" t="s">
        <v>10957</v>
      </c>
      <c r="I2975" s="2" t="s">
        <v>10672</v>
      </c>
      <c r="J2975" s="2" t="s">
        <v>6103</v>
      </c>
      <c r="K2975" s="2" t="s">
        <v>2066</v>
      </c>
      <c r="L2975" s="3">
        <v>44.98</v>
      </c>
      <c r="M2975" s="3">
        <v>47.23</v>
      </c>
      <c r="N2975" s="3">
        <v>94.99</v>
      </c>
      <c r="O2975" s="2" t="s">
        <v>229</v>
      </c>
      <c r="P2975" s="2" t="s">
        <v>198</v>
      </c>
      <c r="Q2975" s="2" t="s">
        <v>99</v>
      </c>
      <c r="R2975" s="2" t="s">
        <v>100</v>
      </c>
      <c r="S2975" s="2" t="s">
        <v>100</v>
      </c>
      <c r="T2975" s="2" t="s">
        <v>100</v>
      </c>
      <c r="U2975" s="2" t="s">
        <v>3531</v>
      </c>
      <c r="V2975" s="2" t="s">
        <v>1752</v>
      </c>
      <c r="W2975" s="2" t="s">
        <v>602</v>
      </c>
      <c r="X2975" s="2" t="s">
        <v>100</v>
      </c>
      <c r="Y2975" s="2" t="s">
        <v>10915</v>
      </c>
      <c r="Z2975" s="4">
        <v>13</v>
      </c>
      <c r="AA2975" s="4">
        <f>=ROUNDDOWN(8.125,0)</f>
      </c>
      <c r="AB2975" s="5">
        <v>1.6</v>
      </c>
      <c r="AC2975" s="2" t="s">
        <v>100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/>
      <c r="BD2975" s="8"/>
      <c r="BE2975" s="4"/>
      <c r="BF2975" s="8"/>
      <c r="BG2975" s="7"/>
      <c r="BH2975" s="7"/>
      <c r="BI2975" s="7"/>
      <c r="BJ2975" s="4">
        <v>25</v>
      </c>
      <c r="BK2975" s="8">
        <v>814.98</v>
      </c>
      <c r="BL2975" s="2" t="s">
        <v>10958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147</v>
      </c>
      <c r="BV2975" s="2" t="s">
        <v>97</v>
      </c>
      <c r="BW2975" s="2" t="s">
        <v>100</v>
      </c>
      <c r="BX2975" s="2" t="s">
        <v>100</v>
      </c>
      <c r="BY2975" s="2" t="s">
        <v>112</v>
      </c>
      <c r="BZ2975" s="2" t="s">
        <v>100</v>
      </c>
    </row>
    <row r="2976">
      <c r="A2976" s="2" t="s">
        <v>10959</v>
      </c>
      <c r="B2976" s="2" t="s">
        <v>10578</v>
      </c>
      <c r="C2976" s="2" t="s">
        <v>4677</v>
      </c>
      <c r="D2976" s="2" t="s">
        <v>10579</v>
      </c>
      <c r="E2976" s="2" t="s">
        <v>10580</v>
      </c>
      <c r="F2976" s="2" t="s">
        <v>10960</v>
      </c>
      <c r="G2976" s="2" t="s">
        <v>10960</v>
      </c>
      <c r="H2976" s="2" t="s">
        <v>10960</v>
      </c>
      <c r="I2976" s="2" t="s">
        <v>10961</v>
      </c>
      <c r="J2976" s="2" t="s">
        <v>6103</v>
      </c>
      <c r="K2976" s="2" t="s">
        <v>10962</v>
      </c>
      <c r="L2976" s="3">
        <v>45.36</v>
      </c>
      <c r="M2976" s="3">
        <v>47.63</v>
      </c>
      <c r="N2976" s="3">
        <v>104.99</v>
      </c>
      <c r="O2976" s="2" t="s">
        <v>97</v>
      </c>
      <c r="P2976" s="2" t="s">
        <v>182</v>
      </c>
      <c r="Q2976" s="2" t="s">
        <v>99</v>
      </c>
      <c r="R2976" s="2" t="s">
        <v>100</v>
      </c>
      <c r="S2976" s="2" t="s">
        <v>100</v>
      </c>
      <c r="T2976" s="2" t="s">
        <v>100</v>
      </c>
      <c r="U2976" s="2" t="s">
        <v>3531</v>
      </c>
      <c r="V2976" s="2" t="s">
        <v>1752</v>
      </c>
      <c r="W2976" s="2" t="s">
        <v>6998</v>
      </c>
      <c r="X2976" s="2" t="s">
        <v>100</v>
      </c>
      <c r="Y2976" s="2" t="s">
        <v>10694</v>
      </c>
      <c r="Z2976" s="4">
        <v>135</v>
      </c>
      <c r="AA2976" s="4">
        <f>=ROUNDDOWN(67.5,0)</f>
      </c>
      <c r="AB2976" s="5">
        <v>2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/>
      <c r="AW2976" s="8"/>
      <c r="AX2976" s="4"/>
      <c r="AY2976" s="8"/>
      <c r="AZ2976" s="7"/>
      <c r="BA2976" s="7"/>
      <c r="BB2976" s="7"/>
      <c r="BC2976" s="4"/>
      <c r="BD2976" s="8"/>
      <c r="BE2976" s="4"/>
      <c r="BF2976" s="8"/>
      <c r="BG2976" s="7"/>
      <c r="BH2976" s="7"/>
      <c r="BI2976" s="7"/>
      <c r="BJ2976" s="4">
        <v>53</v>
      </c>
      <c r="BK2976" s="8">
        <v>2712.27</v>
      </c>
      <c r="BL2976" s="2" t="s">
        <v>10963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97</v>
      </c>
      <c r="BW2976" s="2" t="s">
        <v>9615</v>
      </c>
      <c r="BX2976" s="2" t="s">
        <v>100</v>
      </c>
      <c r="BY2976" s="2" t="s">
        <v>112</v>
      </c>
      <c r="BZ2976" s="2" t="s">
        <v>100</v>
      </c>
    </row>
    <row r="2977">
      <c r="A2977" s="2" t="s">
        <v>10964</v>
      </c>
      <c r="B2977" s="2" t="s">
        <v>10578</v>
      </c>
      <c r="C2977" s="2" t="s">
        <v>4677</v>
      </c>
      <c r="D2977" s="2" t="s">
        <v>10579</v>
      </c>
      <c r="E2977" s="2" t="s">
        <v>10580</v>
      </c>
      <c r="F2977" s="2" t="s">
        <v>10965</v>
      </c>
      <c r="G2977" s="2" t="s">
        <v>10965</v>
      </c>
      <c r="H2977" s="2" t="s">
        <v>10965</v>
      </c>
      <c r="I2977" s="2" t="s">
        <v>10966</v>
      </c>
      <c r="J2977" s="2" t="s">
        <v>6103</v>
      </c>
      <c r="K2977" s="2" t="s">
        <v>10967</v>
      </c>
      <c r="L2977" s="3">
        <v>55</v>
      </c>
      <c r="M2977" s="3">
        <v>57.75</v>
      </c>
      <c r="N2977" s="3">
        <v>114.99</v>
      </c>
      <c r="O2977" s="2" t="s">
        <v>97</v>
      </c>
      <c r="P2977" s="2" t="s">
        <v>1166</v>
      </c>
      <c r="Q2977" s="2" t="s">
        <v>99</v>
      </c>
      <c r="R2977" s="2" t="s">
        <v>100</v>
      </c>
      <c r="S2977" s="2" t="s">
        <v>100</v>
      </c>
      <c r="T2977" s="2" t="s">
        <v>100</v>
      </c>
      <c r="U2977" s="2" t="s">
        <v>3531</v>
      </c>
      <c r="V2977" s="2" t="s">
        <v>1752</v>
      </c>
      <c r="W2977" s="2" t="s">
        <v>759</v>
      </c>
      <c r="X2977" s="2" t="s">
        <v>602</v>
      </c>
      <c r="Y2977" s="2" t="s">
        <v>3727</v>
      </c>
      <c r="Z2977" s="4">
        <v>82</v>
      </c>
      <c r="AA2977" s="4">
        <f>=ROUNDDOWN(41,0)</f>
      </c>
      <c r="AB2977" s="5">
        <v>2</v>
      </c>
      <c r="AC2977" s="2" t="s">
        <v>100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/>
      <c r="AW2977" s="8"/>
      <c r="AX2977" s="4"/>
      <c r="AY2977" s="8"/>
      <c r="AZ2977" s="7"/>
      <c r="BA2977" s="7"/>
      <c r="BB2977" s="7"/>
      <c r="BC2977" s="4"/>
      <c r="BD2977" s="8"/>
      <c r="BE2977" s="4"/>
      <c r="BF2977" s="8"/>
      <c r="BG2977" s="7"/>
      <c r="BH2977" s="7"/>
      <c r="BI2977" s="7"/>
      <c r="BJ2977" s="4">
        <v>13</v>
      </c>
      <c r="BK2977" s="8">
        <v>808.21</v>
      </c>
      <c r="BL2977" s="2" t="s">
        <v>10968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97</v>
      </c>
      <c r="BW2977" s="2" t="s">
        <v>9615</v>
      </c>
      <c r="BX2977" s="2" t="s">
        <v>100</v>
      </c>
      <c r="BY2977" s="2" t="s">
        <v>112</v>
      </c>
      <c r="BZ2977" s="2" t="s">
        <v>100</v>
      </c>
    </row>
    <row r="2978">
      <c r="A2978" s="2" t="s">
        <v>10969</v>
      </c>
      <c r="B2978" s="2" t="s">
        <v>10578</v>
      </c>
      <c r="C2978" s="2" t="s">
        <v>4677</v>
      </c>
      <c r="D2978" s="2" t="s">
        <v>10579</v>
      </c>
      <c r="E2978" s="2" t="s">
        <v>10580</v>
      </c>
      <c r="F2978" s="2" t="s">
        <v>10970</v>
      </c>
      <c r="G2978" s="2" t="s">
        <v>10970</v>
      </c>
      <c r="H2978" s="2" t="s">
        <v>10970</v>
      </c>
      <c r="I2978" s="2" t="s">
        <v>10971</v>
      </c>
      <c r="J2978" s="2" t="s">
        <v>6103</v>
      </c>
      <c r="K2978" s="2" t="s">
        <v>2066</v>
      </c>
      <c r="L2978" s="3">
        <v>33</v>
      </c>
      <c r="M2978" s="3">
        <v>34.65</v>
      </c>
      <c r="N2978" s="3">
        <v>69.99</v>
      </c>
      <c r="O2978" s="2" t="s">
        <v>97</v>
      </c>
      <c r="P2978" s="2" t="s">
        <v>1166</v>
      </c>
      <c r="Q2978" s="2" t="s">
        <v>99</v>
      </c>
      <c r="R2978" s="2" t="s">
        <v>100</v>
      </c>
      <c r="S2978" s="2" t="s">
        <v>100</v>
      </c>
      <c r="T2978" s="2" t="s">
        <v>100</v>
      </c>
      <c r="U2978" s="2" t="s">
        <v>3531</v>
      </c>
      <c r="V2978" s="2" t="s">
        <v>1752</v>
      </c>
      <c r="W2978" s="2" t="s">
        <v>602</v>
      </c>
      <c r="X2978" s="2" t="s">
        <v>1190</v>
      </c>
      <c r="Y2978" s="2" t="s">
        <v>3727</v>
      </c>
      <c r="Z2978" s="4">
        <v>73</v>
      </c>
      <c r="AA2978" s="4">
        <f>=ROUNDDOWN(24.3333333333333,0)</f>
      </c>
      <c r="AB2978" s="5">
        <v>3</v>
      </c>
      <c r="AC2978" s="2" t="s">
        <v>100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/>
      <c r="AW2978" s="8"/>
      <c r="AX2978" s="4"/>
      <c r="AY2978" s="8"/>
      <c r="AZ2978" s="7"/>
      <c r="BA2978" s="7"/>
      <c r="BB2978" s="7"/>
      <c r="BC2978" s="4"/>
      <c r="BD2978" s="8"/>
      <c r="BE2978" s="4"/>
      <c r="BF2978" s="8"/>
      <c r="BG2978" s="7"/>
      <c r="BH2978" s="7"/>
      <c r="BI2978" s="7"/>
      <c r="BJ2978" s="4">
        <v>22</v>
      </c>
      <c r="BK2978" s="8">
        <v>796.92</v>
      </c>
      <c r="BL2978" s="2" t="s">
        <v>10972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97</v>
      </c>
      <c r="BW2978" s="2" t="s">
        <v>9615</v>
      </c>
      <c r="BX2978" s="2" t="s">
        <v>100</v>
      </c>
      <c r="BY2978" s="2" t="s">
        <v>112</v>
      </c>
      <c r="BZ2978" s="2" t="s">
        <v>100</v>
      </c>
    </row>
    <row r="2979">
      <c r="A2979" s="2" t="s">
        <v>10973</v>
      </c>
      <c r="B2979" s="2" t="s">
        <v>10578</v>
      </c>
      <c r="C2979" s="2" t="s">
        <v>4677</v>
      </c>
      <c r="D2979" s="2" t="s">
        <v>10579</v>
      </c>
      <c r="E2979" s="2" t="s">
        <v>10580</v>
      </c>
      <c r="F2979" s="2" t="s">
        <v>10974</v>
      </c>
      <c r="G2979" s="2" t="s">
        <v>10974</v>
      </c>
      <c r="H2979" s="2" t="s">
        <v>10974</v>
      </c>
      <c r="I2979" s="2" t="s">
        <v>10901</v>
      </c>
      <c r="J2979" s="2" t="s">
        <v>6103</v>
      </c>
      <c r="K2979" s="2" t="s">
        <v>666</v>
      </c>
      <c r="L2979" s="3">
        <v>39.2</v>
      </c>
      <c r="M2979" s="3">
        <v>41.16</v>
      </c>
      <c r="N2979" s="3">
        <v>79.99</v>
      </c>
      <c r="O2979" s="2" t="s">
        <v>97</v>
      </c>
      <c r="P2979" s="2" t="s">
        <v>1166</v>
      </c>
      <c r="Q2979" s="2" t="s">
        <v>99</v>
      </c>
      <c r="R2979" s="2" t="s">
        <v>100</v>
      </c>
      <c r="S2979" s="2" t="s">
        <v>100</v>
      </c>
      <c r="T2979" s="2" t="s">
        <v>100</v>
      </c>
      <c r="U2979" s="2" t="s">
        <v>3531</v>
      </c>
      <c r="V2979" s="2" t="s">
        <v>1752</v>
      </c>
      <c r="W2979" s="2" t="s">
        <v>759</v>
      </c>
      <c r="X2979" s="2" t="s">
        <v>602</v>
      </c>
      <c r="Y2979" s="2" t="s">
        <v>100</v>
      </c>
      <c r="Z2979" s="4"/>
      <c r="AA2979" s="4">
        <f>=ROUNDDOWN({0},0)</f>
      </c>
      <c r="AB2979" s="5"/>
      <c r="AC2979" s="2" t="s">
        <v>2538</v>
      </c>
      <c r="AD2979" s="4">
        <v>100</v>
      </c>
      <c r="AE2979" s="4">
        <v>100</v>
      </c>
      <c r="AF2979" s="6">
        <v>65</v>
      </c>
      <c r="AG2979" s="6"/>
      <c r="AH2979" s="7">
        <v>0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/>
      <c r="AW2979" s="8"/>
      <c r="AX2979" s="4"/>
      <c r="AY2979" s="8"/>
      <c r="AZ2979" s="7"/>
      <c r="BA2979" s="7"/>
      <c r="BB2979" s="7"/>
      <c r="BC2979" s="4"/>
      <c r="BD2979" s="8"/>
      <c r="BE2979" s="4"/>
      <c r="BF2979" s="8"/>
      <c r="BG2979" s="7"/>
      <c r="BH2979" s="7"/>
      <c r="BI2979" s="7"/>
      <c r="BJ2979" s="4"/>
      <c r="BK2979" s="8"/>
      <c r="BL2979" s="2" t="s">
        <v>100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147</v>
      </c>
      <c r="BV2979" s="2" t="s">
        <v>97</v>
      </c>
      <c r="BW2979" s="2" t="s">
        <v>100</v>
      </c>
      <c r="BX2979" s="2" t="s">
        <v>100</v>
      </c>
      <c r="BY2979" s="2" t="s">
        <v>112</v>
      </c>
      <c r="BZ2979" s="2" t="s">
        <v>100</v>
      </c>
    </row>
    <row r="2980">
      <c r="A2980" s="2" t="s">
        <v>10975</v>
      </c>
      <c r="B2980" s="2" t="s">
        <v>10578</v>
      </c>
      <c r="C2980" s="2" t="s">
        <v>4677</v>
      </c>
      <c r="D2980" s="2" t="s">
        <v>10579</v>
      </c>
      <c r="E2980" s="2" t="s">
        <v>10580</v>
      </c>
      <c r="F2980" s="2" t="s">
        <v>10420</v>
      </c>
      <c r="G2980" s="2" t="s">
        <v>10420</v>
      </c>
      <c r="H2980" s="2" t="s">
        <v>10420</v>
      </c>
      <c r="I2980" s="2" t="s">
        <v>10976</v>
      </c>
      <c r="J2980" s="2" t="s">
        <v>6103</v>
      </c>
      <c r="K2980" s="2" t="s">
        <v>10977</v>
      </c>
      <c r="L2980" s="3">
        <v>44.37</v>
      </c>
      <c r="M2980" s="3">
        <v>46.59</v>
      </c>
      <c r="N2980" s="3">
        <v>104.99</v>
      </c>
      <c r="O2980" s="2" t="s">
        <v>97</v>
      </c>
      <c r="P2980" s="2" t="s">
        <v>182</v>
      </c>
      <c r="Q2980" s="2" t="s">
        <v>99</v>
      </c>
      <c r="R2980" s="2" t="s">
        <v>100</v>
      </c>
      <c r="S2980" s="2" t="s">
        <v>100</v>
      </c>
      <c r="T2980" s="2" t="s">
        <v>100</v>
      </c>
      <c r="U2980" s="2" t="s">
        <v>3531</v>
      </c>
      <c r="V2980" s="2" t="s">
        <v>1752</v>
      </c>
      <c r="W2980" s="2" t="s">
        <v>602</v>
      </c>
      <c r="X2980" s="2" t="s">
        <v>2195</v>
      </c>
      <c r="Y2980" s="2" t="s">
        <v>10315</v>
      </c>
      <c r="Z2980" s="4">
        <v>148</v>
      </c>
      <c r="AA2980" s="4">
        <f>=ROUNDDOWN(40,0)</f>
      </c>
      <c r="AB2980" s="5">
        <v>3.7</v>
      </c>
      <c r="AC2980" s="2" t="s">
        <v>100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/>
      <c r="AW2980" s="8"/>
      <c r="AX2980" s="4"/>
      <c r="AY2980" s="8"/>
      <c r="AZ2980" s="7"/>
      <c r="BA2980" s="7"/>
      <c r="BB2980" s="7"/>
      <c r="BC2980" s="4"/>
      <c r="BD2980" s="8"/>
      <c r="BE2980" s="4"/>
      <c r="BF2980" s="8"/>
      <c r="BG2980" s="7"/>
      <c r="BH2980" s="7"/>
      <c r="BI2980" s="7"/>
      <c r="BJ2980" s="4">
        <v>94</v>
      </c>
      <c r="BK2980" s="8">
        <v>4927.64</v>
      </c>
      <c r="BL2980" s="2" t="s">
        <v>10978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97</v>
      </c>
      <c r="BW2980" s="2" t="s">
        <v>10633</v>
      </c>
      <c r="BX2980" s="2" t="s">
        <v>100</v>
      </c>
      <c r="BY2980" s="2" t="s">
        <v>112</v>
      </c>
      <c r="BZ2980" s="2" t="s">
        <v>100</v>
      </c>
    </row>
    <row r="2981">
      <c r="A2981" s="2" t="s">
        <v>10979</v>
      </c>
      <c r="B2981" s="2" t="s">
        <v>10578</v>
      </c>
      <c r="C2981" s="2" t="s">
        <v>4677</v>
      </c>
      <c r="D2981" s="2" t="s">
        <v>10579</v>
      </c>
      <c r="E2981" s="2" t="s">
        <v>10580</v>
      </c>
      <c r="F2981" s="2" t="s">
        <v>10980</v>
      </c>
      <c r="G2981" s="2" t="s">
        <v>10980</v>
      </c>
      <c r="H2981" s="2" t="s">
        <v>10980</v>
      </c>
      <c r="I2981" s="2" t="s">
        <v>10981</v>
      </c>
      <c r="J2981" s="2" t="s">
        <v>6103</v>
      </c>
      <c r="K2981" s="2" t="s">
        <v>666</v>
      </c>
      <c r="L2981" s="3">
        <v>40.5</v>
      </c>
      <c r="M2981" s="3">
        <v>42.53</v>
      </c>
      <c r="N2981" s="3">
        <v>84.99</v>
      </c>
      <c r="O2981" s="2" t="s">
        <v>97</v>
      </c>
      <c r="P2981" s="2" t="s">
        <v>8446</v>
      </c>
      <c r="Q2981" s="2" t="s">
        <v>99</v>
      </c>
      <c r="R2981" s="2" t="s">
        <v>100</v>
      </c>
      <c r="S2981" s="2" t="s">
        <v>100</v>
      </c>
      <c r="T2981" s="2" t="s">
        <v>100</v>
      </c>
      <c r="U2981" s="2" t="s">
        <v>3531</v>
      </c>
      <c r="V2981" s="2" t="s">
        <v>1752</v>
      </c>
      <c r="W2981" s="2" t="s">
        <v>602</v>
      </c>
      <c r="X2981" s="2" t="s">
        <v>759</v>
      </c>
      <c r="Y2981" s="2" t="s">
        <v>100</v>
      </c>
      <c r="Z2981" s="4"/>
      <c r="AA2981" s="4">
        <f>=ROUNDDOWN({0},0)</f>
      </c>
      <c r="AB2981" s="5"/>
      <c r="AC2981" s="2" t="s">
        <v>335</v>
      </c>
      <c r="AD2981" s="4">
        <v>100</v>
      </c>
      <c r="AE2981" s="4">
        <v>100</v>
      </c>
      <c r="AF2981" s="6">
        <v>65</v>
      </c>
      <c r="AG2981" s="6"/>
      <c r="AH2981" s="7">
        <v>0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/>
      <c r="AW2981" s="8"/>
      <c r="AX2981" s="4"/>
      <c r="AY2981" s="8"/>
      <c r="AZ2981" s="7"/>
      <c r="BA2981" s="7"/>
      <c r="BB2981" s="7"/>
      <c r="BC2981" s="4"/>
      <c r="BD2981" s="8"/>
      <c r="BE2981" s="4"/>
      <c r="BF2981" s="8"/>
      <c r="BG2981" s="7"/>
      <c r="BH2981" s="7"/>
      <c r="BI2981" s="7"/>
      <c r="BJ2981" s="4"/>
      <c r="BK2981" s="8"/>
      <c r="BL2981" s="2" t="s">
        <v>100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147</v>
      </c>
      <c r="BV2981" s="2" t="s">
        <v>97</v>
      </c>
      <c r="BW2981" s="2" t="s">
        <v>100</v>
      </c>
      <c r="BX2981" s="2" t="s">
        <v>100</v>
      </c>
      <c r="BY2981" s="2" t="s">
        <v>112</v>
      </c>
      <c r="BZ2981" s="2" t="s">
        <v>100</v>
      </c>
    </row>
    <row r="2982">
      <c r="A2982" s="2" t="s">
        <v>10982</v>
      </c>
      <c r="B2982" s="2" t="s">
        <v>10578</v>
      </c>
      <c r="C2982" s="2" t="s">
        <v>4677</v>
      </c>
      <c r="D2982" s="2" t="s">
        <v>10579</v>
      </c>
      <c r="E2982" s="2" t="s">
        <v>10580</v>
      </c>
      <c r="F2982" s="2" t="s">
        <v>9131</v>
      </c>
      <c r="G2982" s="2" t="s">
        <v>9131</v>
      </c>
      <c r="H2982" s="2" t="s">
        <v>9131</v>
      </c>
      <c r="I2982" s="2" t="s">
        <v>10983</v>
      </c>
      <c r="J2982" s="2" t="s">
        <v>6103</v>
      </c>
      <c r="K2982" s="2" t="s">
        <v>142</v>
      </c>
      <c r="L2982" s="3">
        <v>55</v>
      </c>
      <c r="M2982" s="3">
        <v>57.75</v>
      </c>
      <c r="N2982" s="3">
        <v>119.99</v>
      </c>
      <c r="O2982" s="2" t="s">
        <v>229</v>
      </c>
      <c r="P2982" s="2" t="s">
        <v>198</v>
      </c>
      <c r="Q2982" s="2" t="s">
        <v>99</v>
      </c>
      <c r="R2982" s="2" t="s">
        <v>100</v>
      </c>
      <c r="S2982" s="2" t="s">
        <v>10984</v>
      </c>
      <c r="T2982" s="2" t="s">
        <v>100</v>
      </c>
      <c r="U2982" s="2" t="s">
        <v>100</v>
      </c>
      <c r="V2982" s="2" t="s">
        <v>1122</v>
      </c>
      <c r="W2982" s="2" t="s">
        <v>6998</v>
      </c>
      <c r="X2982" s="2" t="s">
        <v>100</v>
      </c>
      <c r="Y2982" s="2" t="s">
        <v>106</v>
      </c>
      <c r="Z2982" s="4">
        <v>10</v>
      </c>
      <c r="AA2982" s="4">
        <f>=ROUNDDOWN(6.66666666666667,0)</f>
      </c>
      <c r="AB2982" s="5">
        <v>1.5</v>
      </c>
      <c r="AC2982" s="2" t="s">
        <v>100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/>
      <c r="AW2982" s="8"/>
      <c r="AX2982" s="4"/>
      <c r="AY2982" s="8"/>
      <c r="AZ2982" s="7"/>
      <c r="BA2982" s="7"/>
      <c r="BB2982" s="7"/>
      <c r="BC2982" s="4"/>
      <c r="BD2982" s="8"/>
      <c r="BE2982" s="4"/>
      <c r="BF2982" s="8"/>
      <c r="BG2982" s="7"/>
      <c r="BH2982" s="7"/>
      <c r="BI2982" s="7"/>
      <c r="BJ2982" s="4">
        <v>24</v>
      </c>
      <c r="BK2982" s="8">
        <v>1200.8</v>
      </c>
      <c r="BL2982" s="2" t="s">
        <v>10985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97</v>
      </c>
      <c r="BW2982" s="2" t="s">
        <v>6267</v>
      </c>
      <c r="BX2982" s="2" t="s">
        <v>100</v>
      </c>
      <c r="BY2982" s="2" t="s">
        <v>112</v>
      </c>
      <c r="BZ2982" s="2" t="s">
        <v>100</v>
      </c>
    </row>
    <row r="2983">
      <c r="A2983" s="2" t="s">
        <v>10986</v>
      </c>
      <c r="B2983" s="2" t="s">
        <v>10578</v>
      </c>
      <c r="C2983" s="2" t="s">
        <v>4677</v>
      </c>
      <c r="D2983" s="2" t="s">
        <v>10579</v>
      </c>
      <c r="E2983" s="2" t="s">
        <v>10580</v>
      </c>
      <c r="F2983" s="2" t="s">
        <v>10987</v>
      </c>
      <c r="G2983" s="2" t="s">
        <v>10987</v>
      </c>
      <c r="H2983" s="2" t="s">
        <v>10987</v>
      </c>
      <c r="I2983" s="2" t="s">
        <v>10988</v>
      </c>
      <c r="J2983" s="2" t="s">
        <v>6103</v>
      </c>
      <c r="K2983" s="2" t="s">
        <v>333</v>
      </c>
      <c r="L2983" s="3">
        <v>38.4</v>
      </c>
      <c r="M2983" s="3">
        <v>40.32</v>
      </c>
      <c r="N2983" s="3">
        <v>79.99</v>
      </c>
      <c r="O2983" s="2" t="s">
        <v>97</v>
      </c>
      <c r="P2983" s="2" t="s">
        <v>1166</v>
      </c>
      <c r="Q2983" s="2" t="s">
        <v>99</v>
      </c>
      <c r="R2983" s="2" t="s">
        <v>100</v>
      </c>
      <c r="S2983" s="2" t="s">
        <v>100</v>
      </c>
      <c r="T2983" s="2" t="s">
        <v>100</v>
      </c>
      <c r="U2983" s="2" t="s">
        <v>3531</v>
      </c>
      <c r="V2983" s="2" t="s">
        <v>1752</v>
      </c>
      <c r="W2983" s="2" t="s">
        <v>1403</v>
      </c>
      <c r="X2983" s="2" t="s">
        <v>602</v>
      </c>
      <c r="Y2983" s="2" t="s">
        <v>100</v>
      </c>
      <c r="Z2983" s="4"/>
      <c r="AA2983" s="4">
        <f>=ROUNDDOWN({0},0)</f>
      </c>
      <c r="AB2983" s="5">
        <v>1</v>
      </c>
      <c r="AC2983" s="2" t="s">
        <v>1328</v>
      </c>
      <c r="AD2983" s="4">
        <v>20</v>
      </c>
      <c r="AE2983" s="4">
        <v>100</v>
      </c>
      <c r="AF2983" s="6">
        <v>65</v>
      </c>
      <c r="AG2983" s="6"/>
      <c r="AH2983" s="7">
        <v>0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/>
      <c r="BD2983" s="8"/>
      <c r="BE2983" s="4"/>
      <c r="BF2983" s="8"/>
      <c r="BG2983" s="7"/>
      <c r="BH2983" s="7"/>
      <c r="BI2983" s="7"/>
      <c r="BJ2983" s="4"/>
      <c r="BK2983" s="8"/>
      <c r="BL2983" s="2" t="s">
        <v>100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147</v>
      </c>
      <c r="BV2983" s="2" t="s">
        <v>97</v>
      </c>
      <c r="BW2983" s="2" t="s">
        <v>100</v>
      </c>
      <c r="BX2983" s="2" t="s">
        <v>100</v>
      </c>
      <c r="BY2983" s="2" t="s">
        <v>112</v>
      </c>
      <c r="BZ2983" s="2" t="s">
        <v>100</v>
      </c>
    </row>
    <row r="2984">
      <c r="A2984" s="2" t="s">
        <v>10989</v>
      </c>
      <c r="B2984" s="2" t="s">
        <v>10578</v>
      </c>
      <c r="C2984" s="2" t="s">
        <v>4677</v>
      </c>
      <c r="D2984" s="2" t="s">
        <v>10686</v>
      </c>
      <c r="E2984" s="2" t="s">
        <v>10687</v>
      </c>
      <c r="F2984" s="2" t="s">
        <v>9054</v>
      </c>
      <c r="G2984" s="2" t="s">
        <v>9054</v>
      </c>
      <c r="H2984" s="2" t="s">
        <v>9054</v>
      </c>
      <c r="I2984" s="2" t="s">
        <v>10990</v>
      </c>
      <c r="J2984" s="2" t="s">
        <v>6103</v>
      </c>
      <c r="K2984" s="2" t="s">
        <v>2066</v>
      </c>
      <c r="L2984" s="3">
        <v>267.67</v>
      </c>
      <c r="M2984" s="3">
        <v>281.05</v>
      </c>
      <c r="N2984" s="3">
        <v>609.99</v>
      </c>
      <c r="O2984" s="2" t="s">
        <v>97</v>
      </c>
      <c r="P2984" s="2" t="s">
        <v>143</v>
      </c>
      <c r="Q2984" s="2" t="s">
        <v>99</v>
      </c>
      <c r="R2984" s="2" t="s">
        <v>100</v>
      </c>
      <c r="S2984" s="2" t="s">
        <v>10991</v>
      </c>
      <c r="T2984" s="2" t="s">
        <v>100</v>
      </c>
      <c r="U2984" s="2" t="s">
        <v>100</v>
      </c>
      <c r="V2984" s="2" t="s">
        <v>1122</v>
      </c>
      <c r="W2984" s="2" t="s">
        <v>602</v>
      </c>
      <c r="X2984" s="2" t="s">
        <v>100</v>
      </c>
      <c r="Y2984" s="2" t="s">
        <v>6401</v>
      </c>
      <c r="Z2984" s="4">
        <v>108</v>
      </c>
      <c r="AA2984" s="4">
        <f>=ROUNDDOWN(51.4285714285714,0)</f>
      </c>
      <c r="AB2984" s="5">
        <v>2.1</v>
      </c>
      <c r="AC2984" s="2" t="s">
        <v>100</v>
      </c>
      <c r="AD2984" s="4"/>
      <c r="AE2984" s="4"/>
      <c r="AF2984" s="6">
        <v>63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>
        <v>0</v>
      </c>
      <c r="AP2984" s="4">
        <v>2</v>
      </c>
      <c r="AQ2984" s="8">
        <v>549.9</v>
      </c>
      <c r="AR2984" s="4"/>
      <c r="AS2984" s="8"/>
      <c r="AT2984" s="7"/>
      <c r="AU2984" s="7"/>
      <c r="AV2984" s="4">
        <v>2</v>
      </c>
      <c r="AW2984" s="8">
        <v>549.9</v>
      </c>
      <c r="AX2984" s="4"/>
      <c r="AY2984" s="8"/>
      <c r="AZ2984" s="7"/>
      <c r="BA2984" s="7"/>
      <c r="BB2984" s="7">
        <v>1</v>
      </c>
      <c r="BC2984" s="4">
        <v>2</v>
      </c>
      <c r="BD2984" s="8">
        <v>549.9</v>
      </c>
      <c r="BE2984" s="4">
        <v>4</v>
      </c>
      <c r="BF2984" s="8">
        <v>1099.8</v>
      </c>
      <c r="BG2984" s="7">
        <v>-0.5</v>
      </c>
      <c r="BH2984" s="7">
        <v>-0.5</v>
      </c>
      <c r="BI2984" s="7">
        <v>1</v>
      </c>
      <c r="BJ2984" s="4">
        <v>81</v>
      </c>
      <c r="BK2984" s="8">
        <v>15193.23</v>
      </c>
      <c r="BL2984" s="2" t="s">
        <v>7830</v>
      </c>
      <c r="BM2984" s="7">
        <v>0.0247</v>
      </c>
      <c r="BN2984" s="7">
        <v>0.0362</v>
      </c>
      <c r="BO2984" s="4">
        <v>2</v>
      </c>
      <c r="BP2984" s="8">
        <v>549.9</v>
      </c>
      <c r="BQ2984" s="4"/>
      <c r="BR2984" s="8"/>
      <c r="BS2984" s="7"/>
      <c r="BT2984" s="7"/>
      <c r="BU2984" s="2" t="s">
        <v>109</v>
      </c>
      <c r="BV2984" s="2" t="s">
        <v>97</v>
      </c>
      <c r="BW2984" s="2" t="s">
        <v>8043</v>
      </c>
      <c r="BX2984" s="2" t="s">
        <v>6494</v>
      </c>
      <c r="BY2984" s="2" t="s">
        <v>112</v>
      </c>
      <c r="BZ2984" s="2" t="s">
        <v>100</v>
      </c>
    </row>
    <row r="2985">
      <c r="A2985" s="2" t="s">
        <v>10992</v>
      </c>
      <c r="B2985" s="2" t="s">
        <v>10578</v>
      </c>
      <c r="C2985" s="2" t="s">
        <v>4677</v>
      </c>
      <c r="D2985" s="2" t="s">
        <v>10686</v>
      </c>
      <c r="E2985" s="2" t="s">
        <v>10687</v>
      </c>
      <c r="F2985" s="2" t="s">
        <v>9054</v>
      </c>
      <c r="G2985" s="2" t="s">
        <v>9054</v>
      </c>
      <c r="H2985" s="2" t="s">
        <v>9054</v>
      </c>
      <c r="I2985" s="2" t="s">
        <v>10990</v>
      </c>
      <c r="J2985" s="2" t="s">
        <v>6103</v>
      </c>
      <c r="K2985" s="2" t="s">
        <v>8609</v>
      </c>
      <c r="L2985" s="3">
        <v>267.67</v>
      </c>
      <c r="M2985" s="3">
        <v>281.05</v>
      </c>
      <c r="N2985" s="3">
        <v>609.99</v>
      </c>
      <c r="O2985" s="2" t="s">
        <v>229</v>
      </c>
      <c r="P2985" s="2" t="s">
        <v>198</v>
      </c>
      <c r="Q2985" s="2" t="s">
        <v>99</v>
      </c>
      <c r="R2985" s="2" t="s">
        <v>100</v>
      </c>
      <c r="S2985" s="2" t="s">
        <v>10993</v>
      </c>
      <c r="T2985" s="2" t="s">
        <v>100</v>
      </c>
      <c r="U2985" s="2" t="s">
        <v>100</v>
      </c>
      <c r="V2985" s="2" t="s">
        <v>1122</v>
      </c>
      <c r="W2985" s="2" t="s">
        <v>602</v>
      </c>
      <c r="X2985" s="2" t="s">
        <v>100</v>
      </c>
      <c r="Y2985" s="2" t="s">
        <v>106</v>
      </c>
      <c r="Z2985" s="4">
        <v>32</v>
      </c>
      <c r="AA2985" s="4">
        <f>=ROUNDDOWN(45.7142857142857,0)</f>
      </c>
      <c r="AB2985" s="5">
        <v>0.7</v>
      </c>
      <c r="AC2985" s="2" t="s">
        <v>100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>
        <v>0</v>
      </c>
      <c r="AP2985" s="4"/>
      <c r="AQ2985" s="8"/>
      <c r="AR2985" s="4">
        <v>4</v>
      </c>
      <c r="AS2985" s="8">
        <v>1099.8</v>
      </c>
      <c r="AT2985" s="7">
        <v>-1</v>
      </c>
      <c r="AU2985" s="7">
        <v>-1</v>
      </c>
      <c r="AV2985" s="4"/>
      <c r="AW2985" s="8"/>
      <c r="AX2985" s="4">
        <v>4</v>
      </c>
      <c r="AY2985" s="8">
        <v>1099.8</v>
      </c>
      <c r="AZ2985" s="7">
        <v>-1</v>
      </c>
      <c r="BA2985" s="7">
        <v>-1</v>
      </c>
      <c r="BB2985" s="7"/>
      <c r="BC2985" s="4" t="s">
        <v>100</v>
      </c>
      <c r="BD2985" s="8" t="s">
        <v>100</v>
      </c>
      <c r="BE2985" s="4" t="s">
        <v>100</v>
      </c>
      <c r="BF2985" s="8" t="s">
        <v>100</v>
      </c>
      <c r="BG2985" s="7" t="s">
        <v>100</v>
      </c>
      <c r="BH2985" s="7" t="s">
        <v>100</v>
      </c>
      <c r="BI2985" s="7"/>
      <c r="BJ2985" s="4">
        <v>24</v>
      </c>
      <c r="BK2985" s="8">
        <v>5633.79</v>
      </c>
      <c r="BL2985" s="2" t="s">
        <v>10994</v>
      </c>
      <c r="BM2985" s="7"/>
      <c r="BN2985" s="7"/>
      <c r="BO2985" s="4"/>
      <c r="BP2985" s="8"/>
      <c r="BQ2985" s="4">
        <v>4</v>
      </c>
      <c r="BR2985" s="8">
        <v>1099.8</v>
      </c>
      <c r="BS2985" s="7">
        <v>-1</v>
      </c>
      <c r="BT2985" s="7">
        <v>-1</v>
      </c>
      <c r="BU2985" s="2" t="s">
        <v>109</v>
      </c>
      <c r="BV2985" s="2" t="s">
        <v>97</v>
      </c>
      <c r="BW2985" s="2" t="s">
        <v>10995</v>
      </c>
      <c r="BX2985" s="2" t="s">
        <v>10996</v>
      </c>
      <c r="BY2985" s="2" t="s">
        <v>112</v>
      </c>
      <c r="BZ2985" s="2" t="s">
        <v>100</v>
      </c>
    </row>
    <row r="2986">
      <c r="A2986" s="2" t="s">
        <v>10997</v>
      </c>
      <c r="B2986" s="2" t="s">
        <v>10578</v>
      </c>
      <c r="C2986" s="2" t="s">
        <v>4677</v>
      </c>
      <c r="D2986" s="2" t="s">
        <v>10686</v>
      </c>
      <c r="E2986" s="2" t="s">
        <v>10687</v>
      </c>
      <c r="F2986" s="2" t="s">
        <v>9054</v>
      </c>
      <c r="G2986" s="2" t="s">
        <v>9054</v>
      </c>
      <c r="H2986" s="2" t="s">
        <v>9054</v>
      </c>
      <c r="I2986" s="2" t="s">
        <v>10990</v>
      </c>
      <c r="J2986" s="2" t="s">
        <v>6103</v>
      </c>
      <c r="K2986" s="2" t="s">
        <v>1660</v>
      </c>
      <c r="L2986" s="3">
        <v>267.67</v>
      </c>
      <c r="M2986" s="3">
        <v>281.05</v>
      </c>
      <c r="N2986" s="3">
        <v>609.99</v>
      </c>
      <c r="O2986" s="2" t="s">
        <v>97</v>
      </c>
      <c r="P2986" s="2" t="s">
        <v>182</v>
      </c>
      <c r="Q2986" s="2" t="s">
        <v>99</v>
      </c>
      <c r="R2986" s="2" t="s">
        <v>100</v>
      </c>
      <c r="S2986" s="2" t="s">
        <v>10993</v>
      </c>
      <c r="T2986" s="2" t="s">
        <v>100</v>
      </c>
      <c r="U2986" s="2" t="s">
        <v>100</v>
      </c>
      <c r="V2986" s="2" t="s">
        <v>1122</v>
      </c>
      <c r="W2986" s="2" t="s">
        <v>6998</v>
      </c>
      <c r="X2986" s="2" t="s">
        <v>100</v>
      </c>
      <c r="Y2986" s="2" t="s">
        <v>7910</v>
      </c>
      <c r="Z2986" s="4">
        <v>50</v>
      </c>
      <c r="AA2986" s="4">
        <f>=ROUNDDOWN(100,0)</f>
      </c>
      <c r="AB2986" s="5">
        <v>0.5</v>
      </c>
      <c r="AC2986" s="2" t="s">
        <v>766</v>
      </c>
      <c r="AD2986" s="4">
        <v>50</v>
      </c>
      <c r="AE2986" s="4">
        <v>50</v>
      </c>
      <c r="AF2986" s="6">
        <v>63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46</v>
      </c>
      <c r="BK2986" s="8">
        <v>10017.37</v>
      </c>
      <c r="BL2986" s="2" t="s">
        <v>10998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97</v>
      </c>
      <c r="BW2986" s="2" t="s">
        <v>8043</v>
      </c>
      <c r="BX2986" s="2" t="s">
        <v>100</v>
      </c>
      <c r="BY2986" s="2" t="s">
        <v>112</v>
      </c>
      <c r="BZ2986" s="2" t="s">
        <v>100</v>
      </c>
    </row>
    <row r="2987">
      <c r="A2987" s="2" t="s">
        <v>10999</v>
      </c>
      <c r="B2987" s="2" t="s">
        <v>10578</v>
      </c>
      <c r="C2987" s="2" t="s">
        <v>4677</v>
      </c>
      <c r="D2987" s="2" t="s">
        <v>10686</v>
      </c>
      <c r="E2987" s="2" t="s">
        <v>10687</v>
      </c>
      <c r="F2987" s="2" t="s">
        <v>11000</v>
      </c>
      <c r="G2987" s="2" t="s">
        <v>11000</v>
      </c>
      <c r="H2987" s="2" t="s">
        <v>11000</v>
      </c>
      <c r="I2987" s="2" t="s">
        <v>11001</v>
      </c>
      <c r="J2987" s="2" t="s">
        <v>6103</v>
      </c>
      <c r="K2987" s="2" t="s">
        <v>3764</v>
      </c>
      <c r="L2987" s="3">
        <v>109.44</v>
      </c>
      <c r="M2987" s="3">
        <v>114.91</v>
      </c>
      <c r="N2987" s="3">
        <v>254.99</v>
      </c>
      <c r="O2987" s="2" t="s">
        <v>229</v>
      </c>
      <c r="P2987" s="2" t="s">
        <v>198</v>
      </c>
      <c r="Q2987" s="2" t="s">
        <v>99</v>
      </c>
      <c r="R2987" s="2" t="s">
        <v>100</v>
      </c>
      <c r="S2987" s="2" t="s">
        <v>100</v>
      </c>
      <c r="T2987" s="2" t="s">
        <v>100</v>
      </c>
      <c r="U2987" s="2" t="s">
        <v>3531</v>
      </c>
      <c r="V2987" s="2" t="s">
        <v>1752</v>
      </c>
      <c r="W2987" s="2" t="s">
        <v>602</v>
      </c>
      <c r="X2987" s="2" t="s">
        <v>2195</v>
      </c>
      <c r="Y2987" s="2" t="s">
        <v>443</v>
      </c>
      <c r="Z2987" s="4">
        <v>93</v>
      </c>
      <c r="AA2987" s="4">
        <f>=ROUNDDOWN(93,0)</f>
      </c>
      <c r="AB2987" s="5">
        <v>1</v>
      </c>
      <c r="AC2987" s="2" t="s">
        <v>100</v>
      </c>
      <c r="AD2987" s="4"/>
      <c r="AE2987" s="4"/>
      <c r="AF2987" s="6">
        <v>63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/>
      <c r="BD2987" s="8"/>
      <c r="BE2987" s="4"/>
      <c r="BF2987" s="8"/>
      <c r="BG2987" s="7"/>
      <c r="BH2987" s="7"/>
      <c r="BI2987" s="7"/>
      <c r="BJ2987" s="4">
        <v>1</v>
      </c>
      <c r="BK2987" s="8">
        <v>103.42</v>
      </c>
      <c r="BL2987" s="2" t="s">
        <v>11002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147</v>
      </c>
      <c r="BV2987" s="2" t="s">
        <v>97</v>
      </c>
      <c r="BW2987" s="2" t="s">
        <v>100</v>
      </c>
      <c r="BX2987" s="2" t="s">
        <v>100</v>
      </c>
      <c r="BY2987" s="2" t="s">
        <v>112</v>
      </c>
      <c r="BZ2987" s="2" t="s">
        <v>100</v>
      </c>
    </row>
    <row r="2988">
      <c r="A2988" s="2" t="s">
        <v>11003</v>
      </c>
      <c r="B2988" s="2" t="s">
        <v>10578</v>
      </c>
      <c r="C2988" s="2" t="s">
        <v>4677</v>
      </c>
      <c r="D2988" s="2" t="s">
        <v>10686</v>
      </c>
      <c r="E2988" s="2" t="s">
        <v>10687</v>
      </c>
      <c r="F2988" s="2" t="s">
        <v>6793</v>
      </c>
      <c r="G2988" s="2" t="s">
        <v>6793</v>
      </c>
      <c r="H2988" s="2" t="s">
        <v>6793</v>
      </c>
      <c r="I2988" s="2" t="s">
        <v>11004</v>
      </c>
      <c r="J2988" s="2" t="s">
        <v>11005</v>
      </c>
      <c r="K2988" s="2" t="s">
        <v>2066</v>
      </c>
      <c r="L2988" s="3">
        <v>63.9</v>
      </c>
      <c r="M2988" s="3">
        <v>67.1</v>
      </c>
      <c r="N2988" s="3">
        <v>149.99</v>
      </c>
      <c r="O2988" s="2" t="s">
        <v>229</v>
      </c>
      <c r="P2988" s="2" t="s">
        <v>198</v>
      </c>
      <c r="Q2988" s="2" t="s">
        <v>99</v>
      </c>
      <c r="R2988" s="2" t="s">
        <v>100</v>
      </c>
      <c r="S2988" s="2" t="s">
        <v>100</v>
      </c>
      <c r="T2988" s="2" t="s">
        <v>100</v>
      </c>
      <c r="U2988" s="2" t="s">
        <v>100</v>
      </c>
      <c r="V2988" s="2" t="s">
        <v>1752</v>
      </c>
      <c r="W2988" s="2" t="s">
        <v>602</v>
      </c>
      <c r="X2988" s="2" t="s">
        <v>104</v>
      </c>
      <c r="Y2988" s="2" t="s">
        <v>10880</v>
      </c>
      <c r="Z2988" s="4">
        <v>73</v>
      </c>
      <c r="AA2988" s="4">
        <f>=ROUNDDOWN(73,0)</f>
      </c>
      <c r="AB2988" s="5">
        <v>1</v>
      </c>
      <c r="AC2988" s="2" t="s">
        <v>100</v>
      </c>
      <c r="AD2988" s="4"/>
      <c r="AE2988" s="4"/>
      <c r="AF2988" s="6">
        <v>63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/>
      <c r="BD2988" s="8"/>
      <c r="BE2988" s="4"/>
      <c r="BF2988" s="8"/>
      <c r="BG2988" s="7"/>
      <c r="BH2988" s="7"/>
      <c r="BI2988" s="7"/>
      <c r="BJ2988" s="4">
        <v>6</v>
      </c>
      <c r="BK2988" s="8">
        <v>461.68</v>
      </c>
      <c r="BL2988" s="2" t="s">
        <v>11006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97</v>
      </c>
      <c r="BW2988" s="2" t="s">
        <v>10633</v>
      </c>
      <c r="BX2988" s="2" t="s">
        <v>100</v>
      </c>
      <c r="BY2988" s="2" t="s">
        <v>112</v>
      </c>
      <c r="BZ2988" s="2" t="s">
        <v>100</v>
      </c>
    </row>
    <row r="2989">
      <c r="A2989" s="2" t="s">
        <v>11007</v>
      </c>
      <c r="B2989" s="2" t="s">
        <v>10578</v>
      </c>
      <c r="C2989" s="2" t="s">
        <v>4677</v>
      </c>
      <c r="D2989" s="2" t="s">
        <v>10686</v>
      </c>
      <c r="E2989" s="2" t="s">
        <v>10687</v>
      </c>
      <c r="F2989" s="2" t="s">
        <v>1251</v>
      </c>
      <c r="G2989" s="2" t="s">
        <v>1251</v>
      </c>
      <c r="H2989" s="2" t="s">
        <v>1251</v>
      </c>
      <c r="I2989" s="2" t="s">
        <v>11008</v>
      </c>
      <c r="J2989" s="2" t="s">
        <v>6103</v>
      </c>
      <c r="K2989" s="2" t="s">
        <v>11009</v>
      </c>
      <c r="L2989" s="3">
        <v>103.68</v>
      </c>
      <c r="M2989" s="3">
        <v>108.86</v>
      </c>
      <c r="N2989" s="3">
        <v>239.99</v>
      </c>
      <c r="O2989" s="2" t="s">
        <v>97</v>
      </c>
      <c r="P2989" s="2" t="s">
        <v>198</v>
      </c>
      <c r="Q2989" s="2" t="s">
        <v>99</v>
      </c>
      <c r="R2989" s="2" t="s">
        <v>100</v>
      </c>
      <c r="S2989" s="2" t="s">
        <v>100</v>
      </c>
      <c r="T2989" s="2" t="s">
        <v>100</v>
      </c>
      <c r="U2989" s="2" t="s">
        <v>3531</v>
      </c>
      <c r="V2989" s="2" t="s">
        <v>1752</v>
      </c>
      <c r="W2989" s="2" t="s">
        <v>602</v>
      </c>
      <c r="X2989" s="2" t="s">
        <v>100</v>
      </c>
      <c r="Y2989" s="2" t="s">
        <v>4370</v>
      </c>
      <c r="Z2989" s="4">
        <v>39</v>
      </c>
      <c r="AA2989" s="4">
        <f>=ROUNDDOWN(13,0)</f>
      </c>
      <c r="AB2989" s="5">
        <v>3</v>
      </c>
      <c r="AC2989" s="2" t="s">
        <v>100</v>
      </c>
      <c r="AD2989" s="4"/>
      <c r="AE2989" s="4"/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/>
      <c r="BD2989" s="8"/>
      <c r="BE2989" s="4"/>
      <c r="BF2989" s="8"/>
      <c r="BG2989" s="7"/>
      <c r="BH2989" s="7"/>
      <c r="BI2989" s="7"/>
      <c r="BJ2989" s="4">
        <v>45</v>
      </c>
      <c r="BK2989" s="8">
        <v>4615.06</v>
      </c>
      <c r="BL2989" s="2" t="s">
        <v>11010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147</v>
      </c>
      <c r="BV2989" s="2" t="s">
        <v>97</v>
      </c>
      <c r="BW2989" s="2" t="s">
        <v>100</v>
      </c>
      <c r="BX2989" s="2" t="s">
        <v>100</v>
      </c>
      <c r="BY2989" s="2" t="s">
        <v>112</v>
      </c>
      <c r="BZ2989" s="2" t="s">
        <v>100</v>
      </c>
    </row>
    <row r="2990">
      <c r="A2990" s="2" t="s">
        <v>11011</v>
      </c>
      <c r="B2990" s="2" t="s">
        <v>10578</v>
      </c>
      <c r="C2990" s="2" t="s">
        <v>4677</v>
      </c>
      <c r="D2990" s="2" t="s">
        <v>10686</v>
      </c>
      <c r="E2990" s="2" t="s">
        <v>10687</v>
      </c>
      <c r="F2990" s="2" t="s">
        <v>11012</v>
      </c>
      <c r="G2990" s="2" t="s">
        <v>11012</v>
      </c>
      <c r="H2990" s="2" t="s">
        <v>11012</v>
      </c>
      <c r="I2990" s="2" t="s">
        <v>11013</v>
      </c>
      <c r="J2990" s="2" t="s">
        <v>6103</v>
      </c>
      <c r="K2990" s="2" t="s">
        <v>10783</v>
      </c>
      <c r="L2990" s="3">
        <v>145</v>
      </c>
      <c r="M2990" s="3">
        <v>152.25</v>
      </c>
      <c r="N2990" s="3">
        <v>299</v>
      </c>
      <c r="O2990" s="2" t="s">
        <v>97</v>
      </c>
      <c r="P2990" s="2" t="s">
        <v>1166</v>
      </c>
      <c r="Q2990" s="2" t="s">
        <v>99</v>
      </c>
      <c r="R2990" s="2" t="s">
        <v>100</v>
      </c>
      <c r="S2990" s="2" t="s">
        <v>100</v>
      </c>
      <c r="T2990" s="2" t="s">
        <v>100</v>
      </c>
      <c r="U2990" s="2" t="s">
        <v>3531</v>
      </c>
      <c r="V2990" s="2" t="s">
        <v>1752</v>
      </c>
      <c r="W2990" s="2" t="s">
        <v>602</v>
      </c>
      <c r="X2990" s="2" t="s">
        <v>2195</v>
      </c>
      <c r="Y2990" s="2" t="s">
        <v>1531</v>
      </c>
      <c r="Z2990" s="4">
        <v>92</v>
      </c>
      <c r="AA2990" s="4">
        <f>=ROUNDDOWN(92,0)</f>
      </c>
      <c r="AB2990" s="5">
        <v>1</v>
      </c>
      <c r="AC2990" s="2" t="s">
        <v>100</v>
      </c>
      <c r="AD2990" s="4"/>
      <c r="AE2990" s="4"/>
      <c r="AF2990" s="6">
        <v>63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/>
      <c r="BD2990" s="8"/>
      <c r="BE2990" s="4"/>
      <c r="BF2990" s="8"/>
      <c r="BG2990" s="7"/>
      <c r="BH2990" s="7"/>
      <c r="BI2990" s="7"/>
      <c r="BJ2990" s="4">
        <v>2</v>
      </c>
      <c r="BK2990" s="8">
        <v>304.5</v>
      </c>
      <c r="BL2990" s="2" t="s">
        <v>1609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97</v>
      </c>
      <c r="BW2990" s="2" t="s">
        <v>9615</v>
      </c>
      <c r="BX2990" s="2" t="s">
        <v>100</v>
      </c>
      <c r="BY2990" s="2" t="s">
        <v>112</v>
      </c>
      <c r="BZ2990" s="2" t="s">
        <v>100</v>
      </c>
    </row>
    <row r="2991">
      <c r="A2991" s="2" t="s">
        <v>11014</v>
      </c>
      <c r="B2991" s="2" t="s">
        <v>10578</v>
      </c>
      <c r="C2991" s="2" t="s">
        <v>4677</v>
      </c>
      <c r="D2991" s="2" t="s">
        <v>10686</v>
      </c>
      <c r="E2991" s="2" t="s">
        <v>10687</v>
      </c>
      <c r="F2991" s="2" t="s">
        <v>11015</v>
      </c>
      <c r="G2991" s="2" t="s">
        <v>11015</v>
      </c>
      <c r="H2991" s="2" t="s">
        <v>11015</v>
      </c>
      <c r="I2991" s="2" t="s">
        <v>11016</v>
      </c>
      <c r="J2991" s="2" t="s">
        <v>6103</v>
      </c>
      <c r="K2991" s="2" t="s">
        <v>8609</v>
      </c>
      <c r="L2991" s="3">
        <v>128.6</v>
      </c>
      <c r="M2991" s="3">
        <v>135.03</v>
      </c>
      <c r="N2991" s="3">
        <v>319.99</v>
      </c>
      <c r="O2991" s="2" t="s">
        <v>229</v>
      </c>
      <c r="P2991" s="2" t="s">
        <v>198</v>
      </c>
      <c r="Q2991" s="2" t="s">
        <v>99</v>
      </c>
      <c r="R2991" s="2" t="s">
        <v>100</v>
      </c>
      <c r="S2991" s="2" t="s">
        <v>11017</v>
      </c>
      <c r="T2991" s="2" t="s">
        <v>100</v>
      </c>
      <c r="U2991" s="2" t="s">
        <v>100</v>
      </c>
      <c r="V2991" s="2" t="s">
        <v>1122</v>
      </c>
      <c r="W2991" s="2" t="s">
        <v>602</v>
      </c>
      <c r="X2991" s="2" t="s">
        <v>100</v>
      </c>
      <c r="Y2991" s="2" t="s">
        <v>106</v>
      </c>
      <c r="Z2991" s="4">
        <v>39</v>
      </c>
      <c r="AA2991" s="4">
        <f>=ROUNDDOWN(195,0)</f>
      </c>
      <c r="AB2991" s="5">
        <v>0.2</v>
      </c>
      <c r="AC2991" s="2" t="s">
        <v>100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>
        <v>16</v>
      </c>
      <c r="BK2991" s="8">
        <v>2387.41</v>
      </c>
      <c r="BL2991" s="2" t="s">
        <v>11018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97</v>
      </c>
      <c r="BW2991" s="2" t="s">
        <v>8043</v>
      </c>
      <c r="BX2991" s="2" t="s">
        <v>10996</v>
      </c>
      <c r="BY2991" s="2" t="s">
        <v>112</v>
      </c>
      <c r="BZ2991" s="2" t="s">
        <v>100</v>
      </c>
    </row>
    <row r="2992">
      <c r="A2992" s="2" t="s">
        <v>11019</v>
      </c>
      <c r="B2992" s="2" t="s">
        <v>10578</v>
      </c>
      <c r="C2992" s="2" t="s">
        <v>4677</v>
      </c>
      <c r="D2992" s="2" t="s">
        <v>10686</v>
      </c>
      <c r="E2992" s="2" t="s">
        <v>10687</v>
      </c>
      <c r="F2992" s="2" t="s">
        <v>11015</v>
      </c>
      <c r="G2992" s="2" t="s">
        <v>11015</v>
      </c>
      <c r="H2992" s="2" t="s">
        <v>11015</v>
      </c>
      <c r="I2992" s="2" t="s">
        <v>11016</v>
      </c>
      <c r="J2992" s="2" t="s">
        <v>6103</v>
      </c>
      <c r="K2992" s="2" t="s">
        <v>2066</v>
      </c>
      <c r="L2992" s="3">
        <v>128.6</v>
      </c>
      <c r="M2992" s="3">
        <v>135.03</v>
      </c>
      <c r="N2992" s="3">
        <v>319.99</v>
      </c>
      <c r="O2992" s="2" t="s">
        <v>97</v>
      </c>
      <c r="P2992" s="2" t="s">
        <v>1265</v>
      </c>
      <c r="Q2992" s="2" t="s">
        <v>99</v>
      </c>
      <c r="R2992" s="2" t="s">
        <v>100</v>
      </c>
      <c r="S2992" s="2" t="s">
        <v>11020</v>
      </c>
      <c r="T2992" s="2" t="s">
        <v>100</v>
      </c>
      <c r="U2992" s="2" t="s">
        <v>100</v>
      </c>
      <c r="V2992" s="2" t="s">
        <v>1122</v>
      </c>
      <c r="W2992" s="2" t="s">
        <v>602</v>
      </c>
      <c r="X2992" s="2" t="s">
        <v>100</v>
      </c>
      <c r="Y2992" s="2" t="s">
        <v>106</v>
      </c>
      <c r="Z2992" s="4">
        <v>155</v>
      </c>
      <c r="AA2992" s="4">
        <f>=ROUNDDOWN(77.5,0)</f>
      </c>
      <c r="AB2992" s="5">
        <v>2</v>
      </c>
      <c r="AC2992" s="2" t="s">
        <v>100</v>
      </c>
      <c r="AD2992" s="4"/>
      <c r="AE2992" s="4"/>
      <c r="AF2992" s="6">
        <v>63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 t="s">
        <v>100</v>
      </c>
      <c r="BD2992" s="8" t="s">
        <v>100</v>
      </c>
      <c r="BE2992" s="4" t="s">
        <v>100</v>
      </c>
      <c r="BF2992" s="8" t="s">
        <v>100</v>
      </c>
      <c r="BG2992" s="7" t="s">
        <v>100</v>
      </c>
      <c r="BH2992" s="7" t="s">
        <v>100</v>
      </c>
      <c r="BI2992" s="7"/>
      <c r="BJ2992" s="4">
        <v>21</v>
      </c>
      <c r="BK2992" s="8">
        <v>2946.21</v>
      </c>
      <c r="BL2992" s="2" t="s">
        <v>11021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97</v>
      </c>
      <c r="BW2992" s="2" t="s">
        <v>8043</v>
      </c>
      <c r="BX2992" s="2" t="s">
        <v>100</v>
      </c>
      <c r="BY2992" s="2" t="s">
        <v>112</v>
      </c>
      <c r="BZ2992" s="2" t="s">
        <v>100</v>
      </c>
    </row>
    <row r="2993">
      <c r="A2993" s="2" t="s">
        <v>11022</v>
      </c>
      <c r="B2993" s="2" t="s">
        <v>10578</v>
      </c>
      <c r="C2993" s="2" t="s">
        <v>4677</v>
      </c>
      <c r="D2993" s="2" t="s">
        <v>10686</v>
      </c>
      <c r="E2993" s="2" t="s">
        <v>10687</v>
      </c>
      <c r="F2993" s="2" t="s">
        <v>11023</v>
      </c>
      <c r="G2993" s="2" t="s">
        <v>11023</v>
      </c>
      <c r="H2993" s="2" t="s">
        <v>11023</v>
      </c>
      <c r="I2993" s="2" t="s">
        <v>11024</v>
      </c>
      <c r="J2993" s="2" t="s">
        <v>6103</v>
      </c>
      <c r="K2993" s="2" t="s">
        <v>11025</v>
      </c>
      <c r="L2993" s="3">
        <v>88.78</v>
      </c>
      <c r="M2993" s="3">
        <v>93.22</v>
      </c>
      <c r="N2993" s="3">
        <v>199</v>
      </c>
      <c r="O2993" s="2" t="s">
        <v>229</v>
      </c>
      <c r="P2993" s="2" t="s">
        <v>198</v>
      </c>
      <c r="Q2993" s="2" t="s">
        <v>99</v>
      </c>
      <c r="R2993" s="2" t="s">
        <v>100</v>
      </c>
      <c r="S2993" s="2" t="s">
        <v>100</v>
      </c>
      <c r="T2993" s="2" t="s">
        <v>100</v>
      </c>
      <c r="U2993" s="2" t="s">
        <v>3531</v>
      </c>
      <c r="V2993" s="2" t="s">
        <v>1752</v>
      </c>
      <c r="W2993" s="2" t="s">
        <v>602</v>
      </c>
      <c r="X2993" s="2" t="s">
        <v>11026</v>
      </c>
      <c r="Y2993" s="2" t="s">
        <v>10880</v>
      </c>
      <c r="Z2993" s="4">
        <v>87</v>
      </c>
      <c r="AA2993" s="4">
        <f>=ROUNDDOWN({0},0)</f>
      </c>
      <c r="AB2993" s="5"/>
      <c r="AC2993" s="2" t="s">
        <v>100</v>
      </c>
      <c r="AD2993" s="4"/>
      <c r="AE2993" s="4"/>
      <c r="AF2993" s="6">
        <v>63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/>
      <c r="BD2993" s="8"/>
      <c r="BE2993" s="4"/>
      <c r="BF2993" s="8"/>
      <c r="BG2993" s="7"/>
      <c r="BH2993" s="7"/>
      <c r="BI2993" s="7"/>
      <c r="BJ2993" s="4">
        <v>3</v>
      </c>
      <c r="BK2993" s="8">
        <v>299.89</v>
      </c>
      <c r="BL2993" s="2" t="s">
        <v>11027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147</v>
      </c>
      <c r="BV2993" s="2" t="s">
        <v>97</v>
      </c>
      <c r="BW2993" s="2" t="s">
        <v>100</v>
      </c>
      <c r="BX2993" s="2" t="s">
        <v>100</v>
      </c>
      <c r="BY2993" s="2" t="s">
        <v>112</v>
      </c>
      <c r="BZ2993" s="2" t="s">
        <v>100</v>
      </c>
    </row>
    <row r="2994">
      <c r="A2994" s="2" t="s">
        <v>11028</v>
      </c>
      <c r="B2994" s="2" t="s">
        <v>10578</v>
      </c>
      <c r="C2994" s="2" t="s">
        <v>4677</v>
      </c>
      <c r="D2994" s="2" t="s">
        <v>10686</v>
      </c>
      <c r="E2994" s="2" t="s">
        <v>10687</v>
      </c>
      <c r="F2994" s="2" t="s">
        <v>9062</v>
      </c>
      <c r="G2994" s="2" t="s">
        <v>9062</v>
      </c>
      <c r="H2994" s="2" t="s">
        <v>9062</v>
      </c>
      <c r="I2994" s="2" t="s">
        <v>11029</v>
      </c>
      <c r="J2994" s="2" t="s">
        <v>6103</v>
      </c>
      <c r="K2994" s="2" t="s">
        <v>10863</v>
      </c>
      <c r="L2994" s="3">
        <v>103.5</v>
      </c>
      <c r="M2994" s="3">
        <v>108.68</v>
      </c>
      <c r="N2994" s="3">
        <v>234.99</v>
      </c>
      <c r="O2994" s="2" t="s">
        <v>229</v>
      </c>
      <c r="P2994" s="2" t="s">
        <v>198</v>
      </c>
      <c r="Q2994" s="2" t="s">
        <v>99</v>
      </c>
      <c r="R2994" s="2" t="s">
        <v>100</v>
      </c>
      <c r="S2994" s="2" t="s">
        <v>100</v>
      </c>
      <c r="T2994" s="2" t="s">
        <v>100</v>
      </c>
      <c r="U2994" s="2" t="s">
        <v>100</v>
      </c>
      <c r="V2994" s="2" t="s">
        <v>1752</v>
      </c>
      <c r="W2994" s="2" t="s">
        <v>2195</v>
      </c>
      <c r="X2994" s="2" t="s">
        <v>100</v>
      </c>
      <c r="Y2994" s="2" t="s">
        <v>4370</v>
      </c>
      <c r="Z2994" s="4">
        <v>44</v>
      </c>
      <c r="AA2994" s="4">
        <f>=ROUNDDOWN(44,0)</f>
      </c>
      <c r="AB2994" s="5">
        <v>1</v>
      </c>
      <c r="AC2994" s="2" t="s">
        <v>100</v>
      </c>
      <c r="AD2994" s="4"/>
      <c r="AE2994" s="4"/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/>
      <c r="BD2994" s="8"/>
      <c r="BE2994" s="4"/>
      <c r="BF2994" s="8"/>
      <c r="BG2994" s="7"/>
      <c r="BH2994" s="7"/>
      <c r="BI2994" s="7"/>
      <c r="BJ2994" s="4">
        <v>13</v>
      </c>
      <c r="BK2994" s="8">
        <v>1556.73</v>
      </c>
      <c r="BL2994" s="2" t="s">
        <v>11030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147</v>
      </c>
      <c r="BV2994" s="2" t="s">
        <v>97</v>
      </c>
      <c r="BW2994" s="2" t="s">
        <v>100</v>
      </c>
      <c r="BX2994" s="2" t="s">
        <v>100</v>
      </c>
      <c r="BY2994" s="2" t="s">
        <v>112</v>
      </c>
      <c r="BZ2994" s="2" t="s">
        <v>100</v>
      </c>
    </row>
    <row r="2995">
      <c r="A2995" s="2" t="s">
        <v>11031</v>
      </c>
      <c r="B2995" s="2" t="s">
        <v>10578</v>
      </c>
      <c r="C2995" s="2" t="s">
        <v>4677</v>
      </c>
      <c r="D2995" s="2" t="s">
        <v>10686</v>
      </c>
      <c r="E2995" s="2" t="s">
        <v>10687</v>
      </c>
      <c r="F2995" s="2" t="s">
        <v>11032</v>
      </c>
      <c r="G2995" s="2" t="s">
        <v>11032</v>
      </c>
      <c r="H2995" s="2" t="s">
        <v>11032</v>
      </c>
      <c r="I2995" s="2" t="s">
        <v>11033</v>
      </c>
      <c r="J2995" s="2" t="s">
        <v>6103</v>
      </c>
      <c r="K2995" s="2" t="s">
        <v>1695</v>
      </c>
      <c r="L2995" s="3">
        <v>87.4</v>
      </c>
      <c r="M2995" s="3">
        <v>91.77</v>
      </c>
      <c r="N2995" s="3">
        <v>199.99</v>
      </c>
      <c r="O2995" s="2" t="s">
        <v>229</v>
      </c>
      <c r="P2995" s="2" t="s">
        <v>198</v>
      </c>
      <c r="Q2995" s="2" t="s">
        <v>99</v>
      </c>
      <c r="R2995" s="2" t="s">
        <v>100</v>
      </c>
      <c r="S2995" s="2" t="s">
        <v>100</v>
      </c>
      <c r="T2995" s="2" t="s">
        <v>100</v>
      </c>
      <c r="U2995" s="2" t="s">
        <v>3531</v>
      </c>
      <c r="V2995" s="2" t="s">
        <v>1752</v>
      </c>
      <c r="W2995" s="2" t="s">
        <v>602</v>
      </c>
      <c r="X2995" s="2" t="s">
        <v>2195</v>
      </c>
      <c r="Y2995" s="2" t="s">
        <v>443</v>
      </c>
      <c r="Z2995" s="4">
        <v>97</v>
      </c>
      <c r="AA2995" s="4">
        <f>=ROUNDDOWN({0},0)</f>
      </c>
      <c r="AB2995" s="5"/>
      <c r="AC2995" s="2" t="s">
        <v>100</v>
      </c>
      <c r="AD2995" s="4"/>
      <c r="AE2995" s="4"/>
      <c r="AF2995" s="6">
        <v>63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/>
      <c r="BD2995" s="8"/>
      <c r="BE2995" s="4"/>
      <c r="BF2995" s="8"/>
      <c r="BG2995" s="7"/>
      <c r="BH2995" s="7"/>
      <c r="BI2995" s="7"/>
      <c r="BJ2995" s="4">
        <v>1</v>
      </c>
      <c r="BK2995" s="8">
        <v>91.77</v>
      </c>
      <c r="BL2995" s="2" t="s">
        <v>1609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147</v>
      </c>
      <c r="BV2995" s="2" t="s">
        <v>97</v>
      </c>
      <c r="BW2995" s="2" t="s">
        <v>100</v>
      </c>
      <c r="BX2995" s="2" t="s">
        <v>100</v>
      </c>
      <c r="BY2995" s="2" t="s">
        <v>112</v>
      </c>
      <c r="BZ2995" s="2" t="s">
        <v>100</v>
      </c>
    </row>
    <row r="2996">
      <c r="A2996" s="2" t="s">
        <v>11034</v>
      </c>
      <c r="B2996" s="2" t="s">
        <v>10578</v>
      </c>
      <c r="C2996" s="2" t="s">
        <v>4677</v>
      </c>
      <c r="D2996" s="2" t="s">
        <v>10686</v>
      </c>
      <c r="E2996" s="2" t="s">
        <v>10687</v>
      </c>
      <c r="F2996" s="2" t="s">
        <v>10089</v>
      </c>
      <c r="G2996" s="2" t="s">
        <v>10089</v>
      </c>
      <c r="H2996" s="2" t="s">
        <v>10089</v>
      </c>
      <c r="I2996" s="2" t="s">
        <v>11035</v>
      </c>
      <c r="J2996" s="2" t="s">
        <v>6103</v>
      </c>
      <c r="K2996" s="2" t="s">
        <v>10847</v>
      </c>
      <c r="L2996" s="3">
        <v>116.24</v>
      </c>
      <c r="M2996" s="3">
        <v>122.05</v>
      </c>
      <c r="N2996" s="3">
        <v>264.99</v>
      </c>
      <c r="O2996" s="2" t="s">
        <v>97</v>
      </c>
      <c r="P2996" s="2" t="s">
        <v>182</v>
      </c>
      <c r="Q2996" s="2" t="s">
        <v>99</v>
      </c>
      <c r="R2996" s="2" t="s">
        <v>100</v>
      </c>
      <c r="S2996" s="2" t="s">
        <v>100</v>
      </c>
      <c r="T2996" s="2" t="s">
        <v>100</v>
      </c>
      <c r="U2996" s="2" t="s">
        <v>3531</v>
      </c>
      <c r="V2996" s="2" t="s">
        <v>1752</v>
      </c>
      <c r="W2996" s="2" t="s">
        <v>6998</v>
      </c>
      <c r="X2996" s="2" t="s">
        <v>100</v>
      </c>
      <c r="Y2996" s="2" t="s">
        <v>10694</v>
      </c>
      <c r="Z2996" s="4">
        <v>50</v>
      </c>
      <c r="AA2996" s="4">
        <f>=ROUNDDOWN(19.2307692307692,0)</f>
      </c>
      <c r="AB2996" s="5">
        <v>2.6</v>
      </c>
      <c r="AC2996" s="2" t="s">
        <v>1328</v>
      </c>
      <c r="AD2996" s="4">
        <v>100</v>
      </c>
      <c r="AE2996" s="4">
        <v>100</v>
      </c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/>
      <c r="BD2996" s="8"/>
      <c r="BE2996" s="4"/>
      <c r="BF2996" s="8"/>
      <c r="BG2996" s="7"/>
      <c r="BH2996" s="7"/>
      <c r="BI2996" s="7"/>
      <c r="BJ2996" s="4">
        <v>65</v>
      </c>
      <c r="BK2996" s="8">
        <v>9093.32</v>
      </c>
      <c r="BL2996" s="2" t="s">
        <v>11036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97</v>
      </c>
      <c r="BW2996" s="2" t="s">
        <v>9615</v>
      </c>
      <c r="BX2996" s="2" t="s">
        <v>100</v>
      </c>
      <c r="BY2996" s="2" t="s">
        <v>112</v>
      </c>
      <c r="BZ2996" s="2" t="s">
        <v>100</v>
      </c>
    </row>
    <row r="2997">
      <c r="A2997" s="2" t="s">
        <v>11037</v>
      </c>
      <c r="B2997" s="2" t="s">
        <v>10578</v>
      </c>
      <c r="C2997" s="2" t="s">
        <v>4677</v>
      </c>
      <c r="D2997" s="2" t="s">
        <v>10686</v>
      </c>
      <c r="E2997" s="2" t="s">
        <v>10687</v>
      </c>
      <c r="F2997" s="2" t="s">
        <v>9558</v>
      </c>
      <c r="G2997" s="2" t="s">
        <v>9558</v>
      </c>
      <c r="H2997" s="2" t="s">
        <v>9558</v>
      </c>
      <c r="I2997" s="2" t="s">
        <v>10693</v>
      </c>
      <c r="J2997" s="2" t="s">
        <v>6103</v>
      </c>
      <c r="K2997" s="2" t="s">
        <v>10818</v>
      </c>
      <c r="L2997" s="3">
        <v>76.64</v>
      </c>
      <c r="M2997" s="3">
        <v>80.47</v>
      </c>
      <c r="N2997" s="3">
        <v>174.99</v>
      </c>
      <c r="O2997" s="2" t="s">
        <v>229</v>
      </c>
      <c r="P2997" s="2" t="s">
        <v>198</v>
      </c>
      <c r="Q2997" s="2" t="s">
        <v>99</v>
      </c>
      <c r="R2997" s="2" t="s">
        <v>100</v>
      </c>
      <c r="S2997" s="2" t="s">
        <v>100</v>
      </c>
      <c r="T2997" s="2" t="s">
        <v>100</v>
      </c>
      <c r="U2997" s="2" t="s">
        <v>3531</v>
      </c>
      <c r="V2997" s="2" t="s">
        <v>1752</v>
      </c>
      <c r="W2997" s="2" t="s">
        <v>602</v>
      </c>
      <c r="X2997" s="2" t="s">
        <v>100</v>
      </c>
      <c r="Y2997" s="2" t="s">
        <v>4370</v>
      </c>
      <c r="Z2997" s="4">
        <v>68</v>
      </c>
      <c r="AA2997" s="4">
        <f>=ROUNDDOWN(68,0)</f>
      </c>
      <c r="AB2997" s="5">
        <v>1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/>
      <c r="BD2997" s="8"/>
      <c r="BE2997" s="4"/>
      <c r="BF2997" s="8"/>
      <c r="BG2997" s="7"/>
      <c r="BH2997" s="7"/>
      <c r="BI2997" s="7"/>
      <c r="BJ2997" s="4">
        <v>13</v>
      </c>
      <c r="BK2997" s="8">
        <v>980.95</v>
      </c>
      <c r="BL2997" s="2" t="s">
        <v>11038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147</v>
      </c>
      <c r="BV2997" s="2" t="s">
        <v>97</v>
      </c>
      <c r="BW2997" s="2" t="s">
        <v>100</v>
      </c>
      <c r="BX2997" s="2" t="s">
        <v>100</v>
      </c>
      <c r="BY2997" s="2" t="s">
        <v>112</v>
      </c>
      <c r="BZ2997" s="2" t="s">
        <v>100</v>
      </c>
    </row>
    <row r="2998">
      <c r="A2998" s="2" t="s">
        <v>11039</v>
      </c>
      <c r="B2998" s="2" t="s">
        <v>10578</v>
      </c>
      <c r="C2998" s="2" t="s">
        <v>4677</v>
      </c>
      <c r="D2998" s="2" t="s">
        <v>10686</v>
      </c>
      <c r="E2998" s="2" t="s">
        <v>10687</v>
      </c>
      <c r="F2998" s="2" t="s">
        <v>11040</v>
      </c>
      <c r="G2998" s="2" t="s">
        <v>11040</v>
      </c>
      <c r="H2998" s="2" t="s">
        <v>11040</v>
      </c>
      <c r="I2998" s="2" t="s">
        <v>11041</v>
      </c>
      <c r="J2998" s="2" t="s">
        <v>6103</v>
      </c>
      <c r="K2998" s="2" t="s">
        <v>1660</v>
      </c>
      <c r="L2998" s="3">
        <v>85.5</v>
      </c>
      <c r="M2998" s="3">
        <v>89.78</v>
      </c>
      <c r="N2998" s="3">
        <v>199</v>
      </c>
      <c r="O2998" s="2" t="s">
        <v>229</v>
      </c>
      <c r="P2998" s="2" t="s">
        <v>198</v>
      </c>
      <c r="Q2998" s="2" t="s">
        <v>99</v>
      </c>
      <c r="R2998" s="2" t="s">
        <v>100</v>
      </c>
      <c r="S2998" s="2" t="s">
        <v>100</v>
      </c>
      <c r="T2998" s="2" t="s">
        <v>100</v>
      </c>
      <c r="U2998" s="2" t="s">
        <v>3531</v>
      </c>
      <c r="V2998" s="2" t="s">
        <v>1752</v>
      </c>
      <c r="W2998" s="2" t="s">
        <v>405</v>
      </c>
      <c r="X2998" s="2" t="s">
        <v>602</v>
      </c>
      <c r="Y2998" s="2" t="s">
        <v>443</v>
      </c>
      <c r="Z2998" s="4">
        <v>78</v>
      </c>
      <c r="AA2998" s="4">
        <f>=ROUNDDOWN(111.428571428571,0)</f>
      </c>
      <c r="AB2998" s="5">
        <v>0.7</v>
      </c>
      <c r="AC2998" s="2" t="s">
        <v>100</v>
      </c>
      <c r="AD2998" s="4"/>
      <c r="AE2998" s="4"/>
      <c r="AF2998" s="6">
        <v>63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/>
      <c r="BD2998" s="8"/>
      <c r="BE2998" s="4"/>
      <c r="BF2998" s="8"/>
      <c r="BG2998" s="7"/>
      <c r="BH2998" s="7"/>
      <c r="BI2998" s="7"/>
      <c r="BJ2998" s="4">
        <v>9</v>
      </c>
      <c r="BK2998" s="8">
        <v>656.06</v>
      </c>
      <c r="BL2998" s="2" t="s">
        <v>11042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147</v>
      </c>
      <c r="BV2998" s="2" t="s">
        <v>97</v>
      </c>
      <c r="BW2998" s="2" t="s">
        <v>100</v>
      </c>
      <c r="BX2998" s="2" t="s">
        <v>100</v>
      </c>
      <c r="BY2998" s="2" t="s">
        <v>112</v>
      </c>
      <c r="BZ2998" s="2" t="s">
        <v>100</v>
      </c>
    </row>
    <row r="2999">
      <c r="A2999" s="2" t="s">
        <v>11043</v>
      </c>
      <c r="B2999" s="2" t="s">
        <v>10578</v>
      </c>
      <c r="C2999" s="2" t="s">
        <v>4677</v>
      </c>
      <c r="D2999" s="2" t="s">
        <v>10686</v>
      </c>
      <c r="E2999" s="2" t="s">
        <v>10687</v>
      </c>
      <c r="F2999" s="2" t="s">
        <v>11044</v>
      </c>
      <c r="G2999" s="2" t="s">
        <v>11044</v>
      </c>
      <c r="H2999" s="2" t="s">
        <v>11044</v>
      </c>
      <c r="I2999" s="2" t="s">
        <v>11045</v>
      </c>
      <c r="J2999" s="2" t="s">
        <v>6103</v>
      </c>
      <c r="K2999" s="2" t="s">
        <v>6566</v>
      </c>
      <c r="L2999" s="3">
        <v>132</v>
      </c>
      <c r="M2999" s="3">
        <v>138.6</v>
      </c>
      <c r="N2999" s="3">
        <v>279.99</v>
      </c>
      <c r="O2999" s="2" t="s">
        <v>97</v>
      </c>
      <c r="P2999" s="2" t="s">
        <v>1166</v>
      </c>
      <c r="Q2999" s="2" t="s">
        <v>99</v>
      </c>
      <c r="R2999" s="2" t="s">
        <v>100</v>
      </c>
      <c r="S2999" s="2" t="s">
        <v>100</v>
      </c>
      <c r="T2999" s="2" t="s">
        <v>100</v>
      </c>
      <c r="U2999" s="2" t="s">
        <v>3531</v>
      </c>
      <c r="V2999" s="2" t="s">
        <v>1752</v>
      </c>
      <c r="W2999" s="2" t="s">
        <v>1288</v>
      </c>
      <c r="X2999" s="2" t="s">
        <v>759</v>
      </c>
      <c r="Y2999" s="2" t="s">
        <v>3451</v>
      </c>
      <c r="Z2999" s="4">
        <v>89</v>
      </c>
      <c r="AA2999" s="4">
        <f>=ROUNDDOWN(89,0)</f>
      </c>
      <c r="AB2999" s="5">
        <v>1</v>
      </c>
      <c r="AC2999" s="2" t="s">
        <v>100</v>
      </c>
      <c r="AD2999" s="4"/>
      <c r="AE2999" s="4"/>
      <c r="AF2999" s="6">
        <v>63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>
        <v>5</v>
      </c>
      <c r="BK2999" s="8">
        <v>773.83</v>
      </c>
      <c r="BL2999" s="2" t="s">
        <v>7682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97</v>
      </c>
      <c r="BW2999" s="2" t="s">
        <v>9615</v>
      </c>
      <c r="BX2999" s="2" t="s">
        <v>100</v>
      </c>
      <c r="BY2999" s="2" t="s">
        <v>112</v>
      </c>
      <c r="BZ2999" s="2" t="s">
        <v>100</v>
      </c>
    </row>
    <row r="3000">
      <c r="A3000" s="2" t="s">
        <v>11046</v>
      </c>
      <c r="B3000" s="2" t="s">
        <v>10578</v>
      </c>
      <c r="C3000" s="2" t="s">
        <v>4677</v>
      </c>
      <c r="D3000" s="2" t="s">
        <v>10805</v>
      </c>
      <c r="E3000" s="2" t="s">
        <v>10806</v>
      </c>
      <c r="F3000" s="2" t="s">
        <v>11047</v>
      </c>
      <c r="G3000" s="2" t="s">
        <v>11047</v>
      </c>
      <c r="H3000" s="2" t="s">
        <v>11047</v>
      </c>
      <c r="I3000" s="2" t="s">
        <v>11048</v>
      </c>
      <c r="J3000" s="2" t="s">
        <v>6103</v>
      </c>
      <c r="K3000" s="2" t="s">
        <v>1660</v>
      </c>
      <c r="L3000" s="3">
        <v>89.35</v>
      </c>
      <c r="M3000" s="3">
        <v>93.82</v>
      </c>
      <c r="N3000" s="3">
        <v>199.99</v>
      </c>
      <c r="O3000" s="2" t="s">
        <v>97</v>
      </c>
      <c r="P3000" s="2" t="s">
        <v>182</v>
      </c>
      <c r="Q3000" s="2" t="s">
        <v>99</v>
      </c>
      <c r="R3000" s="2" t="s">
        <v>100</v>
      </c>
      <c r="S3000" s="2" t="s">
        <v>100</v>
      </c>
      <c r="T3000" s="2" t="s">
        <v>100</v>
      </c>
      <c r="U3000" s="2" t="s">
        <v>100</v>
      </c>
      <c r="V3000" s="2" t="s">
        <v>601</v>
      </c>
      <c r="W3000" s="2" t="s">
        <v>6998</v>
      </c>
      <c r="X3000" s="2" t="s">
        <v>100</v>
      </c>
      <c r="Y3000" s="2" t="s">
        <v>11049</v>
      </c>
      <c r="Z3000" s="4">
        <v>46</v>
      </c>
      <c r="AA3000" s="4">
        <f>=ROUNDDOWN(23,0)</f>
      </c>
      <c r="AB3000" s="5">
        <v>2</v>
      </c>
      <c r="AC3000" s="2" t="s">
        <v>1193</v>
      </c>
      <c r="AD3000" s="4">
        <v>100</v>
      </c>
      <c r="AE3000" s="4">
        <v>100</v>
      </c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>
        <v>0</v>
      </c>
      <c r="AP3000" s="4">
        <v>4</v>
      </c>
      <c r="AQ3000" s="8">
        <v>375.28</v>
      </c>
      <c r="AR3000" s="4">
        <v>10</v>
      </c>
      <c r="AS3000" s="8">
        <v>982.57</v>
      </c>
      <c r="AT3000" s="7">
        <v>-0.6</v>
      </c>
      <c r="AU3000" s="7">
        <v>-0.6181</v>
      </c>
      <c r="AV3000" s="4">
        <v>4</v>
      </c>
      <c r="AW3000" s="8">
        <v>375.28</v>
      </c>
      <c r="AX3000" s="4">
        <v>10</v>
      </c>
      <c r="AY3000" s="8">
        <v>982.57</v>
      </c>
      <c r="AZ3000" s="7">
        <v>-0.6</v>
      </c>
      <c r="BA3000" s="7">
        <v>-0.6181</v>
      </c>
      <c r="BB3000" s="7">
        <v>1</v>
      </c>
      <c r="BC3000" s="4">
        <v>4</v>
      </c>
      <c r="BD3000" s="8">
        <v>375.28</v>
      </c>
      <c r="BE3000" s="4">
        <v>21</v>
      </c>
      <c r="BF3000" s="8">
        <v>2063.89</v>
      </c>
      <c r="BG3000" s="7">
        <v>-0.8095</v>
      </c>
      <c r="BH3000" s="7">
        <v>-0.8182</v>
      </c>
      <c r="BI3000" s="7">
        <v>1</v>
      </c>
      <c r="BJ3000" s="4">
        <v>52</v>
      </c>
      <c r="BK3000" s="8">
        <v>5151.56</v>
      </c>
      <c r="BL3000" s="2" t="s">
        <v>11050</v>
      </c>
      <c r="BM3000" s="7">
        <v>0.0769</v>
      </c>
      <c r="BN3000" s="7">
        <v>0.0728</v>
      </c>
      <c r="BO3000" s="4">
        <v>4</v>
      </c>
      <c r="BP3000" s="8">
        <v>375.28</v>
      </c>
      <c r="BQ3000" s="4">
        <v>10</v>
      </c>
      <c r="BR3000" s="8">
        <v>982.57</v>
      </c>
      <c r="BS3000" s="7">
        <v>-0.6</v>
      </c>
      <c r="BT3000" s="7">
        <v>-0.6181</v>
      </c>
      <c r="BU3000" s="2" t="s">
        <v>109</v>
      </c>
      <c r="BV3000" s="2" t="s">
        <v>97</v>
      </c>
      <c r="BW3000" s="2" t="s">
        <v>8043</v>
      </c>
      <c r="BX3000" s="2" t="s">
        <v>11051</v>
      </c>
      <c r="BY3000" s="2" t="s">
        <v>112</v>
      </c>
      <c r="BZ3000" s="2" t="s">
        <v>100</v>
      </c>
    </row>
    <row r="3001">
      <c r="A3001" s="2" t="s">
        <v>11052</v>
      </c>
      <c r="B3001" s="2" t="s">
        <v>10578</v>
      </c>
      <c r="C3001" s="2" t="s">
        <v>4677</v>
      </c>
      <c r="D3001" s="2" t="s">
        <v>10805</v>
      </c>
      <c r="E3001" s="2" t="s">
        <v>10806</v>
      </c>
      <c r="F3001" s="2" t="s">
        <v>11047</v>
      </c>
      <c r="G3001" s="2" t="s">
        <v>11047</v>
      </c>
      <c r="H3001" s="2" t="s">
        <v>11047</v>
      </c>
      <c r="I3001" s="2" t="s">
        <v>11048</v>
      </c>
      <c r="J3001" s="2" t="s">
        <v>6103</v>
      </c>
      <c r="K3001" s="2" t="s">
        <v>2066</v>
      </c>
      <c r="L3001" s="3">
        <v>89.35</v>
      </c>
      <c r="M3001" s="3">
        <v>93.82</v>
      </c>
      <c r="N3001" s="3">
        <v>199.99</v>
      </c>
      <c r="O3001" s="2" t="s">
        <v>97</v>
      </c>
      <c r="P3001" s="2" t="s">
        <v>182</v>
      </c>
      <c r="Q3001" s="2" t="s">
        <v>99</v>
      </c>
      <c r="R3001" s="2" t="s">
        <v>100</v>
      </c>
      <c r="S3001" s="2" t="s">
        <v>11053</v>
      </c>
      <c r="T3001" s="2" t="s">
        <v>100</v>
      </c>
      <c r="U3001" s="2" t="s">
        <v>100</v>
      </c>
      <c r="V3001" s="2" t="s">
        <v>601</v>
      </c>
      <c r="W3001" s="2" t="s">
        <v>602</v>
      </c>
      <c r="X3001" s="2" t="s">
        <v>100</v>
      </c>
      <c r="Y3001" s="2" t="s">
        <v>106</v>
      </c>
      <c r="Z3001" s="4">
        <v>181</v>
      </c>
      <c r="AA3001" s="4">
        <f>=ROUNDDOWN(60.3333333333333,0)</f>
      </c>
      <c r="AB3001" s="5">
        <v>3</v>
      </c>
      <c r="AC3001" s="2" t="s">
        <v>100</v>
      </c>
      <c r="AD3001" s="4"/>
      <c r="AE3001" s="4"/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>
        <v>0</v>
      </c>
      <c r="AP3001" s="4"/>
      <c r="AQ3001" s="8"/>
      <c r="AR3001" s="4">
        <v>11</v>
      </c>
      <c r="AS3001" s="8">
        <v>1081.32</v>
      </c>
      <c r="AT3001" s="7">
        <v>-1</v>
      </c>
      <c r="AU3001" s="7">
        <v>-1</v>
      </c>
      <c r="AV3001" s="4"/>
      <c r="AW3001" s="8"/>
      <c r="AX3001" s="4">
        <v>11</v>
      </c>
      <c r="AY3001" s="8">
        <v>1081.32</v>
      </c>
      <c r="AZ3001" s="7">
        <v>-1</v>
      </c>
      <c r="BA3001" s="7">
        <v>-1</v>
      </c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>
        <v>70</v>
      </c>
      <c r="BK3001" s="8">
        <v>7573.57</v>
      </c>
      <c r="BL3001" s="2" t="s">
        <v>11054</v>
      </c>
      <c r="BM3001" s="7"/>
      <c r="BN3001" s="7"/>
      <c r="BO3001" s="4"/>
      <c r="BP3001" s="8"/>
      <c r="BQ3001" s="4">
        <v>11</v>
      </c>
      <c r="BR3001" s="8">
        <v>1081.32</v>
      </c>
      <c r="BS3001" s="7">
        <v>-1</v>
      </c>
      <c r="BT3001" s="7">
        <v>-1</v>
      </c>
      <c r="BU3001" s="2" t="s">
        <v>109</v>
      </c>
      <c r="BV3001" s="2" t="s">
        <v>97</v>
      </c>
      <c r="BW3001" s="2" t="s">
        <v>8043</v>
      </c>
      <c r="BX3001" s="2" t="s">
        <v>2938</v>
      </c>
      <c r="BY3001" s="2" t="s">
        <v>112</v>
      </c>
      <c r="BZ3001" s="2" t="s">
        <v>100</v>
      </c>
    </row>
    <row r="3002">
      <c r="A3002" s="2" t="s">
        <v>11055</v>
      </c>
      <c r="B3002" s="2" t="s">
        <v>10578</v>
      </c>
      <c r="C3002" s="2" t="s">
        <v>4677</v>
      </c>
      <c r="D3002" s="2" t="s">
        <v>10805</v>
      </c>
      <c r="E3002" s="2" t="s">
        <v>10806</v>
      </c>
      <c r="F3002" s="2" t="s">
        <v>10896</v>
      </c>
      <c r="G3002" s="2" t="s">
        <v>10896</v>
      </c>
      <c r="H3002" s="2" t="s">
        <v>10896</v>
      </c>
      <c r="I3002" s="2" t="s">
        <v>11056</v>
      </c>
      <c r="J3002" s="2" t="s">
        <v>6103</v>
      </c>
      <c r="K3002" s="2" t="s">
        <v>10042</v>
      </c>
      <c r="L3002" s="3">
        <v>129.06</v>
      </c>
      <c r="M3002" s="3">
        <v>135.51</v>
      </c>
      <c r="N3002" s="3">
        <v>284.99</v>
      </c>
      <c r="O3002" s="2" t="s">
        <v>97</v>
      </c>
      <c r="P3002" s="2" t="s">
        <v>182</v>
      </c>
      <c r="Q3002" s="2" t="s">
        <v>99</v>
      </c>
      <c r="R3002" s="2" t="s">
        <v>100</v>
      </c>
      <c r="S3002" s="2" t="s">
        <v>100</v>
      </c>
      <c r="T3002" s="2" t="s">
        <v>100</v>
      </c>
      <c r="U3002" s="2" t="s">
        <v>100</v>
      </c>
      <c r="V3002" s="2" t="s">
        <v>1752</v>
      </c>
      <c r="W3002" s="2" t="s">
        <v>104</v>
      </c>
      <c r="X3002" s="2" t="s">
        <v>100</v>
      </c>
      <c r="Y3002" s="2" t="s">
        <v>9623</v>
      </c>
      <c r="Z3002" s="4">
        <v>3</v>
      </c>
      <c r="AA3002" s="4">
        <f>=ROUNDDOWN(1,0)</f>
      </c>
      <c r="AB3002" s="5">
        <v>3</v>
      </c>
      <c r="AC3002" s="2" t="s">
        <v>1193</v>
      </c>
      <c r="AD3002" s="4">
        <v>100</v>
      </c>
      <c r="AE3002" s="4">
        <v>100</v>
      </c>
      <c r="AF3002" s="6">
        <v>63</v>
      </c>
      <c r="AG3002" s="6"/>
      <c r="AH3002" s="7">
        <v>0.7394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>
        <v>0</v>
      </c>
      <c r="AP3002" s="4">
        <v>1</v>
      </c>
      <c r="AQ3002" s="8">
        <v>135.51</v>
      </c>
      <c r="AR3002" s="4">
        <v>1</v>
      </c>
      <c r="AS3002" s="8">
        <v>142.64</v>
      </c>
      <c r="AT3002" s="7"/>
      <c r="AU3002" s="7">
        <v>-0.05</v>
      </c>
      <c r="AV3002" s="4">
        <v>1</v>
      </c>
      <c r="AW3002" s="8">
        <v>135.51</v>
      </c>
      <c r="AX3002" s="4">
        <v>1</v>
      </c>
      <c r="AY3002" s="8">
        <v>142.64</v>
      </c>
      <c r="AZ3002" s="7"/>
      <c r="BA3002" s="7">
        <v>-0.05</v>
      </c>
      <c r="BB3002" s="7">
        <v>1</v>
      </c>
      <c r="BC3002" s="4">
        <v>1</v>
      </c>
      <c r="BD3002" s="8">
        <v>135.51</v>
      </c>
      <c r="BE3002" s="4">
        <v>1</v>
      </c>
      <c r="BF3002" s="8">
        <v>142.64</v>
      </c>
      <c r="BG3002" s="7"/>
      <c r="BH3002" s="7">
        <v>-0.05</v>
      </c>
      <c r="BI3002" s="7">
        <v>1</v>
      </c>
      <c r="BJ3002" s="4">
        <v>58</v>
      </c>
      <c r="BK3002" s="8">
        <v>8377.5</v>
      </c>
      <c r="BL3002" s="2" t="s">
        <v>11057</v>
      </c>
      <c r="BM3002" s="7">
        <v>0.0172</v>
      </c>
      <c r="BN3002" s="7">
        <v>0.0162</v>
      </c>
      <c r="BO3002" s="4">
        <v>1</v>
      </c>
      <c r="BP3002" s="8">
        <v>135.51</v>
      </c>
      <c r="BQ3002" s="4">
        <v>1</v>
      </c>
      <c r="BR3002" s="8">
        <v>142.64</v>
      </c>
      <c r="BS3002" s="7"/>
      <c r="BT3002" s="7">
        <v>-0.05</v>
      </c>
      <c r="BU3002" s="2" t="s">
        <v>109</v>
      </c>
      <c r="BV3002" s="2" t="s">
        <v>97</v>
      </c>
      <c r="BW3002" s="2" t="s">
        <v>8043</v>
      </c>
      <c r="BX3002" s="2" t="s">
        <v>4325</v>
      </c>
      <c r="BY3002" s="2" t="s">
        <v>112</v>
      </c>
      <c r="BZ3002" s="2" t="s">
        <v>100</v>
      </c>
    </row>
    <row r="3003">
      <c r="A3003" s="2" t="s">
        <v>11058</v>
      </c>
      <c r="B3003" s="2" t="s">
        <v>10578</v>
      </c>
      <c r="C3003" s="2" t="s">
        <v>4677</v>
      </c>
      <c r="D3003" s="2" t="s">
        <v>10805</v>
      </c>
      <c r="E3003" s="2" t="s">
        <v>10806</v>
      </c>
      <c r="F3003" s="2" t="s">
        <v>1200</v>
      </c>
      <c r="G3003" s="2" t="s">
        <v>1200</v>
      </c>
      <c r="H3003" s="2" t="s">
        <v>1200</v>
      </c>
      <c r="I3003" s="2" t="s">
        <v>11059</v>
      </c>
      <c r="J3003" s="2" t="s">
        <v>6103</v>
      </c>
      <c r="K3003" s="2" t="s">
        <v>10850</v>
      </c>
      <c r="L3003" s="3">
        <v>55.89</v>
      </c>
      <c r="M3003" s="3">
        <v>58.68</v>
      </c>
      <c r="N3003" s="3">
        <v>129.99</v>
      </c>
      <c r="O3003" s="2" t="s">
        <v>229</v>
      </c>
      <c r="P3003" s="2" t="s">
        <v>198</v>
      </c>
      <c r="Q3003" s="2" t="s">
        <v>99</v>
      </c>
      <c r="R3003" s="2" t="s">
        <v>100</v>
      </c>
      <c r="S3003" s="2" t="s">
        <v>100</v>
      </c>
      <c r="T3003" s="2" t="s">
        <v>100</v>
      </c>
      <c r="U3003" s="2" t="s">
        <v>3531</v>
      </c>
      <c r="V3003" s="2" t="s">
        <v>1752</v>
      </c>
      <c r="W3003" s="2" t="s">
        <v>2195</v>
      </c>
      <c r="X3003" s="2" t="s">
        <v>100</v>
      </c>
      <c r="Y3003" s="2" t="s">
        <v>4370</v>
      </c>
      <c r="Z3003" s="4">
        <v>52</v>
      </c>
      <c r="AA3003" s="4">
        <f>=ROUNDDOWN(17.3333333333333,0)</f>
      </c>
      <c r="AB3003" s="5">
        <v>3</v>
      </c>
      <c r="AC3003" s="2" t="s">
        <v>100</v>
      </c>
      <c r="AD3003" s="4"/>
      <c r="AE3003" s="4"/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/>
      <c r="BD3003" s="8"/>
      <c r="BE3003" s="4"/>
      <c r="BF3003" s="8"/>
      <c r="BG3003" s="7"/>
      <c r="BH3003" s="7"/>
      <c r="BI3003" s="7"/>
      <c r="BJ3003" s="4">
        <v>27</v>
      </c>
      <c r="BK3003" s="8">
        <v>1685.84</v>
      </c>
      <c r="BL3003" s="2" t="s">
        <v>11060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147</v>
      </c>
      <c r="BV3003" s="2" t="s">
        <v>97</v>
      </c>
      <c r="BW3003" s="2" t="s">
        <v>100</v>
      </c>
      <c r="BX3003" s="2" t="s">
        <v>100</v>
      </c>
      <c r="BY3003" s="2" t="s">
        <v>112</v>
      </c>
      <c r="BZ3003" s="2" t="s">
        <v>100</v>
      </c>
    </row>
    <row r="3004">
      <c r="A3004" s="2" t="s">
        <v>11061</v>
      </c>
      <c r="B3004" s="2" t="s">
        <v>10578</v>
      </c>
      <c r="C3004" s="2" t="s">
        <v>4677</v>
      </c>
      <c r="D3004" s="2" t="s">
        <v>10805</v>
      </c>
      <c r="E3004" s="2" t="s">
        <v>10806</v>
      </c>
      <c r="F3004" s="2" t="s">
        <v>11062</v>
      </c>
      <c r="G3004" s="2" t="s">
        <v>11062</v>
      </c>
      <c r="H3004" s="2" t="s">
        <v>11062</v>
      </c>
      <c r="I3004" s="2" t="s">
        <v>11063</v>
      </c>
      <c r="J3004" s="2" t="s">
        <v>6103</v>
      </c>
      <c r="K3004" s="2" t="s">
        <v>11064</v>
      </c>
      <c r="L3004" s="3">
        <v>86</v>
      </c>
      <c r="M3004" s="3">
        <v>90.3</v>
      </c>
      <c r="N3004" s="3">
        <v>179.99</v>
      </c>
      <c r="O3004" s="2" t="s">
        <v>97</v>
      </c>
      <c r="P3004" s="2" t="s">
        <v>1166</v>
      </c>
      <c r="Q3004" s="2" t="s">
        <v>99</v>
      </c>
      <c r="R3004" s="2" t="s">
        <v>100</v>
      </c>
      <c r="S3004" s="2" t="s">
        <v>100</v>
      </c>
      <c r="T3004" s="2" t="s">
        <v>100</v>
      </c>
      <c r="U3004" s="2" t="s">
        <v>3531</v>
      </c>
      <c r="V3004" s="2" t="s">
        <v>1752</v>
      </c>
      <c r="W3004" s="2" t="s">
        <v>2195</v>
      </c>
      <c r="X3004" s="2" t="s">
        <v>602</v>
      </c>
      <c r="Y3004" s="2" t="s">
        <v>7911</v>
      </c>
      <c r="Z3004" s="4"/>
      <c r="AA3004" s="4">
        <f>=ROUNDDOWN({0},0)</f>
      </c>
      <c r="AB3004" s="5"/>
      <c r="AC3004" s="2" t="s">
        <v>936</v>
      </c>
      <c r="AD3004" s="4">
        <v>100</v>
      </c>
      <c r="AE3004" s="4">
        <v>100</v>
      </c>
      <c r="AF3004" s="6">
        <v>65</v>
      </c>
      <c r="AG3004" s="6"/>
      <c r="AH3004" s="7">
        <v>0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/>
      <c r="AW3004" s="8"/>
      <c r="AX3004" s="4"/>
      <c r="AY3004" s="8"/>
      <c r="AZ3004" s="7"/>
      <c r="BA3004" s="7"/>
      <c r="BB3004" s="7"/>
      <c r="BC3004" s="4"/>
      <c r="BD3004" s="8"/>
      <c r="BE3004" s="4"/>
      <c r="BF3004" s="8"/>
      <c r="BG3004" s="7"/>
      <c r="BH3004" s="7"/>
      <c r="BI3004" s="7"/>
      <c r="BJ3004" s="4"/>
      <c r="BK3004" s="8"/>
      <c r="BL3004" s="2" t="s">
        <v>100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147</v>
      </c>
      <c r="BV3004" s="2" t="s">
        <v>97</v>
      </c>
      <c r="BW3004" s="2" t="s">
        <v>100</v>
      </c>
      <c r="BX3004" s="2" t="s">
        <v>100</v>
      </c>
      <c r="BY3004" s="2" t="s">
        <v>112</v>
      </c>
      <c r="BZ3004" s="2" t="s">
        <v>100</v>
      </c>
    </row>
    <row r="3005">
      <c r="A3005" s="2" t="s">
        <v>11065</v>
      </c>
      <c r="B3005" s="2" t="s">
        <v>10578</v>
      </c>
      <c r="C3005" s="2" t="s">
        <v>4677</v>
      </c>
      <c r="D3005" s="2" t="s">
        <v>10805</v>
      </c>
      <c r="E3005" s="2" t="s">
        <v>10806</v>
      </c>
      <c r="F3005" s="2" t="s">
        <v>11066</v>
      </c>
      <c r="G3005" s="2" t="s">
        <v>11066</v>
      </c>
      <c r="H3005" s="2" t="s">
        <v>11066</v>
      </c>
      <c r="I3005" s="2" t="s">
        <v>11067</v>
      </c>
      <c r="J3005" s="2" t="s">
        <v>6103</v>
      </c>
      <c r="K3005" s="2" t="s">
        <v>11068</v>
      </c>
      <c r="L3005" s="3">
        <v>54.27</v>
      </c>
      <c r="M3005" s="3">
        <v>56.98</v>
      </c>
      <c r="N3005" s="3">
        <v>129.99</v>
      </c>
      <c r="O3005" s="2" t="s">
        <v>229</v>
      </c>
      <c r="P3005" s="2" t="s">
        <v>198</v>
      </c>
      <c r="Q3005" s="2" t="s">
        <v>99</v>
      </c>
      <c r="R3005" s="2" t="s">
        <v>100</v>
      </c>
      <c r="S3005" s="2" t="s">
        <v>100</v>
      </c>
      <c r="T3005" s="2" t="s">
        <v>100</v>
      </c>
      <c r="U3005" s="2" t="s">
        <v>3531</v>
      </c>
      <c r="V3005" s="2" t="s">
        <v>1752</v>
      </c>
      <c r="W3005" s="2" t="s">
        <v>104</v>
      </c>
      <c r="X3005" s="2" t="s">
        <v>100</v>
      </c>
      <c r="Y3005" s="2" t="s">
        <v>4370</v>
      </c>
      <c r="Z3005" s="4">
        <v>44</v>
      </c>
      <c r="AA3005" s="4">
        <f>=ROUNDDOWN(33.8461538461538,0)</f>
      </c>
      <c r="AB3005" s="5">
        <v>1.3</v>
      </c>
      <c r="AC3005" s="2" t="s">
        <v>100</v>
      </c>
      <c r="AD3005" s="4"/>
      <c r="AE3005" s="4"/>
      <c r="AF3005" s="6">
        <v>65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/>
      <c r="AW3005" s="8"/>
      <c r="AX3005" s="4"/>
      <c r="AY3005" s="8"/>
      <c r="AZ3005" s="7"/>
      <c r="BA3005" s="7"/>
      <c r="BB3005" s="7"/>
      <c r="BC3005" s="4"/>
      <c r="BD3005" s="8"/>
      <c r="BE3005" s="4"/>
      <c r="BF3005" s="8"/>
      <c r="BG3005" s="7"/>
      <c r="BH3005" s="7"/>
      <c r="BI3005" s="7"/>
      <c r="BJ3005" s="4">
        <v>17</v>
      </c>
      <c r="BK3005" s="8">
        <v>1065.73</v>
      </c>
      <c r="BL3005" s="2" t="s">
        <v>5845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147</v>
      </c>
      <c r="BV3005" s="2" t="s">
        <v>97</v>
      </c>
      <c r="BW3005" s="2" t="s">
        <v>100</v>
      </c>
      <c r="BX3005" s="2" t="s">
        <v>100</v>
      </c>
      <c r="BY3005" s="2" t="s">
        <v>112</v>
      </c>
      <c r="BZ3005" s="2" t="s">
        <v>100</v>
      </c>
    </row>
    <row r="3006">
      <c r="A3006" s="2" t="s">
        <v>11069</v>
      </c>
      <c r="B3006" s="2" t="s">
        <v>10578</v>
      </c>
      <c r="C3006" s="2" t="s">
        <v>4677</v>
      </c>
      <c r="D3006" s="2" t="s">
        <v>10805</v>
      </c>
      <c r="E3006" s="2" t="s">
        <v>10806</v>
      </c>
      <c r="F3006" s="2" t="s">
        <v>11070</v>
      </c>
      <c r="G3006" s="2" t="s">
        <v>11070</v>
      </c>
      <c r="H3006" s="2" t="s">
        <v>11070</v>
      </c>
      <c r="I3006" s="2" t="s">
        <v>11071</v>
      </c>
      <c r="J3006" s="2" t="s">
        <v>6103</v>
      </c>
      <c r="K3006" s="2" t="s">
        <v>11072</v>
      </c>
      <c r="L3006" s="3">
        <v>78.49</v>
      </c>
      <c r="M3006" s="3">
        <v>82.41</v>
      </c>
      <c r="N3006" s="3">
        <v>174.99</v>
      </c>
      <c r="O3006" s="2" t="s">
        <v>97</v>
      </c>
      <c r="P3006" s="2" t="s">
        <v>1265</v>
      </c>
      <c r="Q3006" s="2" t="s">
        <v>99</v>
      </c>
      <c r="R3006" s="2" t="s">
        <v>100</v>
      </c>
      <c r="S3006" s="2" t="s">
        <v>100</v>
      </c>
      <c r="T3006" s="2" t="s">
        <v>100</v>
      </c>
      <c r="U3006" s="2" t="s">
        <v>3531</v>
      </c>
      <c r="V3006" s="2" t="s">
        <v>1752</v>
      </c>
      <c r="W3006" s="2" t="s">
        <v>759</v>
      </c>
      <c r="X3006" s="2" t="s">
        <v>100</v>
      </c>
      <c r="Y3006" s="2" t="s">
        <v>4370</v>
      </c>
      <c r="Z3006" s="4">
        <v>40</v>
      </c>
      <c r="AA3006" s="4">
        <f>=ROUNDDOWN(20,0)</f>
      </c>
      <c r="AB3006" s="5">
        <v>2</v>
      </c>
      <c r="AC3006" s="2" t="s">
        <v>100</v>
      </c>
      <c r="AD3006" s="4"/>
      <c r="AE3006" s="4"/>
      <c r="AF3006" s="6">
        <v>65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/>
      <c r="AW3006" s="8"/>
      <c r="AX3006" s="4"/>
      <c r="AY3006" s="8"/>
      <c r="AZ3006" s="7"/>
      <c r="BA3006" s="7"/>
      <c r="BB3006" s="7"/>
      <c r="BC3006" s="4"/>
      <c r="BD3006" s="8"/>
      <c r="BE3006" s="4"/>
      <c r="BF3006" s="8"/>
      <c r="BG3006" s="7"/>
      <c r="BH3006" s="7"/>
      <c r="BI3006" s="7"/>
      <c r="BJ3006" s="4">
        <v>32</v>
      </c>
      <c r="BK3006" s="8">
        <v>2915.71</v>
      </c>
      <c r="BL3006" s="2" t="s">
        <v>11073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9615</v>
      </c>
      <c r="BX3006" s="2" t="s">
        <v>100</v>
      </c>
      <c r="BY3006" s="2" t="s">
        <v>112</v>
      </c>
      <c r="BZ3006" s="2" t="s">
        <v>100</v>
      </c>
    </row>
    <row r="3007">
      <c r="A3007" s="2" t="s">
        <v>11074</v>
      </c>
      <c r="B3007" s="2" t="s">
        <v>10578</v>
      </c>
      <c r="C3007" s="2" t="s">
        <v>4677</v>
      </c>
      <c r="D3007" s="2" t="s">
        <v>10805</v>
      </c>
      <c r="E3007" s="2" t="s">
        <v>10806</v>
      </c>
      <c r="F3007" s="2" t="s">
        <v>10965</v>
      </c>
      <c r="G3007" s="2" t="s">
        <v>10965</v>
      </c>
      <c r="H3007" s="2" t="s">
        <v>10965</v>
      </c>
      <c r="I3007" s="2" t="s">
        <v>11075</v>
      </c>
      <c r="J3007" s="2" t="s">
        <v>6103</v>
      </c>
      <c r="K3007" s="2" t="s">
        <v>10967</v>
      </c>
      <c r="L3007" s="3">
        <v>76</v>
      </c>
      <c r="M3007" s="3">
        <v>79.8</v>
      </c>
      <c r="N3007" s="3">
        <v>159.99</v>
      </c>
      <c r="O3007" s="2" t="s">
        <v>97</v>
      </c>
      <c r="P3007" s="2" t="s">
        <v>1166</v>
      </c>
      <c r="Q3007" s="2" t="s">
        <v>99</v>
      </c>
      <c r="R3007" s="2" t="s">
        <v>100</v>
      </c>
      <c r="S3007" s="2" t="s">
        <v>100</v>
      </c>
      <c r="T3007" s="2" t="s">
        <v>100</v>
      </c>
      <c r="U3007" s="2" t="s">
        <v>3531</v>
      </c>
      <c r="V3007" s="2" t="s">
        <v>1752</v>
      </c>
      <c r="W3007" s="2" t="s">
        <v>759</v>
      </c>
      <c r="X3007" s="2" t="s">
        <v>602</v>
      </c>
      <c r="Y3007" s="2" t="s">
        <v>10678</v>
      </c>
      <c r="Z3007" s="4">
        <v>100</v>
      </c>
      <c r="AA3007" s="4">
        <f>=ROUNDDOWN({0},0)</f>
      </c>
      <c r="AB3007" s="5"/>
      <c r="AC3007" s="2" t="s">
        <v>100</v>
      </c>
      <c r="AD3007" s="4"/>
      <c r="AE3007" s="4"/>
      <c r="AF3007" s="6">
        <v>65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/>
      <c r="AW3007" s="8"/>
      <c r="AX3007" s="4"/>
      <c r="AY3007" s="8"/>
      <c r="AZ3007" s="7"/>
      <c r="BA3007" s="7"/>
      <c r="BB3007" s="7"/>
      <c r="BC3007" s="4"/>
      <c r="BD3007" s="8"/>
      <c r="BE3007" s="4"/>
      <c r="BF3007" s="8"/>
      <c r="BG3007" s="7"/>
      <c r="BH3007" s="7"/>
      <c r="BI3007" s="7"/>
      <c r="BJ3007" s="4"/>
      <c r="BK3007" s="8"/>
      <c r="BL3007" s="2" t="s">
        <v>100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147</v>
      </c>
      <c r="BV3007" s="2" t="s">
        <v>97</v>
      </c>
      <c r="BW3007" s="2" t="s">
        <v>100</v>
      </c>
      <c r="BX3007" s="2" t="s">
        <v>100</v>
      </c>
      <c r="BY3007" s="2" t="s">
        <v>112</v>
      </c>
      <c r="BZ3007" s="2" t="s">
        <v>100</v>
      </c>
    </row>
    <row r="3008">
      <c r="A3008" s="2" t="s">
        <v>11076</v>
      </c>
      <c r="B3008" s="2" t="s">
        <v>10578</v>
      </c>
      <c r="C3008" s="2" t="s">
        <v>4677</v>
      </c>
      <c r="D3008" s="2" t="s">
        <v>10775</v>
      </c>
      <c r="E3008" s="2" t="s">
        <v>10776</v>
      </c>
      <c r="F3008" s="2" t="s">
        <v>7282</v>
      </c>
      <c r="G3008" s="2" t="s">
        <v>7282</v>
      </c>
      <c r="H3008" s="2" t="s">
        <v>7282</v>
      </c>
      <c r="I3008" s="2" t="s">
        <v>11077</v>
      </c>
      <c r="J3008" s="2" t="s">
        <v>6103</v>
      </c>
      <c r="K3008" s="2" t="s">
        <v>123</v>
      </c>
      <c r="L3008" s="3">
        <v>67</v>
      </c>
      <c r="M3008" s="3">
        <v>70.35</v>
      </c>
      <c r="N3008" s="3">
        <v>139.99</v>
      </c>
      <c r="O3008" s="2" t="s">
        <v>229</v>
      </c>
      <c r="P3008" s="2" t="s">
        <v>198</v>
      </c>
      <c r="Q3008" s="2" t="s">
        <v>99</v>
      </c>
      <c r="R3008" s="2" t="s">
        <v>100</v>
      </c>
      <c r="S3008" s="2" t="s">
        <v>100</v>
      </c>
      <c r="T3008" s="2" t="s">
        <v>100</v>
      </c>
      <c r="U3008" s="2" t="s">
        <v>3531</v>
      </c>
      <c r="V3008" s="2" t="s">
        <v>1752</v>
      </c>
      <c r="W3008" s="2" t="s">
        <v>602</v>
      </c>
      <c r="X3008" s="2" t="s">
        <v>2369</v>
      </c>
      <c r="Y3008" s="2" t="s">
        <v>6440</v>
      </c>
      <c r="Z3008" s="4">
        <v>60</v>
      </c>
      <c r="AA3008" s="4">
        <f>=ROUNDDOWN(60,0)</f>
      </c>
      <c r="AB3008" s="5">
        <v>1</v>
      </c>
      <c r="AC3008" s="2" t="s">
        <v>100</v>
      </c>
      <c r="AD3008" s="4"/>
      <c r="AE3008" s="4"/>
      <c r="AF3008" s="6">
        <v>63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>
        <v>0</v>
      </c>
      <c r="AP3008" s="4">
        <v>3</v>
      </c>
      <c r="AQ3008" s="8">
        <v>211.05</v>
      </c>
      <c r="AR3008" s="4"/>
      <c r="AS3008" s="8"/>
      <c r="AT3008" s="7"/>
      <c r="AU3008" s="7"/>
      <c r="AV3008" s="4">
        <v>3</v>
      </c>
      <c r="AW3008" s="8">
        <v>211.05</v>
      </c>
      <c r="AX3008" s="4"/>
      <c r="AY3008" s="8"/>
      <c r="AZ3008" s="7"/>
      <c r="BA3008" s="7"/>
      <c r="BB3008" s="7">
        <v>1</v>
      </c>
      <c r="BC3008" s="4">
        <v>3</v>
      </c>
      <c r="BD3008" s="8">
        <v>211.05</v>
      </c>
      <c r="BE3008" s="4"/>
      <c r="BF3008" s="8"/>
      <c r="BG3008" s="7"/>
      <c r="BH3008" s="7"/>
      <c r="BI3008" s="7">
        <v>1</v>
      </c>
      <c r="BJ3008" s="4">
        <v>5</v>
      </c>
      <c r="BK3008" s="8">
        <v>357.38</v>
      </c>
      <c r="BL3008" s="2" t="s">
        <v>11078</v>
      </c>
      <c r="BM3008" s="7">
        <v>0.6</v>
      </c>
      <c r="BN3008" s="7">
        <v>0.5905</v>
      </c>
      <c r="BO3008" s="4">
        <v>3</v>
      </c>
      <c r="BP3008" s="8">
        <v>211.05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10633</v>
      </c>
      <c r="BX3008" s="2" t="s">
        <v>3874</v>
      </c>
      <c r="BY3008" s="2" t="s">
        <v>112</v>
      </c>
      <c r="BZ3008" s="2" t="s">
        <v>100</v>
      </c>
    </row>
    <row r="3009">
      <c r="A3009" s="2" t="s">
        <v>11079</v>
      </c>
      <c r="B3009" s="2" t="s">
        <v>10578</v>
      </c>
      <c r="C3009" s="2" t="s">
        <v>4677</v>
      </c>
      <c r="D3009" s="2" t="s">
        <v>10775</v>
      </c>
      <c r="E3009" s="2" t="s">
        <v>10776</v>
      </c>
      <c r="F3009" s="2" t="s">
        <v>8210</v>
      </c>
      <c r="G3009" s="2" t="s">
        <v>8210</v>
      </c>
      <c r="H3009" s="2" t="s">
        <v>8210</v>
      </c>
      <c r="I3009" s="2" t="s">
        <v>11080</v>
      </c>
      <c r="J3009" s="2" t="s">
        <v>6103</v>
      </c>
      <c r="K3009" s="2" t="s">
        <v>8673</v>
      </c>
      <c r="L3009" s="3">
        <v>56.05</v>
      </c>
      <c r="M3009" s="3">
        <v>58.85</v>
      </c>
      <c r="N3009" s="3">
        <v>117.99</v>
      </c>
      <c r="O3009" s="2" t="s">
        <v>229</v>
      </c>
      <c r="P3009" s="2" t="s">
        <v>198</v>
      </c>
      <c r="Q3009" s="2" t="s">
        <v>99</v>
      </c>
      <c r="R3009" s="2" t="s">
        <v>100</v>
      </c>
      <c r="S3009" s="2" t="s">
        <v>100</v>
      </c>
      <c r="T3009" s="2" t="s">
        <v>100</v>
      </c>
      <c r="U3009" s="2" t="s">
        <v>3531</v>
      </c>
      <c r="V3009" s="2" t="s">
        <v>1752</v>
      </c>
      <c r="W3009" s="2" t="s">
        <v>602</v>
      </c>
      <c r="X3009" s="2" t="s">
        <v>100</v>
      </c>
      <c r="Y3009" s="2" t="s">
        <v>2285</v>
      </c>
      <c r="Z3009" s="4">
        <v>102</v>
      </c>
      <c r="AA3009" s="4">
        <f>=ROUNDDOWN(102,0)</f>
      </c>
      <c r="AB3009" s="5">
        <v>1</v>
      </c>
      <c r="AC3009" s="2" t="s">
        <v>100</v>
      </c>
      <c r="AD3009" s="4"/>
      <c r="AE3009" s="4"/>
      <c r="AF3009" s="6">
        <v>65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/>
      <c r="BD3009" s="8"/>
      <c r="BE3009" s="4"/>
      <c r="BF3009" s="8"/>
      <c r="BG3009" s="7"/>
      <c r="BH3009" s="7"/>
      <c r="BI3009" s="7"/>
      <c r="BJ3009" s="4"/>
      <c r="BK3009" s="8"/>
      <c r="BL3009" s="2" t="s">
        <v>5499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147</v>
      </c>
      <c r="BV3009" s="2" t="s">
        <v>97</v>
      </c>
      <c r="BW3009" s="2" t="s">
        <v>100</v>
      </c>
      <c r="BX3009" s="2" t="s">
        <v>100</v>
      </c>
      <c r="BY3009" s="2" t="s">
        <v>112</v>
      </c>
      <c r="BZ3009" s="2" t="s">
        <v>100</v>
      </c>
    </row>
    <row r="3010">
      <c r="A3010" s="2" t="s">
        <v>11081</v>
      </c>
      <c r="B3010" s="2" t="s">
        <v>10578</v>
      </c>
      <c r="C3010" s="2" t="s">
        <v>4677</v>
      </c>
      <c r="D3010" s="2" t="s">
        <v>10775</v>
      </c>
      <c r="E3010" s="2" t="s">
        <v>10776</v>
      </c>
      <c r="F3010" s="2" t="s">
        <v>6808</v>
      </c>
      <c r="G3010" s="2" t="s">
        <v>6808</v>
      </c>
      <c r="H3010" s="2" t="s">
        <v>6808</v>
      </c>
      <c r="I3010" s="2" t="s">
        <v>11082</v>
      </c>
      <c r="J3010" s="2" t="s">
        <v>6103</v>
      </c>
      <c r="K3010" s="2" t="s">
        <v>666</v>
      </c>
      <c r="L3010" s="3">
        <v>43</v>
      </c>
      <c r="M3010" s="3">
        <v>45.15</v>
      </c>
      <c r="N3010" s="3">
        <v>89.99</v>
      </c>
      <c r="O3010" s="2" t="s">
        <v>229</v>
      </c>
      <c r="P3010" s="2" t="s">
        <v>198</v>
      </c>
      <c r="Q3010" s="2" t="s">
        <v>99</v>
      </c>
      <c r="R3010" s="2" t="s">
        <v>100</v>
      </c>
      <c r="S3010" s="2" t="s">
        <v>100</v>
      </c>
      <c r="T3010" s="2" t="s">
        <v>100</v>
      </c>
      <c r="U3010" s="2" t="s">
        <v>3531</v>
      </c>
      <c r="V3010" s="2" t="s">
        <v>1752</v>
      </c>
      <c r="W3010" s="2" t="s">
        <v>602</v>
      </c>
      <c r="X3010" s="2" t="s">
        <v>2369</v>
      </c>
      <c r="Y3010" s="2" t="s">
        <v>6440</v>
      </c>
      <c r="Z3010" s="4"/>
      <c r="AA3010" s="4">
        <f>=ROUNDDOWN({0},0)</f>
      </c>
      <c r="AB3010" s="5">
        <v>2</v>
      </c>
      <c r="AC3010" s="2" t="s">
        <v>100</v>
      </c>
      <c r="AD3010" s="4"/>
      <c r="AE3010" s="4"/>
      <c r="AF3010" s="6">
        <v>63</v>
      </c>
      <c r="AG3010" s="6"/>
      <c r="AH3010" s="7">
        <v>0.9879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/>
      <c r="BD3010" s="8"/>
      <c r="BE3010" s="4"/>
      <c r="BF3010" s="8"/>
      <c r="BG3010" s="7"/>
      <c r="BH3010" s="7"/>
      <c r="BI3010" s="7"/>
      <c r="BJ3010" s="4">
        <v>43</v>
      </c>
      <c r="BK3010" s="8">
        <v>1522.96</v>
      </c>
      <c r="BL3010" s="2" t="s">
        <v>11083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10633</v>
      </c>
      <c r="BX3010" s="2" t="s">
        <v>100</v>
      </c>
      <c r="BY3010" s="2" t="s">
        <v>112</v>
      </c>
      <c r="BZ3010" s="2" t="s">
        <v>100</v>
      </c>
    </row>
    <row r="3011">
      <c r="A3011" s="2" t="s">
        <v>11084</v>
      </c>
      <c r="B3011" s="2" t="s">
        <v>10578</v>
      </c>
      <c r="C3011" s="2" t="s">
        <v>4677</v>
      </c>
      <c r="D3011" s="2" t="s">
        <v>10775</v>
      </c>
      <c r="E3011" s="2" t="s">
        <v>10776</v>
      </c>
      <c r="F3011" s="2" t="s">
        <v>2250</v>
      </c>
      <c r="G3011" s="2" t="s">
        <v>2250</v>
      </c>
      <c r="H3011" s="2" t="s">
        <v>2250</v>
      </c>
      <c r="I3011" s="2" t="s">
        <v>11085</v>
      </c>
      <c r="J3011" s="2" t="s">
        <v>6103</v>
      </c>
      <c r="K3011" s="2" t="s">
        <v>123</v>
      </c>
      <c r="L3011" s="3">
        <v>71</v>
      </c>
      <c r="M3011" s="3">
        <v>74.55</v>
      </c>
      <c r="N3011" s="3">
        <v>149.99</v>
      </c>
      <c r="O3011" s="2" t="s">
        <v>229</v>
      </c>
      <c r="P3011" s="2" t="s">
        <v>198</v>
      </c>
      <c r="Q3011" s="2" t="s">
        <v>99</v>
      </c>
      <c r="R3011" s="2" t="s">
        <v>100</v>
      </c>
      <c r="S3011" s="2" t="s">
        <v>100</v>
      </c>
      <c r="T3011" s="2" t="s">
        <v>100</v>
      </c>
      <c r="U3011" s="2" t="s">
        <v>3531</v>
      </c>
      <c r="V3011" s="2" t="s">
        <v>1752</v>
      </c>
      <c r="W3011" s="2" t="s">
        <v>1288</v>
      </c>
      <c r="X3011" s="2" t="s">
        <v>2369</v>
      </c>
      <c r="Y3011" s="2" t="s">
        <v>6440</v>
      </c>
      <c r="Z3011" s="4">
        <v>61</v>
      </c>
      <c r="AA3011" s="4">
        <f>=ROUNDDOWN(30.5,0)</f>
      </c>
      <c r="AB3011" s="5">
        <v>2</v>
      </c>
      <c r="AC3011" s="2" t="s">
        <v>100</v>
      </c>
      <c r="AD3011" s="4"/>
      <c r="AE3011" s="4"/>
      <c r="AF3011" s="6">
        <v>63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/>
      <c r="BD3011" s="8"/>
      <c r="BE3011" s="4"/>
      <c r="BF3011" s="8"/>
      <c r="BG3011" s="7"/>
      <c r="BH3011" s="7"/>
      <c r="BI3011" s="7"/>
      <c r="BJ3011" s="4">
        <v>10</v>
      </c>
      <c r="BK3011" s="8">
        <v>676.88</v>
      </c>
      <c r="BL3011" s="2" t="s">
        <v>11086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10633</v>
      </c>
      <c r="BX3011" s="2" t="s">
        <v>100</v>
      </c>
      <c r="BY3011" s="2" t="s">
        <v>112</v>
      </c>
      <c r="BZ3011" s="2" t="s">
        <v>100</v>
      </c>
    </row>
    <row r="3012">
      <c r="A3012" s="2" t="s">
        <v>11087</v>
      </c>
      <c r="B3012" s="2" t="s">
        <v>10578</v>
      </c>
      <c r="C3012" s="2" t="s">
        <v>4677</v>
      </c>
      <c r="D3012" s="2" t="s">
        <v>10775</v>
      </c>
      <c r="E3012" s="2" t="s">
        <v>10776</v>
      </c>
      <c r="F3012" s="2" t="s">
        <v>2364</v>
      </c>
      <c r="G3012" s="2" t="s">
        <v>2364</v>
      </c>
      <c r="H3012" s="2" t="s">
        <v>2364</v>
      </c>
      <c r="I3012" s="2" t="s">
        <v>11088</v>
      </c>
      <c r="J3012" s="2" t="s">
        <v>6103</v>
      </c>
      <c r="K3012" s="2" t="s">
        <v>142</v>
      </c>
      <c r="L3012" s="3">
        <v>45.45</v>
      </c>
      <c r="M3012" s="3">
        <v>47.72</v>
      </c>
      <c r="N3012" s="3">
        <v>99.99</v>
      </c>
      <c r="O3012" s="2" t="s">
        <v>229</v>
      </c>
      <c r="P3012" s="2" t="s">
        <v>198</v>
      </c>
      <c r="Q3012" s="2" t="s">
        <v>99</v>
      </c>
      <c r="R3012" s="2" t="s">
        <v>100</v>
      </c>
      <c r="S3012" s="2" t="s">
        <v>100</v>
      </c>
      <c r="T3012" s="2" t="s">
        <v>100</v>
      </c>
      <c r="U3012" s="2" t="s">
        <v>3531</v>
      </c>
      <c r="V3012" s="2" t="s">
        <v>1752</v>
      </c>
      <c r="W3012" s="2" t="s">
        <v>602</v>
      </c>
      <c r="X3012" s="2" t="s">
        <v>100</v>
      </c>
      <c r="Y3012" s="2" t="s">
        <v>2285</v>
      </c>
      <c r="Z3012" s="4">
        <v>104</v>
      </c>
      <c r="AA3012" s="4">
        <f>=ROUNDDOWN({0},0)</f>
      </c>
      <c r="AB3012" s="5"/>
      <c r="AC3012" s="2" t="s">
        <v>100</v>
      </c>
      <c r="AD3012" s="4"/>
      <c r="AE3012" s="4"/>
      <c r="AF3012" s="6">
        <v>65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/>
      <c r="BD3012" s="8"/>
      <c r="BE3012" s="4"/>
      <c r="BF3012" s="8"/>
      <c r="BG3012" s="7"/>
      <c r="BH3012" s="7"/>
      <c r="BI3012" s="7"/>
      <c r="BJ3012" s="4"/>
      <c r="BK3012" s="8"/>
      <c r="BL3012" s="2" t="s">
        <v>100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147</v>
      </c>
      <c r="BV3012" s="2" t="s">
        <v>97</v>
      </c>
      <c r="BW3012" s="2" t="s">
        <v>100</v>
      </c>
      <c r="BX3012" s="2" t="s">
        <v>100</v>
      </c>
      <c r="BY3012" s="2" t="s">
        <v>112</v>
      </c>
      <c r="BZ3012" s="2" t="s">
        <v>100</v>
      </c>
    </row>
    <row r="3013">
      <c r="A3013" s="2" t="s">
        <v>11089</v>
      </c>
      <c r="B3013" s="2" t="s">
        <v>10578</v>
      </c>
      <c r="C3013" s="2" t="s">
        <v>4677</v>
      </c>
      <c r="D3013" s="2" t="s">
        <v>10775</v>
      </c>
      <c r="E3013" s="2" t="s">
        <v>10776</v>
      </c>
      <c r="F3013" s="2" t="s">
        <v>11090</v>
      </c>
      <c r="G3013" s="2" t="s">
        <v>11090</v>
      </c>
      <c r="H3013" s="2" t="s">
        <v>11090</v>
      </c>
      <c r="I3013" s="2" t="s">
        <v>11091</v>
      </c>
      <c r="J3013" s="2" t="s">
        <v>6103</v>
      </c>
      <c r="K3013" s="2" t="s">
        <v>2066</v>
      </c>
      <c r="L3013" s="3">
        <v>149.5</v>
      </c>
      <c r="M3013" s="3">
        <v>156.98</v>
      </c>
      <c r="N3013" s="3">
        <v>299</v>
      </c>
      <c r="O3013" s="2" t="s">
        <v>229</v>
      </c>
      <c r="P3013" s="2" t="s">
        <v>198</v>
      </c>
      <c r="Q3013" s="2" t="s">
        <v>99</v>
      </c>
      <c r="R3013" s="2" t="s">
        <v>100</v>
      </c>
      <c r="S3013" s="2" t="s">
        <v>11092</v>
      </c>
      <c r="T3013" s="2" t="s">
        <v>100</v>
      </c>
      <c r="U3013" s="2" t="s">
        <v>100</v>
      </c>
      <c r="V3013" s="2" t="s">
        <v>601</v>
      </c>
      <c r="W3013" s="2" t="s">
        <v>104</v>
      </c>
      <c r="X3013" s="2" t="s">
        <v>100</v>
      </c>
      <c r="Y3013" s="2" t="s">
        <v>10701</v>
      </c>
      <c r="Z3013" s="4"/>
      <c r="AA3013" s="4">
        <f>=ROUNDDOWN({0},0)</f>
      </c>
      <c r="AB3013" s="5"/>
      <c r="AC3013" s="2" t="s">
        <v>100</v>
      </c>
      <c r="AD3013" s="4"/>
      <c r="AE3013" s="4"/>
      <c r="AF3013" s="6"/>
      <c r="AG3013" s="6"/>
      <c r="AH3013" s="7">
        <v>0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/>
      <c r="BD3013" s="8"/>
      <c r="BE3013" s="4"/>
      <c r="BF3013" s="8"/>
      <c r="BG3013" s="7"/>
      <c r="BH3013" s="7"/>
      <c r="BI3013" s="7"/>
      <c r="BJ3013" s="4"/>
      <c r="BK3013" s="8"/>
      <c r="BL3013" s="2" t="s">
        <v>100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147</v>
      </c>
      <c r="BV3013" s="2" t="s">
        <v>97</v>
      </c>
      <c r="BW3013" s="2" t="s">
        <v>100</v>
      </c>
      <c r="BX3013" s="2" t="s">
        <v>100</v>
      </c>
      <c r="BY3013" s="2" t="s">
        <v>112</v>
      </c>
      <c r="BZ3013" s="2" t="s">
        <v>100</v>
      </c>
    </row>
    <row r="3014">
      <c r="A3014" s="2" t="s">
        <v>11093</v>
      </c>
      <c r="B3014" s="2" t="s">
        <v>10578</v>
      </c>
      <c r="C3014" s="2" t="s">
        <v>4677</v>
      </c>
      <c r="D3014" s="2" t="s">
        <v>10775</v>
      </c>
      <c r="E3014" s="2" t="s">
        <v>10776</v>
      </c>
      <c r="F3014" s="2" t="s">
        <v>11094</v>
      </c>
      <c r="G3014" s="2" t="s">
        <v>11094</v>
      </c>
      <c r="H3014" s="2" t="s">
        <v>11094</v>
      </c>
      <c r="I3014" s="2" t="s">
        <v>11095</v>
      </c>
      <c r="J3014" s="2" t="s">
        <v>6103</v>
      </c>
      <c r="K3014" s="2" t="s">
        <v>6843</v>
      </c>
      <c r="L3014" s="3">
        <v>62</v>
      </c>
      <c r="M3014" s="3">
        <v>65.1</v>
      </c>
      <c r="N3014" s="3">
        <v>129.99</v>
      </c>
      <c r="O3014" s="2" t="s">
        <v>229</v>
      </c>
      <c r="P3014" s="2" t="s">
        <v>198</v>
      </c>
      <c r="Q3014" s="2" t="s">
        <v>99</v>
      </c>
      <c r="R3014" s="2" t="s">
        <v>100</v>
      </c>
      <c r="S3014" s="2" t="s">
        <v>100</v>
      </c>
      <c r="T3014" s="2" t="s">
        <v>100</v>
      </c>
      <c r="U3014" s="2" t="s">
        <v>3531</v>
      </c>
      <c r="V3014" s="2" t="s">
        <v>1752</v>
      </c>
      <c r="W3014" s="2" t="s">
        <v>602</v>
      </c>
      <c r="X3014" s="2" t="s">
        <v>2369</v>
      </c>
      <c r="Y3014" s="2" t="s">
        <v>6440</v>
      </c>
      <c r="Z3014" s="4">
        <v>85</v>
      </c>
      <c r="AA3014" s="4">
        <f>=ROUNDDOWN({0},0)</f>
      </c>
      <c r="AB3014" s="5"/>
      <c r="AC3014" s="2" t="s">
        <v>100</v>
      </c>
      <c r="AD3014" s="4"/>
      <c r="AE3014" s="4"/>
      <c r="AF3014" s="6">
        <v>63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/>
      <c r="BD3014" s="8"/>
      <c r="BE3014" s="4"/>
      <c r="BF3014" s="8"/>
      <c r="BG3014" s="7"/>
      <c r="BH3014" s="7"/>
      <c r="BI3014" s="7"/>
      <c r="BJ3014" s="4">
        <v>3</v>
      </c>
      <c r="BK3014" s="8">
        <v>165</v>
      </c>
      <c r="BL3014" s="2" t="s">
        <v>9616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147</v>
      </c>
      <c r="BV3014" s="2" t="s">
        <v>97</v>
      </c>
      <c r="BW3014" s="2" t="s">
        <v>100</v>
      </c>
      <c r="BX3014" s="2" t="s">
        <v>100</v>
      </c>
      <c r="BY3014" s="2" t="s">
        <v>112</v>
      </c>
      <c r="BZ3014" s="2" t="s">
        <v>100</v>
      </c>
    </row>
    <row r="3015">
      <c r="A3015" s="2" t="s">
        <v>11096</v>
      </c>
      <c r="B3015" s="2" t="s">
        <v>10578</v>
      </c>
      <c r="C3015" s="2" t="s">
        <v>4677</v>
      </c>
      <c r="D3015" s="2" t="s">
        <v>10775</v>
      </c>
      <c r="E3015" s="2" t="s">
        <v>10776</v>
      </c>
      <c r="F3015" s="2" t="s">
        <v>11047</v>
      </c>
      <c r="G3015" s="2" t="s">
        <v>11047</v>
      </c>
      <c r="H3015" s="2" t="s">
        <v>11047</v>
      </c>
      <c r="I3015" s="2" t="s">
        <v>11097</v>
      </c>
      <c r="J3015" s="2" t="s">
        <v>6103</v>
      </c>
      <c r="K3015" s="2" t="s">
        <v>11098</v>
      </c>
      <c r="L3015" s="3">
        <v>85.81</v>
      </c>
      <c r="M3015" s="3">
        <v>90.1</v>
      </c>
      <c r="N3015" s="3">
        <v>179.99</v>
      </c>
      <c r="O3015" s="2" t="s">
        <v>229</v>
      </c>
      <c r="P3015" s="2" t="s">
        <v>198</v>
      </c>
      <c r="Q3015" s="2" t="s">
        <v>99</v>
      </c>
      <c r="R3015" s="2" t="s">
        <v>100</v>
      </c>
      <c r="S3015" s="2" t="s">
        <v>100</v>
      </c>
      <c r="T3015" s="2" t="s">
        <v>100</v>
      </c>
      <c r="U3015" s="2" t="s">
        <v>3531</v>
      </c>
      <c r="V3015" s="2" t="s">
        <v>1752</v>
      </c>
      <c r="W3015" s="2" t="s">
        <v>602</v>
      </c>
      <c r="X3015" s="2" t="s">
        <v>100</v>
      </c>
      <c r="Y3015" s="2" t="s">
        <v>588</v>
      </c>
      <c r="Z3015" s="4">
        <v>180</v>
      </c>
      <c r="AA3015" s="4">
        <f>=ROUNDDOWN(900,0)</f>
      </c>
      <c r="AB3015" s="5">
        <v>0.2</v>
      </c>
      <c r="AC3015" s="2" t="s">
        <v>100</v>
      </c>
      <c r="AD3015" s="4"/>
      <c r="AE3015" s="4"/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/>
      <c r="AW3015" s="8"/>
      <c r="AX3015" s="4"/>
      <c r="AY3015" s="8"/>
      <c r="AZ3015" s="7"/>
      <c r="BA3015" s="7"/>
      <c r="BB3015" s="7"/>
      <c r="BC3015" s="4"/>
      <c r="BD3015" s="8"/>
      <c r="BE3015" s="4"/>
      <c r="BF3015" s="8"/>
      <c r="BG3015" s="7"/>
      <c r="BH3015" s="7"/>
      <c r="BI3015" s="7"/>
      <c r="BJ3015" s="4">
        <v>5</v>
      </c>
      <c r="BK3015" s="8">
        <v>310</v>
      </c>
      <c r="BL3015" s="2" t="s">
        <v>3311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147</v>
      </c>
      <c r="BV3015" s="2" t="s">
        <v>97</v>
      </c>
      <c r="BW3015" s="2" t="s">
        <v>100</v>
      </c>
      <c r="BX3015" s="2" t="s">
        <v>100</v>
      </c>
      <c r="BY3015" s="2" t="s">
        <v>112</v>
      </c>
      <c r="BZ3015" s="2" t="s">
        <v>100</v>
      </c>
    </row>
    <row r="3016">
      <c r="A3016" s="2" t="s">
        <v>11099</v>
      </c>
      <c r="B3016" s="2" t="s">
        <v>10578</v>
      </c>
      <c r="C3016" s="2" t="s">
        <v>4677</v>
      </c>
      <c r="D3016" s="2" t="s">
        <v>10775</v>
      </c>
      <c r="E3016" s="2" t="s">
        <v>10776</v>
      </c>
      <c r="F3016" s="2" t="s">
        <v>11100</v>
      </c>
      <c r="G3016" s="2" t="s">
        <v>11100</v>
      </c>
      <c r="H3016" s="2" t="s">
        <v>11100</v>
      </c>
      <c r="I3016" s="2" t="s">
        <v>11101</v>
      </c>
      <c r="J3016" s="2" t="s">
        <v>6103</v>
      </c>
      <c r="K3016" s="2" t="s">
        <v>10683</v>
      </c>
      <c r="L3016" s="3">
        <v>41.08</v>
      </c>
      <c r="M3016" s="3">
        <v>43.13</v>
      </c>
      <c r="N3016" s="3">
        <v>89.99</v>
      </c>
      <c r="O3016" s="2" t="s">
        <v>229</v>
      </c>
      <c r="P3016" s="2" t="s">
        <v>198</v>
      </c>
      <c r="Q3016" s="2" t="s">
        <v>99</v>
      </c>
      <c r="R3016" s="2" t="s">
        <v>100</v>
      </c>
      <c r="S3016" s="2" t="s">
        <v>100</v>
      </c>
      <c r="T3016" s="2" t="s">
        <v>100</v>
      </c>
      <c r="U3016" s="2" t="s">
        <v>3531</v>
      </c>
      <c r="V3016" s="2" t="s">
        <v>1752</v>
      </c>
      <c r="W3016" s="2" t="s">
        <v>2195</v>
      </c>
      <c r="X3016" s="2" t="s">
        <v>100</v>
      </c>
      <c r="Y3016" s="2" t="s">
        <v>10694</v>
      </c>
      <c r="Z3016" s="4">
        <v>150</v>
      </c>
      <c r="AA3016" s="4">
        <f>=ROUNDDOWN(187.5,0)</f>
      </c>
      <c r="AB3016" s="5">
        <v>0.8</v>
      </c>
      <c r="AC3016" s="2" t="s">
        <v>100</v>
      </c>
      <c r="AD3016" s="4"/>
      <c r="AE3016" s="4"/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/>
      <c r="AW3016" s="8"/>
      <c r="AX3016" s="4"/>
      <c r="AY3016" s="8"/>
      <c r="AZ3016" s="7"/>
      <c r="BA3016" s="7"/>
      <c r="BB3016" s="7"/>
      <c r="BC3016" s="4"/>
      <c r="BD3016" s="8"/>
      <c r="BE3016" s="4"/>
      <c r="BF3016" s="8"/>
      <c r="BG3016" s="7"/>
      <c r="BH3016" s="7"/>
      <c r="BI3016" s="7"/>
      <c r="BJ3016" s="4">
        <v>8</v>
      </c>
      <c r="BK3016" s="8">
        <v>352.56</v>
      </c>
      <c r="BL3016" s="2" t="s">
        <v>10453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147</v>
      </c>
      <c r="BV3016" s="2" t="s">
        <v>97</v>
      </c>
      <c r="BW3016" s="2" t="s">
        <v>100</v>
      </c>
      <c r="BX3016" s="2" t="s">
        <v>100</v>
      </c>
      <c r="BY3016" s="2" t="s">
        <v>112</v>
      </c>
      <c r="BZ3016" s="2" t="s">
        <v>100</v>
      </c>
    </row>
    <row r="3017">
      <c r="A3017" s="2" t="s">
        <v>11102</v>
      </c>
      <c r="B3017" s="2" t="s">
        <v>10578</v>
      </c>
      <c r="C3017" s="2" t="s">
        <v>4677</v>
      </c>
      <c r="D3017" s="2" t="s">
        <v>10775</v>
      </c>
      <c r="E3017" s="2" t="s">
        <v>10776</v>
      </c>
      <c r="F3017" s="2" t="s">
        <v>11103</v>
      </c>
      <c r="G3017" s="2" t="s">
        <v>11103</v>
      </c>
      <c r="H3017" s="2" t="s">
        <v>11103</v>
      </c>
      <c r="I3017" s="2" t="s">
        <v>11104</v>
      </c>
      <c r="J3017" s="2" t="s">
        <v>6103</v>
      </c>
      <c r="K3017" s="2" t="s">
        <v>123</v>
      </c>
      <c r="L3017" s="3">
        <v>81</v>
      </c>
      <c r="M3017" s="3">
        <v>85.05</v>
      </c>
      <c r="N3017" s="3">
        <v>189.99</v>
      </c>
      <c r="O3017" s="2" t="s">
        <v>229</v>
      </c>
      <c r="P3017" s="2" t="s">
        <v>198</v>
      </c>
      <c r="Q3017" s="2" t="s">
        <v>99</v>
      </c>
      <c r="R3017" s="2" t="s">
        <v>100</v>
      </c>
      <c r="S3017" s="2" t="s">
        <v>100</v>
      </c>
      <c r="T3017" s="2" t="s">
        <v>100</v>
      </c>
      <c r="U3017" s="2" t="s">
        <v>3531</v>
      </c>
      <c r="V3017" s="2" t="s">
        <v>1752</v>
      </c>
      <c r="W3017" s="2" t="s">
        <v>602</v>
      </c>
      <c r="X3017" s="2" t="s">
        <v>2369</v>
      </c>
      <c r="Y3017" s="2" t="s">
        <v>6440</v>
      </c>
      <c r="Z3017" s="4">
        <v>76</v>
      </c>
      <c r="AA3017" s="4">
        <f>=ROUNDDOWN(38,0)</f>
      </c>
      <c r="AB3017" s="5">
        <v>2</v>
      </c>
      <c r="AC3017" s="2" t="s">
        <v>100</v>
      </c>
      <c r="AD3017" s="4"/>
      <c r="AE3017" s="4"/>
      <c r="AF3017" s="6">
        <v>63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/>
      <c r="BD3017" s="8"/>
      <c r="BE3017" s="4"/>
      <c r="BF3017" s="8"/>
      <c r="BG3017" s="7"/>
      <c r="BH3017" s="7"/>
      <c r="BI3017" s="7"/>
      <c r="BJ3017" s="4">
        <v>6</v>
      </c>
      <c r="BK3017" s="8">
        <v>589.14</v>
      </c>
      <c r="BL3017" s="2" t="s">
        <v>11105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147</v>
      </c>
      <c r="BV3017" s="2" t="s">
        <v>97</v>
      </c>
      <c r="BW3017" s="2" t="s">
        <v>100</v>
      </c>
      <c r="BX3017" s="2" t="s">
        <v>100</v>
      </c>
      <c r="BY3017" s="2" t="s">
        <v>112</v>
      </c>
      <c r="BZ3017" s="2" t="s">
        <v>100</v>
      </c>
    </row>
    <row r="3018">
      <c r="A3018" s="2" t="s">
        <v>11106</v>
      </c>
      <c r="B3018" s="2" t="s">
        <v>10578</v>
      </c>
      <c r="C3018" s="2" t="s">
        <v>4677</v>
      </c>
      <c r="D3018" s="2" t="s">
        <v>11107</v>
      </c>
      <c r="E3018" s="2" t="s">
        <v>11108</v>
      </c>
      <c r="F3018" s="2" t="s">
        <v>11109</v>
      </c>
      <c r="G3018" s="2" t="s">
        <v>11109</v>
      </c>
      <c r="H3018" s="2" t="s">
        <v>11109</v>
      </c>
      <c r="I3018" s="2" t="s">
        <v>11110</v>
      </c>
      <c r="J3018" s="2" t="s">
        <v>6103</v>
      </c>
      <c r="K3018" s="2" t="s">
        <v>123</v>
      </c>
      <c r="L3018" s="3">
        <v>68.4</v>
      </c>
      <c r="M3018" s="3">
        <v>71.82</v>
      </c>
      <c r="N3018" s="3">
        <v>149.99</v>
      </c>
      <c r="O3018" s="2" t="s">
        <v>97</v>
      </c>
      <c r="P3018" s="2" t="s">
        <v>182</v>
      </c>
      <c r="Q3018" s="2" t="s">
        <v>99</v>
      </c>
      <c r="R3018" s="2" t="s">
        <v>100</v>
      </c>
      <c r="S3018" s="2" t="s">
        <v>100</v>
      </c>
      <c r="T3018" s="2" t="s">
        <v>100</v>
      </c>
      <c r="U3018" s="2" t="s">
        <v>3531</v>
      </c>
      <c r="V3018" s="2" t="s">
        <v>1752</v>
      </c>
      <c r="W3018" s="2" t="s">
        <v>906</v>
      </c>
      <c r="X3018" s="2" t="s">
        <v>759</v>
      </c>
      <c r="Y3018" s="2" t="s">
        <v>10880</v>
      </c>
      <c r="Z3018" s="4">
        <v>3</v>
      </c>
      <c r="AA3018" s="4">
        <f>=ROUNDDOWN(0.375,0)</f>
      </c>
      <c r="AB3018" s="5">
        <v>8</v>
      </c>
      <c r="AC3018" s="2" t="s">
        <v>2120</v>
      </c>
      <c r="AD3018" s="4">
        <v>120</v>
      </c>
      <c r="AE3018" s="4">
        <v>120</v>
      </c>
      <c r="AF3018" s="6">
        <v>63</v>
      </c>
      <c r="AG3018" s="6"/>
      <c r="AH3018" s="7">
        <v>0.6727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>
        <v>0</v>
      </c>
      <c r="AP3018" s="4">
        <v>1</v>
      </c>
      <c r="AQ3018" s="8">
        <v>71.82</v>
      </c>
      <c r="AR3018" s="4"/>
      <c r="AS3018" s="8"/>
      <c r="AT3018" s="7"/>
      <c r="AU3018" s="7"/>
      <c r="AV3018" s="4">
        <v>1</v>
      </c>
      <c r="AW3018" s="8">
        <v>71.82</v>
      </c>
      <c r="AX3018" s="4"/>
      <c r="AY3018" s="8"/>
      <c r="AZ3018" s="7"/>
      <c r="BA3018" s="7"/>
      <c r="BB3018" s="7">
        <v>1</v>
      </c>
      <c r="BC3018" s="4">
        <v>1</v>
      </c>
      <c r="BD3018" s="8">
        <v>71.82</v>
      </c>
      <c r="BE3018" s="4"/>
      <c r="BF3018" s="8"/>
      <c r="BG3018" s="7"/>
      <c r="BH3018" s="7"/>
      <c r="BI3018" s="7">
        <v>1</v>
      </c>
      <c r="BJ3018" s="4">
        <v>163</v>
      </c>
      <c r="BK3018" s="8">
        <v>11115.02</v>
      </c>
      <c r="BL3018" s="2" t="s">
        <v>11111</v>
      </c>
      <c r="BM3018" s="7">
        <v>0.0061</v>
      </c>
      <c r="BN3018" s="7">
        <v>0.0065</v>
      </c>
      <c r="BO3018" s="4">
        <v>1</v>
      </c>
      <c r="BP3018" s="8">
        <v>71.82</v>
      </c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4704</v>
      </c>
      <c r="BX3018" s="2" t="s">
        <v>580</v>
      </c>
      <c r="BY3018" s="2" t="s">
        <v>112</v>
      </c>
      <c r="BZ3018" s="2" t="s">
        <v>100</v>
      </c>
    </row>
    <row r="3019">
      <c r="A3019" s="2" t="s">
        <v>11112</v>
      </c>
      <c r="B3019" s="2" t="s">
        <v>10578</v>
      </c>
      <c r="C3019" s="2" t="s">
        <v>4677</v>
      </c>
      <c r="D3019" s="2" t="s">
        <v>10877</v>
      </c>
      <c r="E3019" s="2" t="s">
        <v>10878</v>
      </c>
      <c r="F3019" s="2" t="s">
        <v>10965</v>
      </c>
      <c r="G3019" s="2" t="s">
        <v>10965</v>
      </c>
      <c r="H3019" s="2" t="s">
        <v>10965</v>
      </c>
      <c r="I3019" s="2" t="s">
        <v>11113</v>
      </c>
      <c r="J3019" s="2" t="s">
        <v>6103</v>
      </c>
      <c r="K3019" s="2" t="s">
        <v>2066</v>
      </c>
      <c r="L3019" s="3">
        <v>51.3</v>
      </c>
      <c r="M3019" s="3">
        <v>53.86</v>
      </c>
      <c r="N3019" s="3">
        <v>119.99</v>
      </c>
      <c r="O3019" s="2" t="s">
        <v>97</v>
      </c>
      <c r="P3019" s="2" t="s">
        <v>143</v>
      </c>
      <c r="Q3019" s="2" t="s">
        <v>99</v>
      </c>
      <c r="R3019" s="2" t="s">
        <v>100</v>
      </c>
      <c r="S3019" s="2" t="s">
        <v>100</v>
      </c>
      <c r="T3019" s="2" t="s">
        <v>100</v>
      </c>
      <c r="U3019" s="2" t="s">
        <v>3531</v>
      </c>
      <c r="V3019" s="2" t="s">
        <v>1752</v>
      </c>
      <c r="W3019" s="2" t="s">
        <v>759</v>
      </c>
      <c r="X3019" s="2" t="s">
        <v>602</v>
      </c>
      <c r="Y3019" s="2" t="s">
        <v>10333</v>
      </c>
      <c r="Z3019" s="4">
        <v>64</v>
      </c>
      <c r="AA3019" s="4">
        <f>=ROUNDDOWN(4.63768115942029,0)</f>
      </c>
      <c r="AB3019" s="5">
        <v>13.8</v>
      </c>
      <c r="AC3019" s="2" t="s">
        <v>735</v>
      </c>
      <c r="AD3019" s="4">
        <v>250</v>
      </c>
      <c r="AE3019" s="4">
        <v>550</v>
      </c>
      <c r="AF3019" s="6">
        <v>63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/>
      <c r="BD3019" s="8"/>
      <c r="BE3019" s="4"/>
      <c r="BF3019" s="8"/>
      <c r="BG3019" s="7"/>
      <c r="BH3019" s="7"/>
      <c r="BI3019" s="7"/>
      <c r="BJ3019" s="4">
        <v>397</v>
      </c>
      <c r="BK3019" s="8">
        <v>25242.82</v>
      </c>
      <c r="BL3019" s="2" t="s">
        <v>11114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4704</v>
      </c>
      <c r="BX3019" s="2" t="s">
        <v>100</v>
      </c>
      <c r="BY3019" s="2" t="s">
        <v>112</v>
      </c>
      <c r="BZ3019" s="2" t="s">
        <v>100</v>
      </c>
    </row>
    <row r="3020">
      <c r="A3020" s="2" t="s">
        <v>11115</v>
      </c>
      <c r="B3020" s="2" t="s">
        <v>10578</v>
      </c>
      <c r="C3020" s="2" t="s">
        <v>7182</v>
      </c>
      <c r="D3020" s="2" t="s">
        <v>10686</v>
      </c>
      <c r="E3020" s="2" t="s">
        <v>10687</v>
      </c>
      <c r="F3020" s="2" t="s">
        <v>1537</v>
      </c>
      <c r="G3020" s="2" t="s">
        <v>1537</v>
      </c>
      <c r="H3020" s="2" t="s">
        <v>1537</v>
      </c>
      <c r="I3020" s="2" t="s">
        <v>11116</v>
      </c>
      <c r="J3020" s="2" t="s">
        <v>6103</v>
      </c>
      <c r="K3020" s="2" t="s">
        <v>666</v>
      </c>
      <c r="L3020" s="3">
        <v>125.15</v>
      </c>
      <c r="M3020" s="3">
        <v>131.41</v>
      </c>
      <c r="N3020" s="3">
        <v>279.99</v>
      </c>
      <c r="O3020" s="2" t="s">
        <v>97</v>
      </c>
      <c r="P3020" s="2" t="s">
        <v>124</v>
      </c>
      <c r="Q3020" s="2" t="s">
        <v>99</v>
      </c>
      <c r="R3020" s="2" t="s">
        <v>100</v>
      </c>
      <c r="S3020" s="2" t="s">
        <v>100</v>
      </c>
      <c r="T3020" s="2" t="s">
        <v>100</v>
      </c>
      <c r="U3020" s="2" t="s">
        <v>100</v>
      </c>
      <c r="V3020" s="2" t="s">
        <v>1752</v>
      </c>
      <c r="W3020" s="2" t="s">
        <v>104</v>
      </c>
      <c r="X3020" s="2" t="s">
        <v>100</v>
      </c>
      <c r="Y3020" s="2" t="s">
        <v>11117</v>
      </c>
      <c r="Z3020" s="4">
        <v>215</v>
      </c>
      <c r="AA3020" s="4">
        <f>=ROUNDDOWN(10.5392156862745,0)</f>
      </c>
      <c r="AB3020" s="5">
        <v>20.4</v>
      </c>
      <c r="AC3020" s="2" t="s">
        <v>766</v>
      </c>
      <c r="AD3020" s="4">
        <v>300</v>
      </c>
      <c r="AE3020" s="4">
        <v>300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>
        <v>0</v>
      </c>
      <c r="AP3020" s="4">
        <v>6</v>
      </c>
      <c r="AQ3020" s="8">
        <v>788.46</v>
      </c>
      <c r="AR3020" s="4">
        <v>11</v>
      </c>
      <c r="AS3020" s="8">
        <v>1491.19</v>
      </c>
      <c r="AT3020" s="7">
        <v>-0.4545</v>
      </c>
      <c r="AU3020" s="7">
        <v>-0.4713</v>
      </c>
      <c r="AV3020" s="4">
        <v>6</v>
      </c>
      <c r="AW3020" s="8">
        <v>788.46</v>
      </c>
      <c r="AX3020" s="4">
        <v>11</v>
      </c>
      <c r="AY3020" s="8">
        <v>1491.19</v>
      </c>
      <c r="AZ3020" s="7">
        <v>-0.4545</v>
      </c>
      <c r="BA3020" s="7">
        <v>-0.4713</v>
      </c>
      <c r="BB3020" s="7">
        <v>1</v>
      </c>
      <c r="BC3020" s="4">
        <v>6</v>
      </c>
      <c r="BD3020" s="8">
        <v>788.46</v>
      </c>
      <c r="BE3020" s="4">
        <v>11</v>
      </c>
      <c r="BF3020" s="8">
        <v>1491.19</v>
      </c>
      <c r="BG3020" s="7">
        <v>-0.4545</v>
      </c>
      <c r="BH3020" s="7">
        <v>-0.4713</v>
      </c>
      <c r="BI3020" s="7">
        <v>1</v>
      </c>
      <c r="BJ3020" s="4">
        <v>340</v>
      </c>
      <c r="BK3020" s="8">
        <v>47158.26</v>
      </c>
      <c r="BL3020" s="2" t="s">
        <v>11118</v>
      </c>
      <c r="BM3020" s="7">
        <v>0.0176</v>
      </c>
      <c r="BN3020" s="7">
        <v>0.0167</v>
      </c>
      <c r="BO3020" s="4">
        <v>6</v>
      </c>
      <c r="BP3020" s="8">
        <v>788.46</v>
      </c>
      <c r="BQ3020" s="4">
        <v>11</v>
      </c>
      <c r="BR3020" s="8">
        <v>1491.19</v>
      </c>
      <c r="BS3020" s="7">
        <v>-0.4545</v>
      </c>
      <c r="BT3020" s="7">
        <v>-0.4713</v>
      </c>
      <c r="BU3020" s="2" t="s">
        <v>109</v>
      </c>
      <c r="BV3020" s="2" t="s">
        <v>97</v>
      </c>
      <c r="BW3020" s="2" t="s">
        <v>8043</v>
      </c>
      <c r="BX3020" s="2" t="s">
        <v>8814</v>
      </c>
      <c r="BY3020" s="2" t="s">
        <v>112</v>
      </c>
      <c r="BZ3020" s="2" t="s">
        <v>100</v>
      </c>
    </row>
    <row r="3021">
      <c r="A3021" s="2" t="s">
        <v>11119</v>
      </c>
      <c r="B3021" s="2" t="s">
        <v>10578</v>
      </c>
      <c r="C3021" s="2" t="s">
        <v>7182</v>
      </c>
      <c r="D3021" s="2" t="s">
        <v>10579</v>
      </c>
      <c r="E3021" s="2" t="s">
        <v>10580</v>
      </c>
      <c r="F3021" s="2" t="s">
        <v>11120</v>
      </c>
      <c r="G3021" s="2" t="s">
        <v>11120</v>
      </c>
      <c r="H3021" s="2" t="s">
        <v>11120</v>
      </c>
      <c r="I3021" s="2" t="s">
        <v>11121</v>
      </c>
      <c r="J3021" s="2" t="s">
        <v>6103</v>
      </c>
      <c r="K3021" s="2" t="s">
        <v>158</v>
      </c>
      <c r="L3021" s="3">
        <v>54.94</v>
      </c>
      <c r="M3021" s="3">
        <v>57.69</v>
      </c>
      <c r="N3021" s="3">
        <v>119.99</v>
      </c>
      <c r="O3021" s="2" t="s">
        <v>97</v>
      </c>
      <c r="P3021" s="2" t="s">
        <v>143</v>
      </c>
      <c r="Q3021" s="2" t="s">
        <v>99</v>
      </c>
      <c r="R3021" s="2" t="s">
        <v>100</v>
      </c>
      <c r="S3021" s="2" t="s">
        <v>100</v>
      </c>
      <c r="T3021" s="2" t="s">
        <v>100</v>
      </c>
      <c r="U3021" s="2" t="s">
        <v>100</v>
      </c>
      <c r="V3021" s="2" t="s">
        <v>601</v>
      </c>
      <c r="W3021" s="2" t="s">
        <v>100</v>
      </c>
      <c r="X3021" s="2" t="s">
        <v>100</v>
      </c>
      <c r="Y3021" s="2" t="s">
        <v>5770</v>
      </c>
      <c r="Z3021" s="4">
        <v>159</v>
      </c>
      <c r="AA3021" s="4">
        <f>=ROUNDDOWN(31.8,0)</f>
      </c>
      <c r="AB3021" s="5">
        <v>5</v>
      </c>
      <c r="AC3021" s="2" t="s">
        <v>100</v>
      </c>
      <c r="AD3021" s="4"/>
      <c r="AE3021" s="4"/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>
        <v>0</v>
      </c>
      <c r="AP3021" s="4">
        <v>4</v>
      </c>
      <c r="AQ3021" s="8">
        <v>230.72</v>
      </c>
      <c r="AR3021" s="4">
        <v>10</v>
      </c>
      <c r="AS3021" s="8">
        <v>595.04</v>
      </c>
      <c r="AT3021" s="7">
        <v>-0.6</v>
      </c>
      <c r="AU3021" s="7">
        <v>-0.6123</v>
      </c>
      <c r="AV3021" s="4">
        <v>4</v>
      </c>
      <c r="AW3021" s="8">
        <v>230.72</v>
      </c>
      <c r="AX3021" s="4">
        <v>10</v>
      </c>
      <c r="AY3021" s="8">
        <v>595.04</v>
      </c>
      <c r="AZ3021" s="7">
        <v>-0.6</v>
      </c>
      <c r="BA3021" s="7">
        <v>-0.6123</v>
      </c>
      <c r="BB3021" s="7">
        <v>1</v>
      </c>
      <c r="BC3021" s="4">
        <v>6</v>
      </c>
      <c r="BD3021" s="8">
        <v>346.08</v>
      </c>
      <c r="BE3021" s="4">
        <v>29</v>
      </c>
      <c r="BF3021" s="8">
        <v>1715.28</v>
      </c>
      <c r="BG3021" s="7">
        <v>-0.7931</v>
      </c>
      <c r="BH3021" s="7">
        <v>-0.7982</v>
      </c>
      <c r="BI3021" s="7">
        <v>0.6667</v>
      </c>
      <c r="BJ3021" s="4">
        <v>121</v>
      </c>
      <c r="BK3021" s="8">
        <v>7422.62</v>
      </c>
      <c r="BL3021" s="2" t="s">
        <v>10737</v>
      </c>
      <c r="BM3021" s="7">
        <v>0.0331</v>
      </c>
      <c r="BN3021" s="7">
        <v>0.0311</v>
      </c>
      <c r="BO3021" s="4">
        <v>4</v>
      </c>
      <c r="BP3021" s="8">
        <v>230.72</v>
      </c>
      <c r="BQ3021" s="4">
        <v>10</v>
      </c>
      <c r="BR3021" s="8">
        <v>595.04</v>
      </c>
      <c r="BS3021" s="7">
        <v>-0.6</v>
      </c>
      <c r="BT3021" s="7">
        <v>-0.6123</v>
      </c>
      <c r="BU3021" s="2" t="s">
        <v>109</v>
      </c>
      <c r="BV3021" s="2" t="s">
        <v>97</v>
      </c>
      <c r="BW3021" s="2" t="s">
        <v>8043</v>
      </c>
      <c r="BX3021" s="2" t="s">
        <v>6526</v>
      </c>
      <c r="BY3021" s="2" t="s">
        <v>112</v>
      </c>
      <c r="BZ3021" s="2" t="s">
        <v>100</v>
      </c>
    </row>
    <row r="3022">
      <c r="A3022" s="2" t="s">
        <v>11122</v>
      </c>
      <c r="B3022" s="2" t="s">
        <v>10578</v>
      </c>
      <c r="C3022" s="2" t="s">
        <v>7182</v>
      </c>
      <c r="D3022" s="2" t="s">
        <v>10579</v>
      </c>
      <c r="E3022" s="2" t="s">
        <v>10580</v>
      </c>
      <c r="F3022" s="2" t="s">
        <v>11120</v>
      </c>
      <c r="G3022" s="2" t="s">
        <v>11120</v>
      </c>
      <c r="H3022" s="2" t="s">
        <v>11120</v>
      </c>
      <c r="I3022" s="2" t="s">
        <v>11121</v>
      </c>
      <c r="J3022" s="2" t="s">
        <v>6103</v>
      </c>
      <c r="K3022" s="2" t="s">
        <v>1004</v>
      </c>
      <c r="L3022" s="3">
        <v>54.94</v>
      </c>
      <c r="M3022" s="3">
        <v>57.69</v>
      </c>
      <c r="N3022" s="3">
        <v>119.99</v>
      </c>
      <c r="O3022" s="2" t="s">
        <v>97</v>
      </c>
      <c r="P3022" s="2" t="s">
        <v>143</v>
      </c>
      <c r="Q3022" s="2" t="s">
        <v>99</v>
      </c>
      <c r="R3022" s="2" t="s">
        <v>100</v>
      </c>
      <c r="S3022" s="2" t="s">
        <v>100</v>
      </c>
      <c r="T3022" s="2" t="s">
        <v>100</v>
      </c>
      <c r="U3022" s="2" t="s">
        <v>3531</v>
      </c>
      <c r="V3022" s="2" t="s">
        <v>1752</v>
      </c>
      <c r="W3022" s="2" t="s">
        <v>104</v>
      </c>
      <c r="X3022" s="2" t="s">
        <v>100</v>
      </c>
      <c r="Y3022" s="2" t="s">
        <v>4819</v>
      </c>
      <c r="Z3022" s="4">
        <v>187</v>
      </c>
      <c r="AA3022" s="4">
        <f>=ROUNDDOWN(31.1666666666667,0)</f>
      </c>
      <c r="AB3022" s="5">
        <v>6</v>
      </c>
      <c r="AC3022" s="2" t="s">
        <v>3872</v>
      </c>
      <c r="AD3022" s="4">
        <v>100</v>
      </c>
      <c r="AE3022" s="4">
        <v>100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>
        <v>0</v>
      </c>
      <c r="AP3022" s="4">
        <v>2</v>
      </c>
      <c r="AQ3022" s="8">
        <v>115.36</v>
      </c>
      <c r="AR3022" s="4">
        <v>19</v>
      </c>
      <c r="AS3022" s="8">
        <v>1120.24</v>
      </c>
      <c r="AT3022" s="7">
        <v>-0.8947</v>
      </c>
      <c r="AU3022" s="7">
        <v>-0.897</v>
      </c>
      <c r="AV3022" s="4">
        <v>2</v>
      </c>
      <c r="AW3022" s="8">
        <v>115.36</v>
      </c>
      <c r="AX3022" s="4">
        <v>19</v>
      </c>
      <c r="AY3022" s="8">
        <v>1120.24</v>
      </c>
      <c r="AZ3022" s="7">
        <v>-0.8947</v>
      </c>
      <c r="BA3022" s="7">
        <v>-0.897</v>
      </c>
      <c r="BB3022" s="7">
        <v>1</v>
      </c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>
        <v>0.3333</v>
      </c>
      <c r="BJ3022" s="4">
        <v>124</v>
      </c>
      <c r="BK3022" s="8">
        <v>7674.23</v>
      </c>
      <c r="BL3022" s="2" t="s">
        <v>11123</v>
      </c>
      <c r="BM3022" s="7">
        <v>0.0161</v>
      </c>
      <c r="BN3022" s="7">
        <v>0.015</v>
      </c>
      <c r="BO3022" s="4">
        <v>2</v>
      </c>
      <c r="BP3022" s="8">
        <v>115.36</v>
      </c>
      <c r="BQ3022" s="4">
        <v>19</v>
      </c>
      <c r="BR3022" s="8">
        <v>1120.24</v>
      </c>
      <c r="BS3022" s="7">
        <v>-0.8947</v>
      </c>
      <c r="BT3022" s="7">
        <v>-0.897</v>
      </c>
      <c r="BU3022" s="2" t="s">
        <v>109</v>
      </c>
      <c r="BV3022" s="2" t="s">
        <v>97</v>
      </c>
      <c r="BW3022" s="2" t="s">
        <v>8043</v>
      </c>
      <c r="BX3022" s="2" t="s">
        <v>4370</v>
      </c>
      <c r="BY3022" s="2" t="s">
        <v>112</v>
      </c>
      <c r="BZ3022" s="2" t="s">
        <v>100</v>
      </c>
    </row>
    <row r="3023">
      <c r="A3023" s="2" t="s">
        <v>11124</v>
      </c>
      <c r="B3023" s="2" t="s">
        <v>10578</v>
      </c>
      <c r="C3023" s="2" t="s">
        <v>7182</v>
      </c>
      <c r="D3023" s="2" t="s">
        <v>10805</v>
      </c>
      <c r="E3023" s="2" t="s">
        <v>10806</v>
      </c>
      <c r="F3023" s="2" t="s">
        <v>11125</v>
      </c>
      <c r="G3023" s="2" t="s">
        <v>11125</v>
      </c>
      <c r="H3023" s="2" t="s">
        <v>11125</v>
      </c>
      <c r="I3023" s="2" t="s">
        <v>11126</v>
      </c>
      <c r="J3023" s="2" t="s">
        <v>6103</v>
      </c>
      <c r="K3023" s="2" t="s">
        <v>2066</v>
      </c>
      <c r="L3023" s="3">
        <v>127.24</v>
      </c>
      <c r="M3023" s="3">
        <v>133.6</v>
      </c>
      <c r="N3023" s="3">
        <v>289.99</v>
      </c>
      <c r="O3023" s="2" t="s">
        <v>97</v>
      </c>
      <c r="P3023" s="2" t="s">
        <v>182</v>
      </c>
      <c r="Q3023" s="2" t="s">
        <v>99</v>
      </c>
      <c r="R3023" s="2" t="s">
        <v>100</v>
      </c>
      <c r="S3023" s="2" t="s">
        <v>100</v>
      </c>
      <c r="T3023" s="2" t="s">
        <v>100</v>
      </c>
      <c r="U3023" s="2" t="s">
        <v>100</v>
      </c>
      <c r="V3023" s="2" t="s">
        <v>601</v>
      </c>
      <c r="W3023" s="2" t="s">
        <v>104</v>
      </c>
      <c r="X3023" s="2" t="s">
        <v>100</v>
      </c>
      <c r="Y3023" s="2" t="s">
        <v>5570</v>
      </c>
      <c r="Z3023" s="4">
        <v>69</v>
      </c>
      <c r="AA3023" s="4">
        <f>=ROUNDDOWN(46,0)</f>
      </c>
      <c r="AB3023" s="5">
        <v>1.5</v>
      </c>
      <c r="AC3023" s="2" t="s">
        <v>6199</v>
      </c>
      <c r="AD3023" s="4">
        <v>100</v>
      </c>
      <c r="AE3023" s="4">
        <v>100</v>
      </c>
      <c r="AF3023" s="6">
        <v>65</v>
      </c>
      <c r="AG3023" s="6"/>
      <c r="AH3023" s="7">
        <v>0.6545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>
        <v>0</v>
      </c>
      <c r="AP3023" s="4">
        <v>1</v>
      </c>
      <c r="AQ3023" s="8">
        <v>133.6</v>
      </c>
      <c r="AR3023" s="4">
        <v>19</v>
      </c>
      <c r="AS3023" s="8">
        <v>2747.56</v>
      </c>
      <c r="AT3023" s="7">
        <v>-0.9474</v>
      </c>
      <c r="AU3023" s="7">
        <v>-0.9514</v>
      </c>
      <c r="AV3023" s="4">
        <v>1</v>
      </c>
      <c r="AW3023" s="8">
        <v>133.6</v>
      </c>
      <c r="AX3023" s="4">
        <v>19</v>
      </c>
      <c r="AY3023" s="8">
        <v>2747.56</v>
      </c>
      <c r="AZ3023" s="7">
        <v>-0.9474</v>
      </c>
      <c r="BA3023" s="7">
        <v>-0.9514</v>
      </c>
      <c r="BB3023" s="7">
        <v>1</v>
      </c>
      <c r="BC3023" s="4">
        <v>1</v>
      </c>
      <c r="BD3023" s="8">
        <v>133.6</v>
      </c>
      <c r="BE3023" s="4">
        <v>19</v>
      </c>
      <c r="BF3023" s="8">
        <v>2747.56</v>
      </c>
      <c r="BG3023" s="7">
        <v>-0.9474</v>
      </c>
      <c r="BH3023" s="7">
        <v>-0.9514</v>
      </c>
      <c r="BI3023" s="7">
        <v>1</v>
      </c>
      <c r="BJ3023" s="4">
        <v>67</v>
      </c>
      <c r="BK3023" s="8">
        <v>9293.37</v>
      </c>
      <c r="BL3023" s="2" t="s">
        <v>11127</v>
      </c>
      <c r="BM3023" s="7">
        <v>0.0149</v>
      </c>
      <c r="BN3023" s="7">
        <v>0.0144</v>
      </c>
      <c r="BO3023" s="4">
        <v>1</v>
      </c>
      <c r="BP3023" s="8">
        <v>133.6</v>
      </c>
      <c r="BQ3023" s="4">
        <v>19</v>
      </c>
      <c r="BR3023" s="8">
        <v>2747.56</v>
      </c>
      <c r="BS3023" s="7">
        <v>-0.9474</v>
      </c>
      <c r="BT3023" s="7">
        <v>-0.9514</v>
      </c>
      <c r="BU3023" s="2" t="s">
        <v>109</v>
      </c>
      <c r="BV3023" s="2" t="s">
        <v>97</v>
      </c>
      <c r="BW3023" s="2" t="s">
        <v>8043</v>
      </c>
      <c r="BX3023" s="2" t="s">
        <v>7663</v>
      </c>
      <c r="BY3023" s="2" t="s">
        <v>112</v>
      </c>
      <c r="BZ3023" s="2" t="s">
        <v>100</v>
      </c>
    </row>
    <row r="3024">
      <c r="A3024" s="2" t="s">
        <v>11128</v>
      </c>
      <c r="B3024" s="2" t="s">
        <v>10578</v>
      </c>
      <c r="C3024" s="2" t="s">
        <v>7182</v>
      </c>
      <c r="D3024" s="2" t="s">
        <v>10805</v>
      </c>
      <c r="E3024" s="2" t="s">
        <v>10806</v>
      </c>
      <c r="F3024" s="2" t="s">
        <v>11129</v>
      </c>
      <c r="G3024" s="2" t="s">
        <v>11129</v>
      </c>
      <c r="H3024" s="2" t="s">
        <v>11129</v>
      </c>
      <c r="I3024" s="2" t="s">
        <v>11130</v>
      </c>
      <c r="J3024" s="2" t="s">
        <v>6103</v>
      </c>
      <c r="K3024" s="2" t="s">
        <v>1660</v>
      </c>
      <c r="L3024" s="3">
        <v>71.52</v>
      </c>
      <c r="M3024" s="3">
        <v>75.1</v>
      </c>
      <c r="N3024" s="3">
        <v>149</v>
      </c>
      <c r="O3024" s="2" t="s">
        <v>550</v>
      </c>
      <c r="P3024" s="2" t="s">
        <v>198</v>
      </c>
      <c r="Q3024" s="2" t="s">
        <v>99</v>
      </c>
      <c r="R3024" s="2" t="s">
        <v>100</v>
      </c>
      <c r="S3024" s="2" t="s">
        <v>11131</v>
      </c>
      <c r="T3024" s="2" t="s">
        <v>100</v>
      </c>
      <c r="U3024" s="2" t="s">
        <v>100</v>
      </c>
      <c r="V3024" s="2" t="s">
        <v>601</v>
      </c>
      <c r="W3024" s="2" t="s">
        <v>104</v>
      </c>
      <c r="X3024" s="2" t="s">
        <v>100</v>
      </c>
      <c r="Y3024" s="2" t="s">
        <v>7546</v>
      </c>
      <c r="Z3024" s="4"/>
      <c r="AA3024" s="4">
        <f>=ROUNDDOWN({0},0)</f>
      </c>
      <c r="AB3024" s="5"/>
      <c r="AC3024" s="2" t="s">
        <v>100</v>
      </c>
      <c r="AD3024" s="4"/>
      <c r="AE3024" s="4"/>
      <c r="AF3024" s="6"/>
      <c r="AG3024" s="6"/>
      <c r="AH3024" s="7">
        <v>0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/>
      <c r="BD3024" s="8"/>
      <c r="BE3024" s="4"/>
      <c r="BF3024" s="8"/>
      <c r="BG3024" s="7"/>
      <c r="BH3024" s="7"/>
      <c r="BI3024" s="7"/>
      <c r="BJ3024" s="4"/>
      <c r="BK3024" s="8"/>
      <c r="BL3024" s="2" t="s">
        <v>100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147</v>
      </c>
      <c r="BV3024" s="2" t="s">
        <v>97</v>
      </c>
      <c r="BW3024" s="2" t="s">
        <v>100</v>
      </c>
      <c r="BX3024" s="2" t="s">
        <v>100</v>
      </c>
      <c r="BY3024" s="2" t="s">
        <v>112</v>
      </c>
      <c r="BZ3024" s="2" t="s">
        <v>100</v>
      </c>
    </row>
    <row r="3025">
      <c r="A3025" s="2" t="s">
        <v>11132</v>
      </c>
      <c r="B3025" s="2" t="s">
        <v>10578</v>
      </c>
      <c r="C3025" s="2" t="s">
        <v>6851</v>
      </c>
      <c r="D3025" s="2" t="s">
        <v>10805</v>
      </c>
      <c r="E3025" s="2" t="s">
        <v>10806</v>
      </c>
      <c r="F3025" s="2" t="s">
        <v>11133</v>
      </c>
      <c r="G3025" s="2" t="s">
        <v>11133</v>
      </c>
      <c r="H3025" s="2" t="s">
        <v>11133</v>
      </c>
      <c r="I3025" s="2" t="s">
        <v>10822</v>
      </c>
      <c r="J3025" s="2" t="s">
        <v>6103</v>
      </c>
      <c r="K3025" s="2" t="s">
        <v>10836</v>
      </c>
      <c r="L3025" s="3">
        <v>79.49</v>
      </c>
      <c r="M3025" s="3">
        <v>83.46</v>
      </c>
      <c r="N3025" s="3">
        <v>184.99</v>
      </c>
      <c r="O3025" s="2" t="s">
        <v>97</v>
      </c>
      <c r="P3025" s="2" t="s">
        <v>124</v>
      </c>
      <c r="Q3025" s="2" t="s">
        <v>99</v>
      </c>
      <c r="R3025" s="2" t="s">
        <v>100</v>
      </c>
      <c r="S3025" s="2" t="s">
        <v>100</v>
      </c>
      <c r="T3025" s="2" t="s">
        <v>100</v>
      </c>
      <c r="U3025" s="2" t="s">
        <v>100</v>
      </c>
      <c r="V3025" s="2" t="s">
        <v>1752</v>
      </c>
      <c r="W3025" s="2" t="s">
        <v>602</v>
      </c>
      <c r="X3025" s="2" t="s">
        <v>6854</v>
      </c>
      <c r="Y3025" s="2" t="s">
        <v>9084</v>
      </c>
      <c r="Z3025" s="4">
        <v>294</v>
      </c>
      <c r="AA3025" s="4">
        <f>=ROUNDDOWN(36.75,0)</f>
      </c>
      <c r="AB3025" s="5">
        <v>8</v>
      </c>
      <c r="AC3025" s="2" t="s">
        <v>100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>
        <v>0</v>
      </c>
      <c r="AP3025" s="4">
        <v>5</v>
      </c>
      <c r="AQ3025" s="8">
        <v>417.3</v>
      </c>
      <c r="AR3025" s="4">
        <v>6</v>
      </c>
      <c r="AS3025" s="8">
        <v>537.06</v>
      </c>
      <c r="AT3025" s="7">
        <v>-0.1667</v>
      </c>
      <c r="AU3025" s="7">
        <v>-0.223</v>
      </c>
      <c r="AV3025" s="4">
        <v>5</v>
      </c>
      <c r="AW3025" s="8">
        <v>417.3</v>
      </c>
      <c r="AX3025" s="4">
        <v>6</v>
      </c>
      <c r="AY3025" s="8">
        <v>537.06</v>
      </c>
      <c r="AZ3025" s="7">
        <v>-0.1667</v>
      </c>
      <c r="BA3025" s="7">
        <v>-0.223</v>
      </c>
      <c r="BB3025" s="7">
        <v>1</v>
      </c>
      <c r="BC3025" s="4">
        <v>5</v>
      </c>
      <c r="BD3025" s="8">
        <v>417.3</v>
      </c>
      <c r="BE3025" s="4">
        <v>6</v>
      </c>
      <c r="BF3025" s="8">
        <v>537.06</v>
      </c>
      <c r="BG3025" s="7">
        <v>-0.1667</v>
      </c>
      <c r="BH3025" s="7">
        <v>-0.223</v>
      </c>
      <c r="BI3025" s="7">
        <v>1</v>
      </c>
      <c r="BJ3025" s="4">
        <v>245</v>
      </c>
      <c r="BK3025" s="8">
        <v>22755.1</v>
      </c>
      <c r="BL3025" s="2" t="s">
        <v>11134</v>
      </c>
      <c r="BM3025" s="7">
        <v>0.0204</v>
      </c>
      <c r="BN3025" s="7">
        <v>0.0183</v>
      </c>
      <c r="BO3025" s="4">
        <v>5</v>
      </c>
      <c r="BP3025" s="8">
        <v>417.3</v>
      </c>
      <c r="BQ3025" s="4">
        <v>6</v>
      </c>
      <c r="BR3025" s="8">
        <v>537.06</v>
      </c>
      <c r="BS3025" s="7">
        <v>-0.1667</v>
      </c>
      <c r="BT3025" s="7">
        <v>-0.223</v>
      </c>
      <c r="BU3025" s="2" t="s">
        <v>109</v>
      </c>
      <c r="BV3025" s="2" t="s">
        <v>97</v>
      </c>
      <c r="BW3025" s="2" t="s">
        <v>8043</v>
      </c>
      <c r="BX3025" s="2" t="s">
        <v>7761</v>
      </c>
      <c r="BY3025" s="2" t="s">
        <v>112</v>
      </c>
      <c r="BZ3025" s="2" t="s">
        <v>100</v>
      </c>
    </row>
    <row r="3026">
      <c r="A3026" s="2" t="s">
        <v>11135</v>
      </c>
      <c r="B3026" s="2" t="s">
        <v>10578</v>
      </c>
      <c r="C3026" s="2" t="s">
        <v>6851</v>
      </c>
      <c r="D3026" s="2" t="s">
        <v>10805</v>
      </c>
      <c r="E3026" s="2" t="s">
        <v>10806</v>
      </c>
      <c r="F3026" s="2" t="s">
        <v>11136</v>
      </c>
      <c r="G3026" s="2" t="s">
        <v>11136</v>
      </c>
      <c r="H3026" s="2" t="s">
        <v>11136</v>
      </c>
      <c r="I3026" s="2" t="s">
        <v>11137</v>
      </c>
      <c r="J3026" s="2" t="s">
        <v>6103</v>
      </c>
      <c r="K3026" s="2" t="s">
        <v>142</v>
      </c>
      <c r="L3026" s="3">
        <v>83.79</v>
      </c>
      <c r="M3026" s="3">
        <v>87.98</v>
      </c>
      <c r="N3026" s="3">
        <v>189.99</v>
      </c>
      <c r="O3026" s="2" t="s">
        <v>97</v>
      </c>
      <c r="P3026" s="2" t="s">
        <v>182</v>
      </c>
      <c r="Q3026" s="2" t="s">
        <v>99</v>
      </c>
      <c r="R3026" s="2" t="s">
        <v>100</v>
      </c>
      <c r="S3026" s="2" t="s">
        <v>100</v>
      </c>
      <c r="T3026" s="2" t="s">
        <v>100</v>
      </c>
      <c r="U3026" s="2" t="s">
        <v>3531</v>
      </c>
      <c r="V3026" s="2" t="s">
        <v>1752</v>
      </c>
      <c r="W3026" s="2" t="s">
        <v>602</v>
      </c>
      <c r="X3026" s="2" t="s">
        <v>6854</v>
      </c>
      <c r="Y3026" s="2" t="s">
        <v>5688</v>
      </c>
      <c r="Z3026" s="4">
        <v>57</v>
      </c>
      <c r="AA3026" s="4">
        <f>=ROUNDDOWN(28.5,0)</f>
      </c>
      <c r="AB3026" s="5">
        <v>2</v>
      </c>
      <c r="AC3026" s="2" t="s">
        <v>100</v>
      </c>
      <c r="AD3026" s="4"/>
      <c r="AE3026" s="4"/>
      <c r="AF3026" s="6">
        <v>65</v>
      </c>
      <c r="AG3026" s="6"/>
      <c r="AH3026" s="7">
        <v>0.9091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>
        <v>0</v>
      </c>
      <c r="AP3026" s="4">
        <v>1</v>
      </c>
      <c r="AQ3026" s="8">
        <v>87.98</v>
      </c>
      <c r="AR3026" s="4"/>
      <c r="AS3026" s="8"/>
      <c r="AT3026" s="7"/>
      <c r="AU3026" s="7"/>
      <c r="AV3026" s="4">
        <v>1</v>
      </c>
      <c r="AW3026" s="8">
        <v>87.98</v>
      </c>
      <c r="AX3026" s="4"/>
      <c r="AY3026" s="8"/>
      <c r="AZ3026" s="7"/>
      <c r="BA3026" s="7"/>
      <c r="BB3026" s="7">
        <v>1</v>
      </c>
      <c r="BC3026" s="4">
        <v>1</v>
      </c>
      <c r="BD3026" s="8">
        <v>87.98</v>
      </c>
      <c r="BE3026" s="4"/>
      <c r="BF3026" s="8"/>
      <c r="BG3026" s="7"/>
      <c r="BH3026" s="7"/>
      <c r="BI3026" s="7">
        <v>1</v>
      </c>
      <c r="BJ3026" s="4">
        <v>45</v>
      </c>
      <c r="BK3026" s="8">
        <v>4033.49</v>
      </c>
      <c r="BL3026" s="2" t="s">
        <v>11138</v>
      </c>
      <c r="BM3026" s="7">
        <v>0.0222</v>
      </c>
      <c r="BN3026" s="7">
        <v>0.0218</v>
      </c>
      <c r="BO3026" s="4">
        <v>1</v>
      </c>
      <c r="BP3026" s="8">
        <v>87.98</v>
      </c>
      <c r="BQ3026" s="4"/>
      <c r="BR3026" s="8"/>
      <c r="BS3026" s="7"/>
      <c r="BT3026" s="7"/>
      <c r="BU3026" s="2" t="s">
        <v>109</v>
      </c>
      <c r="BV3026" s="2" t="s">
        <v>97</v>
      </c>
      <c r="BW3026" s="2" t="s">
        <v>10633</v>
      </c>
      <c r="BX3026" s="2" t="s">
        <v>7580</v>
      </c>
      <c r="BY3026" s="2" t="s">
        <v>112</v>
      </c>
      <c r="BZ3026" s="2" t="s">
        <v>100</v>
      </c>
    </row>
    <row r="3027">
      <c r="A3027" s="2" t="s">
        <v>11139</v>
      </c>
      <c r="B3027" s="2" t="s">
        <v>10578</v>
      </c>
      <c r="C3027" s="2" t="s">
        <v>6851</v>
      </c>
      <c r="D3027" s="2" t="s">
        <v>10805</v>
      </c>
      <c r="E3027" s="2" t="s">
        <v>10806</v>
      </c>
      <c r="F3027" s="2" t="s">
        <v>11140</v>
      </c>
      <c r="G3027" s="2" t="s">
        <v>11140</v>
      </c>
      <c r="H3027" s="2" t="s">
        <v>11140</v>
      </c>
      <c r="I3027" s="2" t="s">
        <v>11141</v>
      </c>
      <c r="J3027" s="2" t="s">
        <v>6103</v>
      </c>
      <c r="K3027" s="2" t="s">
        <v>10818</v>
      </c>
      <c r="L3027" s="3">
        <v>57.5</v>
      </c>
      <c r="M3027" s="3">
        <v>60.38</v>
      </c>
      <c r="N3027" s="3">
        <v>119.99</v>
      </c>
      <c r="O3027" s="2" t="s">
        <v>97</v>
      </c>
      <c r="P3027" s="2" t="s">
        <v>124</v>
      </c>
      <c r="Q3027" s="2" t="s">
        <v>99</v>
      </c>
      <c r="R3027" s="2" t="s">
        <v>100</v>
      </c>
      <c r="S3027" s="2" t="s">
        <v>100</v>
      </c>
      <c r="T3027" s="2" t="s">
        <v>100</v>
      </c>
      <c r="U3027" s="2" t="s">
        <v>3531</v>
      </c>
      <c r="V3027" s="2" t="s">
        <v>1752</v>
      </c>
      <c r="W3027" s="2" t="s">
        <v>405</v>
      </c>
      <c r="X3027" s="2" t="s">
        <v>6859</v>
      </c>
      <c r="Y3027" s="2" t="s">
        <v>10502</v>
      </c>
      <c r="Z3027" s="4">
        <v>440</v>
      </c>
      <c r="AA3027" s="4">
        <f>=ROUNDDOWN(50,0)</f>
      </c>
      <c r="AB3027" s="5">
        <v>8.8</v>
      </c>
      <c r="AC3027" s="2" t="s">
        <v>100</v>
      </c>
      <c r="AD3027" s="4"/>
      <c r="AE3027" s="4"/>
      <c r="AF3027" s="6">
        <v>63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/>
      <c r="BD3027" s="8"/>
      <c r="BE3027" s="4"/>
      <c r="BF3027" s="8"/>
      <c r="BG3027" s="7"/>
      <c r="BH3027" s="7"/>
      <c r="BI3027" s="7"/>
      <c r="BJ3027" s="4">
        <v>302</v>
      </c>
      <c r="BK3027" s="8">
        <v>19383.17</v>
      </c>
      <c r="BL3027" s="2" t="s">
        <v>11142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97</v>
      </c>
      <c r="BW3027" s="2" t="s">
        <v>10633</v>
      </c>
      <c r="BX3027" s="2" t="s">
        <v>100</v>
      </c>
      <c r="BY3027" s="2" t="s">
        <v>112</v>
      </c>
      <c r="BZ3027" s="2" t="s">
        <v>100</v>
      </c>
    </row>
    <row r="3028">
      <c r="A3028" s="2" t="s">
        <v>11143</v>
      </c>
      <c r="B3028" s="2" t="s">
        <v>10578</v>
      </c>
      <c r="C3028" s="2" t="s">
        <v>6851</v>
      </c>
      <c r="D3028" s="2" t="s">
        <v>10805</v>
      </c>
      <c r="E3028" s="2" t="s">
        <v>10806</v>
      </c>
      <c r="F3028" s="2" t="s">
        <v>11144</v>
      </c>
      <c r="G3028" s="2" t="s">
        <v>11144</v>
      </c>
      <c r="H3028" s="2" t="s">
        <v>11144</v>
      </c>
      <c r="I3028" s="2" t="s">
        <v>11145</v>
      </c>
      <c r="J3028" s="2" t="s">
        <v>6103</v>
      </c>
      <c r="K3028" s="2" t="s">
        <v>142</v>
      </c>
      <c r="L3028" s="3">
        <v>121.5</v>
      </c>
      <c r="M3028" s="3">
        <v>127.58</v>
      </c>
      <c r="N3028" s="3">
        <v>279.99</v>
      </c>
      <c r="O3028" s="2" t="s">
        <v>229</v>
      </c>
      <c r="P3028" s="2" t="s">
        <v>198</v>
      </c>
      <c r="Q3028" s="2" t="s">
        <v>99</v>
      </c>
      <c r="R3028" s="2" t="s">
        <v>100</v>
      </c>
      <c r="S3028" s="2" t="s">
        <v>100</v>
      </c>
      <c r="T3028" s="2" t="s">
        <v>100</v>
      </c>
      <c r="U3028" s="2" t="s">
        <v>3531</v>
      </c>
      <c r="V3028" s="2" t="s">
        <v>1752</v>
      </c>
      <c r="W3028" s="2" t="s">
        <v>602</v>
      </c>
      <c r="X3028" s="2" t="s">
        <v>6854</v>
      </c>
      <c r="Y3028" s="2" t="s">
        <v>10880</v>
      </c>
      <c r="Z3028" s="4">
        <v>83</v>
      </c>
      <c r="AA3028" s="4">
        <f>=ROUNDDOWN(83,0)</f>
      </c>
      <c r="AB3028" s="5">
        <v>1</v>
      </c>
      <c r="AC3028" s="2" t="s">
        <v>100</v>
      </c>
      <c r="AD3028" s="4"/>
      <c r="AE3028" s="4"/>
      <c r="AF3028" s="6">
        <v>63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/>
      <c r="BD3028" s="8"/>
      <c r="BE3028" s="4"/>
      <c r="BF3028" s="8"/>
      <c r="BG3028" s="7"/>
      <c r="BH3028" s="7"/>
      <c r="BI3028" s="7"/>
      <c r="BJ3028" s="4">
        <v>3</v>
      </c>
      <c r="BK3028" s="8">
        <v>404.98</v>
      </c>
      <c r="BL3028" s="2" t="s">
        <v>11146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97</v>
      </c>
      <c r="BW3028" s="2" t="s">
        <v>10633</v>
      </c>
      <c r="BX3028" s="2" t="s">
        <v>100</v>
      </c>
      <c r="BY3028" s="2" t="s">
        <v>112</v>
      </c>
      <c r="BZ3028" s="2" t="s">
        <v>100</v>
      </c>
    </row>
    <row r="3029">
      <c r="A3029" s="2" t="s">
        <v>11147</v>
      </c>
      <c r="B3029" s="2" t="s">
        <v>10578</v>
      </c>
      <c r="C3029" s="2" t="s">
        <v>6851</v>
      </c>
      <c r="D3029" s="2" t="s">
        <v>10805</v>
      </c>
      <c r="E3029" s="2" t="s">
        <v>10806</v>
      </c>
      <c r="F3029" s="2" t="s">
        <v>11148</v>
      </c>
      <c r="G3029" s="2" t="s">
        <v>11148</v>
      </c>
      <c r="H3029" s="2" t="s">
        <v>11148</v>
      </c>
      <c r="I3029" s="2" t="s">
        <v>11149</v>
      </c>
      <c r="J3029" s="2" t="s">
        <v>6103</v>
      </c>
      <c r="K3029" s="2" t="s">
        <v>11150</v>
      </c>
      <c r="L3029" s="3">
        <v>85</v>
      </c>
      <c r="M3029" s="3">
        <v>89.25</v>
      </c>
      <c r="N3029" s="3">
        <v>179.99</v>
      </c>
      <c r="O3029" s="2" t="s">
        <v>97</v>
      </c>
      <c r="P3029" s="2" t="s">
        <v>182</v>
      </c>
      <c r="Q3029" s="2" t="s">
        <v>99</v>
      </c>
      <c r="R3029" s="2" t="s">
        <v>100</v>
      </c>
      <c r="S3029" s="2" t="s">
        <v>100</v>
      </c>
      <c r="T3029" s="2" t="s">
        <v>100</v>
      </c>
      <c r="U3029" s="2" t="s">
        <v>3531</v>
      </c>
      <c r="V3029" s="2" t="s">
        <v>1752</v>
      </c>
      <c r="W3029" s="2" t="s">
        <v>6908</v>
      </c>
      <c r="X3029" s="2" t="s">
        <v>906</v>
      </c>
      <c r="Y3029" s="2" t="s">
        <v>10886</v>
      </c>
      <c r="Z3029" s="4">
        <v>54</v>
      </c>
      <c r="AA3029" s="4">
        <f>=ROUNDDOWN(54,0)</f>
      </c>
      <c r="AB3029" s="5">
        <v>1</v>
      </c>
      <c r="AC3029" s="2" t="s">
        <v>100</v>
      </c>
      <c r="AD3029" s="4"/>
      <c r="AE3029" s="4"/>
      <c r="AF3029" s="6">
        <v>63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/>
      <c r="BD3029" s="8"/>
      <c r="BE3029" s="4"/>
      <c r="BF3029" s="8"/>
      <c r="BG3029" s="7"/>
      <c r="BH3029" s="7"/>
      <c r="BI3029" s="7"/>
      <c r="BJ3029" s="4">
        <v>19</v>
      </c>
      <c r="BK3029" s="8">
        <v>1830.56</v>
      </c>
      <c r="BL3029" s="2" t="s">
        <v>1484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97</v>
      </c>
      <c r="BW3029" s="2" t="s">
        <v>10633</v>
      </c>
      <c r="BX3029" s="2" t="s">
        <v>100</v>
      </c>
      <c r="BY3029" s="2" t="s">
        <v>112</v>
      </c>
      <c r="BZ3029" s="2" t="s">
        <v>100</v>
      </c>
    </row>
    <row r="3030">
      <c r="A3030" s="2" t="s">
        <v>11151</v>
      </c>
      <c r="B3030" s="2" t="s">
        <v>10578</v>
      </c>
      <c r="C3030" s="2" t="s">
        <v>6851</v>
      </c>
      <c r="D3030" s="2" t="s">
        <v>10686</v>
      </c>
      <c r="E3030" s="2" t="s">
        <v>10687</v>
      </c>
      <c r="F3030" s="2" t="s">
        <v>11152</v>
      </c>
      <c r="G3030" s="2" t="s">
        <v>11152</v>
      </c>
      <c r="H3030" s="2" t="s">
        <v>11152</v>
      </c>
      <c r="I3030" s="2" t="s">
        <v>11153</v>
      </c>
      <c r="J3030" s="2" t="s">
        <v>6103</v>
      </c>
      <c r="K3030" s="2" t="s">
        <v>10818</v>
      </c>
      <c r="L3030" s="3">
        <v>89.1</v>
      </c>
      <c r="M3030" s="3">
        <v>93.56</v>
      </c>
      <c r="N3030" s="3">
        <v>209</v>
      </c>
      <c r="O3030" s="2" t="s">
        <v>229</v>
      </c>
      <c r="P3030" s="2" t="s">
        <v>198</v>
      </c>
      <c r="Q3030" s="2" t="s">
        <v>99</v>
      </c>
      <c r="R3030" s="2" t="s">
        <v>100</v>
      </c>
      <c r="S3030" s="2" t="s">
        <v>100</v>
      </c>
      <c r="T3030" s="2" t="s">
        <v>100</v>
      </c>
      <c r="U3030" s="2" t="s">
        <v>3531</v>
      </c>
      <c r="V3030" s="2" t="s">
        <v>1752</v>
      </c>
      <c r="W3030" s="2" t="s">
        <v>104</v>
      </c>
      <c r="X3030" s="2" t="s">
        <v>6859</v>
      </c>
      <c r="Y3030" s="2" t="s">
        <v>10880</v>
      </c>
      <c r="Z3030" s="4">
        <v>65</v>
      </c>
      <c r="AA3030" s="4">
        <f>=ROUNDDOWN(65,0)</f>
      </c>
      <c r="AB3030" s="5">
        <v>1</v>
      </c>
      <c r="AC3030" s="2" t="s">
        <v>100</v>
      </c>
      <c r="AD3030" s="4"/>
      <c r="AE3030" s="4"/>
      <c r="AF3030" s="6">
        <v>63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>
        <v>0</v>
      </c>
      <c r="AP3030" s="4">
        <v>2</v>
      </c>
      <c r="AQ3030" s="8">
        <v>187.12</v>
      </c>
      <c r="AR3030" s="4"/>
      <c r="AS3030" s="8"/>
      <c r="AT3030" s="7"/>
      <c r="AU3030" s="7"/>
      <c r="AV3030" s="4">
        <v>2</v>
      </c>
      <c r="AW3030" s="8">
        <v>187.12</v>
      </c>
      <c r="AX3030" s="4"/>
      <c r="AY3030" s="8"/>
      <c r="AZ3030" s="7"/>
      <c r="BA3030" s="7"/>
      <c r="BB3030" s="7">
        <v>1</v>
      </c>
      <c r="BC3030" s="4">
        <v>2</v>
      </c>
      <c r="BD3030" s="8">
        <v>187.12</v>
      </c>
      <c r="BE3030" s="4"/>
      <c r="BF3030" s="8"/>
      <c r="BG3030" s="7"/>
      <c r="BH3030" s="7"/>
      <c r="BI3030" s="7">
        <v>1</v>
      </c>
      <c r="BJ3030" s="4">
        <v>17</v>
      </c>
      <c r="BK3030" s="8">
        <v>1397.55</v>
      </c>
      <c r="BL3030" s="2" t="s">
        <v>11154</v>
      </c>
      <c r="BM3030" s="7">
        <v>0.1176</v>
      </c>
      <c r="BN3030" s="7">
        <v>0.1339</v>
      </c>
      <c r="BO3030" s="4">
        <v>2</v>
      </c>
      <c r="BP3030" s="8">
        <v>187.12</v>
      </c>
      <c r="BQ3030" s="4"/>
      <c r="BR3030" s="8"/>
      <c r="BS3030" s="7"/>
      <c r="BT3030" s="7"/>
      <c r="BU3030" s="2" t="s">
        <v>109</v>
      </c>
      <c r="BV3030" s="2" t="s">
        <v>97</v>
      </c>
      <c r="BW3030" s="2" t="s">
        <v>10633</v>
      </c>
      <c r="BX3030" s="2" t="s">
        <v>7289</v>
      </c>
      <c r="BY3030" s="2" t="s">
        <v>112</v>
      </c>
      <c r="BZ3030" s="2" t="s">
        <v>100</v>
      </c>
    </row>
    <row r="3031">
      <c r="A3031" s="2" t="s">
        <v>11155</v>
      </c>
      <c r="B3031" s="2" t="s">
        <v>10578</v>
      </c>
      <c r="C3031" s="2" t="s">
        <v>6851</v>
      </c>
      <c r="D3031" s="2" t="s">
        <v>10686</v>
      </c>
      <c r="E3031" s="2" t="s">
        <v>10687</v>
      </c>
      <c r="F3031" s="2" t="s">
        <v>1162</v>
      </c>
      <c r="G3031" s="2" t="s">
        <v>1162</v>
      </c>
      <c r="H3031" s="2" t="s">
        <v>1162</v>
      </c>
      <c r="I3031" s="2" t="s">
        <v>11156</v>
      </c>
      <c r="J3031" s="2" t="s">
        <v>6103</v>
      </c>
      <c r="K3031" s="2" t="s">
        <v>11157</v>
      </c>
      <c r="L3031" s="3">
        <v>142.2</v>
      </c>
      <c r="M3031" s="3">
        <v>149.31</v>
      </c>
      <c r="N3031" s="3">
        <v>329.99</v>
      </c>
      <c r="O3031" s="2" t="s">
        <v>229</v>
      </c>
      <c r="P3031" s="2" t="s">
        <v>198</v>
      </c>
      <c r="Q3031" s="2" t="s">
        <v>99</v>
      </c>
      <c r="R3031" s="2" t="s">
        <v>100</v>
      </c>
      <c r="S3031" s="2" t="s">
        <v>100</v>
      </c>
      <c r="T3031" s="2" t="s">
        <v>100</v>
      </c>
      <c r="U3031" s="2" t="s">
        <v>3531</v>
      </c>
      <c r="V3031" s="2" t="s">
        <v>1752</v>
      </c>
      <c r="W3031" s="2" t="s">
        <v>1190</v>
      </c>
      <c r="X3031" s="2" t="s">
        <v>6859</v>
      </c>
      <c r="Y3031" s="2" t="s">
        <v>10880</v>
      </c>
      <c r="Z3031" s="4">
        <v>93</v>
      </c>
      <c r="AA3031" s="4">
        <f>=ROUNDDOWN(93,0)</f>
      </c>
      <c r="AB3031" s="5">
        <v>1</v>
      </c>
      <c r="AC3031" s="2" t="s">
        <v>100</v>
      </c>
      <c r="AD3031" s="4"/>
      <c r="AE3031" s="4"/>
      <c r="AF3031" s="6">
        <v>63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/>
      <c r="BD3031" s="8"/>
      <c r="BE3031" s="4"/>
      <c r="BF3031" s="8"/>
      <c r="BG3031" s="7"/>
      <c r="BH3031" s="7"/>
      <c r="BI3031" s="7"/>
      <c r="BJ3031" s="4">
        <v>1</v>
      </c>
      <c r="BK3031" s="8">
        <v>174.2</v>
      </c>
      <c r="BL3031" s="2" t="s">
        <v>11158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97</v>
      </c>
      <c r="BW3031" s="2" t="s">
        <v>10633</v>
      </c>
      <c r="BX3031" s="2" t="s">
        <v>100</v>
      </c>
      <c r="BY3031" s="2" t="s">
        <v>112</v>
      </c>
      <c r="BZ3031" s="2" t="s">
        <v>100</v>
      </c>
    </row>
    <row r="3032">
      <c r="A3032" s="2" t="s">
        <v>11159</v>
      </c>
      <c r="B3032" s="2" t="s">
        <v>10578</v>
      </c>
      <c r="C3032" s="2" t="s">
        <v>6851</v>
      </c>
      <c r="D3032" s="2" t="s">
        <v>10686</v>
      </c>
      <c r="E3032" s="2" t="s">
        <v>10687</v>
      </c>
      <c r="F3032" s="2" t="s">
        <v>11160</v>
      </c>
      <c r="G3032" s="2" t="s">
        <v>11160</v>
      </c>
      <c r="H3032" s="2" t="s">
        <v>11160</v>
      </c>
      <c r="I3032" s="2" t="s">
        <v>11161</v>
      </c>
      <c r="J3032" s="2" t="s">
        <v>6103</v>
      </c>
      <c r="K3032" s="2" t="s">
        <v>9168</v>
      </c>
      <c r="L3032" s="3">
        <v>182</v>
      </c>
      <c r="M3032" s="3">
        <v>191.1</v>
      </c>
      <c r="N3032" s="3">
        <v>369.99</v>
      </c>
      <c r="O3032" s="2" t="s">
        <v>97</v>
      </c>
      <c r="P3032" s="2" t="s">
        <v>8446</v>
      </c>
      <c r="Q3032" s="2" t="s">
        <v>99</v>
      </c>
      <c r="R3032" s="2" t="s">
        <v>100</v>
      </c>
      <c r="S3032" s="2" t="s">
        <v>100</v>
      </c>
      <c r="T3032" s="2" t="s">
        <v>100</v>
      </c>
      <c r="U3032" s="2" t="s">
        <v>3531</v>
      </c>
      <c r="V3032" s="2" t="s">
        <v>6978</v>
      </c>
      <c r="W3032" s="2" t="s">
        <v>104</v>
      </c>
      <c r="X3032" s="2" t="s">
        <v>6859</v>
      </c>
      <c r="Y3032" s="2" t="s">
        <v>100</v>
      </c>
      <c r="Z3032" s="4"/>
      <c r="AA3032" s="4">
        <f>=ROUNDDOWN({0},0)</f>
      </c>
      <c r="AB3032" s="5"/>
      <c r="AC3032" s="2" t="s">
        <v>7845</v>
      </c>
      <c r="AD3032" s="4">
        <v>200</v>
      </c>
      <c r="AE3032" s="4">
        <v>200</v>
      </c>
      <c r="AF3032" s="6">
        <v>72</v>
      </c>
      <c r="AG3032" s="6"/>
      <c r="AH3032" s="7">
        <v>0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/>
      <c r="BK3032" s="8"/>
      <c r="BL3032" s="2" t="s">
        <v>100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147</v>
      </c>
      <c r="BV3032" s="2" t="s">
        <v>97</v>
      </c>
      <c r="BW3032" s="2" t="s">
        <v>100</v>
      </c>
      <c r="BX3032" s="2" t="s">
        <v>100</v>
      </c>
      <c r="BY3032" s="2" t="s">
        <v>112</v>
      </c>
      <c r="BZ3032" s="2" t="s">
        <v>100</v>
      </c>
    </row>
    <row r="3033">
      <c r="A3033" s="2" t="s">
        <v>11162</v>
      </c>
      <c r="B3033" s="2" t="s">
        <v>10578</v>
      </c>
      <c r="C3033" s="2" t="s">
        <v>6851</v>
      </c>
      <c r="D3033" s="2" t="s">
        <v>10686</v>
      </c>
      <c r="E3033" s="2" t="s">
        <v>10687</v>
      </c>
      <c r="F3033" s="2" t="s">
        <v>11160</v>
      </c>
      <c r="G3033" s="2" t="s">
        <v>11160</v>
      </c>
      <c r="H3033" s="2" t="s">
        <v>11160</v>
      </c>
      <c r="I3033" s="2" t="s">
        <v>11161</v>
      </c>
      <c r="J3033" s="2" t="s">
        <v>6103</v>
      </c>
      <c r="K3033" s="2" t="s">
        <v>11163</v>
      </c>
      <c r="L3033" s="3">
        <v>182</v>
      </c>
      <c r="M3033" s="3">
        <v>191.1</v>
      </c>
      <c r="N3033" s="3">
        <v>369.99</v>
      </c>
      <c r="O3033" s="2" t="s">
        <v>97</v>
      </c>
      <c r="P3033" s="2" t="s">
        <v>8446</v>
      </c>
      <c r="Q3033" s="2" t="s">
        <v>99</v>
      </c>
      <c r="R3033" s="2" t="s">
        <v>100</v>
      </c>
      <c r="S3033" s="2" t="s">
        <v>100</v>
      </c>
      <c r="T3033" s="2" t="s">
        <v>100</v>
      </c>
      <c r="U3033" s="2" t="s">
        <v>3531</v>
      </c>
      <c r="V3033" s="2" t="s">
        <v>6978</v>
      </c>
      <c r="W3033" s="2" t="s">
        <v>104</v>
      </c>
      <c r="X3033" s="2" t="s">
        <v>6859</v>
      </c>
      <c r="Y3033" s="2" t="s">
        <v>100</v>
      </c>
      <c r="Z3033" s="4"/>
      <c r="AA3033" s="4">
        <f>=ROUNDDOWN({0},0)</f>
      </c>
      <c r="AB3033" s="5"/>
      <c r="AC3033" s="2" t="s">
        <v>7845</v>
      </c>
      <c r="AD3033" s="4">
        <v>100</v>
      </c>
      <c r="AE3033" s="4">
        <v>100</v>
      </c>
      <c r="AF3033" s="6">
        <v>72</v>
      </c>
      <c r="AG3033" s="6"/>
      <c r="AH3033" s="7">
        <v>0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>
        <v>0</v>
      </c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100</v>
      </c>
      <c r="BD3033" s="8" t="s">
        <v>100</v>
      </c>
      <c r="BE3033" s="4" t="s">
        <v>100</v>
      </c>
      <c r="BF3033" s="8" t="s">
        <v>100</v>
      </c>
      <c r="BG3033" s="7" t="s">
        <v>100</v>
      </c>
      <c r="BH3033" s="7" t="s">
        <v>100</v>
      </c>
      <c r="BI3033" s="7"/>
      <c r="BJ3033" s="4"/>
      <c r="BK3033" s="8"/>
      <c r="BL3033" s="2" t="s">
        <v>100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147</v>
      </c>
      <c r="BV3033" s="2" t="s">
        <v>97</v>
      </c>
      <c r="BW3033" s="2" t="s">
        <v>100</v>
      </c>
      <c r="BX3033" s="2" t="s">
        <v>100</v>
      </c>
      <c r="BY3033" s="2" t="s">
        <v>112</v>
      </c>
      <c r="BZ3033" s="2" t="s">
        <v>100</v>
      </c>
    </row>
    <row r="3034">
      <c r="A3034" s="2" t="s">
        <v>11164</v>
      </c>
      <c r="B3034" s="2" t="s">
        <v>10578</v>
      </c>
      <c r="C3034" s="2" t="s">
        <v>6851</v>
      </c>
      <c r="D3034" s="2" t="s">
        <v>10579</v>
      </c>
      <c r="E3034" s="2" t="s">
        <v>10580</v>
      </c>
      <c r="F3034" s="2" t="s">
        <v>4115</v>
      </c>
      <c r="G3034" s="2" t="s">
        <v>4115</v>
      </c>
      <c r="H3034" s="2" t="s">
        <v>4115</v>
      </c>
      <c r="I3034" s="2" t="s">
        <v>11165</v>
      </c>
      <c r="J3034" s="2" t="s">
        <v>6103</v>
      </c>
      <c r="K3034" s="2" t="s">
        <v>333</v>
      </c>
      <c r="L3034" s="3">
        <v>41.94</v>
      </c>
      <c r="M3034" s="3">
        <v>44.04</v>
      </c>
      <c r="N3034" s="3">
        <v>89.99</v>
      </c>
      <c r="O3034" s="2" t="s">
        <v>97</v>
      </c>
      <c r="P3034" s="2" t="s">
        <v>143</v>
      </c>
      <c r="Q3034" s="2" t="s">
        <v>99</v>
      </c>
      <c r="R3034" s="2" t="s">
        <v>100</v>
      </c>
      <c r="S3034" s="2" t="s">
        <v>100</v>
      </c>
      <c r="T3034" s="2" t="s">
        <v>100</v>
      </c>
      <c r="U3034" s="2" t="s">
        <v>3531</v>
      </c>
      <c r="V3034" s="2" t="s">
        <v>1752</v>
      </c>
      <c r="W3034" s="2" t="s">
        <v>602</v>
      </c>
      <c r="X3034" s="2" t="s">
        <v>6854</v>
      </c>
      <c r="Y3034" s="2" t="s">
        <v>11166</v>
      </c>
      <c r="Z3034" s="4">
        <v>6</v>
      </c>
      <c r="AA3034" s="4">
        <f>=ROUNDDOWN(1,0)</f>
      </c>
      <c r="AB3034" s="5">
        <v>6</v>
      </c>
      <c r="AC3034" s="2" t="s">
        <v>1193</v>
      </c>
      <c r="AD3034" s="4">
        <v>130</v>
      </c>
      <c r="AE3034" s="4">
        <v>130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>
        <v>0</v>
      </c>
      <c r="AP3034" s="4">
        <v>2</v>
      </c>
      <c r="AQ3034" s="8">
        <v>88.08</v>
      </c>
      <c r="AR3034" s="4"/>
      <c r="AS3034" s="8"/>
      <c r="AT3034" s="7"/>
      <c r="AU3034" s="7"/>
      <c r="AV3034" s="4">
        <v>2</v>
      </c>
      <c r="AW3034" s="8">
        <v>88.08</v>
      </c>
      <c r="AX3034" s="4"/>
      <c r="AY3034" s="8"/>
      <c r="AZ3034" s="7"/>
      <c r="BA3034" s="7"/>
      <c r="BB3034" s="7">
        <v>1</v>
      </c>
      <c r="BC3034" s="4">
        <v>2</v>
      </c>
      <c r="BD3034" s="8">
        <v>88.08</v>
      </c>
      <c r="BE3034" s="4"/>
      <c r="BF3034" s="8"/>
      <c r="BG3034" s="7"/>
      <c r="BH3034" s="7"/>
      <c r="BI3034" s="7">
        <v>1</v>
      </c>
      <c r="BJ3034" s="4">
        <v>154</v>
      </c>
      <c r="BK3034" s="8">
        <v>6970.33</v>
      </c>
      <c r="BL3034" s="2" t="s">
        <v>11167</v>
      </c>
      <c r="BM3034" s="7">
        <v>0.013</v>
      </c>
      <c r="BN3034" s="7">
        <v>0.0126</v>
      </c>
      <c r="BO3034" s="4">
        <v>2</v>
      </c>
      <c r="BP3034" s="8">
        <v>88.08</v>
      </c>
      <c r="BQ3034" s="4"/>
      <c r="BR3034" s="8"/>
      <c r="BS3034" s="7"/>
      <c r="BT3034" s="7"/>
      <c r="BU3034" s="2" t="s">
        <v>109</v>
      </c>
      <c r="BV3034" s="2" t="s">
        <v>97</v>
      </c>
      <c r="BW3034" s="2" t="s">
        <v>10633</v>
      </c>
      <c r="BX3034" s="2" t="s">
        <v>648</v>
      </c>
      <c r="BY3034" s="2" t="s">
        <v>112</v>
      </c>
      <c r="BZ3034" s="2" t="s">
        <v>100</v>
      </c>
    </row>
    <row r="3035">
      <c r="A3035" s="2" t="s">
        <v>11168</v>
      </c>
      <c r="B3035" s="2" t="s">
        <v>10578</v>
      </c>
      <c r="C3035" s="2" t="s">
        <v>6851</v>
      </c>
      <c r="D3035" s="2" t="s">
        <v>10579</v>
      </c>
      <c r="E3035" s="2" t="s">
        <v>10580</v>
      </c>
      <c r="F3035" s="2" t="s">
        <v>11169</v>
      </c>
      <c r="G3035" s="2" t="s">
        <v>11169</v>
      </c>
      <c r="H3035" s="2" t="s">
        <v>11169</v>
      </c>
      <c r="I3035" s="2" t="s">
        <v>11170</v>
      </c>
      <c r="J3035" s="2" t="s">
        <v>6103</v>
      </c>
      <c r="K3035" s="2" t="s">
        <v>142</v>
      </c>
      <c r="L3035" s="3">
        <v>45</v>
      </c>
      <c r="M3035" s="3">
        <v>47.25</v>
      </c>
      <c r="N3035" s="3">
        <v>104.99</v>
      </c>
      <c r="O3035" s="2" t="s">
        <v>97</v>
      </c>
      <c r="P3035" s="2" t="s">
        <v>182</v>
      </c>
      <c r="Q3035" s="2" t="s">
        <v>99</v>
      </c>
      <c r="R3035" s="2" t="s">
        <v>100</v>
      </c>
      <c r="S3035" s="2" t="s">
        <v>100</v>
      </c>
      <c r="T3035" s="2" t="s">
        <v>100</v>
      </c>
      <c r="U3035" s="2" t="s">
        <v>3531</v>
      </c>
      <c r="V3035" s="2" t="s">
        <v>1752</v>
      </c>
      <c r="W3035" s="2" t="s">
        <v>405</v>
      </c>
      <c r="X3035" s="2" t="s">
        <v>6908</v>
      </c>
      <c r="Y3035" s="2" t="s">
        <v>10333</v>
      </c>
      <c r="Z3035" s="4">
        <v>93</v>
      </c>
      <c r="AA3035" s="4">
        <f>=ROUNDDOWN(46.5,0)</f>
      </c>
      <c r="AB3035" s="5">
        <v>2</v>
      </c>
      <c r="AC3035" s="2" t="s">
        <v>100</v>
      </c>
      <c r="AD3035" s="4"/>
      <c r="AE3035" s="4"/>
      <c r="AF3035" s="6">
        <v>63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>
        <v>0</v>
      </c>
      <c r="AP3035" s="4">
        <v>1</v>
      </c>
      <c r="AQ3035" s="8">
        <v>47.25</v>
      </c>
      <c r="AR3035" s="4"/>
      <c r="AS3035" s="8"/>
      <c r="AT3035" s="7"/>
      <c r="AU3035" s="7"/>
      <c r="AV3035" s="4">
        <v>1</v>
      </c>
      <c r="AW3035" s="8">
        <v>47.25</v>
      </c>
      <c r="AX3035" s="4"/>
      <c r="AY3035" s="8"/>
      <c r="AZ3035" s="7"/>
      <c r="BA3035" s="7"/>
      <c r="BB3035" s="7">
        <v>1</v>
      </c>
      <c r="BC3035" s="4">
        <v>1</v>
      </c>
      <c r="BD3035" s="8">
        <v>47.25</v>
      </c>
      <c r="BE3035" s="4"/>
      <c r="BF3035" s="8"/>
      <c r="BG3035" s="7"/>
      <c r="BH3035" s="7"/>
      <c r="BI3035" s="7">
        <v>1</v>
      </c>
      <c r="BJ3035" s="4">
        <v>27</v>
      </c>
      <c r="BK3035" s="8">
        <v>1452.74</v>
      </c>
      <c r="BL3035" s="2" t="s">
        <v>11171</v>
      </c>
      <c r="BM3035" s="7">
        <v>0.037</v>
      </c>
      <c r="BN3035" s="7">
        <v>0.0325</v>
      </c>
      <c r="BO3035" s="4">
        <v>1</v>
      </c>
      <c r="BP3035" s="8">
        <v>47.25</v>
      </c>
      <c r="BQ3035" s="4"/>
      <c r="BR3035" s="8"/>
      <c r="BS3035" s="7"/>
      <c r="BT3035" s="7"/>
      <c r="BU3035" s="2" t="s">
        <v>109</v>
      </c>
      <c r="BV3035" s="2" t="s">
        <v>97</v>
      </c>
      <c r="BW3035" s="2" t="s">
        <v>10633</v>
      </c>
      <c r="BX3035" s="2" t="s">
        <v>580</v>
      </c>
      <c r="BY3035" s="2" t="s">
        <v>112</v>
      </c>
      <c r="BZ3035" s="2" t="s">
        <v>100</v>
      </c>
    </row>
    <row r="3036">
      <c r="A3036" s="2" t="s">
        <v>11172</v>
      </c>
      <c r="B3036" s="2" t="s">
        <v>10578</v>
      </c>
      <c r="C3036" s="2" t="s">
        <v>6851</v>
      </c>
      <c r="D3036" s="2" t="s">
        <v>10579</v>
      </c>
      <c r="E3036" s="2" t="s">
        <v>10580</v>
      </c>
      <c r="F3036" s="2" t="s">
        <v>11140</v>
      </c>
      <c r="G3036" s="2" t="s">
        <v>11140</v>
      </c>
      <c r="H3036" s="2" t="s">
        <v>11140</v>
      </c>
      <c r="I3036" s="2" t="s">
        <v>11173</v>
      </c>
      <c r="J3036" s="2" t="s">
        <v>6103</v>
      </c>
      <c r="K3036" s="2" t="s">
        <v>10818</v>
      </c>
      <c r="L3036" s="3">
        <v>39.85</v>
      </c>
      <c r="M3036" s="3">
        <v>41.84</v>
      </c>
      <c r="N3036" s="3">
        <v>79.99</v>
      </c>
      <c r="O3036" s="2" t="s">
        <v>97</v>
      </c>
      <c r="P3036" s="2" t="s">
        <v>1166</v>
      </c>
      <c r="Q3036" s="2" t="s">
        <v>99</v>
      </c>
      <c r="R3036" s="2" t="s">
        <v>100</v>
      </c>
      <c r="S3036" s="2" t="s">
        <v>100</v>
      </c>
      <c r="T3036" s="2" t="s">
        <v>100</v>
      </c>
      <c r="U3036" s="2" t="s">
        <v>3531</v>
      </c>
      <c r="V3036" s="2" t="s">
        <v>1752</v>
      </c>
      <c r="W3036" s="2" t="s">
        <v>405</v>
      </c>
      <c r="X3036" s="2" t="s">
        <v>6859</v>
      </c>
      <c r="Y3036" s="2" t="s">
        <v>10342</v>
      </c>
      <c r="Z3036" s="4">
        <v>96</v>
      </c>
      <c r="AA3036" s="4">
        <f>=ROUNDDOWN(48,0)</f>
      </c>
      <c r="AB3036" s="5">
        <v>2</v>
      </c>
      <c r="AC3036" s="2" t="s">
        <v>100</v>
      </c>
      <c r="AD3036" s="4"/>
      <c r="AE3036" s="4"/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/>
      <c r="BD3036" s="8"/>
      <c r="BE3036" s="4"/>
      <c r="BF3036" s="8"/>
      <c r="BG3036" s="7"/>
      <c r="BH3036" s="7"/>
      <c r="BI3036" s="7"/>
      <c r="BJ3036" s="4">
        <v>4</v>
      </c>
      <c r="BK3036" s="8">
        <v>185.38</v>
      </c>
      <c r="BL3036" s="2" t="s">
        <v>6909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147</v>
      </c>
      <c r="BV3036" s="2" t="s">
        <v>97</v>
      </c>
      <c r="BW3036" s="2" t="s">
        <v>100</v>
      </c>
      <c r="BX3036" s="2" t="s">
        <v>100</v>
      </c>
      <c r="BY3036" s="2" t="s">
        <v>112</v>
      </c>
      <c r="BZ3036" s="2" t="s">
        <v>100</v>
      </c>
    </row>
    <row r="3037">
      <c r="A3037" s="2" t="s">
        <v>11174</v>
      </c>
      <c r="B3037" s="2" t="s">
        <v>10578</v>
      </c>
      <c r="C3037" s="2" t="s">
        <v>6851</v>
      </c>
      <c r="D3037" s="2" t="s">
        <v>10579</v>
      </c>
      <c r="E3037" s="2" t="s">
        <v>10580</v>
      </c>
      <c r="F3037" s="2" t="s">
        <v>11175</v>
      </c>
      <c r="G3037" s="2" t="s">
        <v>11175</v>
      </c>
      <c r="H3037" s="2" t="s">
        <v>11175</v>
      </c>
      <c r="I3037" s="2" t="s">
        <v>11176</v>
      </c>
      <c r="J3037" s="2" t="s">
        <v>6103</v>
      </c>
      <c r="K3037" s="2" t="s">
        <v>666</v>
      </c>
      <c r="L3037" s="3">
        <v>51.92</v>
      </c>
      <c r="M3037" s="3">
        <v>54.52</v>
      </c>
      <c r="N3037" s="3">
        <v>114.99</v>
      </c>
      <c r="O3037" s="2" t="s">
        <v>97</v>
      </c>
      <c r="P3037" s="2" t="s">
        <v>182</v>
      </c>
      <c r="Q3037" s="2" t="s">
        <v>99</v>
      </c>
      <c r="R3037" s="2" t="s">
        <v>100</v>
      </c>
      <c r="S3037" s="2" t="s">
        <v>100</v>
      </c>
      <c r="T3037" s="2" t="s">
        <v>100</v>
      </c>
      <c r="U3037" s="2" t="s">
        <v>3531</v>
      </c>
      <c r="V3037" s="2" t="s">
        <v>1752</v>
      </c>
      <c r="W3037" s="2" t="s">
        <v>405</v>
      </c>
      <c r="X3037" s="2" t="s">
        <v>6859</v>
      </c>
      <c r="Y3037" s="2" t="s">
        <v>6577</v>
      </c>
      <c r="Z3037" s="4">
        <v>127</v>
      </c>
      <c r="AA3037" s="4">
        <f>=ROUNDDOWN(42.3333333333333,0)</f>
      </c>
      <c r="AB3037" s="5">
        <v>3</v>
      </c>
      <c r="AC3037" s="2" t="s">
        <v>100</v>
      </c>
      <c r="AD3037" s="4"/>
      <c r="AE3037" s="4"/>
      <c r="AF3037" s="6">
        <v>65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/>
      <c r="BD3037" s="8"/>
      <c r="BE3037" s="4"/>
      <c r="BF3037" s="8"/>
      <c r="BG3037" s="7"/>
      <c r="BH3037" s="7"/>
      <c r="BI3037" s="7"/>
      <c r="BJ3037" s="4">
        <v>54</v>
      </c>
      <c r="BK3037" s="8">
        <v>3114.72</v>
      </c>
      <c r="BL3037" s="2" t="s">
        <v>11177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97</v>
      </c>
      <c r="BW3037" s="2" t="s">
        <v>10633</v>
      </c>
      <c r="BX3037" s="2" t="s">
        <v>100</v>
      </c>
      <c r="BY3037" s="2" t="s">
        <v>112</v>
      </c>
      <c r="BZ3037" s="2" t="s">
        <v>100</v>
      </c>
    </row>
    <row r="3038">
      <c r="A3038" s="2" t="s">
        <v>11178</v>
      </c>
      <c r="B3038" s="2" t="s">
        <v>10578</v>
      </c>
      <c r="C3038" s="2" t="s">
        <v>6851</v>
      </c>
      <c r="D3038" s="2" t="s">
        <v>10579</v>
      </c>
      <c r="E3038" s="2" t="s">
        <v>10580</v>
      </c>
      <c r="F3038" s="2" t="s">
        <v>8345</v>
      </c>
      <c r="G3038" s="2" t="s">
        <v>8345</v>
      </c>
      <c r="H3038" s="2" t="s">
        <v>8345</v>
      </c>
      <c r="I3038" s="2" t="s">
        <v>10672</v>
      </c>
      <c r="J3038" s="2" t="s">
        <v>6103</v>
      </c>
      <c r="K3038" s="2" t="s">
        <v>142</v>
      </c>
      <c r="L3038" s="3">
        <v>43.99</v>
      </c>
      <c r="M3038" s="3">
        <v>46.19</v>
      </c>
      <c r="N3038" s="3">
        <v>99.99</v>
      </c>
      <c r="O3038" s="2" t="s">
        <v>97</v>
      </c>
      <c r="P3038" s="2" t="s">
        <v>143</v>
      </c>
      <c r="Q3038" s="2" t="s">
        <v>99</v>
      </c>
      <c r="R3038" s="2" t="s">
        <v>100</v>
      </c>
      <c r="S3038" s="2" t="s">
        <v>100</v>
      </c>
      <c r="T3038" s="2" t="s">
        <v>100</v>
      </c>
      <c r="U3038" s="2" t="s">
        <v>3531</v>
      </c>
      <c r="V3038" s="2" t="s">
        <v>1752</v>
      </c>
      <c r="W3038" s="2" t="s">
        <v>602</v>
      </c>
      <c r="X3038" s="2" t="s">
        <v>6854</v>
      </c>
      <c r="Y3038" s="2" t="s">
        <v>5688</v>
      </c>
      <c r="Z3038" s="4"/>
      <c r="AA3038" s="4">
        <f>=ROUNDDOWN({0},0)</f>
      </c>
      <c r="AB3038" s="5">
        <v>10</v>
      </c>
      <c r="AC3038" s="2" t="s">
        <v>936</v>
      </c>
      <c r="AD3038" s="4">
        <v>100</v>
      </c>
      <c r="AE3038" s="4">
        <v>350</v>
      </c>
      <c r="AF3038" s="6">
        <v>65</v>
      </c>
      <c r="AG3038" s="6"/>
      <c r="AH3038" s="7">
        <v>0.8848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/>
      <c r="BD3038" s="8"/>
      <c r="BE3038" s="4"/>
      <c r="BF3038" s="8"/>
      <c r="BG3038" s="7"/>
      <c r="BH3038" s="7"/>
      <c r="BI3038" s="7"/>
      <c r="BJ3038" s="4">
        <v>161</v>
      </c>
      <c r="BK3038" s="8">
        <v>7801.41</v>
      </c>
      <c r="BL3038" s="2" t="s">
        <v>11179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6749</v>
      </c>
      <c r="BX3038" s="2" t="s">
        <v>100</v>
      </c>
      <c r="BY3038" s="2" t="s">
        <v>112</v>
      </c>
      <c r="BZ3038" s="2" t="s">
        <v>100</v>
      </c>
    </row>
    <row r="3039">
      <c r="A3039" s="2" t="s">
        <v>11180</v>
      </c>
      <c r="B3039" s="2" t="s">
        <v>10578</v>
      </c>
      <c r="C3039" s="2" t="s">
        <v>6851</v>
      </c>
      <c r="D3039" s="2" t="s">
        <v>10579</v>
      </c>
      <c r="E3039" s="2" t="s">
        <v>10580</v>
      </c>
      <c r="F3039" s="2" t="s">
        <v>11181</v>
      </c>
      <c r="G3039" s="2" t="s">
        <v>11181</v>
      </c>
      <c r="H3039" s="2" t="s">
        <v>11181</v>
      </c>
      <c r="I3039" s="2" t="s">
        <v>11182</v>
      </c>
      <c r="J3039" s="2" t="s">
        <v>6103</v>
      </c>
      <c r="K3039" s="2" t="s">
        <v>10683</v>
      </c>
      <c r="L3039" s="3">
        <v>82.8</v>
      </c>
      <c r="M3039" s="3">
        <v>86.94</v>
      </c>
      <c r="N3039" s="3">
        <v>189.99</v>
      </c>
      <c r="O3039" s="2" t="s">
        <v>229</v>
      </c>
      <c r="P3039" s="2" t="s">
        <v>198</v>
      </c>
      <c r="Q3039" s="2" t="s">
        <v>99</v>
      </c>
      <c r="R3039" s="2" t="s">
        <v>100</v>
      </c>
      <c r="S3039" s="2" t="s">
        <v>100</v>
      </c>
      <c r="T3039" s="2" t="s">
        <v>100</v>
      </c>
      <c r="U3039" s="2" t="s">
        <v>3531</v>
      </c>
      <c r="V3039" s="2" t="s">
        <v>1752</v>
      </c>
      <c r="W3039" s="2" t="s">
        <v>602</v>
      </c>
      <c r="X3039" s="2" t="s">
        <v>6854</v>
      </c>
      <c r="Y3039" s="2" t="s">
        <v>10880</v>
      </c>
      <c r="Z3039" s="4">
        <v>55</v>
      </c>
      <c r="AA3039" s="4">
        <f>=ROUNDDOWN(55,0)</f>
      </c>
      <c r="AB3039" s="5">
        <v>1</v>
      </c>
      <c r="AC3039" s="2" t="s">
        <v>100</v>
      </c>
      <c r="AD3039" s="4"/>
      <c r="AE3039" s="4"/>
      <c r="AF3039" s="6">
        <v>63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/>
      <c r="BD3039" s="8"/>
      <c r="BE3039" s="4"/>
      <c r="BF3039" s="8"/>
      <c r="BG3039" s="7"/>
      <c r="BH3039" s="7"/>
      <c r="BI3039" s="7"/>
      <c r="BJ3039" s="4">
        <v>10</v>
      </c>
      <c r="BK3039" s="8">
        <v>630.86</v>
      </c>
      <c r="BL3039" s="2" t="s">
        <v>11183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10633</v>
      </c>
      <c r="BX3039" s="2" t="s">
        <v>100</v>
      </c>
      <c r="BY3039" s="2" t="s">
        <v>112</v>
      </c>
      <c r="BZ3039" s="2" t="s">
        <v>100</v>
      </c>
    </row>
    <row r="3040">
      <c r="A3040" s="2" t="s">
        <v>11184</v>
      </c>
      <c r="B3040" s="2" t="s">
        <v>10578</v>
      </c>
      <c r="C3040" s="2" t="s">
        <v>6851</v>
      </c>
      <c r="D3040" s="2" t="s">
        <v>10579</v>
      </c>
      <c r="E3040" s="2" t="s">
        <v>10580</v>
      </c>
      <c r="F3040" s="2" t="s">
        <v>11185</v>
      </c>
      <c r="G3040" s="2" t="s">
        <v>11185</v>
      </c>
      <c r="H3040" s="2" t="s">
        <v>11185</v>
      </c>
      <c r="I3040" s="2" t="s">
        <v>11186</v>
      </c>
      <c r="J3040" s="2" t="s">
        <v>6103</v>
      </c>
      <c r="K3040" s="2" t="s">
        <v>10937</v>
      </c>
      <c r="L3040" s="3">
        <v>48.75</v>
      </c>
      <c r="M3040" s="3">
        <v>51.19</v>
      </c>
      <c r="N3040" s="3">
        <v>99.99</v>
      </c>
      <c r="O3040" s="2" t="s">
        <v>97</v>
      </c>
      <c r="P3040" s="2" t="s">
        <v>1166</v>
      </c>
      <c r="Q3040" s="2" t="s">
        <v>99</v>
      </c>
      <c r="R3040" s="2" t="s">
        <v>100</v>
      </c>
      <c r="S3040" s="2" t="s">
        <v>100</v>
      </c>
      <c r="T3040" s="2" t="s">
        <v>100</v>
      </c>
      <c r="U3040" s="2" t="s">
        <v>3531</v>
      </c>
      <c r="V3040" s="2" t="s">
        <v>1752</v>
      </c>
      <c r="W3040" s="2" t="s">
        <v>602</v>
      </c>
      <c r="X3040" s="2" t="s">
        <v>6854</v>
      </c>
      <c r="Y3040" s="2" t="s">
        <v>11187</v>
      </c>
      <c r="Z3040" s="4">
        <v>60</v>
      </c>
      <c r="AA3040" s="4">
        <f>=ROUNDDOWN(66.6666666666667,0)</f>
      </c>
      <c r="AB3040" s="5">
        <v>0.9</v>
      </c>
      <c r="AC3040" s="2" t="s">
        <v>100</v>
      </c>
      <c r="AD3040" s="4"/>
      <c r="AE3040" s="4"/>
      <c r="AF3040" s="6">
        <v>63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/>
      <c r="BD3040" s="8"/>
      <c r="BE3040" s="4"/>
      <c r="BF3040" s="8"/>
      <c r="BG3040" s="7"/>
      <c r="BH3040" s="7"/>
      <c r="BI3040" s="7"/>
      <c r="BJ3040" s="4">
        <v>19</v>
      </c>
      <c r="BK3040" s="8">
        <v>1024.37</v>
      </c>
      <c r="BL3040" s="2" t="s">
        <v>11188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97</v>
      </c>
      <c r="BW3040" s="2" t="s">
        <v>9615</v>
      </c>
      <c r="BX3040" s="2" t="s">
        <v>100</v>
      </c>
      <c r="BY3040" s="2" t="s">
        <v>112</v>
      </c>
      <c r="BZ3040" s="2" t="s">
        <v>100</v>
      </c>
    </row>
    <row r="3041">
      <c r="A3041" s="2" t="s">
        <v>11189</v>
      </c>
      <c r="B3041" s="2" t="s">
        <v>10578</v>
      </c>
      <c r="C3041" s="2" t="s">
        <v>6851</v>
      </c>
      <c r="D3041" s="2" t="s">
        <v>10579</v>
      </c>
      <c r="E3041" s="2" t="s">
        <v>10580</v>
      </c>
      <c r="F3041" s="2" t="s">
        <v>11190</v>
      </c>
      <c r="G3041" s="2" t="s">
        <v>11190</v>
      </c>
      <c r="H3041" s="2" t="s">
        <v>11190</v>
      </c>
      <c r="I3041" s="2" t="s">
        <v>10901</v>
      </c>
      <c r="J3041" s="2" t="s">
        <v>6103</v>
      </c>
      <c r="K3041" s="2" t="s">
        <v>666</v>
      </c>
      <c r="L3041" s="3">
        <v>64.06</v>
      </c>
      <c r="M3041" s="3">
        <v>67.26</v>
      </c>
      <c r="N3041" s="3">
        <v>139.99</v>
      </c>
      <c r="O3041" s="2" t="s">
        <v>97</v>
      </c>
      <c r="P3041" s="2" t="s">
        <v>182</v>
      </c>
      <c r="Q3041" s="2" t="s">
        <v>99</v>
      </c>
      <c r="R3041" s="2" t="s">
        <v>100</v>
      </c>
      <c r="S3041" s="2" t="s">
        <v>100</v>
      </c>
      <c r="T3041" s="2" t="s">
        <v>100</v>
      </c>
      <c r="U3041" s="2" t="s">
        <v>100</v>
      </c>
      <c r="V3041" s="2" t="s">
        <v>601</v>
      </c>
      <c r="W3041" s="2" t="s">
        <v>104</v>
      </c>
      <c r="X3041" s="2" t="s">
        <v>6859</v>
      </c>
      <c r="Y3041" s="2" t="s">
        <v>6954</v>
      </c>
      <c r="Z3041" s="4">
        <v>29</v>
      </c>
      <c r="AA3041" s="4">
        <f>=ROUNDDOWN(14.5,0)</f>
      </c>
      <c r="AB3041" s="5">
        <v>2</v>
      </c>
      <c r="AC3041" s="2" t="s">
        <v>100</v>
      </c>
      <c r="AD3041" s="4"/>
      <c r="AE3041" s="4"/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/>
      <c r="AW3041" s="8"/>
      <c r="AX3041" s="4"/>
      <c r="AY3041" s="8"/>
      <c r="AZ3041" s="7"/>
      <c r="BA3041" s="7"/>
      <c r="BB3041" s="7"/>
      <c r="BC3041" s="4"/>
      <c r="BD3041" s="8"/>
      <c r="BE3041" s="4"/>
      <c r="BF3041" s="8"/>
      <c r="BG3041" s="7"/>
      <c r="BH3041" s="7"/>
      <c r="BI3041" s="7"/>
      <c r="BJ3041" s="4">
        <v>48</v>
      </c>
      <c r="BK3041" s="8">
        <v>3502.19</v>
      </c>
      <c r="BL3041" s="2" t="s">
        <v>3460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97</v>
      </c>
      <c r="BW3041" s="2" t="s">
        <v>8043</v>
      </c>
      <c r="BX3041" s="2" t="s">
        <v>100</v>
      </c>
      <c r="BY3041" s="2" t="s">
        <v>112</v>
      </c>
      <c r="BZ3041" s="2" t="s">
        <v>100</v>
      </c>
    </row>
    <row r="3042">
      <c r="A3042" s="2" t="s">
        <v>11191</v>
      </c>
      <c r="B3042" s="2" t="s">
        <v>10578</v>
      </c>
      <c r="C3042" s="2" t="s">
        <v>6851</v>
      </c>
      <c r="D3042" s="2" t="s">
        <v>10579</v>
      </c>
      <c r="E3042" s="2" t="s">
        <v>10580</v>
      </c>
      <c r="F3042" s="2" t="s">
        <v>11192</v>
      </c>
      <c r="G3042" s="2" t="s">
        <v>11192</v>
      </c>
      <c r="H3042" s="2" t="s">
        <v>11192</v>
      </c>
      <c r="I3042" s="2" t="s">
        <v>11193</v>
      </c>
      <c r="J3042" s="2" t="s">
        <v>6103</v>
      </c>
      <c r="K3042" s="2" t="s">
        <v>158</v>
      </c>
      <c r="L3042" s="3">
        <v>63</v>
      </c>
      <c r="M3042" s="3">
        <v>66.15</v>
      </c>
      <c r="N3042" s="3">
        <v>129.99</v>
      </c>
      <c r="O3042" s="2" t="s">
        <v>97</v>
      </c>
      <c r="P3042" s="2" t="s">
        <v>1166</v>
      </c>
      <c r="Q3042" s="2" t="s">
        <v>99</v>
      </c>
      <c r="R3042" s="2" t="s">
        <v>100</v>
      </c>
      <c r="S3042" s="2" t="s">
        <v>100</v>
      </c>
      <c r="T3042" s="2" t="s">
        <v>100</v>
      </c>
      <c r="U3042" s="2" t="s">
        <v>3531</v>
      </c>
      <c r="V3042" s="2" t="s">
        <v>1752</v>
      </c>
      <c r="W3042" s="2" t="s">
        <v>6908</v>
      </c>
      <c r="X3042" s="2" t="s">
        <v>906</v>
      </c>
      <c r="Y3042" s="2" t="s">
        <v>10947</v>
      </c>
      <c r="Z3042" s="4">
        <v>84</v>
      </c>
      <c r="AA3042" s="4">
        <f>=ROUNDDOWN(42,0)</f>
      </c>
      <c r="AB3042" s="5">
        <v>2</v>
      </c>
      <c r="AC3042" s="2" t="s">
        <v>100</v>
      </c>
      <c r="AD3042" s="4"/>
      <c r="AE3042" s="4"/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/>
      <c r="AW3042" s="8"/>
      <c r="AX3042" s="4"/>
      <c r="AY3042" s="8"/>
      <c r="AZ3042" s="7"/>
      <c r="BA3042" s="7"/>
      <c r="BB3042" s="7"/>
      <c r="BC3042" s="4"/>
      <c r="BD3042" s="8"/>
      <c r="BE3042" s="4"/>
      <c r="BF3042" s="8"/>
      <c r="BG3042" s="7"/>
      <c r="BH3042" s="7"/>
      <c r="BI3042" s="7"/>
      <c r="BJ3042" s="4">
        <v>13</v>
      </c>
      <c r="BK3042" s="8">
        <v>895.7</v>
      </c>
      <c r="BL3042" s="2" t="s">
        <v>11194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147</v>
      </c>
      <c r="BV3042" s="2" t="s">
        <v>97</v>
      </c>
      <c r="BW3042" s="2" t="s">
        <v>100</v>
      </c>
      <c r="BX3042" s="2" t="s">
        <v>100</v>
      </c>
      <c r="BY3042" s="2" t="s">
        <v>112</v>
      </c>
      <c r="BZ3042" s="2" t="s">
        <v>100</v>
      </c>
    </row>
    <row r="3043">
      <c r="A3043" s="2" t="s">
        <v>11195</v>
      </c>
      <c r="B3043" s="2" t="s">
        <v>10578</v>
      </c>
      <c r="C3043" s="2" t="s">
        <v>6851</v>
      </c>
      <c r="D3043" s="2" t="s">
        <v>10579</v>
      </c>
      <c r="E3043" s="2" t="s">
        <v>10580</v>
      </c>
      <c r="F3043" s="2" t="s">
        <v>11196</v>
      </c>
      <c r="G3043" s="2" t="s">
        <v>11196</v>
      </c>
      <c r="H3043" s="2" t="s">
        <v>11196</v>
      </c>
      <c r="I3043" s="2" t="s">
        <v>11197</v>
      </c>
      <c r="J3043" s="2" t="s">
        <v>6103</v>
      </c>
      <c r="K3043" s="2" t="s">
        <v>6591</v>
      </c>
      <c r="L3043" s="3">
        <v>90</v>
      </c>
      <c r="M3043" s="3">
        <v>94.5</v>
      </c>
      <c r="N3043" s="3">
        <v>189.99</v>
      </c>
      <c r="O3043" s="2" t="s">
        <v>97</v>
      </c>
      <c r="P3043" s="2" t="s">
        <v>1166</v>
      </c>
      <c r="Q3043" s="2" t="s">
        <v>99</v>
      </c>
      <c r="R3043" s="2" t="s">
        <v>100</v>
      </c>
      <c r="S3043" s="2" t="s">
        <v>100</v>
      </c>
      <c r="T3043" s="2" t="s">
        <v>100</v>
      </c>
      <c r="U3043" s="2" t="s">
        <v>2104</v>
      </c>
      <c r="V3043" s="2" t="s">
        <v>1752</v>
      </c>
      <c r="W3043" s="2" t="s">
        <v>6908</v>
      </c>
      <c r="X3043" s="2" t="s">
        <v>100</v>
      </c>
      <c r="Y3043" s="2" t="s">
        <v>11198</v>
      </c>
      <c r="Z3043" s="4">
        <v>69</v>
      </c>
      <c r="AA3043" s="4">
        <f>=ROUNDDOWN(34.5,0)</f>
      </c>
      <c r="AB3043" s="5">
        <v>2</v>
      </c>
      <c r="AC3043" s="2" t="s">
        <v>100</v>
      </c>
      <c r="AD3043" s="4"/>
      <c r="AE3043" s="4"/>
      <c r="AF3043" s="6">
        <v>63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19</v>
      </c>
      <c r="BK3043" s="8">
        <v>1874.14</v>
      </c>
      <c r="BL3043" s="2" t="s">
        <v>10753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97</v>
      </c>
      <c r="BW3043" s="2" t="s">
        <v>9615</v>
      </c>
      <c r="BX3043" s="2" t="s">
        <v>100</v>
      </c>
      <c r="BY3043" s="2" t="s">
        <v>112</v>
      </c>
      <c r="BZ3043" s="2" t="s">
        <v>100</v>
      </c>
    </row>
    <row r="3044">
      <c r="A3044" s="16" t="s">
        <v>11199</v>
      </c>
      <c r="B3044" s="9" t="s">
        <v>100</v>
      </c>
      <c r="C3044" s="9" t="s">
        <v>100</v>
      </c>
      <c r="D3044" s="9" t="s">
        <v>100</v>
      </c>
      <c r="E3044" s="9" t="s">
        <v>100</v>
      </c>
      <c r="F3044" s="9" t="s">
        <v>100</v>
      </c>
      <c r="G3044" s="9" t="s">
        <v>100</v>
      </c>
      <c r="H3044" s="9" t="s">
        <v>100</v>
      </c>
      <c r="I3044" s="9" t="s">
        <v>100</v>
      </c>
      <c r="J3044" s="9" t="s">
        <v>100</v>
      </c>
      <c r="K3044" s="9" t="s">
        <v>100</v>
      </c>
      <c r="L3044" s="10"/>
      <c r="M3044" s="10"/>
      <c r="N3044" s="10"/>
      <c r="O3044" s="9" t="s">
        <v>100</v>
      </c>
      <c r="P3044" s="9" t="s">
        <v>100</v>
      </c>
      <c r="Q3044" s="9" t="s">
        <v>100</v>
      </c>
      <c r="R3044" s="9" t="s">
        <v>100</v>
      </c>
      <c r="S3044" s="9" t="s">
        <v>100</v>
      </c>
      <c r="T3044" s="9" t="s">
        <v>100</v>
      </c>
      <c r="U3044" s="9" t="s">
        <v>100</v>
      </c>
      <c r="V3044" s="9" t="s">
        <v>100</v>
      </c>
      <c r="W3044" s="9" t="s">
        <v>100</v>
      </c>
      <c r="X3044" s="9" t="s">
        <v>100</v>
      </c>
      <c r="Y3044" s="9" t="s">
        <v>100</v>
      </c>
      <c r="Z3044" s="11">
        <v>713403</v>
      </c>
      <c r="AA3044" s="11">
        <f>=ROUNDDOWN({0},0)</f>
      </c>
      <c r="AB3044" s="12">
        <v>31291.5</v>
      </c>
      <c r="AC3044" s="9" t="s">
        <v>100</v>
      </c>
      <c r="AD3044" s="11"/>
      <c r="AE3044" s="11">
        <v>591434</v>
      </c>
      <c r="AF3044" s="13"/>
      <c r="AG3044" s="13"/>
      <c r="AH3044" s="14"/>
      <c r="AI3044" s="11"/>
      <c r="AJ3044" s="11">
        <f>=ROUNDDOWN({0},0)</f>
      </c>
      <c r="AK3044" s="12"/>
      <c r="AL3044" s="9" t="s">
        <v>100</v>
      </c>
      <c r="AM3044" s="11"/>
      <c r="AN3044" s="11">
        <v>2173</v>
      </c>
      <c r="AO3044" s="14"/>
      <c r="AP3044" s="11">
        <v>2956</v>
      </c>
      <c r="AQ3044" s="15">
        <v>303675.57</v>
      </c>
      <c r="AR3044" s="11">
        <v>7982</v>
      </c>
      <c r="AS3044" s="15">
        <v>856682.9</v>
      </c>
      <c r="AT3044" s="14">
        <v>-0.6297</v>
      </c>
      <c r="AU3044" s="14">
        <v>-0.6455</v>
      </c>
      <c r="AV3044" s="11">
        <v>2956</v>
      </c>
      <c r="AW3044" s="15">
        <v>303675.57</v>
      </c>
      <c r="AX3044" s="11">
        <v>7982</v>
      </c>
      <c r="AY3044" s="15">
        <v>856682.9</v>
      </c>
      <c r="AZ3044" s="14">
        <v>-0.6297</v>
      </c>
      <c r="BA3044" s="14">
        <v>-0.6455</v>
      </c>
      <c r="BB3044" s="14"/>
      <c r="BC3044" s="11">
        <v>2956</v>
      </c>
      <c r="BD3044" s="15">
        <v>303675.57</v>
      </c>
      <c r="BE3044" s="11">
        <v>7982</v>
      </c>
      <c r="BF3044" s="15">
        <v>856682.9</v>
      </c>
      <c r="BG3044" s="14">
        <v>-0.6297</v>
      </c>
      <c r="BH3044" s="14">
        <v>-0.6455</v>
      </c>
      <c r="BI3044" s="14"/>
      <c r="BJ3044" s="11"/>
      <c r="BK3044" s="15"/>
      <c r="BL3044" s="9" t="s">
        <v>100</v>
      </c>
      <c r="BM3044" s="14"/>
      <c r="BN3044" s="14"/>
      <c r="BO3044" s="11">
        <v>2956</v>
      </c>
      <c r="BP3044" s="15">
        <v>303675.57</v>
      </c>
      <c r="BQ3044" s="11">
        <v>7982</v>
      </c>
      <c r="BR3044" s="15">
        <v>856682.9</v>
      </c>
      <c r="BS3044" s="14">
        <v>-0.6297</v>
      </c>
      <c r="BT3044" s="14">
        <v>-0.6455</v>
      </c>
      <c r="BU3044" s="9" t="s">
        <v>100</v>
      </c>
      <c r="BV3044" s="9" t="s">
        <v>100</v>
      </c>
      <c r="BW3044" s="9" t="s">
        <v>100</v>
      </c>
      <c r="BX3044" s="9" t="s">
        <v>100</v>
      </c>
      <c r="BY3044" s="9" t="s">
        <v>100</v>
      </c>
      <c r="BZ3044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26"/>
    <mergeCell ref="BD6:BD26"/>
    <mergeCell ref="BE6:BE26"/>
    <mergeCell ref="BF6:BF26"/>
    <mergeCell ref="BG6:BG26"/>
    <mergeCell ref="BH6:BH26"/>
    <mergeCell ref="BC27:BC62"/>
    <mergeCell ref="BD27:BD62"/>
    <mergeCell ref="BE27:BE62"/>
    <mergeCell ref="BF27:BF62"/>
    <mergeCell ref="BG27:BG62"/>
    <mergeCell ref="BH27:BH62"/>
    <mergeCell ref="BC63:BC71"/>
    <mergeCell ref="BD63:BD71"/>
    <mergeCell ref="BE63:BE71"/>
    <mergeCell ref="BF63:BF71"/>
    <mergeCell ref="BG63:BG71"/>
    <mergeCell ref="BH63:BH71"/>
    <mergeCell ref="BC72:BC86"/>
    <mergeCell ref="BD72:BD86"/>
    <mergeCell ref="BE72:BE86"/>
    <mergeCell ref="BF72:BF86"/>
    <mergeCell ref="BG72:BG86"/>
    <mergeCell ref="BH72:BH86"/>
    <mergeCell ref="BC87:BC98"/>
    <mergeCell ref="BD87:BD98"/>
    <mergeCell ref="BE87:BE98"/>
    <mergeCell ref="BF87:BF98"/>
    <mergeCell ref="BG87:BG98"/>
    <mergeCell ref="BH87:BH98"/>
    <mergeCell ref="BC99:BC107"/>
    <mergeCell ref="BD99:BD107"/>
    <mergeCell ref="BE99:BE107"/>
    <mergeCell ref="BF99:BF107"/>
    <mergeCell ref="BG99:BG107"/>
    <mergeCell ref="BH99:BH107"/>
    <mergeCell ref="BC108:BC123"/>
    <mergeCell ref="BD108:BD123"/>
    <mergeCell ref="BE108:BE123"/>
    <mergeCell ref="BF108:BF123"/>
    <mergeCell ref="BG108:BG123"/>
    <mergeCell ref="BH108:BH123"/>
    <mergeCell ref="BC124:BC132"/>
    <mergeCell ref="BD124:BD132"/>
    <mergeCell ref="BE124:BE132"/>
    <mergeCell ref="BF124:BF132"/>
    <mergeCell ref="BG124:BG132"/>
    <mergeCell ref="BH124:BH132"/>
    <mergeCell ref="BC133:BC141"/>
    <mergeCell ref="BD133:BD141"/>
    <mergeCell ref="BE133:BE141"/>
    <mergeCell ref="BF133:BF141"/>
    <mergeCell ref="BG133:BG141"/>
    <mergeCell ref="BH133:BH141"/>
    <mergeCell ref="BC142:BC173"/>
    <mergeCell ref="BD142:BD173"/>
    <mergeCell ref="BE142:BE173"/>
    <mergeCell ref="BF142:BF173"/>
    <mergeCell ref="BG142:BG173"/>
    <mergeCell ref="BH142:BH173"/>
    <mergeCell ref="BC174:BC179"/>
    <mergeCell ref="BD174:BD179"/>
    <mergeCell ref="BE174:BE179"/>
    <mergeCell ref="BF174:BF179"/>
    <mergeCell ref="BG174:BG179"/>
    <mergeCell ref="BH174:BH179"/>
    <mergeCell ref="BC180:BC182"/>
    <mergeCell ref="BD180:BD182"/>
    <mergeCell ref="BE180:BE182"/>
    <mergeCell ref="BF180:BF182"/>
    <mergeCell ref="BG180:BG182"/>
    <mergeCell ref="BH180:BH182"/>
    <mergeCell ref="BC183:BC185"/>
    <mergeCell ref="BD183:BD185"/>
    <mergeCell ref="BE183:BE185"/>
    <mergeCell ref="BF183:BF185"/>
    <mergeCell ref="BG183:BG185"/>
    <mergeCell ref="BH183:BH185"/>
    <mergeCell ref="BC186:BC188"/>
    <mergeCell ref="BD186:BD188"/>
    <mergeCell ref="BE186:BE188"/>
    <mergeCell ref="BF186:BF188"/>
    <mergeCell ref="BG186:BG188"/>
    <mergeCell ref="BH186:BH188"/>
    <mergeCell ref="BC189:BC200"/>
    <mergeCell ref="BD189:BD200"/>
    <mergeCell ref="BE189:BE200"/>
    <mergeCell ref="BF189:BF200"/>
    <mergeCell ref="BG189:BG200"/>
    <mergeCell ref="BH189:BH200"/>
    <mergeCell ref="BC201:BC206"/>
    <mergeCell ref="BD201:BD206"/>
    <mergeCell ref="BE201:BE206"/>
    <mergeCell ref="BF201:BF206"/>
    <mergeCell ref="BG201:BG206"/>
    <mergeCell ref="BH201:BH206"/>
    <mergeCell ref="BC207:BC215"/>
    <mergeCell ref="BD207:BD215"/>
    <mergeCell ref="BE207:BE215"/>
    <mergeCell ref="BF207:BF215"/>
    <mergeCell ref="BG207:BG215"/>
    <mergeCell ref="BH207:BH215"/>
    <mergeCell ref="BC216:BC221"/>
    <mergeCell ref="BD216:BD221"/>
    <mergeCell ref="BE216:BE221"/>
    <mergeCell ref="BF216:BF221"/>
    <mergeCell ref="BG216:BG221"/>
    <mergeCell ref="BH216:BH221"/>
    <mergeCell ref="BC222:BC227"/>
    <mergeCell ref="BD222:BD227"/>
    <mergeCell ref="BE222:BE227"/>
    <mergeCell ref="BF222:BF227"/>
    <mergeCell ref="BG222:BG227"/>
    <mergeCell ref="BH222:BH227"/>
    <mergeCell ref="BC228:BC232"/>
    <mergeCell ref="BD228:BD232"/>
    <mergeCell ref="BE228:BE232"/>
    <mergeCell ref="BF228:BF232"/>
    <mergeCell ref="BG228:BG232"/>
    <mergeCell ref="BH228:BH232"/>
    <mergeCell ref="BC233:BC235"/>
    <mergeCell ref="BD233:BD235"/>
    <mergeCell ref="BE233:BE235"/>
    <mergeCell ref="BF233:BF235"/>
    <mergeCell ref="BG233:BG235"/>
    <mergeCell ref="BH233:BH235"/>
    <mergeCell ref="BC236:BC238"/>
    <mergeCell ref="BD236:BD238"/>
    <mergeCell ref="BE236:BE238"/>
    <mergeCell ref="BF236:BF238"/>
    <mergeCell ref="BG236:BG238"/>
    <mergeCell ref="BH236:BH238"/>
    <mergeCell ref="BC239:BC241"/>
    <mergeCell ref="BD239:BD241"/>
    <mergeCell ref="BE239:BE241"/>
    <mergeCell ref="BF239:BF241"/>
    <mergeCell ref="BG239:BG241"/>
    <mergeCell ref="BH239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68"/>
    <mergeCell ref="BD254:BD268"/>
    <mergeCell ref="BE254:BE268"/>
    <mergeCell ref="BF254:BF268"/>
    <mergeCell ref="BG254:BG268"/>
    <mergeCell ref="BH254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8"/>
    <mergeCell ref="BD273:BD278"/>
    <mergeCell ref="BE273:BE278"/>
    <mergeCell ref="BF273:BF278"/>
    <mergeCell ref="BG273:BG278"/>
    <mergeCell ref="BH273:BH278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8"/>
    <mergeCell ref="BD286:BD288"/>
    <mergeCell ref="BE286:BE288"/>
    <mergeCell ref="BF286:BF288"/>
    <mergeCell ref="BG286:BG288"/>
    <mergeCell ref="BH286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302"/>
    <mergeCell ref="BD294:BD302"/>
    <mergeCell ref="BE294:BE302"/>
    <mergeCell ref="BF294:BF302"/>
    <mergeCell ref="BG294:BG302"/>
    <mergeCell ref="BH294:BH302"/>
    <mergeCell ref="BC303:BC308"/>
    <mergeCell ref="BD303:BD308"/>
    <mergeCell ref="BE303:BE308"/>
    <mergeCell ref="BF303:BF308"/>
    <mergeCell ref="BG303:BG308"/>
    <mergeCell ref="BH303:BH308"/>
    <mergeCell ref="BC309:BC310"/>
    <mergeCell ref="BD309:BD310"/>
    <mergeCell ref="BE309:BE310"/>
    <mergeCell ref="BF309:BF310"/>
    <mergeCell ref="BG309:BG310"/>
    <mergeCell ref="BH309:BH310"/>
    <mergeCell ref="BC312:BC314"/>
    <mergeCell ref="BD312:BD314"/>
    <mergeCell ref="BE312:BE314"/>
    <mergeCell ref="BF312:BF314"/>
    <mergeCell ref="BG312:BG314"/>
    <mergeCell ref="BH312:BH314"/>
    <mergeCell ref="BC315:BC317"/>
    <mergeCell ref="BD315:BD317"/>
    <mergeCell ref="BE315:BE317"/>
    <mergeCell ref="BF315:BF317"/>
    <mergeCell ref="BG315:BG317"/>
    <mergeCell ref="BH315:BH317"/>
    <mergeCell ref="BC318:BC320"/>
    <mergeCell ref="BD318:BD320"/>
    <mergeCell ref="BE318:BE320"/>
    <mergeCell ref="BF318:BF320"/>
    <mergeCell ref="BG318:BG320"/>
    <mergeCell ref="BH318:BH320"/>
    <mergeCell ref="BC321:BC324"/>
    <mergeCell ref="BD321:BD324"/>
    <mergeCell ref="BE321:BE324"/>
    <mergeCell ref="BF321:BF324"/>
    <mergeCell ref="BG321:BG324"/>
    <mergeCell ref="BH321:BH324"/>
    <mergeCell ref="BC326:BC328"/>
    <mergeCell ref="BD326:BD328"/>
    <mergeCell ref="BE326:BE328"/>
    <mergeCell ref="BF326:BF328"/>
    <mergeCell ref="BG326:BG328"/>
    <mergeCell ref="BH326:BH328"/>
    <mergeCell ref="BC329:BC331"/>
    <mergeCell ref="BD329:BD331"/>
    <mergeCell ref="BE329:BE331"/>
    <mergeCell ref="BF329:BF331"/>
    <mergeCell ref="BG329:BG331"/>
    <mergeCell ref="BH329:BH331"/>
    <mergeCell ref="BC332:BC334"/>
    <mergeCell ref="BD332:BD334"/>
    <mergeCell ref="BE332:BE334"/>
    <mergeCell ref="BF332:BF334"/>
    <mergeCell ref="BG332:BG334"/>
    <mergeCell ref="BH332:BH334"/>
    <mergeCell ref="BC336:BC338"/>
    <mergeCell ref="BD336:BD338"/>
    <mergeCell ref="BE336:BE338"/>
    <mergeCell ref="BF336:BF338"/>
    <mergeCell ref="BG336:BG338"/>
    <mergeCell ref="BH336:BH338"/>
    <mergeCell ref="BC339:BC340"/>
    <mergeCell ref="BD339:BD340"/>
    <mergeCell ref="BE339:BE340"/>
    <mergeCell ref="BF339:BF340"/>
    <mergeCell ref="BG339:BG340"/>
    <mergeCell ref="BH339:BH340"/>
    <mergeCell ref="BC341:BC349"/>
    <mergeCell ref="BD341:BD349"/>
    <mergeCell ref="BE341:BE349"/>
    <mergeCell ref="BF341:BF349"/>
    <mergeCell ref="BG341:BG349"/>
    <mergeCell ref="BH341:BH349"/>
    <mergeCell ref="BC350:BC351"/>
    <mergeCell ref="BD350:BD351"/>
    <mergeCell ref="BE350:BE351"/>
    <mergeCell ref="BF350:BF351"/>
    <mergeCell ref="BG350:BG351"/>
    <mergeCell ref="BH350:BH351"/>
    <mergeCell ref="BC353:BC356"/>
    <mergeCell ref="BD353:BD356"/>
    <mergeCell ref="BE353:BE356"/>
    <mergeCell ref="BF353:BF356"/>
    <mergeCell ref="BG353:BG356"/>
    <mergeCell ref="BH353:BH356"/>
    <mergeCell ref="BC357:BC359"/>
    <mergeCell ref="BD357:BD359"/>
    <mergeCell ref="BE357:BE359"/>
    <mergeCell ref="BF357:BF359"/>
    <mergeCell ref="BG357:BG359"/>
    <mergeCell ref="BH357:BH359"/>
    <mergeCell ref="BC360:BC361"/>
    <mergeCell ref="BD360:BD361"/>
    <mergeCell ref="BE360:BE361"/>
    <mergeCell ref="BF360:BF361"/>
    <mergeCell ref="BG360:BG361"/>
    <mergeCell ref="BH360:BH361"/>
    <mergeCell ref="BC362:BC370"/>
    <mergeCell ref="BD362:BD370"/>
    <mergeCell ref="BE362:BE370"/>
    <mergeCell ref="BF362:BF370"/>
    <mergeCell ref="BG362:BG370"/>
    <mergeCell ref="BH362:BH370"/>
    <mergeCell ref="BC371:BC373"/>
    <mergeCell ref="BD371:BD373"/>
    <mergeCell ref="BE371:BE373"/>
    <mergeCell ref="BF371:BF373"/>
    <mergeCell ref="BG371:BG373"/>
    <mergeCell ref="BH371:BH373"/>
    <mergeCell ref="BC374:BC375"/>
    <mergeCell ref="BD374:BD375"/>
    <mergeCell ref="BE374:BE375"/>
    <mergeCell ref="BF374:BF375"/>
    <mergeCell ref="BG374:BG375"/>
    <mergeCell ref="BH374:BH375"/>
    <mergeCell ref="BC376:BC381"/>
    <mergeCell ref="BD376:BD381"/>
    <mergeCell ref="BE376:BE381"/>
    <mergeCell ref="BF376:BF381"/>
    <mergeCell ref="BG376:BG381"/>
    <mergeCell ref="BH376:BH381"/>
    <mergeCell ref="BC382:BC384"/>
    <mergeCell ref="BD382:BD384"/>
    <mergeCell ref="BE382:BE384"/>
    <mergeCell ref="BF382:BF384"/>
    <mergeCell ref="BG382:BG384"/>
    <mergeCell ref="BH382:BH384"/>
    <mergeCell ref="BC385:BC390"/>
    <mergeCell ref="BD385:BD390"/>
    <mergeCell ref="BE385:BE390"/>
    <mergeCell ref="BF385:BF390"/>
    <mergeCell ref="BG385:BG390"/>
    <mergeCell ref="BH385:BH390"/>
    <mergeCell ref="BC391:BC392"/>
    <mergeCell ref="BD391:BD392"/>
    <mergeCell ref="BE391:BE392"/>
    <mergeCell ref="BF391:BF392"/>
    <mergeCell ref="BG391:BG392"/>
    <mergeCell ref="BH391:BH392"/>
    <mergeCell ref="BC394:BC395"/>
    <mergeCell ref="BD394:BD395"/>
    <mergeCell ref="BE394:BE395"/>
    <mergeCell ref="BF394:BF395"/>
    <mergeCell ref="BG394:BG395"/>
    <mergeCell ref="BH394:BH395"/>
    <mergeCell ref="BC396:BC401"/>
    <mergeCell ref="BD396:BD401"/>
    <mergeCell ref="BE396:BE401"/>
    <mergeCell ref="BF396:BF401"/>
    <mergeCell ref="BG396:BG401"/>
    <mergeCell ref="BH396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11"/>
    <mergeCell ref="BD406:BD411"/>
    <mergeCell ref="BE406:BE411"/>
    <mergeCell ref="BF406:BF411"/>
    <mergeCell ref="BG406:BG411"/>
    <mergeCell ref="BH406:BH411"/>
    <mergeCell ref="BC412:BC415"/>
    <mergeCell ref="BD412:BD415"/>
    <mergeCell ref="BE412:BE415"/>
    <mergeCell ref="BF412:BF415"/>
    <mergeCell ref="BG412:BG415"/>
    <mergeCell ref="BH412:BH415"/>
    <mergeCell ref="BC416:BC418"/>
    <mergeCell ref="BD416:BD418"/>
    <mergeCell ref="BE416:BE418"/>
    <mergeCell ref="BF416:BF418"/>
    <mergeCell ref="BG416:BG418"/>
    <mergeCell ref="BH416:BH418"/>
    <mergeCell ref="BC419:BC422"/>
    <mergeCell ref="BD419:BD422"/>
    <mergeCell ref="BE419:BE422"/>
    <mergeCell ref="BF419:BF422"/>
    <mergeCell ref="BG419:BG422"/>
    <mergeCell ref="BH419:BH422"/>
    <mergeCell ref="BC423:BC425"/>
    <mergeCell ref="BD423:BD425"/>
    <mergeCell ref="BE423:BE425"/>
    <mergeCell ref="BF423:BF425"/>
    <mergeCell ref="BG423:BG425"/>
    <mergeCell ref="BH423:BH425"/>
    <mergeCell ref="BC426:BC428"/>
    <mergeCell ref="BD426:BD428"/>
    <mergeCell ref="BE426:BE428"/>
    <mergeCell ref="BF426:BF428"/>
    <mergeCell ref="BG426:BG428"/>
    <mergeCell ref="BH426:BH428"/>
    <mergeCell ref="BC429:BC430"/>
    <mergeCell ref="BD429:BD430"/>
    <mergeCell ref="BE429:BE430"/>
    <mergeCell ref="BF429:BF430"/>
    <mergeCell ref="BG429:BG430"/>
    <mergeCell ref="BH429:BH430"/>
    <mergeCell ref="BC431:BC433"/>
    <mergeCell ref="BD431:BD433"/>
    <mergeCell ref="BE431:BE433"/>
    <mergeCell ref="BF431:BF433"/>
    <mergeCell ref="BG431:BG433"/>
    <mergeCell ref="BH431:BH433"/>
    <mergeCell ref="BC435:BC436"/>
    <mergeCell ref="BD435:BD436"/>
    <mergeCell ref="BE435:BE436"/>
    <mergeCell ref="BF435:BF436"/>
    <mergeCell ref="BG435:BG436"/>
    <mergeCell ref="BH435:BH436"/>
    <mergeCell ref="BC437:BC439"/>
    <mergeCell ref="BD437:BD439"/>
    <mergeCell ref="BE437:BE439"/>
    <mergeCell ref="BF437:BF439"/>
    <mergeCell ref="BG437:BG439"/>
    <mergeCell ref="BH437:BH439"/>
    <mergeCell ref="BC440:BC441"/>
    <mergeCell ref="BD440:BD441"/>
    <mergeCell ref="BE440:BE441"/>
    <mergeCell ref="BF440:BF441"/>
    <mergeCell ref="BG440:BG441"/>
    <mergeCell ref="BH440:BH441"/>
    <mergeCell ref="BC442:BC444"/>
    <mergeCell ref="BD442:BD444"/>
    <mergeCell ref="BE442:BE444"/>
    <mergeCell ref="BF442:BF444"/>
    <mergeCell ref="BG442:BG444"/>
    <mergeCell ref="BH442:BH444"/>
    <mergeCell ref="BC448:BC450"/>
    <mergeCell ref="BD448:BD450"/>
    <mergeCell ref="BE448:BE450"/>
    <mergeCell ref="BF448:BF450"/>
    <mergeCell ref="BG448:BG450"/>
    <mergeCell ref="BH448:BH450"/>
    <mergeCell ref="BC451:BC453"/>
    <mergeCell ref="BD451:BD453"/>
    <mergeCell ref="BE451:BE453"/>
    <mergeCell ref="BF451:BF453"/>
    <mergeCell ref="BG451:BG453"/>
    <mergeCell ref="BH451:BH453"/>
    <mergeCell ref="BC454:BC456"/>
    <mergeCell ref="BD454:BD456"/>
    <mergeCell ref="BE454:BE456"/>
    <mergeCell ref="BF454:BF456"/>
    <mergeCell ref="BG454:BG456"/>
    <mergeCell ref="BH454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6"/>
    <mergeCell ref="BD461:BD466"/>
    <mergeCell ref="BE461:BE466"/>
    <mergeCell ref="BF461:BF466"/>
    <mergeCell ref="BG461:BG466"/>
    <mergeCell ref="BH461:BH466"/>
    <mergeCell ref="BC468:BC469"/>
    <mergeCell ref="BD468:BD469"/>
    <mergeCell ref="BE468:BE469"/>
    <mergeCell ref="BF468:BF469"/>
    <mergeCell ref="BG468:BG469"/>
    <mergeCell ref="BH468:BH469"/>
    <mergeCell ref="BC470:BC471"/>
    <mergeCell ref="BD470:BD471"/>
    <mergeCell ref="BE470:BE471"/>
    <mergeCell ref="BF470:BF471"/>
    <mergeCell ref="BG470:BG471"/>
    <mergeCell ref="BH470:BH471"/>
    <mergeCell ref="BC472:BC480"/>
    <mergeCell ref="BD472:BD480"/>
    <mergeCell ref="BE472:BE480"/>
    <mergeCell ref="BF472:BF480"/>
    <mergeCell ref="BG472:BG480"/>
    <mergeCell ref="BH472:BH480"/>
    <mergeCell ref="BC481:BC482"/>
    <mergeCell ref="BD481:BD482"/>
    <mergeCell ref="BE481:BE482"/>
    <mergeCell ref="BF481:BF482"/>
    <mergeCell ref="BG481:BG482"/>
    <mergeCell ref="BH481:BH482"/>
    <mergeCell ref="BC483:BC487"/>
    <mergeCell ref="BD483:BD487"/>
    <mergeCell ref="BE483:BE487"/>
    <mergeCell ref="BF483:BF487"/>
    <mergeCell ref="BG483:BG487"/>
    <mergeCell ref="BH483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4"/>
    <mergeCell ref="BD492:BD494"/>
    <mergeCell ref="BE492:BE494"/>
    <mergeCell ref="BF492:BF494"/>
    <mergeCell ref="BG492:BG494"/>
    <mergeCell ref="BH492:BH494"/>
    <mergeCell ref="BC496:BC499"/>
    <mergeCell ref="BD496:BD499"/>
    <mergeCell ref="BE496:BE499"/>
    <mergeCell ref="BF496:BF499"/>
    <mergeCell ref="BG496:BG499"/>
    <mergeCell ref="BH496:BH499"/>
    <mergeCell ref="BC500:BC516"/>
    <mergeCell ref="BD500:BD516"/>
    <mergeCell ref="BE500:BE516"/>
    <mergeCell ref="BF500:BF516"/>
    <mergeCell ref="BG500:BG516"/>
    <mergeCell ref="BH500:BH516"/>
    <mergeCell ref="BC517:BC524"/>
    <mergeCell ref="BD517:BD524"/>
    <mergeCell ref="BE517:BE524"/>
    <mergeCell ref="BF517:BF524"/>
    <mergeCell ref="BG517:BG524"/>
    <mergeCell ref="BH517:BH524"/>
    <mergeCell ref="BC525:BC530"/>
    <mergeCell ref="BD525:BD530"/>
    <mergeCell ref="BE525:BE530"/>
    <mergeCell ref="BF525:BF530"/>
    <mergeCell ref="BG525:BG530"/>
    <mergeCell ref="BH525:BH530"/>
    <mergeCell ref="BC531:BC539"/>
    <mergeCell ref="BD531:BD539"/>
    <mergeCell ref="BE531:BE539"/>
    <mergeCell ref="BF531:BF539"/>
    <mergeCell ref="BG531:BG539"/>
    <mergeCell ref="BH531:BH539"/>
    <mergeCell ref="BC540:BC543"/>
    <mergeCell ref="BD540:BD543"/>
    <mergeCell ref="BE540:BE543"/>
    <mergeCell ref="BF540:BF543"/>
    <mergeCell ref="BG540:BG543"/>
    <mergeCell ref="BH540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5"/>
    <mergeCell ref="BD552:BD555"/>
    <mergeCell ref="BE552:BE555"/>
    <mergeCell ref="BF552:BF555"/>
    <mergeCell ref="BG552:BG555"/>
    <mergeCell ref="BH552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2"/>
    <mergeCell ref="BD569:BD572"/>
    <mergeCell ref="BE569:BE572"/>
    <mergeCell ref="BF569:BF572"/>
    <mergeCell ref="BG569:BG572"/>
    <mergeCell ref="BH569:BH572"/>
    <mergeCell ref="BC573:BC574"/>
    <mergeCell ref="BD573:BD574"/>
    <mergeCell ref="BE573:BE574"/>
    <mergeCell ref="BF573:BF574"/>
    <mergeCell ref="BG573:BG574"/>
    <mergeCell ref="BH573:BH574"/>
    <mergeCell ref="BC575:BC590"/>
    <mergeCell ref="BD575:BD590"/>
    <mergeCell ref="BE575:BE590"/>
    <mergeCell ref="BF575:BF590"/>
    <mergeCell ref="BG575:BG590"/>
    <mergeCell ref="BH575:BH590"/>
    <mergeCell ref="BC591:BC608"/>
    <mergeCell ref="BD591:BD608"/>
    <mergeCell ref="BE591:BE608"/>
    <mergeCell ref="BF591:BF608"/>
    <mergeCell ref="BG591:BG608"/>
    <mergeCell ref="BH591:BH608"/>
    <mergeCell ref="BC609:BC618"/>
    <mergeCell ref="BD609:BD618"/>
    <mergeCell ref="BE609:BE618"/>
    <mergeCell ref="BF609:BF618"/>
    <mergeCell ref="BG609:BG618"/>
    <mergeCell ref="BH609:BH618"/>
    <mergeCell ref="BC619:BC644"/>
    <mergeCell ref="BD619:BD644"/>
    <mergeCell ref="BE619:BE644"/>
    <mergeCell ref="BF619:BF644"/>
    <mergeCell ref="BG619:BG644"/>
    <mergeCell ref="BH619:BH644"/>
    <mergeCell ref="BC645:BC651"/>
    <mergeCell ref="BD645:BD651"/>
    <mergeCell ref="BE645:BE651"/>
    <mergeCell ref="BF645:BF651"/>
    <mergeCell ref="BG645:BG651"/>
    <mergeCell ref="BH645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70"/>
    <mergeCell ref="BD667:BD670"/>
    <mergeCell ref="BE667:BE670"/>
    <mergeCell ref="BF667:BF670"/>
    <mergeCell ref="BG667:BG670"/>
    <mergeCell ref="BH667:BH670"/>
    <mergeCell ref="BC671:BC674"/>
    <mergeCell ref="BD671:BD674"/>
    <mergeCell ref="BE671:BE674"/>
    <mergeCell ref="BF671:BF674"/>
    <mergeCell ref="BG671:BG674"/>
    <mergeCell ref="BH671:BH674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85"/>
    <mergeCell ref="BD682:BD685"/>
    <mergeCell ref="BE682:BE685"/>
    <mergeCell ref="BF682:BF685"/>
    <mergeCell ref="BG682:BG685"/>
    <mergeCell ref="BH682:BH685"/>
    <mergeCell ref="BC686:BC689"/>
    <mergeCell ref="BD686:BD689"/>
    <mergeCell ref="BE686:BE689"/>
    <mergeCell ref="BF686:BF689"/>
    <mergeCell ref="BG686:BG689"/>
    <mergeCell ref="BH686:BH689"/>
    <mergeCell ref="BC690:BC691"/>
    <mergeCell ref="BD690:BD691"/>
    <mergeCell ref="BE690:BE691"/>
    <mergeCell ref="BF690:BF691"/>
    <mergeCell ref="BG690:BG691"/>
    <mergeCell ref="BH690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5"/>
    <mergeCell ref="BD704:BD705"/>
    <mergeCell ref="BE704:BE705"/>
    <mergeCell ref="BF704:BF705"/>
    <mergeCell ref="BG704:BG705"/>
    <mergeCell ref="BH704:BH705"/>
    <mergeCell ref="BC706:BC707"/>
    <mergeCell ref="BD706:BD707"/>
    <mergeCell ref="BE706:BE707"/>
    <mergeCell ref="BF706:BF707"/>
    <mergeCell ref="BG706:BG707"/>
    <mergeCell ref="BH706:BH707"/>
    <mergeCell ref="BC708:BC710"/>
    <mergeCell ref="BD708:BD710"/>
    <mergeCell ref="BE708:BE710"/>
    <mergeCell ref="BF708:BF710"/>
    <mergeCell ref="BG708:BG710"/>
    <mergeCell ref="BH708:BH710"/>
    <mergeCell ref="BC712:BC714"/>
    <mergeCell ref="BD712:BD714"/>
    <mergeCell ref="BE712:BE714"/>
    <mergeCell ref="BF712:BF714"/>
    <mergeCell ref="BG712:BG714"/>
    <mergeCell ref="BH712:BH714"/>
    <mergeCell ref="BC715:BC716"/>
    <mergeCell ref="BD715:BD716"/>
    <mergeCell ref="BE715:BE716"/>
    <mergeCell ref="BF715:BF716"/>
    <mergeCell ref="BG715:BG716"/>
    <mergeCell ref="BH715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7:BC734"/>
    <mergeCell ref="BD727:BD734"/>
    <mergeCell ref="BE727:BE734"/>
    <mergeCell ref="BF727:BF734"/>
    <mergeCell ref="BG727:BG734"/>
    <mergeCell ref="BH727:BH734"/>
    <mergeCell ref="BC735:BC736"/>
    <mergeCell ref="BD735:BD736"/>
    <mergeCell ref="BE735:BE736"/>
    <mergeCell ref="BF735:BF736"/>
    <mergeCell ref="BG735:BG736"/>
    <mergeCell ref="BH735:BH736"/>
    <mergeCell ref="BC737:BC744"/>
    <mergeCell ref="BD737:BD744"/>
    <mergeCell ref="BE737:BE744"/>
    <mergeCell ref="BF737:BF744"/>
    <mergeCell ref="BG737:BG744"/>
    <mergeCell ref="BH737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4"/>
    <mergeCell ref="BD749:BD754"/>
    <mergeCell ref="BE749:BE754"/>
    <mergeCell ref="BF749:BF754"/>
    <mergeCell ref="BG749:BG754"/>
    <mergeCell ref="BH749:BH754"/>
    <mergeCell ref="BC755:BC758"/>
    <mergeCell ref="BD755:BD758"/>
    <mergeCell ref="BE755:BE758"/>
    <mergeCell ref="BF755:BF758"/>
    <mergeCell ref="BG755:BG758"/>
    <mergeCell ref="BH755:BH758"/>
    <mergeCell ref="BC759:BC764"/>
    <mergeCell ref="BD759:BD764"/>
    <mergeCell ref="BE759:BE764"/>
    <mergeCell ref="BF759:BF764"/>
    <mergeCell ref="BG759:BG764"/>
    <mergeCell ref="BH759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69:BC772"/>
    <mergeCell ref="BD769:BD772"/>
    <mergeCell ref="BE769:BE772"/>
    <mergeCell ref="BF769:BF772"/>
    <mergeCell ref="BG769:BG772"/>
    <mergeCell ref="BH769:BH772"/>
    <mergeCell ref="BC773:BC782"/>
    <mergeCell ref="BD773:BD782"/>
    <mergeCell ref="BE773:BE782"/>
    <mergeCell ref="BF773:BF782"/>
    <mergeCell ref="BG773:BG782"/>
    <mergeCell ref="BH773:BH782"/>
    <mergeCell ref="BC783:BC786"/>
    <mergeCell ref="BD783:BD786"/>
    <mergeCell ref="BE783:BE786"/>
    <mergeCell ref="BF783:BF786"/>
    <mergeCell ref="BG783:BG786"/>
    <mergeCell ref="BH783:BH786"/>
    <mergeCell ref="BC787:BC788"/>
    <mergeCell ref="BD787:BD788"/>
    <mergeCell ref="BE787:BE788"/>
    <mergeCell ref="BF787:BF788"/>
    <mergeCell ref="BG787:BG788"/>
    <mergeCell ref="BH787:BH788"/>
    <mergeCell ref="BC789:BC792"/>
    <mergeCell ref="BD789:BD792"/>
    <mergeCell ref="BE789:BE792"/>
    <mergeCell ref="BF789:BF792"/>
    <mergeCell ref="BG789:BG792"/>
    <mergeCell ref="BH789:BH792"/>
    <mergeCell ref="BC793:BC796"/>
    <mergeCell ref="BD793:BD796"/>
    <mergeCell ref="BE793:BE796"/>
    <mergeCell ref="BF793:BF796"/>
    <mergeCell ref="BG793:BG796"/>
    <mergeCell ref="BH793:BH796"/>
    <mergeCell ref="BC797:BC827"/>
    <mergeCell ref="BD797:BD827"/>
    <mergeCell ref="BE797:BE827"/>
    <mergeCell ref="BF797:BF827"/>
    <mergeCell ref="BG797:BG827"/>
    <mergeCell ref="BH797:BH827"/>
    <mergeCell ref="BC828:BC831"/>
    <mergeCell ref="BD828:BD831"/>
    <mergeCell ref="BE828:BE831"/>
    <mergeCell ref="BF828:BF831"/>
    <mergeCell ref="BG828:BG831"/>
    <mergeCell ref="BH828:BH831"/>
    <mergeCell ref="BC832:BC835"/>
    <mergeCell ref="BD832:BD835"/>
    <mergeCell ref="BE832:BE835"/>
    <mergeCell ref="BF832:BF835"/>
    <mergeCell ref="BG832:BG835"/>
    <mergeCell ref="BH832:BH835"/>
    <mergeCell ref="BC836:BC837"/>
    <mergeCell ref="BD836:BD837"/>
    <mergeCell ref="BE836:BE837"/>
    <mergeCell ref="BF836:BF837"/>
    <mergeCell ref="BG836:BG837"/>
    <mergeCell ref="BH836:BH837"/>
    <mergeCell ref="BC844:BC849"/>
    <mergeCell ref="BD844:BD849"/>
    <mergeCell ref="BE844:BE849"/>
    <mergeCell ref="BF844:BF849"/>
    <mergeCell ref="BG844:BG849"/>
    <mergeCell ref="BH844:BH849"/>
    <mergeCell ref="BC850:BC852"/>
    <mergeCell ref="BD850:BD852"/>
    <mergeCell ref="BE850:BE852"/>
    <mergeCell ref="BF850:BF852"/>
    <mergeCell ref="BG850:BG852"/>
    <mergeCell ref="BH850:BH852"/>
    <mergeCell ref="BC857:BC861"/>
    <mergeCell ref="BD857:BD861"/>
    <mergeCell ref="BE857:BE861"/>
    <mergeCell ref="BF857:BF861"/>
    <mergeCell ref="BG857:BG861"/>
    <mergeCell ref="BH857:BH861"/>
    <mergeCell ref="BC863:BC866"/>
    <mergeCell ref="BD863:BD866"/>
    <mergeCell ref="BE863:BE866"/>
    <mergeCell ref="BF863:BF866"/>
    <mergeCell ref="BG863:BG866"/>
    <mergeCell ref="BH863:BH866"/>
    <mergeCell ref="BC867:BC874"/>
    <mergeCell ref="BD867:BD874"/>
    <mergeCell ref="BE867:BE874"/>
    <mergeCell ref="BF867:BF874"/>
    <mergeCell ref="BG867:BG874"/>
    <mergeCell ref="BH867:BH874"/>
    <mergeCell ref="BC875:BC880"/>
    <mergeCell ref="BD875:BD880"/>
    <mergeCell ref="BE875:BE880"/>
    <mergeCell ref="BF875:BF880"/>
    <mergeCell ref="BG875:BG880"/>
    <mergeCell ref="BH875:BH880"/>
    <mergeCell ref="BC881:BC882"/>
    <mergeCell ref="BD881:BD882"/>
    <mergeCell ref="BE881:BE882"/>
    <mergeCell ref="BF881:BF882"/>
    <mergeCell ref="BG881:BG882"/>
    <mergeCell ref="BH881:BH882"/>
    <mergeCell ref="BC883:BC888"/>
    <mergeCell ref="BD883:BD888"/>
    <mergeCell ref="BE883:BE888"/>
    <mergeCell ref="BF883:BF888"/>
    <mergeCell ref="BG883:BG888"/>
    <mergeCell ref="BH883:BH888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10"/>
    <mergeCell ref="BD905:BD910"/>
    <mergeCell ref="BE905:BE910"/>
    <mergeCell ref="BF905:BF910"/>
    <mergeCell ref="BG905:BG910"/>
    <mergeCell ref="BH905:BH910"/>
    <mergeCell ref="BC911:BC913"/>
    <mergeCell ref="BD911:BD913"/>
    <mergeCell ref="BE911:BE913"/>
    <mergeCell ref="BF911:BF913"/>
    <mergeCell ref="BG911:BG913"/>
    <mergeCell ref="BH911:BH913"/>
    <mergeCell ref="BC914:BC915"/>
    <mergeCell ref="BD914:BD915"/>
    <mergeCell ref="BE914:BE915"/>
    <mergeCell ref="BF914:BF915"/>
    <mergeCell ref="BG914:BG915"/>
    <mergeCell ref="BH914:BH915"/>
    <mergeCell ref="BC916:BC919"/>
    <mergeCell ref="BD916:BD919"/>
    <mergeCell ref="BE916:BE919"/>
    <mergeCell ref="BF916:BF919"/>
    <mergeCell ref="BG916:BG919"/>
    <mergeCell ref="BH916:BH919"/>
    <mergeCell ref="BC920:BC923"/>
    <mergeCell ref="BD920:BD923"/>
    <mergeCell ref="BE920:BE923"/>
    <mergeCell ref="BF920:BF923"/>
    <mergeCell ref="BG920:BG923"/>
    <mergeCell ref="BH920:BH923"/>
    <mergeCell ref="BC924:BC925"/>
    <mergeCell ref="BD924:BD925"/>
    <mergeCell ref="BE924:BE925"/>
    <mergeCell ref="BF924:BF925"/>
    <mergeCell ref="BG924:BG925"/>
    <mergeCell ref="BH924:BH925"/>
    <mergeCell ref="BC926:BC927"/>
    <mergeCell ref="BD926:BD927"/>
    <mergeCell ref="BE926:BE927"/>
    <mergeCell ref="BF926:BF927"/>
    <mergeCell ref="BG926:BG927"/>
    <mergeCell ref="BH926:BH927"/>
    <mergeCell ref="BC928:BC931"/>
    <mergeCell ref="BD928:BD931"/>
    <mergeCell ref="BE928:BE931"/>
    <mergeCell ref="BF928:BF931"/>
    <mergeCell ref="BG928:BG931"/>
    <mergeCell ref="BH928:BH931"/>
    <mergeCell ref="BC932:BC935"/>
    <mergeCell ref="BD932:BD935"/>
    <mergeCell ref="BE932:BE935"/>
    <mergeCell ref="BF932:BF935"/>
    <mergeCell ref="BG932:BG935"/>
    <mergeCell ref="BH932:BH935"/>
    <mergeCell ref="BC936:BC937"/>
    <mergeCell ref="BD936:BD937"/>
    <mergeCell ref="BE936:BE937"/>
    <mergeCell ref="BF936:BF937"/>
    <mergeCell ref="BG936:BG937"/>
    <mergeCell ref="BH936:BH937"/>
    <mergeCell ref="BC938:BC939"/>
    <mergeCell ref="BD938:BD939"/>
    <mergeCell ref="BE938:BE939"/>
    <mergeCell ref="BF938:BF939"/>
    <mergeCell ref="BG938:BG939"/>
    <mergeCell ref="BH938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51"/>
    <mergeCell ref="BD948:BD951"/>
    <mergeCell ref="BE948:BE951"/>
    <mergeCell ref="BF948:BF951"/>
    <mergeCell ref="BG948:BG951"/>
    <mergeCell ref="BH948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7"/>
    <mergeCell ref="BD956:BD957"/>
    <mergeCell ref="BE956:BE957"/>
    <mergeCell ref="BF956:BF957"/>
    <mergeCell ref="BG956:BG957"/>
    <mergeCell ref="BH956:BH957"/>
    <mergeCell ref="BC958:BC959"/>
    <mergeCell ref="BD958:BD959"/>
    <mergeCell ref="BE958:BE959"/>
    <mergeCell ref="BF958:BF959"/>
    <mergeCell ref="BG958:BG959"/>
    <mergeCell ref="BH958:BH959"/>
    <mergeCell ref="BC960:BC961"/>
    <mergeCell ref="BD960:BD961"/>
    <mergeCell ref="BE960:BE961"/>
    <mergeCell ref="BF960:BF961"/>
    <mergeCell ref="BG960:BG961"/>
    <mergeCell ref="BH960:BH961"/>
    <mergeCell ref="BC962:BC965"/>
    <mergeCell ref="BD962:BD965"/>
    <mergeCell ref="BE962:BE965"/>
    <mergeCell ref="BF962:BF965"/>
    <mergeCell ref="BG962:BG965"/>
    <mergeCell ref="BH962:BH965"/>
    <mergeCell ref="BC966:BC973"/>
    <mergeCell ref="BD966:BD973"/>
    <mergeCell ref="BE966:BE973"/>
    <mergeCell ref="BF966:BF973"/>
    <mergeCell ref="BG966:BG973"/>
    <mergeCell ref="BH966:BH973"/>
    <mergeCell ref="BC974:BC975"/>
    <mergeCell ref="BD974:BD975"/>
    <mergeCell ref="BE974:BE975"/>
    <mergeCell ref="BF974:BF975"/>
    <mergeCell ref="BG974:BG975"/>
    <mergeCell ref="BH974:BH975"/>
    <mergeCell ref="BC977:BC978"/>
    <mergeCell ref="BD977:BD978"/>
    <mergeCell ref="BE977:BE978"/>
    <mergeCell ref="BF977:BF978"/>
    <mergeCell ref="BG977:BG978"/>
    <mergeCell ref="BH977:BH978"/>
    <mergeCell ref="BC979:BC980"/>
    <mergeCell ref="BD979:BD980"/>
    <mergeCell ref="BE979:BE980"/>
    <mergeCell ref="BF979:BF980"/>
    <mergeCell ref="BG979:BG980"/>
    <mergeCell ref="BH979:BH980"/>
    <mergeCell ref="BC981:BC982"/>
    <mergeCell ref="BD981:BD982"/>
    <mergeCell ref="BE981:BE982"/>
    <mergeCell ref="BF981:BF982"/>
    <mergeCell ref="BG981:BG982"/>
    <mergeCell ref="BH981:BH982"/>
    <mergeCell ref="BC983:BC984"/>
    <mergeCell ref="BD983:BD984"/>
    <mergeCell ref="BE983:BE984"/>
    <mergeCell ref="BF983:BF984"/>
    <mergeCell ref="BG983:BG984"/>
    <mergeCell ref="BH983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89:BC990"/>
    <mergeCell ref="BD989:BD990"/>
    <mergeCell ref="BE989:BE990"/>
    <mergeCell ref="BF989:BF990"/>
    <mergeCell ref="BG989:BG990"/>
    <mergeCell ref="BH989:BH990"/>
    <mergeCell ref="BC991:BC992"/>
    <mergeCell ref="BD991:BD992"/>
    <mergeCell ref="BE991:BE992"/>
    <mergeCell ref="BF991:BF992"/>
    <mergeCell ref="BG991:BG992"/>
    <mergeCell ref="BH991:BH992"/>
    <mergeCell ref="BC993:BC998"/>
    <mergeCell ref="BD993:BD998"/>
    <mergeCell ref="BE993:BE998"/>
    <mergeCell ref="BF993:BF998"/>
    <mergeCell ref="BG993:BG998"/>
    <mergeCell ref="BH993:BH998"/>
    <mergeCell ref="BC1001:BC1005"/>
    <mergeCell ref="BD1001:BD1005"/>
    <mergeCell ref="BE1001:BE1005"/>
    <mergeCell ref="BF1001:BF1005"/>
    <mergeCell ref="BG1001:BG1005"/>
    <mergeCell ref="BH1001:BH1005"/>
    <mergeCell ref="BC1006:BC1009"/>
    <mergeCell ref="BD1006:BD1009"/>
    <mergeCell ref="BE1006:BE1009"/>
    <mergeCell ref="BF1006:BF1009"/>
    <mergeCell ref="BG1006:BG1009"/>
    <mergeCell ref="BH1006:BH1009"/>
    <mergeCell ref="BC1010:BC1012"/>
    <mergeCell ref="BD1010:BD1012"/>
    <mergeCell ref="BE1010:BE1012"/>
    <mergeCell ref="BF1010:BF1012"/>
    <mergeCell ref="BG1010:BG1012"/>
    <mergeCell ref="BH1010:BH1012"/>
    <mergeCell ref="BC1013:BC1030"/>
    <mergeCell ref="BD1013:BD1030"/>
    <mergeCell ref="BE1013:BE1030"/>
    <mergeCell ref="BF1013:BF1030"/>
    <mergeCell ref="BG1013:BG1030"/>
    <mergeCell ref="BH1013:BH1030"/>
    <mergeCell ref="BC1031:BC1036"/>
    <mergeCell ref="BD1031:BD1036"/>
    <mergeCell ref="BE1031:BE1036"/>
    <mergeCell ref="BF1031:BF1036"/>
    <mergeCell ref="BG1031:BG1036"/>
    <mergeCell ref="BH1031:BH1036"/>
    <mergeCell ref="BC1037:BC1051"/>
    <mergeCell ref="BD1037:BD1051"/>
    <mergeCell ref="BE1037:BE1051"/>
    <mergeCell ref="BF1037:BF1051"/>
    <mergeCell ref="BG1037:BG1051"/>
    <mergeCell ref="BH1037:BH1051"/>
    <mergeCell ref="BC1052:BC1054"/>
    <mergeCell ref="BD1052:BD1054"/>
    <mergeCell ref="BE1052:BE1054"/>
    <mergeCell ref="BF1052:BF1054"/>
    <mergeCell ref="BG1052:BG1054"/>
    <mergeCell ref="BH1052:BH1054"/>
    <mergeCell ref="BC1055:BC1060"/>
    <mergeCell ref="BD1055:BD1060"/>
    <mergeCell ref="BE1055:BE1060"/>
    <mergeCell ref="BF1055:BF1060"/>
    <mergeCell ref="BG1055:BG1060"/>
    <mergeCell ref="BH1055:BH1060"/>
    <mergeCell ref="BC1061:BC1063"/>
    <mergeCell ref="BD1061:BD1063"/>
    <mergeCell ref="BE1061:BE1063"/>
    <mergeCell ref="BF1061:BF1063"/>
    <mergeCell ref="BG1061:BG1063"/>
    <mergeCell ref="BH1061:BH1063"/>
    <mergeCell ref="BC1064:BC1066"/>
    <mergeCell ref="BD1064:BD1066"/>
    <mergeCell ref="BE1064:BE1066"/>
    <mergeCell ref="BF1064:BF1066"/>
    <mergeCell ref="BG1064:BG1066"/>
    <mergeCell ref="BH1064:BH1066"/>
    <mergeCell ref="BC1067:BC1078"/>
    <mergeCell ref="BD1067:BD1078"/>
    <mergeCell ref="BE1067:BE1078"/>
    <mergeCell ref="BF1067:BF1078"/>
    <mergeCell ref="BG1067:BG1078"/>
    <mergeCell ref="BH1067:BH1078"/>
    <mergeCell ref="BC1079:BC1085"/>
    <mergeCell ref="BD1079:BD1085"/>
    <mergeCell ref="BE1079:BE1085"/>
    <mergeCell ref="BF1079:BF1085"/>
    <mergeCell ref="BG1079:BG1085"/>
    <mergeCell ref="BH1079:BH1085"/>
    <mergeCell ref="BC1086:BC1091"/>
    <mergeCell ref="BD1086:BD1091"/>
    <mergeCell ref="BE1086:BE1091"/>
    <mergeCell ref="BF1086:BF1091"/>
    <mergeCell ref="BG1086:BG1091"/>
    <mergeCell ref="BH1086:BH1091"/>
    <mergeCell ref="BC1092:BC1101"/>
    <mergeCell ref="BD1092:BD1101"/>
    <mergeCell ref="BE1092:BE1101"/>
    <mergeCell ref="BF1092:BF1101"/>
    <mergeCell ref="BG1092:BG1101"/>
    <mergeCell ref="BH1092:BH1101"/>
    <mergeCell ref="BC1102:BC1105"/>
    <mergeCell ref="BD1102:BD1105"/>
    <mergeCell ref="BE1102:BE1105"/>
    <mergeCell ref="BF1102:BF1105"/>
    <mergeCell ref="BG1102:BG1105"/>
    <mergeCell ref="BH1102:BH1105"/>
    <mergeCell ref="BC1106:BC1120"/>
    <mergeCell ref="BD1106:BD1120"/>
    <mergeCell ref="BE1106:BE1120"/>
    <mergeCell ref="BF1106:BF1120"/>
    <mergeCell ref="BG1106:BG1120"/>
    <mergeCell ref="BH1106:BH1120"/>
    <mergeCell ref="BC1121:BC1131"/>
    <mergeCell ref="BD1121:BD1131"/>
    <mergeCell ref="BE1121:BE1131"/>
    <mergeCell ref="BF1121:BF1131"/>
    <mergeCell ref="BG1121:BG1131"/>
    <mergeCell ref="BH1121:BH1131"/>
    <mergeCell ref="BC1132:BC1136"/>
    <mergeCell ref="BD1132:BD1136"/>
    <mergeCell ref="BE1132:BE1136"/>
    <mergeCell ref="BF1132:BF1136"/>
    <mergeCell ref="BG1132:BG1136"/>
    <mergeCell ref="BH1132:BH1136"/>
    <mergeCell ref="BC1137:BC1146"/>
    <mergeCell ref="BD1137:BD1146"/>
    <mergeCell ref="BE1137:BE1146"/>
    <mergeCell ref="BF1137:BF1146"/>
    <mergeCell ref="BG1137:BG1146"/>
    <mergeCell ref="BH1137:BH1146"/>
    <mergeCell ref="BC1147:BC1151"/>
    <mergeCell ref="BD1147:BD1151"/>
    <mergeCell ref="BE1147:BE1151"/>
    <mergeCell ref="BF1147:BF1151"/>
    <mergeCell ref="BG1147:BG1151"/>
    <mergeCell ref="BH1147:BH1151"/>
    <mergeCell ref="BC1152:BC1156"/>
    <mergeCell ref="BD1152:BD1156"/>
    <mergeCell ref="BE1152:BE1156"/>
    <mergeCell ref="BF1152:BF1156"/>
    <mergeCell ref="BG1152:BG1156"/>
    <mergeCell ref="BH1152:BH1156"/>
    <mergeCell ref="BC1158:BC1162"/>
    <mergeCell ref="BD1158:BD1162"/>
    <mergeCell ref="BE1158:BE1162"/>
    <mergeCell ref="BF1158:BF1162"/>
    <mergeCell ref="BG1158:BG1162"/>
    <mergeCell ref="BH1158:BH1162"/>
    <mergeCell ref="BC1163:BC1187"/>
    <mergeCell ref="BD1163:BD1187"/>
    <mergeCell ref="BE1163:BE1187"/>
    <mergeCell ref="BF1163:BF1187"/>
    <mergeCell ref="BG1163:BG1187"/>
    <mergeCell ref="BH1163:BH1187"/>
    <mergeCell ref="BC1188:BC1198"/>
    <mergeCell ref="BD1188:BD1198"/>
    <mergeCell ref="BE1188:BE1198"/>
    <mergeCell ref="BF1188:BF1198"/>
    <mergeCell ref="BG1188:BG1198"/>
    <mergeCell ref="BH1188:BH1198"/>
    <mergeCell ref="BC1199:BC1208"/>
    <mergeCell ref="BD1199:BD1208"/>
    <mergeCell ref="BE1199:BE1208"/>
    <mergeCell ref="BF1199:BF1208"/>
    <mergeCell ref="BG1199:BG1208"/>
    <mergeCell ref="BH1199:BH1208"/>
    <mergeCell ref="BC1209:BC1215"/>
    <mergeCell ref="BD1209:BD1215"/>
    <mergeCell ref="BE1209:BE1215"/>
    <mergeCell ref="BF1209:BF1215"/>
    <mergeCell ref="BG1209:BG1215"/>
    <mergeCell ref="BH1209:BH1215"/>
    <mergeCell ref="BC1216:BC1220"/>
    <mergeCell ref="BD1216:BD1220"/>
    <mergeCell ref="BE1216:BE1220"/>
    <mergeCell ref="BF1216:BF1220"/>
    <mergeCell ref="BG1216:BG1220"/>
    <mergeCell ref="BH1216:BH1220"/>
    <mergeCell ref="BC1222:BC1224"/>
    <mergeCell ref="BD1222:BD1224"/>
    <mergeCell ref="BE1222:BE1224"/>
    <mergeCell ref="BF1222:BF1224"/>
    <mergeCell ref="BG1222:BG1224"/>
    <mergeCell ref="BH1222:BH1224"/>
    <mergeCell ref="BC1226:BC1228"/>
    <mergeCell ref="BD1226:BD1228"/>
    <mergeCell ref="BE1226:BE1228"/>
    <mergeCell ref="BF1226:BF1228"/>
    <mergeCell ref="BG1226:BG1228"/>
    <mergeCell ref="BH1226:BH1228"/>
    <mergeCell ref="BC1229:BC1231"/>
    <mergeCell ref="BD1229:BD1231"/>
    <mergeCell ref="BE1229:BE1231"/>
    <mergeCell ref="BF1229:BF1231"/>
    <mergeCell ref="BG1229:BG1231"/>
    <mergeCell ref="BH1229:BH1231"/>
    <mergeCell ref="BC1232:BC1236"/>
    <mergeCell ref="BD1232:BD1236"/>
    <mergeCell ref="BE1232:BE1236"/>
    <mergeCell ref="BF1232:BF1236"/>
    <mergeCell ref="BG1232:BG1236"/>
    <mergeCell ref="BH1232:BH1236"/>
    <mergeCell ref="BC1238:BC1239"/>
    <mergeCell ref="BD1238:BD1239"/>
    <mergeCell ref="BE1238:BE1239"/>
    <mergeCell ref="BF1238:BF1239"/>
    <mergeCell ref="BG1238:BG1239"/>
    <mergeCell ref="BH1238:BH1239"/>
    <mergeCell ref="BC1240:BC1245"/>
    <mergeCell ref="BD1240:BD1245"/>
    <mergeCell ref="BE1240:BE1245"/>
    <mergeCell ref="BF1240:BF1245"/>
    <mergeCell ref="BG1240:BG1245"/>
    <mergeCell ref="BH1240:BH1245"/>
    <mergeCell ref="BC1246:BC1255"/>
    <mergeCell ref="BD1246:BD1255"/>
    <mergeCell ref="BE1246:BE1255"/>
    <mergeCell ref="BF1246:BF1255"/>
    <mergeCell ref="BG1246:BG1255"/>
    <mergeCell ref="BH1246:BH1255"/>
    <mergeCell ref="BC1256:BC1265"/>
    <mergeCell ref="BD1256:BD1265"/>
    <mergeCell ref="BE1256:BE1265"/>
    <mergeCell ref="BF1256:BF1265"/>
    <mergeCell ref="BG1256:BG1265"/>
    <mergeCell ref="BH1256:BH1265"/>
    <mergeCell ref="BC1266:BC1267"/>
    <mergeCell ref="BD1266:BD1267"/>
    <mergeCell ref="BE1266:BE1267"/>
    <mergeCell ref="BF1266:BF1267"/>
    <mergeCell ref="BG1266:BG1267"/>
    <mergeCell ref="BH1266:BH1267"/>
    <mergeCell ref="BC1268:BC1276"/>
    <mergeCell ref="BD1268:BD1276"/>
    <mergeCell ref="BE1268:BE1276"/>
    <mergeCell ref="BF1268:BF1276"/>
    <mergeCell ref="BG1268:BG1276"/>
    <mergeCell ref="BH1268:BH1276"/>
    <mergeCell ref="BC1277:BC1279"/>
    <mergeCell ref="BD1277:BD1279"/>
    <mergeCell ref="BE1277:BE1279"/>
    <mergeCell ref="BF1277:BF1279"/>
    <mergeCell ref="BG1277:BG1279"/>
    <mergeCell ref="BH1277:BH1279"/>
    <mergeCell ref="BC1280:BC1291"/>
    <mergeCell ref="BD1280:BD1291"/>
    <mergeCell ref="BE1280:BE1291"/>
    <mergeCell ref="BF1280:BF1291"/>
    <mergeCell ref="BG1280:BG1291"/>
    <mergeCell ref="BH1280:BH1291"/>
    <mergeCell ref="BC1292:BC1297"/>
    <mergeCell ref="BD1292:BD1297"/>
    <mergeCell ref="BE1292:BE1297"/>
    <mergeCell ref="BF1292:BF1297"/>
    <mergeCell ref="BG1292:BG1297"/>
    <mergeCell ref="BH1292:BH1297"/>
    <mergeCell ref="BC1298:BC1303"/>
    <mergeCell ref="BD1298:BD1303"/>
    <mergeCell ref="BE1298:BE1303"/>
    <mergeCell ref="BF1298:BF1303"/>
    <mergeCell ref="BG1298:BG1303"/>
    <mergeCell ref="BH1298:BH1303"/>
    <mergeCell ref="BC1304:BC1309"/>
    <mergeCell ref="BD1304:BD1309"/>
    <mergeCell ref="BE1304:BE1309"/>
    <mergeCell ref="BF1304:BF1309"/>
    <mergeCell ref="BG1304:BG1309"/>
    <mergeCell ref="BH1304:BH1309"/>
    <mergeCell ref="BC1310:BC1319"/>
    <mergeCell ref="BD1310:BD1319"/>
    <mergeCell ref="BE1310:BE1319"/>
    <mergeCell ref="BF1310:BF1319"/>
    <mergeCell ref="BG1310:BG1319"/>
    <mergeCell ref="BH1310:BH1319"/>
    <mergeCell ref="BC1320:BC1321"/>
    <mergeCell ref="BD1320:BD1321"/>
    <mergeCell ref="BE1320:BE1321"/>
    <mergeCell ref="BF1320:BF1321"/>
    <mergeCell ref="BG1320:BG1321"/>
    <mergeCell ref="BH1320:BH1321"/>
    <mergeCell ref="BC1322:BC1323"/>
    <mergeCell ref="BD1322:BD1323"/>
    <mergeCell ref="BE1322:BE1323"/>
    <mergeCell ref="BF1322:BF1323"/>
    <mergeCell ref="BG1322:BG1323"/>
    <mergeCell ref="BH1322:BH1323"/>
    <mergeCell ref="BC1324:BC1325"/>
    <mergeCell ref="BD1324:BD1325"/>
    <mergeCell ref="BE1324:BE1325"/>
    <mergeCell ref="BF1324:BF1325"/>
    <mergeCell ref="BG1324:BG1325"/>
    <mergeCell ref="BH1324:BH1325"/>
    <mergeCell ref="BC1326:BC1327"/>
    <mergeCell ref="BD1326:BD1327"/>
    <mergeCell ref="BE1326:BE1327"/>
    <mergeCell ref="BF1326:BF1327"/>
    <mergeCell ref="BG1326:BG1327"/>
    <mergeCell ref="BH1326:BH1327"/>
    <mergeCell ref="BC1328:BC1329"/>
    <mergeCell ref="BD1328:BD1329"/>
    <mergeCell ref="BE1328:BE1329"/>
    <mergeCell ref="BF1328:BF1329"/>
    <mergeCell ref="BG1328:BG1329"/>
    <mergeCell ref="BH1328:BH1329"/>
    <mergeCell ref="BC1330:BC1331"/>
    <mergeCell ref="BD1330:BD1331"/>
    <mergeCell ref="BE1330:BE1331"/>
    <mergeCell ref="BF1330:BF1331"/>
    <mergeCell ref="BG1330:BG1331"/>
    <mergeCell ref="BH1330:BH1331"/>
    <mergeCell ref="BC1332:BC1333"/>
    <mergeCell ref="BD1332:BD1333"/>
    <mergeCell ref="BE1332:BE1333"/>
    <mergeCell ref="BF1332:BF1333"/>
    <mergeCell ref="BG1332:BG1333"/>
    <mergeCell ref="BH1332:BH1333"/>
    <mergeCell ref="BC1334:BC1335"/>
    <mergeCell ref="BD1334:BD1335"/>
    <mergeCell ref="BE1334:BE1335"/>
    <mergeCell ref="BF1334:BF1335"/>
    <mergeCell ref="BG1334:BG1335"/>
    <mergeCell ref="BH1334:BH1335"/>
    <mergeCell ref="BC1336:BC1341"/>
    <mergeCell ref="BD1336:BD1341"/>
    <mergeCell ref="BE1336:BE1341"/>
    <mergeCell ref="BF1336:BF1341"/>
    <mergeCell ref="BG1336:BG1341"/>
    <mergeCell ref="BH1336:BH1341"/>
    <mergeCell ref="BC1342:BC1343"/>
    <mergeCell ref="BD1342:BD1343"/>
    <mergeCell ref="BE1342:BE1343"/>
    <mergeCell ref="BF1342:BF1343"/>
    <mergeCell ref="BG1342:BG1343"/>
    <mergeCell ref="BH1342:BH1343"/>
    <mergeCell ref="BC1344:BC1345"/>
    <mergeCell ref="BD1344:BD1345"/>
    <mergeCell ref="BE1344:BE1345"/>
    <mergeCell ref="BF1344:BF1345"/>
    <mergeCell ref="BG1344:BG1345"/>
    <mergeCell ref="BH1344:BH1345"/>
    <mergeCell ref="BC1347:BC1348"/>
    <mergeCell ref="BD1347:BD1348"/>
    <mergeCell ref="BE1347:BE1348"/>
    <mergeCell ref="BF1347:BF1348"/>
    <mergeCell ref="BG1347:BG1348"/>
    <mergeCell ref="BH1347:BH1348"/>
    <mergeCell ref="BC1349:BC1350"/>
    <mergeCell ref="BD1349:BD1350"/>
    <mergeCell ref="BE1349:BE1350"/>
    <mergeCell ref="BF1349:BF1350"/>
    <mergeCell ref="BG1349:BG1350"/>
    <mergeCell ref="BH1349:BH1350"/>
    <mergeCell ref="BC1351:BC1352"/>
    <mergeCell ref="BD1351:BD1352"/>
    <mergeCell ref="BE1351:BE1352"/>
    <mergeCell ref="BF1351:BF1352"/>
    <mergeCell ref="BG1351:BG1352"/>
    <mergeCell ref="BH1351:BH1352"/>
    <mergeCell ref="BC1353:BC1354"/>
    <mergeCell ref="BD1353:BD1354"/>
    <mergeCell ref="BE1353:BE1354"/>
    <mergeCell ref="BF1353:BF1354"/>
    <mergeCell ref="BG1353:BG1354"/>
    <mergeCell ref="BH1353:BH1354"/>
    <mergeCell ref="BC1355:BC1356"/>
    <mergeCell ref="BD1355:BD1356"/>
    <mergeCell ref="BE1355:BE1356"/>
    <mergeCell ref="BF1355:BF1356"/>
    <mergeCell ref="BG1355:BG1356"/>
    <mergeCell ref="BH1355:BH1356"/>
    <mergeCell ref="BC1357:BC1358"/>
    <mergeCell ref="BD1357:BD1358"/>
    <mergeCell ref="BE1357:BE1358"/>
    <mergeCell ref="BF1357:BF1358"/>
    <mergeCell ref="BG1357:BG1358"/>
    <mergeCell ref="BH1357:BH1358"/>
    <mergeCell ref="BC1360:BC1363"/>
    <mergeCell ref="BD1360:BD1363"/>
    <mergeCell ref="BE1360:BE1363"/>
    <mergeCell ref="BF1360:BF1363"/>
    <mergeCell ref="BG1360:BG1363"/>
    <mergeCell ref="BH1360:BH1363"/>
    <mergeCell ref="BC1364:BC1365"/>
    <mergeCell ref="BD1364:BD1365"/>
    <mergeCell ref="BE1364:BE1365"/>
    <mergeCell ref="BF1364:BF1365"/>
    <mergeCell ref="BG1364:BG1365"/>
    <mergeCell ref="BH1364:BH1365"/>
    <mergeCell ref="BC1366:BC1371"/>
    <mergeCell ref="BD1366:BD1371"/>
    <mergeCell ref="BE1366:BE1371"/>
    <mergeCell ref="BF1366:BF1371"/>
    <mergeCell ref="BG1366:BG1371"/>
    <mergeCell ref="BH1366:BH1371"/>
    <mergeCell ref="BC1372:BC1375"/>
    <mergeCell ref="BD1372:BD1375"/>
    <mergeCell ref="BE1372:BE1375"/>
    <mergeCell ref="BF1372:BF1375"/>
    <mergeCell ref="BG1372:BG1375"/>
    <mergeCell ref="BH1372:BH1375"/>
    <mergeCell ref="BC1376:BC1381"/>
    <mergeCell ref="BD1376:BD1381"/>
    <mergeCell ref="BE1376:BE1381"/>
    <mergeCell ref="BF1376:BF1381"/>
    <mergeCell ref="BG1376:BG1381"/>
    <mergeCell ref="BH1376:BH1381"/>
    <mergeCell ref="BC1382:BC1389"/>
    <mergeCell ref="BD1382:BD1389"/>
    <mergeCell ref="BE1382:BE1389"/>
    <mergeCell ref="BF1382:BF1389"/>
    <mergeCell ref="BG1382:BG1389"/>
    <mergeCell ref="BH1382:BH1389"/>
    <mergeCell ref="BC1390:BC1395"/>
    <mergeCell ref="BD1390:BD1395"/>
    <mergeCell ref="BE1390:BE1395"/>
    <mergeCell ref="BF1390:BF1395"/>
    <mergeCell ref="BG1390:BG1395"/>
    <mergeCell ref="BH1390:BH1395"/>
    <mergeCell ref="BC1396:BC1399"/>
    <mergeCell ref="BD1396:BD1399"/>
    <mergeCell ref="BE1396:BE1399"/>
    <mergeCell ref="BF1396:BF1399"/>
    <mergeCell ref="BG1396:BG1399"/>
    <mergeCell ref="BH1396:BH1399"/>
    <mergeCell ref="BC1400:BC1407"/>
    <mergeCell ref="BD1400:BD1407"/>
    <mergeCell ref="BE1400:BE1407"/>
    <mergeCell ref="BF1400:BF1407"/>
    <mergeCell ref="BG1400:BG1407"/>
    <mergeCell ref="BH1400:BH1407"/>
    <mergeCell ref="BC1408:BC1415"/>
    <mergeCell ref="BD1408:BD1415"/>
    <mergeCell ref="BE1408:BE1415"/>
    <mergeCell ref="BF1408:BF1415"/>
    <mergeCell ref="BG1408:BG1415"/>
    <mergeCell ref="BH1408:BH1415"/>
    <mergeCell ref="BC1416:BC1417"/>
    <mergeCell ref="BD1416:BD1417"/>
    <mergeCell ref="BE1416:BE1417"/>
    <mergeCell ref="BF1416:BF1417"/>
    <mergeCell ref="BG1416:BG1417"/>
    <mergeCell ref="BH1416:BH1417"/>
    <mergeCell ref="BC1418:BC1419"/>
    <mergeCell ref="BD1418:BD1419"/>
    <mergeCell ref="BE1418:BE1419"/>
    <mergeCell ref="BF1418:BF1419"/>
    <mergeCell ref="BG1418:BG1419"/>
    <mergeCell ref="BH1418:BH1419"/>
    <mergeCell ref="BC1420:BC1423"/>
    <mergeCell ref="BD1420:BD1423"/>
    <mergeCell ref="BE1420:BE1423"/>
    <mergeCell ref="BF1420:BF1423"/>
    <mergeCell ref="BG1420:BG1423"/>
    <mergeCell ref="BH1420:BH1423"/>
    <mergeCell ref="BC1426:BC1427"/>
    <mergeCell ref="BD1426:BD1427"/>
    <mergeCell ref="BE1426:BE1427"/>
    <mergeCell ref="BF1426:BF1427"/>
    <mergeCell ref="BG1426:BG1427"/>
    <mergeCell ref="BH1426:BH1427"/>
    <mergeCell ref="BC1429:BC1430"/>
    <mergeCell ref="BD1429:BD1430"/>
    <mergeCell ref="BE1429:BE1430"/>
    <mergeCell ref="BF1429:BF1430"/>
    <mergeCell ref="BG1429:BG1430"/>
    <mergeCell ref="BH1429:BH1430"/>
    <mergeCell ref="BC1431:BC1434"/>
    <mergeCell ref="BD1431:BD1434"/>
    <mergeCell ref="BE1431:BE1434"/>
    <mergeCell ref="BF1431:BF1434"/>
    <mergeCell ref="BG1431:BG1434"/>
    <mergeCell ref="BH1431:BH1434"/>
    <mergeCell ref="BC1435:BC1436"/>
    <mergeCell ref="BD1435:BD1436"/>
    <mergeCell ref="BE1435:BE1436"/>
    <mergeCell ref="BF1435:BF1436"/>
    <mergeCell ref="BG1435:BG1436"/>
    <mergeCell ref="BH1435:BH1436"/>
    <mergeCell ref="BC1437:BC1438"/>
    <mergeCell ref="BD1437:BD1438"/>
    <mergeCell ref="BE1437:BE1438"/>
    <mergeCell ref="BF1437:BF1438"/>
    <mergeCell ref="BG1437:BG1438"/>
    <mergeCell ref="BH1437:BH1438"/>
    <mergeCell ref="BC1439:BC1443"/>
    <mergeCell ref="BD1439:BD1443"/>
    <mergeCell ref="BE1439:BE1443"/>
    <mergeCell ref="BF1439:BF1443"/>
    <mergeCell ref="BG1439:BG1443"/>
    <mergeCell ref="BH1439:BH1443"/>
    <mergeCell ref="BC1446:BC1448"/>
    <mergeCell ref="BD1446:BD1448"/>
    <mergeCell ref="BE1446:BE1448"/>
    <mergeCell ref="BF1446:BF1448"/>
    <mergeCell ref="BG1446:BG1448"/>
    <mergeCell ref="BH1446:BH1448"/>
    <mergeCell ref="BC1449:BC1456"/>
    <mergeCell ref="BD1449:BD1456"/>
    <mergeCell ref="BE1449:BE1456"/>
    <mergeCell ref="BF1449:BF1456"/>
    <mergeCell ref="BG1449:BG1456"/>
    <mergeCell ref="BH1449:BH1456"/>
    <mergeCell ref="BC1457:BC1460"/>
    <mergeCell ref="BD1457:BD1460"/>
    <mergeCell ref="BE1457:BE1460"/>
    <mergeCell ref="BF1457:BF1460"/>
    <mergeCell ref="BG1457:BG1460"/>
    <mergeCell ref="BH1457:BH1460"/>
    <mergeCell ref="BC1461:BC1466"/>
    <mergeCell ref="BD1461:BD1466"/>
    <mergeCell ref="BE1461:BE1466"/>
    <mergeCell ref="BF1461:BF1466"/>
    <mergeCell ref="BG1461:BG1466"/>
    <mergeCell ref="BH1461:BH1466"/>
    <mergeCell ref="BC1467:BC1468"/>
    <mergeCell ref="BD1467:BD1468"/>
    <mergeCell ref="BE1467:BE1468"/>
    <mergeCell ref="BF1467:BF1468"/>
    <mergeCell ref="BG1467:BG1468"/>
    <mergeCell ref="BH1467:BH1468"/>
    <mergeCell ref="BC1469:BC1470"/>
    <mergeCell ref="BD1469:BD1470"/>
    <mergeCell ref="BE1469:BE1470"/>
    <mergeCell ref="BF1469:BF1470"/>
    <mergeCell ref="BG1469:BG1470"/>
    <mergeCell ref="BH1469:BH1470"/>
    <mergeCell ref="BC1471:BC1474"/>
    <mergeCell ref="BD1471:BD1474"/>
    <mergeCell ref="BE1471:BE1474"/>
    <mergeCell ref="BF1471:BF1474"/>
    <mergeCell ref="BG1471:BG1474"/>
    <mergeCell ref="BH1471:BH1474"/>
    <mergeCell ref="BC1476:BC1479"/>
    <mergeCell ref="BD1476:BD1479"/>
    <mergeCell ref="BE1476:BE1479"/>
    <mergeCell ref="BF1476:BF1479"/>
    <mergeCell ref="BG1476:BG1479"/>
    <mergeCell ref="BH1476:BH1479"/>
    <mergeCell ref="BC1480:BC1481"/>
    <mergeCell ref="BD1480:BD1481"/>
    <mergeCell ref="BE1480:BE1481"/>
    <mergeCell ref="BF1480:BF1481"/>
    <mergeCell ref="BG1480:BG1481"/>
    <mergeCell ref="BH1480:BH1481"/>
    <mergeCell ref="BC1482:BC1489"/>
    <mergeCell ref="BD1482:BD1489"/>
    <mergeCell ref="BE1482:BE1489"/>
    <mergeCell ref="BF1482:BF1489"/>
    <mergeCell ref="BG1482:BG1489"/>
    <mergeCell ref="BH1482:BH1489"/>
    <mergeCell ref="BC1491:BC1492"/>
    <mergeCell ref="BD1491:BD1492"/>
    <mergeCell ref="BE1491:BE1492"/>
    <mergeCell ref="BF1491:BF1492"/>
    <mergeCell ref="BG1491:BG1492"/>
    <mergeCell ref="BH1491:BH1492"/>
    <mergeCell ref="BC1493:BC1500"/>
    <mergeCell ref="BD1493:BD1500"/>
    <mergeCell ref="BE1493:BE1500"/>
    <mergeCell ref="BF1493:BF1500"/>
    <mergeCell ref="BG1493:BG1500"/>
    <mergeCell ref="BH1493:BH1500"/>
    <mergeCell ref="BC1501:BC1502"/>
    <mergeCell ref="BD1501:BD1502"/>
    <mergeCell ref="BE1501:BE1502"/>
    <mergeCell ref="BF1501:BF1502"/>
    <mergeCell ref="BG1501:BG1502"/>
    <mergeCell ref="BH1501:BH1502"/>
    <mergeCell ref="BC1503:BC1506"/>
    <mergeCell ref="BD1503:BD1506"/>
    <mergeCell ref="BE1503:BE1506"/>
    <mergeCell ref="BF1503:BF1506"/>
    <mergeCell ref="BG1503:BG1506"/>
    <mergeCell ref="BH1503:BH1506"/>
    <mergeCell ref="BC1507:BC1508"/>
    <mergeCell ref="BD1507:BD1508"/>
    <mergeCell ref="BE1507:BE1508"/>
    <mergeCell ref="BF1507:BF1508"/>
    <mergeCell ref="BG1507:BG1508"/>
    <mergeCell ref="BH1507:BH1508"/>
    <mergeCell ref="BC1509:BC1512"/>
    <mergeCell ref="BD1509:BD1512"/>
    <mergeCell ref="BE1509:BE1512"/>
    <mergeCell ref="BF1509:BF1512"/>
    <mergeCell ref="BG1509:BG1512"/>
    <mergeCell ref="BH1509:BH1512"/>
    <mergeCell ref="BC1513:BC1514"/>
    <mergeCell ref="BD1513:BD1514"/>
    <mergeCell ref="BE1513:BE1514"/>
    <mergeCell ref="BF1513:BF1514"/>
    <mergeCell ref="BG1513:BG1514"/>
    <mergeCell ref="BH1513:BH1514"/>
    <mergeCell ref="BC1515:BC1521"/>
    <mergeCell ref="BD1515:BD1521"/>
    <mergeCell ref="BE1515:BE1521"/>
    <mergeCell ref="BF1515:BF1521"/>
    <mergeCell ref="BG1515:BG1521"/>
    <mergeCell ref="BH1515:BH1521"/>
    <mergeCell ref="BC1522:BC1523"/>
    <mergeCell ref="BD1522:BD1523"/>
    <mergeCell ref="BE1522:BE1523"/>
    <mergeCell ref="BF1522:BF1523"/>
    <mergeCell ref="BG1522:BG1523"/>
    <mergeCell ref="BH1522:BH1523"/>
    <mergeCell ref="BC1524:BC1525"/>
    <mergeCell ref="BD1524:BD1525"/>
    <mergeCell ref="BE1524:BE1525"/>
    <mergeCell ref="BF1524:BF1525"/>
    <mergeCell ref="BG1524:BG1525"/>
    <mergeCell ref="BH1524:BH1525"/>
    <mergeCell ref="BC1527:BC1529"/>
    <mergeCell ref="BD1527:BD1529"/>
    <mergeCell ref="BE1527:BE1529"/>
    <mergeCell ref="BF1527:BF1529"/>
    <mergeCell ref="BG1527:BG1529"/>
    <mergeCell ref="BH1527:BH1529"/>
    <mergeCell ref="BC1530:BC1534"/>
    <mergeCell ref="BD1530:BD1534"/>
    <mergeCell ref="BE1530:BE1534"/>
    <mergeCell ref="BF1530:BF1534"/>
    <mergeCell ref="BG1530:BG1534"/>
    <mergeCell ref="BH1530:BH1534"/>
    <mergeCell ref="BC1535:BC1536"/>
    <mergeCell ref="BD1535:BD1536"/>
    <mergeCell ref="BE1535:BE1536"/>
    <mergeCell ref="BF1535:BF1536"/>
    <mergeCell ref="BG1535:BG1536"/>
    <mergeCell ref="BH1535:BH1536"/>
    <mergeCell ref="BC1537:BC1538"/>
    <mergeCell ref="BD1537:BD1538"/>
    <mergeCell ref="BE1537:BE1538"/>
    <mergeCell ref="BF1537:BF1538"/>
    <mergeCell ref="BG1537:BG1538"/>
    <mergeCell ref="BH1537:BH1538"/>
    <mergeCell ref="BC1539:BC1542"/>
    <mergeCell ref="BD1539:BD1542"/>
    <mergeCell ref="BE1539:BE1542"/>
    <mergeCell ref="BF1539:BF1542"/>
    <mergeCell ref="BG1539:BG1542"/>
    <mergeCell ref="BH1539:BH1542"/>
    <mergeCell ref="BC1543:BC1544"/>
    <mergeCell ref="BD1543:BD1544"/>
    <mergeCell ref="BE1543:BE1544"/>
    <mergeCell ref="BF1543:BF1544"/>
    <mergeCell ref="BG1543:BG1544"/>
    <mergeCell ref="BH1543:BH1544"/>
    <mergeCell ref="BC1545:BC1549"/>
    <mergeCell ref="BD1545:BD1549"/>
    <mergeCell ref="BE1545:BE1549"/>
    <mergeCell ref="BF1545:BF1549"/>
    <mergeCell ref="BG1545:BG1549"/>
    <mergeCell ref="BH1545:BH1549"/>
    <mergeCell ref="BC1550:BC1552"/>
    <mergeCell ref="BD1550:BD1552"/>
    <mergeCell ref="BE1550:BE1552"/>
    <mergeCell ref="BF1550:BF1552"/>
    <mergeCell ref="BG1550:BG1552"/>
    <mergeCell ref="BH1550:BH1552"/>
    <mergeCell ref="BC1554:BC1555"/>
    <mergeCell ref="BD1554:BD1555"/>
    <mergeCell ref="BE1554:BE1555"/>
    <mergeCell ref="BF1554:BF1555"/>
    <mergeCell ref="BG1554:BG1555"/>
    <mergeCell ref="BH1554:BH1555"/>
    <mergeCell ref="BC1567:BC1570"/>
    <mergeCell ref="BD1567:BD1570"/>
    <mergeCell ref="BE1567:BE1570"/>
    <mergeCell ref="BF1567:BF1570"/>
    <mergeCell ref="BG1567:BG1570"/>
    <mergeCell ref="BH1567:BH1570"/>
    <mergeCell ref="BC1571:BC1574"/>
    <mergeCell ref="BD1571:BD1574"/>
    <mergeCell ref="BE1571:BE1574"/>
    <mergeCell ref="BF1571:BF1574"/>
    <mergeCell ref="BG1571:BG1574"/>
    <mergeCell ref="BH1571:BH1574"/>
    <mergeCell ref="BC1575:BC1579"/>
    <mergeCell ref="BD1575:BD1579"/>
    <mergeCell ref="BE1575:BE1579"/>
    <mergeCell ref="BF1575:BF1579"/>
    <mergeCell ref="BG1575:BG1579"/>
    <mergeCell ref="BH1575:BH1579"/>
    <mergeCell ref="BC1580:BC1583"/>
    <mergeCell ref="BD1580:BD1583"/>
    <mergeCell ref="BE1580:BE1583"/>
    <mergeCell ref="BF1580:BF1583"/>
    <mergeCell ref="BG1580:BG1583"/>
    <mergeCell ref="BH1580:BH1583"/>
    <mergeCell ref="BC1584:BC1585"/>
    <mergeCell ref="BD1584:BD1585"/>
    <mergeCell ref="BE1584:BE1585"/>
    <mergeCell ref="BF1584:BF1585"/>
    <mergeCell ref="BG1584:BG1585"/>
    <mergeCell ref="BH1584:BH1585"/>
    <mergeCell ref="BC1586:BC1587"/>
    <mergeCell ref="BD1586:BD1587"/>
    <mergeCell ref="BE1586:BE1587"/>
    <mergeCell ref="BF1586:BF1587"/>
    <mergeCell ref="BG1586:BG1587"/>
    <mergeCell ref="BH1586:BH1587"/>
    <mergeCell ref="BC1588:BC1589"/>
    <mergeCell ref="BD1588:BD1589"/>
    <mergeCell ref="BE1588:BE1589"/>
    <mergeCell ref="BF1588:BF1589"/>
    <mergeCell ref="BG1588:BG1589"/>
    <mergeCell ref="BH1588:BH1589"/>
    <mergeCell ref="BC1590:BC1598"/>
    <mergeCell ref="BD1590:BD1598"/>
    <mergeCell ref="BE1590:BE1598"/>
    <mergeCell ref="BF1590:BF1598"/>
    <mergeCell ref="BG1590:BG1598"/>
    <mergeCell ref="BH1590:BH1598"/>
    <mergeCell ref="BC1599:BC1601"/>
    <mergeCell ref="BD1599:BD1601"/>
    <mergeCell ref="BE1599:BE1601"/>
    <mergeCell ref="BF1599:BF1601"/>
    <mergeCell ref="BG1599:BG1601"/>
    <mergeCell ref="BH1599:BH1601"/>
    <mergeCell ref="BC1602:BC1605"/>
    <mergeCell ref="BD1602:BD1605"/>
    <mergeCell ref="BE1602:BE1605"/>
    <mergeCell ref="BF1602:BF1605"/>
    <mergeCell ref="BG1602:BG1605"/>
    <mergeCell ref="BH1602:BH1605"/>
    <mergeCell ref="BC1606:BC1609"/>
    <mergeCell ref="BD1606:BD1609"/>
    <mergeCell ref="BE1606:BE1609"/>
    <mergeCell ref="BF1606:BF1609"/>
    <mergeCell ref="BG1606:BG1609"/>
    <mergeCell ref="BH1606:BH1609"/>
    <mergeCell ref="BC1610:BC1611"/>
    <mergeCell ref="BD1610:BD1611"/>
    <mergeCell ref="BE1610:BE1611"/>
    <mergeCell ref="BF1610:BF1611"/>
    <mergeCell ref="BG1610:BG1611"/>
    <mergeCell ref="BH1610:BH1611"/>
    <mergeCell ref="BC1612:BC1619"/>
    <mergeCell ref="BD1612:BD1619"/>
    <mergeCell ref="BE1612:BE1619"/>
    <mergeCell ref="BF1612:BF1619"/>
    <mergeCell ref="BG1612:BG1619"/>
    <mergeCell ref="BH1612:BH1619"/>
    <mergeCell ref="BC1620:BC1623"/>
    <mergeCell ref="BD1620:BD1623"/>
    <mergeCell ref="BE1620:BE1623"/>
    <mergeCell ref="BF1620:BF1623"/>
    <mergeCell ref="BG1620:BG1623"/>
    <mergeCell ref="BH1620:BH1623"/>
    <mergeCell ref="BC1624:BC1627"/>
    <mergeCell ref="BD1624:BD1627"/>
    <mergeCell ref="BE1624:BE1627"/>
    <mergeCell ref="BF1624:BF1627"/>
    <mergeCell ref="BG1624:BG1627"/>
    <mergeCell ref="BH1624:BH1627"/>
    <mergeCell ref="BC1628:BC1629"/>
    <mergeCell ref="BD1628:BD1629"/>
    <mergeCell ref="BE1628:BE1629"/>
    <mergeCell ref="BF1628:BF1629"/>
    <mergeCell ref="BG1628:BG1629"/>
    <mergeCell ref="BH1628:BH1629"/>
    <mergeCell ref="BC1630:BC1631"/>
    <mergeCell ref="BD1630:BD1631"/>
    <mergeCell ref="BE1630:BE1631"/>
    <mergeCell ref="BF1630:BF1631"/>
    <mergeCell ref="BG1630:BG1631"/>
    <mergeCell ref="BH1630:BH1631"/>
    <mergeCell ref="BC1632:BC1633"/>
    <mergeCell ref="BD1632:BD1633"/>
    <mergeCell ref="BE1632:BE1633"/>
    <mergeCell ref="BF1632:BF1633"/>
    <mergeCell ref="BG1632:BG1633"/>
    <mergeCell ref="BH1632:BH1633"/>
    <mergeCell ref="BC1634:BC1636"/>
    <mergeCell ref="BD1634:BD1636"/>
    <mergeCell ref="BE1634:BE1636"/>
    <mergeCell ref="BF1634:BF1636"/>
    <mergeCell ref="BG1634:BG1636"/>
    <mergeCell ref="BH1634:BH1636"/>
    <mergeCell ref="BC1637:BC1638"/>
    <mergeCell ref="BD1637:BD1638"/>
    <mergeCell ref="BE1637:BE1638"/>
    <mergeCell ref="BF1637:BF1638"/>
    <mergeCell ref="BG1637:BG1638"/>
    <mergeCell ref="BH1637:BH1638"/>
    <mergeCell ref="BC1639:BC1642"/>
    <mergeCell ref="BD1639:BD1642"/>
    <mergeCell ref="BE1639:BE1642"/>
    <mergeCell ref="BF1639:BF1642"/>
    <mergeCell ref="BG1639:BG1642"/>
    <mergeCell ref="BH1639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8"/>
    <mergeCell ref="BD1647:BD1648"/>
    <mergeCell ref="BE1647:BE1648"/>
    <mergeCell ref="BF1647:BF1648"/>
    <mergeCell ref="BG1647:BG1648"/>
    <mergeCell ref="BH1647:BH1648"/>
    <mergeCell ref="BC1649:BC1652"/>
    <mergeCell ref="BD1649:BD1652"/>
    <mergeCell ref="BE1649:BE1652"/>
    <mergeCell ref="BF1649:BF1652"/>
    <mergeCell ref="BG1649:BG1652"/>
    <mergeCell ref="BH1649:BH1652"/>
    <mergeCell ref="BC1653:BC1654"/>
    <mergeCell ref="BD1653:BD1654"/>
    <mergeCell ref="BE1653:BE1654"/>
    <mergeCell ref="BF1653:BF1654"/>
    <mergeCell ref="BG1653:BG1654"/>
    <mergeCell ref="BH1653:BH1654"/>
    <mergeCell ref="BC1655:BC1658"/>
    <mergeCell ref="BD1655:BD1658"/>
    <mergeCell ref="BE1655:BE1658"/>
    <mergeCell ref="BF1655:BF1658"/>
    <mergeCell ref="BG1655:BG1658"/>
    <mergeCell ref="BH1655:BH1658"/>
    <mergeCell ref="BC1659:BC1662"/>
    <mergeCell ref="BD1659:BD1662"/>
    <mergeCell ref="BE1659:BE1662"/>
    <mergeCell ref="BF1659:BF1662"/>
    <mergeCell ref="BG1659:BG1662"/>
    <mergeCell ref="BH1659:BH1662"/>
    <mergeCell ref="BC1663:BC1664"/>
    <mergeCell ref="BD1663:BD1664"/>
    <mergeCell ref="BE1663:BE1664"/>
    <mergeCell ref="BF1663:BF1664"/>
    <mergeCell ref="BG1663:BG1664"/>
    <mergeCell ref="BH1663:BH1664"/>
    <mergeCell ref="BC1665:BC1666"/>
    <mergeCell ref="BD1665:BD1666"/>
    <mergeCell ref="BE1665:BE1666"/>
    <mergeCell ref="BF1665:BF1666"/>
    <mergeCell ref="BG1665:BG1666"/>
    <mergeCell ref="BH1665:BH1666"/>
    <mergeCell ref="BC1667:BC1668"/>
    <mergeCell ref="BD1667:BD1668"/>
    <mergeCell ref="BE1667:BE1668"/>
    <mergeCell ref="BF1667:BF1668"/>
    <mergeCell ref="BG1667:BG1668"/>
    <mergeCell ref="BH1667:BH1668"/>
    <mergeCell ref="BC1669:BC1670"/>
    <mergeCell ref="BD1669:BD1670"/>
    <mergeCell ref="BE1669:BE1670"/>
    <mergeCell ref="BF1669:BF1670"/>
    <mergeCell ref="BG1669:BG1670"/>
    <mergeCell ref="BH1669:BH1670"/>
    <mergeCell ref="BC1671:BC1672"/>
    <mergeCell ref="BD1671:BD1672"/>
    <mergeCell ref="BE1671:BE1672"/>
    <mergeCell ref="BF1671:BF1672"/>
    <mergeCell ref="BG1671:BG1672"/>
    <mergeCell ref="BH1671:BH1672"/>
    <mergeCell ref="BC1673:BC1675"/>
    <mergeCell ref="BD1673:BD1675"/>
    <mergeCell ref="BE1673:BE1675"/>
    <mergeCell ref="BF1673:BF1675"/>
    <mergeCell ref="BG1673:BG1675"/>
    <mergeCell ref="BH1673:BH1675"/>
    <mergeCell ref="BC1676:BC1677"/>
    <mergeCell ref="BD1676:BD1677"/>
    <mergeCell ref="BE1676:BE1677"/>
    <mergeCell ref="BF1676:BF1677"/>
    <mergeCell ref="BG1676:BG1677"/>
    <mergeCell ref="BH1676:BH1677"/>
    <mergeCell ref="BC1682:BC1684"/>
    <mergeCell ref="BD1682:BD1684"/>
    <mergeCell ref="BE1682:BE1684"/>
    <mergeCell ref="BF1682:BF1684"/>
    <mergeCell ref="BG1682:BG1684"/>
    <mergeCell ref="BH1682:BH1684"/>
    <mergeCell ref="BC1685:BC1686"/>
    <mergeCell ref="BD1685:BD1686"/>
    <mergeCell ref="BE1685:BE1686"/>
    <mergeCell ref="BF1685:BF1686"/>
    <mergeCell ref="BG1685:BG1686"/>
    <mergeCell ref="BH1685:BH1686"/>
    <mergeCell ref="BC1687:BC1688"/>
    <mergeCell ref="BD1687:BD1688"/>
    <mergeCell ref="BE1687:BE1688"/>
    <mergeCell ref="BF1687:BF1688"/>
    <mergeCell ref="BG1687:BG1688"/>
    <mergeCell ref="BH1687:BH1688"/>
    <mergeCell ref="BC1689:BC1691"/>
    <mergeCell ref="BD1689:BD1691"/>
    <mergeCell ref="BE1689:BE1691"/>
    <mergeCell ref="BF1689:BF1691"/>
    <mergeCell ref="BG1689:BG1691"/>
    <mergeCell ref="BH1689:BH1691"/>
    <mergeCell ref="BC1692:BC1693"/>
    <mergeCell ref="BD1692:BD1693"/>
    <mergeCell ref="BE1692:BE1693"/>
    <mergeCell ref="BF1692:BF1693"/>
    <mergeCell ref="BG1692:BG1693"/>
    <mergeCell ref="BH1692:BH1693"/>
    <mergeCell ref="BC1694:BC1697"/>
    <mergeCell ref="BD1694:BD1697"/>
    <mergeCell ref="BE1694:BE1697"/>
    <mergeCell ref="BF1694:BF1697"/>
    <mergeCell ref="BG1694:BG1697"/>
    <mergeCell ref="BH1694:BH1697"/>
    <mergeCell ref="BC1699:BC1700"/>
    <mergeCell ref="BD1699:BD1700"/>
    <mergeCell ref="BE1699:BE1700"/>
    <mergeCell ref="BF1699:BF1700"/>
    <mergeCell ref="BG1699:BG1700"/>
    <mergeCell ref="BH1699:BH1700"/>
    <mergeCell ref="BC1701:BC1702"/>
    <mergeCell ref="BD1701:BD1702"/>
    <mergeCell ref="BE1701:BE1702"/>
    <mergeCell ref="BF1701:BF1702"/>
    <mergeCell ref="BG1701:BG1702"/>
    <mergeCell ref="BH1701:BH1702"/>
    <mergeCell ref="BC1703:BC1706"/>
    <mergeCell ref="BD1703:BD1706"/>
    <mergeCell ref="BE1703:BE1706"/>
    <mergeCell ref="BF1703:BF1706"/>
    <mergeCell ref="BG1703:BG1706"/>
    <mergeCell ref="BH1703:BH1706"/>
    <mergeCell ref="BC1707:BC1708"/>
    <mergeCell ref="BD1707:BD1708"/>
    <mergeCell ref="BE1707:BE1708"/>
    <mergeCell ref="BF1707:BF1708"/>
    <mergeCell ref="BG1707:BG1708"/>
    <mergeCell ref="BH1707:BH1708"/>
    <mergeCell ref="BC1709:BC1710"/>
    <mergeCell ref="BD1709:BD1710"/>
    <mergeCell ref="BE1709:BE1710"/>
    <mergeCell ref="BF1709:BF1710"/>
    <mergeCell ref="BG1709:BG1710"/>
    <mergeCell ref="BH1709:BH1710"/>
    <mergeCell ref="BC1711:BC1713"/>
    <mergeCell ref="BD1711:BD1713"/>
    <mergeCell ref="BE1711:BE1713"/>
    <mergeCell ref="BF1711:BF1713"/>
    <mergeCell ref="BG1711:BG1713"/>
    <mergeCell ref="BH1711:BH1713"/>
    <mergeCell ref="BC1714:BC1715"/>
    <mergeCell ref="BD1714:BD1715"/>
    <mergeCell ref="BE1714:BE1715"/>
    <mergeCell ref="BF1714:BF1715"/>
    <mergeCell ref="BG1714:BG1715"/>
    <mergeCell ref="BH1714:BH1715"/>
    <mergeCell ref="BC1716:BC1717"/>
    <mergeCell ref="BD1716:BD1717"/>
    <mergeCell ref="BE1716:BE1717"/>
    <mergeCell ref="BF1716:BF1717"/>
    <mergeCell ref="BG1716:BG1717"/>
    <mergeCell ref="BH1716:BH1717"/>
    <mergeCell ref="BC1718:BC1719"/>
    <mergeCell ref="BD1718:BD1719"/>
    <mergeCell ref="BE1718:BE1719"/>
    <mergeCell ref="BF1718:BF1719"/>
    <mergeCell ref="BG1718:BG1719"/>
    <mergeCell ref="BH1718:BH1719"/>
    <mergeCell ref="BC1720:BC1721"/>
    <mergeCell ref="BD1720:BD1721"/>
    <mergeCell ref="BE1720:BE1721"/>
    <mergeCell ref="BF1720:BF1721"/>
    <mergeCell ref="BG1720:BG1721"/>
    <mergeCell ref="BH1720:BH1721"/>
    <mergeCell ref="BC1724:BC1727"/>
    <mergeCell ref="BD1724:BD1727"/>
    <mergeCell ref="BE1724:BE1727"/>
    <mergeCell ref="BF1724:BF1727"/>
    <mergeCell ref="BG1724:BG1727"/>
    <mergeCell ref="BH1724:BH1727"/>
    <mergeCell ref="BC1728:BC1731"/>
    <mergeCell ref="BD1728:BD1731"/>
    <mergeCell ref="BE1728:BE1731"/>
    <mergeCell ref="BF1728:BF1731"/>
    <mergeCell ref="BG1728:BG1731"/>
    <mergeCell ref="BH1728:BH1731"/>
    <mergeCell ref="BC1732:BC1734"/>
    <mergeCell ref="BD1732:BD1734"/>
    <mergeCell ref="BE1732:BE1734"/>
    <mergeCell ref="BF1732:BF1734"/>
    <mergeCell ref="BG1732:BG1734"/>
    <mergeCell ref="BH1732:BH1734"/>
    <mergeCell ref="BC1735:BC1737"/>
    <mergeCell ref="BD1735:BD1737"/>
    <mergeCell ref="BE1735:BE1737"/>
    <mergeCell ref="BF1735:BF1737"/>
    <mergeCell ref="BG1735:BG1737"/>
    <mergeCell ref="BH1735:BH1737"/>
    <mergeCell ref="BC1743:BC1744"/>
    <mergeCell ref="BD1743:BD1744"/>
    <mergeCell ref="BE1743:BE1744"/>
    <mergeCell ref="BF1743:BF1744"/>
    <mergeCell ref="BG1743:BG1744"/>
    <mergeCell ref="BH1743:BH1744"/>
    <mergeCell ref="BC1748:BC1749"/>
    <mergeCell ref="BD1748:BD1749"/>
    <mergeCell ref="BE1748:BE1749"/>
    <mergeCell ref="BF1748:BF1749"/>
    <mergeCell ref="BG1748:BG1749"/>
    <mergeCell ref="BH1748:BH1749"/>
    <mergeCell ref="BC1750:BC1751"/>
    <mergeCell ref="BD1750:BD1751"/>
    <mergeCell ref="BE1750:BE1751"/>
    <mergeCell ref="BF1750:BF1751"/>
    <mergeCell ref="BG1750:BG1751"/>
    <mergeCell ref="BH1750:BH1751"/>
    <mergeCell ref="BC1753:BC1755"/>
    <mergeCell ref="BD1753:BD1755"/>
    <mergeCell ref="BE1753:BE1755"/>
    <mergeCell ref="BF1753:BF1755"/>
    <mergeCell ref="BG1753:BG1755"/>
    <mergeCell ref="BH1753:BH1755"/>
    <mergeCell ref="BC1756:BC1757"/>
    <mergeCell ref="BD1756:BD1757"/>
    <mergeCell ref="BE1756:BE1757"/>
    <mergeCell ref="BF1756:BF1757"/>
    <mergeCell ref="BG1756:BG1757"/>
    <mergeCell ref="BH1756:BH1757"/>
    <mergeCell ref="BC1758:BC1761"/>
    <mergeCell ref="BD1758:BD1761"/>
    <mergeCell ref="BE1758:BE1761"/>
    <mergeCell ref="BF1758:BF1761"/>
    <mergeCell ref="BG1758:BG1761"/>
    <mergeCell ref="BH1758:BH1761"/>
    <mergeCell ref="BC1762:BC1765"/>
    <mergeCell ref="BD1762:BD1765"/>
    <mergeCell ref="BE1762:BE1765"/>
    <mergeCell ref="BF1762:BF1765"/>
    <mergeCell ref="BG1762:BG1765"/>
    <mergeCell ref="BH1762:BH1765"/>
    <mergeCell ref="BC1766:BC1769"/>
    <mergeCell ref="BD1766:BD1769"/>
    <mergeCell ref="BE1766:BE1769"/>
    <mergeCell ref="BF1766:BF1769"/>
    <mergeCell ref="BG1766:BG1769"/>
    <mergeCell ref="BH1766:BH1769"/>
    <mergeCell ref="BC1770:BC1772"/>
    <mergeCell ref="BD1770:BD1772"/>
    <mergeCell ref="BE1770:BE1772"/>
    <mergeCell ref="BF1770:BF1772"/>
    <mergeCell ref="BG1770:BG1772"/>
    <mergeCell ref="BH1770:BH1772"/>
    <mergeCell ref="BC1773:BC1776"/>
    <mergeCell ref="BD1773:BD1776"/>
    <mergeCell ref="BE1773:BE1776"/>
    <mergeCell ref="BF1773:BF1776"/>
    <mergeCell ref="BG1773:BG1776"/>
    <mergeCell ref="BH1773:BH1776"/>
    <mergeCell ref="BC1777:BC1780"/>
    <mergeCell ref="BD1777:BD1780"/>
    <mergeCell ref="BE1777:BE1780"/>
    <mergeCell ref="BF1777:BF1780"/>
    <mergeCell ref="BG1777:BG1780"/>
    <mergeCell ref="BH1777:BH1780"/>
    <mergeCell ref="BC1781:BC1784"/>
    <mergeCell ref="BD1781:BD1784"/>
    <mergeCell ref="BE1781:BE1784"/>
    <mergeCell ref="BF1781:BF1784"/>
    <mergeCell ref="BG1781:BG1784"/>
    <mergeCell ref="BH1781:BH1784"/>
    <mergeCell ref="BC1785:BC1786"/>
    <mergeCell ref="BD1785:BD1786"/>
    <mergeCell ref="BE1785:BE1786"/>
    <mergeCell ref="BF1785:BF1786"/>
    <mergeCell ref="BG1785:BG1786"/>
    <mergeCell ref="BH1785:BH1786"/>
    <mergeCell ref="BC1787:BC1788"/>
    <mergeCell ref="BD1787:BD1788"/>
    <mergeCell ref="BE1787:BE1788"/>
    <mergeCell ref="BF1787:BF1788"/>
    <mergeCell ref="BG1787:BG1788"/>
    <mergeCell ref="BH1787:BH1788"/>
    <mergeCell ref="BC1789:BC1790"/>
    <mergeCell ref="BD1789:BD1790"/>
    <mergeCell ref="BE1789:BE1790"/>
    <mergeCell ref="BF1789:BF1790"/>
    <mergeCell ref="BG1789:BG1790"/>
    <mergeCell ref="BH1789:BH1790"/>
    <mergeCell ref="BC1791:BC1792"/>
    <mergeCell ref="BD1791:BD1792"/>
    <mergeCell ref="BE1791:BE1792"/>
    <mergeCell ref="BF1791:BF1792"/>
    <mergeCell ref="BG1791:BG1792"/>
    <mergeCell ref="BH1791:BH1792"/>
    <mergeCell ref="BC1793:BC1794"/>
    <mergeCell ref="BD1793:BD1794"/>
    <mergeCell ref="BE1793:BE1794"/>
    <mergeCell ref="BF1793:BF1794"/>
    <mergeCell ref="BG1793:BG1794"/>
    <mergeCell ref="BH1793:BH1794"/>
    <mergeCell ref="BC1795:BC1796"/>
    <mergeCell ref="BD1795:BD1796"/>
    <mergeCell ref="BE1795:BE1796"/>
    <mergeCell ref="BF1795:BF1796"/>
    <mergeCell ref="BG1795:BG1796"/>
    <mergeCell ref="BH1795:BH1796"/>
    <mergeCell ref="BC1798:BC1799"/>
    <mergeCell ref="BD1798:BD1799"/>
    <mergeCell ref="BE1798:BE1799"/>
    <mergeCell ref="BF1798:BF1799"/>
    <mergeCell ref="BG1798:BG1799"/>
    <mergeCell ref="BH1798:BH1799"/>
    <mergeCell ref="BC1800:BC1801"/>
    <mergeCell ref="BD1800:BD1801"/>
    <mergeCell ref="BE1800:BE1801"/>
    <mergeCell ref="BF1800:BF1801"/>
    <mergeCell ref="BG1800:BG1801"/>
    <mergeCell ref="BH1800:BH1801"/>
    <mergeCell ref="BC1802:BC1807"/>
    <mergeCell ref="BD1802:BD1807"/>
    <mergeCell ref="BE1802:BE1807"/>
    <mergeCell ref="BF1802:BF1807"/>
    <mergeCell ref="BG1802:BG1807"/>
    <mergeCell ref="BH1802:BH1807"/>
    <mergeCell ref="BC1809:BC1810"/>
    <mergeCell ref="BD1809:BD1810"/>
    <mergeCell ref="BE1809:BE1810"/>
    <mergeCell ref="BF1809:BF1810"/>
    <mergeCell ref="BG1809:BG1810"/>
    <mergeCell ref="BH1809:BH1810"/>
    <mergeCell ref="BC1812:BC1813"/>
    <mergeCell ref="BD1812:BD1813"/>
    <mergeCell ref="BE1812:BE1813"/>
    <mergeCell ref="BF1812:BF1813"/>
    <mergeCell ref="BG1812:BG1813"/>
    <mergeCell ref="BH1812:BH1813"/>
    <mergeCell ref="BC1815:BC1816"/>
    <mergeCell ref="BD1815:BD1816"/>
    <mergeCell ref="BE1815:BE1816"/>
    <mergeCell ref="BF1815:BF1816"/>
    <mergeCell ref="BG1815:BG1816"/>
    <mergeCell ref="BH1815:BH1816"/>
    <mergeCell ref="BC1817:BC1818"/>
    <mergeCell ref="BD1817:BD1818"/>
    <mergeCell ref="BE1817:BE1818"/>
    <mergeCell ref="BF1817:BF1818"/>
    <mergeCell ref="BG1817:BG1818"/>
    <mergeCell ref="BH1817:BH1818"/>
    <mergeCell ref="BC1819:BC1820"/>
    <mergeCell ref="BD1819:BD1820"/>
    <mergeCell ref="BE1819:BE1820"/>
    <mergeCell ref="BF1819:BF1820"/>
    <mergeCell ref="BG1819:BG1820"/>
    <mergeCell ref="BH1819:BH1820"/>
    <mergeCell ref="BC1821:BC1824"/>
    <mergeCell ref="BD1821:BD1824"/>
    <mergeCell ref="BE1821:BE1824"/>
    <mergeCell ref="BF1821:BF1824"/>
    <mergeCell ref="BG1821:BG1824"/>
    <mergeCell ref="BH1821:BH1824"/>
    <mergeCell ref="BC1825:BC1826"/>
    <mergeCell ref="BD1825:BD1826"/>
    <mergeCell ref="BE1825:BE1826"/>
    <mergeCell ref="BF1825:BF1826"/>
    <mergeCell ref="BG1825:BG1826"/>
    <mergeCell ref="BH1825:BH1826"/>
    <mergeCell ref="BC1827:BC1828"/>
    <mergeCell ref="BD1827:BD1828"/>
    <mergeCell ref="BE1827:BE1828"/>
    <mergeCell ref="BF1827:BF1828"/>
    <mergeCell ref="BG1827:BG1828"/>
    <mergeCell ref="BH1827:BH1828"/>
    <mergeCell ref="BC1830:BC1831"/>
    <mergeCell ref="BD1830:BD1831"/>
    <mergeCell ref="BE1830:BE1831"/>
    <mergeCell ref="BF1830:BF1831"/>
    <mergeCell ref="BG1830:BG1831"/>
    <mergeCell ref="BH1830:BH1831"/>
    <mergeCell ref="BC1832:BC1834"/>
    <mergeCell ref="BD1832:BD1834"/>
    <mergeCell ref="BE1832:BE1834"/>
    <mergeCell ref="BF1832:BF1834"/>
    <mergeCell ref="BG1832:BG1834"/>
    <mergeCell ref="BH1832:BH1834"/>
    <mergeCell ref="BC1835:BC1836"/>
    <mergeCell ref="BD1835:BD1836"/>
    <mergeCell ref="BE1835:BE1836"/>
    <mergeCell ref="BF1835:BF1836"/>
    <mergeCell ref="BG1835:BG1836"/>
    <mergeCell ref="BH1835:BH1836"/>
    <mergeCell ref="BC1837:BC1840"/>
    <mergeCell ref="BD1837:BD1840"/>
    <mergeCell ref="BE1837:BE1840"/>
    <mergeCell ref="BF1837:BF1840"/>
    <mergeCell ref="BG1837:BG1840"/>
    <mergeCell ref="BH1837:BH1840"/>
    <mergeCell ref="BC1841:BC1842"/>
    <mergeCell ref="BD1841:BD1842"/>
    <mergeCell ref="BE1841:BE1842"/>
    <mergeCell ref="BF1841:BF1842"/>
    <mergeCell ref="BG1841:BG1842"/>
    <mergeCell ref="BH1841:BH1842"/>
    <mergeCell ref="BC1844:BC1846"/>
    <mergeCell ref="BD1844:BD1846"/>
    <mergeCell ref="BE1844:BE1846"/>
    <mergeCell ref="BF1844:BF1846"/>
    <mergeCell ref="BG1844:BG1846"/>
    <mergeCell ref="BH1844:BH1846"/>
    <mergeCell ref="BC1847:BC1848"/>
    <mergeCell ref="BD1847:BD1848"/>
    <mergeCell ref="BE1847:BE1848"/>
    <mergeCell ref="BF1847:BF1848"/>
    <mergeCell ref="BG1847:BG1848"/>
    <mergeCell ref="BH1847:BH1848"/>
    <mergeCell ref="BC1850:BC1852"/>
    <mergeCell ref="BD1850:BD1852"/>
    <mergeCell ref="BE1850:BE1852"/>
    <mergeCell ref="BF1850:BF1852"/>
    <mergeCell ref="BG1850:BG1852"/>
    <mergeCell ref="BH1850:BH1852"/>
    <mergeCell ref="BC1854:BC1855"/>
    <mergeCell ref="BD1854:BD1855"/>
    <mergeCell ref="BE1854:BE1855"/>
    <mergeCell ref="BF1854:BF1855"/>
    <mergeCell ref="BG1854:BG1855"/>
    <mergeCell ref="BH1854:BH1855"/>
    <mergeCell ref="BC1862:BC1865"/>
    <mergeCell ref="BD1862:BD1865"/>
    <mergeCell ref="BE1862:BE1865"/>
    <mergeCell ref="BF1862:BF1865"/>
    <mergeCell ref="BG1862:BG1865"/>
    <mergeCell ref="BH1862:BH1865"/>
    <mergeCell ref="BC1875:BC1880"/>
    <mergeCell ref="BD1875:BD1880"/>
    <mergeCell ref="BE1875:BE1880"/>
    <mergeCell ref="BF1875:BF1880"/>
    <mergeCell ref="BG1875:BG1880"/>
    <mergeCell ref="BH1875:BH1880"/>
    <mergeCell ref="BC1885:BC1891"/>
    <mergeCell ref="BD1885:BD1891"/>
    <mergeCell ref="BE1885:BE1891"/>
    <mergeCell ref="BF1885:BF1891"/>
    <mergeCell ref="BG1885:BG1891"/>
    <mergeCell ref="BH1885:BH1891"/>
    <mergeCell ref="BC1892:BC1894"/>
    <mergeCell ref="BD1892:BD1894"/>
    <mergeCell ref="BE1892:BE1894"/>
    <mergeCell ref="BF1892:BF1894"/>
    <mergeCell ref="BG1892:BG1894"/>
    <mergeCell ref="BH1892:BH1894"/>
    <mergeCell ref="BC1901:BC1906"/>
    <mergeCell ref="BD1901:BD1906"/>
    <mergeCell ref="BE1901:BE1906"/>
    <mergeCell ref="BF1901:BF1906"/>
    <mergeCell ref="BG1901:BG1906"/>
    <mergeCell ref="BH1901:BH1906"/>
    <mergeCell ref="BC1920:BC1926"/>
    <mergeCell ref="BD1920:BD1926"/>
    <mergeCell ref="BE1920:BE1926"/>
    <mergeCell ref="BF1920:BF1926"/>
    <mergeCell ref="BG1920:BG1926"/>
    <mergeCell ref="BH1920:BH1926"/>
    <mergeCell ref="BC1933:BC1935"/>
    <mergeCell ref="BD1933:BD1935"/>
    <mergeCell ref="BE1933:BE1935"/>
    <mergeCell ref="BF1933:BF1935"/>
    <mergeCell ref="BG1933:BG1935"/>
    <mergeCell ref="BH1933:BH1935"/>
    <mergeCell ref="BC1941:BC1943"/>
    <mergeCell ref="BD1941:BD1943"/>
    <mergeCell ref="BE1941:BE1943"/>
    <mergeCell ref="BF1941:BF1943"/>
    <mergeCell ref="BG1941:BG1943"/>
    <mergeCell ref="BH1941:BH1943"/>
    <mergeCell ref="BC1949:BC1950"/>
    <mergeCell ref="BD1949:BD1950"/>
    <mergeCell ref="BE1949:BE1950"/>
    <mergeCell ref="BF1949:BF1950"/>
    <mergeCell ref="BG1949:BG1950"/>
    <mergeCell ref="BH1949:BH1950"/>
    <mergeCell ref="BC1958:BC1959"/>
    <mergeCell ref="BD1958:BD1959"/>
    <mergeCell ref="BE1958:BE1959"/>
    <mergeCell ref="BF1958:BF1959"/>
    <mergeCell ref="BG1958:BG1959"/>
    <mergeCell ref="BH1958:BH1959"/>
    <mergeCell ref="BC1966:BC1967"/>
    <mergeCell ref="BD1966:BD1967"/>
    <mergeCell ref="BE1966:BE1967"/>
    <mergeCell ref="BF1966:BF1967"/>
    <mergeCell ref="BG1966:BG1967"/>
    <mergeCell ref="BH1966:BH1967"/>
    <mergeCell ref="BC1971:BC1972"/>
    <mergeCell ref="BD1971:BD1972"/>
    <mergeCell ref="BE1971:BE1972"/>
    <mergeCell ref="BF1971:BF1972"/>
    <mergeCell ref="BG1971:BG1972"/>
    <mergeCell ref="BH1971:BH1972"/>
    <mergeCell ref="BC1981:BC1983"/>
    <mergeCell ref="BD1981:BD1983"/>
    <mergeCell ref="BE1981:BE1983"/>
    <mergeCell ref="BF1981:BF1983"/>
    <mergeCell ref="BG1981:BG1983"/>
    <mergeCell ref="BH1981:BH1983"/>
    <mergeCell ref="BC1985:BC1986"/>
    <mergeCell ref="BD1985:BD1986"/>
    <mergeCell ref="BE1985:BE1986"/>
    <mergeCell ref="BF1985:BF1986"/>
    <mergeCell ref="BG1985:BG1986"/>
    <mergeCell ref="BH1985:BH1986"/>
    <mergeCell ref="BC1996:BC1998"/>
    <mergeCell ref="BD1996:BD1998"/>
    <mergeCell ref="BE1996:BE1998"/>
    <mergeCell ref="BF1996:BF1998"/>
    <mergeCell ref="BG1996:BG1998"/>
    <mergeCell ref="BH1996:BH1998"/>
    <mergeCell ref="BC2010:BC2011"/>
    <mergeCell ref="BD2010:BD2011"/>
    <mergeCell ref="BE2010:BE2011"/>
    <mergeCell ref="BF2010:BF2011"/>
    <mergeCell ref="BG2010:BG2011"/>
    <mergeCell ref="BH2010:BH2011"/>
    <mergeCell ref="BC2019:BC2020"/>
    <mergeCell ref="BD2019:BD2020"/>
    <mergeCell ref="BE2019:BE2020"/>
    <mergeCell ref="BF2019:BF2020"/>
    <mergeCell ref="BG2019:BG2020"/>
    <mergeCell ref="BH2019:BH2020"/>
    <mergeCell ref="BC2054:BC2056"/>
    <mergeCell ref="BD2054:BD2056"/>
    <mergeCell ref="BE2054:BE2056"/>
    <mergeCell ref="BF2054:BF2056"/>
    <mergeCell ref="BG2054:BG2056"/>
    <mergeCell ref="BH2054:BH2056"/>
    <mergeCell ref="BC2057:BC2059"/>
    <mergeCell ref="BD2057:BD2059"/>
    <mergeCell ref="BE2057:BE2059"/>
    <mergeCell ref="BF2057:BF2059"/>
    <mergeCell ref="BG2057:BG2059"/>
    <mergeCell ref="BH2057:BH2059"/>
    <mergeCell ref="BC2060:BC2061"/>
    <mergeCell ref="BD2060:BD2061"/>
    <mergeCell ref="BE2060:BE2061"/>
    <mergeCell ref="BF2060:BF2061"/>
    <mergeCell ref="BG2060:BG2061"/>
    <mergeCell ref="BH2060:BH2061"/>
    <mergeCell ref="BC2063:BC2070"/>
    <mergeCell ref="BD2063:BD2070"/>
    <mergeCell ref="BE2063:BE2070"/>
    <mergeCell ref="BF2063:BF2070"/>
    <mergeCell ref="BG2063:BG2070"/>
    <mergeCell ref="BH2063:BH2070"/>
    <mergeCell ref="BC2071:BC2072"/>
    <mergeCell ref="BD2071:BD2072"/>
    <mergeCell ref="BE2071:BE2072"/>
    <mergeCell ref="BF2071:BF2072"/>
    <mergeCell ref="BG2071:BG2072"/>
    <mergeCell ref="BH2071:BH2072"/>
    <mergeCell ref="BC2089:BC2094"/>
    <mergeCell ref="BD2089:BD2094"/>
    <mergeCell ref="BE2089:BE2094"/>
    <mergeCell ref="BF2089:BF2094"/>
    <mergeCell ref="BG2089:BG2094"/>
    <mergeCell ref="BH2089:BH2094"/>
    <mergeCell ref="BC2095:BC2099"/>
    <mergeCell ref="BD2095:BD2099"/>
    <mergeCell ref="BE2095:BE2099"/>
    <mergeCell ref="BF2095:BF2099"/>
    <mergeCell ref="BG2095:BG2099"/>
    <mergeCell ref="BH2095:BH2099"/>
    <mergeCell ref="BC2100:BC2102"/>
    <mergeCell ref="BD2100:BD2102"/>
    <mergeCell ref="BE2100:BE2102"/>
    <mergeCell ref="BF2100:BF2102"/>
    <mergeCell ref="BG2100:BG2102"/>
    <mergeCell ref="BH2100:BH2102"/>
    <mergeCell ref="BC2103:BC2109"/>
    <mergeCell ref="BD2103:BD2109"/>
    <mergeCell ref="BE2103:BE2109"/>
    <mergeCell ref="BF2103:BF2109"/>
    <mergeCell ref="BG2103:BG2109"/>
    <mergeCell ref="BH2103:BH2109"/>
    <mergeCell ref="BC2110:BC2116"/>
    <mergeCell ref="BD2110:BD2116"/>
    <mergeCell ref="BE2110:BE2116"/>
    <mergeCell ref="BF2110:BF2116"/>
    <mergeCell ref="BG2110:BG2116"/>
    <mergeCell ref="BH2110:BH2116"/>
    <mergeCell ref="BC2117:BC2118"/>
    <mergeCell ref="BD2117:BD2118"/>
    <mergeCell ref="BE2117:BE2118"/>
    <mergeCell ref="BF2117:BF2118"/>
    <mergeCell ref="BG2117:BG2118"/>
    <mergeCell ref="BH2117:BH2118"/>
    <mergeCell ref="BC2119:BC2123"/>
    <mergeCell ref="BD2119:BD2123"/>
    <mergeCell ref="BE2119:BE2123"/>
    <mergeCell ref="BF2119:BF2123"/>
    <mergeCell ref="BG2119:BG2123"/>
    <mergeCell ref="BH2119:BH2123"/>
    <mergeCell ref="BC2124:BC2125"/>
    <mergeCell ref="BD2124:BD2125"/>
    <mergeCell ref="BE2124:BE2125"/>
    <mergeCell ref="BF2124:BF2125"/>
    <mergeCell ref="BG2124:BG2125"/>
    <mergeCell ref="BH2124:BH2125"/>
    <mergeCell ref="BC2126:BC2127"/>
    <mergeCell ref="BD2126:BD2127"/>
    <mergeCell ref="BE2126:BE2127"/>
    <mergeCell ref="BF2126:BF2127"/>
    <mergeCell ref="BG2126:BG2127"/>
    <mergeCell ref="BH2126:BH2127"/>
    <mergeCell ref="BC2129:BC2130"/>
    <mergeCell ref="BD2129:BD2130"/>
    <mergeCell ref="BE2129:BE2130"/>
    <mergeCell ref="BF2129:BF2130"/>
    <mergeCell ref="BG2129:BG2130"/>
    <mergeCell ref="BH2129:BH2130"/>
    <mergeCell ref="BC2131:BC2134"/>
    <mergeCell ref="BD2131:BD2134"/>
    <mergeCell ref="BE2131:BE2134"/>
    <mergeCell ref="BF2131:BF2134"/>
    <mergeCell ref="BG2131:BG2134"/>
    <mergeCell ref="BH2131:BH2134"/>
    <mergeCell ref="BC2135:BC2138"/>
    <mergeCell ref="BD2135:BD2138"/>
    <mergeCell ref="BE2135:BE2138"/>
    <mergeCell ref="BF2135:BF2138"/>
    <mergeCell ref="BG2135:BG2138"/>
    <mergeCell ref="BH2135:BH2138"/>
    <mergeCell ref="BC2139:BC2141"/>
    <mergeCell ref="BD2139:BD2141"/>
    <mergeCell ref="BE2139:BE2141"/>
    <mergeCell ref="BF2139:BF2141"/>
    <mergeCell ref="BG2139:BG2141"/>
    <mergeCell ref="BH2139:BH2141"/>
    <mergeCell ref="BC2143:BC2144"/>
    <mergeCell ref="BD2143:BD2144"/>
    <mergeCell ref="BE2143:BE2144"/>
    <mergeCell ref="BF2143:BF2144"/>
    <mergeCell ref="BG2143:BG2144"/>
    <mergeCell ref="BH2143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2"/>
    <mergeCell ref="BD2149:BD2152"/>
    <mergeCell ref="BE2149:BE2152"/>
    <mergeCell ref="BF2149:BF2152"/>
    <mergeCell ref="BG2149:BG2152"/>
    <mergeCell ref="BH2149:BH2152"/>
    <mergeCell ref="BC2157:BC2158"/>
    <mergeCell ref="BD2157:BD2158"/>
    <mergeCell ref="BE2157:BE2158"/>
    <mergeCell ref="BF2157:BF2158"/>
    <mergeCell ref="BG2157:BG2158"/>
    <mergeCell ref="BH2157:BH2158"/>
    <mergeCell ref="BC2159:BC2161"/>
    <mergeCell ref="BD2159:BD2161"/>
    <mergeCell ref="BE2159:BE2161"/>
    <mergeCell ref="BF2159:BF2161"/>
    <mergeCell ref="BG2159:BG2161"/>
    <mergeCell ref="BH2159:BH2161"/>
    <mergeCell ref="BC2162:BC2163"/>
    <mergeCell ref="BD2162:BD2163"/>
    <mergeCell ref="BE2162:BE2163"/>
    <mergeCell ref="BF2162:BF2163"/>
    <mergeCell ref="BG2162:BG2163"/>
    <mergeCell ref="BH2162:BH2163"/>
    <mergeCell ref="BC2180:BC2181"/>
    <mergeCell ref="BD2180:BD2181"/>
    <mergeCell ref="BE2180:BE2181"/>
    <mergeCell ref="BF2180:BF2181"/>
    <mergeCell ref="BG2180:BG2181"/>
    <mergeCell ref="BH2180:BH2181"/>
    <mergeCell ref="BC2193:BC2195"/>
    <mergeCell ref="BD2193:BD2195"/>
    <mergeCell ref="BE2193:BE2195"/>
    <mergeCell ref="BF2193:BF2195"/>
    <mergeCell ref="BG2193:BG2195"/>
    <mergeCell ref="BH2193:BH2195"/>
    <mergeCell ref="BC2196:BC2199"/>
    <mergeCell ref="BD2196:BD2199"/>
    <mergeCell ref="BE2196:BE2199"/>
    <mergeCell ref="BF2196:BF2199"/>
    <mergeCell ref="BG2196:BG2199"/>
    <mergeCell ref="BH2196:BH2199"/>
    <mergeCell ref="BC2200:BC2203"/>
    <mergeCell ref="BD2200:BD2203"/>
    <mergeCell ref="BE2200:BE2203"/>
    <mergeCell ref="BF2200:BF2203"/>
    <mergeCell ref="BG2200:BG2203"/>
    <mergeCell ref="BH2200:BH2203"/>
    <mergeCell ref="BC2204:BC2206"/>
    <mergeCell ref="BD2204:BD2206"/>
    <mergeCell ref="BE2204:BE2206"/>
    <mergeCell ref="BF2204:BF2206"/>
    <mergeCell ref="BG2204:BG2206"/>
    <mergeCell ref="BH2204:BH2206"/>
    <mergeCell ref="BC2207:BC2209"/>
    <mergeCell ref="BD2207:BD2209"/>
    <mergeCell ref="BE2207:BE2209"/>
    <mergeCell ref="BF2207:BF2209"/>
    <mergeCell ref="BG2207:BG2209"/>
    <mergeCell ref="BH2207:BH2209"/>
    <mergeCell ref="BC2210:BC2213"/>
    <mergeCell ref="BD2210:BD2213"/>
    <mergeCell ref="BE2210:BE2213"/>
    <mergeCell ref="BF2210:BF2213"/>
    <mergeCell ref="BG2210:BG2213"/>
    <mergeCell ref="BH2210:BH2213"/>
    <mergeCell ref="BC2214:BC2216"/>
    <mergeCell ref="BD2214:BD2216"/>
    <mergeCell ref="BE2214:BE2216"/>
    <mergeCell ref="BF2214:BF2216"/>
    <mergeCell ref="BG2214:BG2216"/>
    <mergeCell ref="BH2214:BH2216"/>
    <mergeCell ref="BC2217:BC2218"/>
    <mergeCell ref="BD2217:BD2218"/>
    <mergeCell ref="BE2217:BE2218"/>
    <mergeCell ref="BF2217:BF2218"/>
    <mergeCell ref="BG2217:BG2218"/>
    <mergeCell ref="BH2217:BH2218"/>
    <mergeCell ref="BC2219:BC2222"/>
    <mergeCell ref="BD2219:BD2222"/>
    <mergeCell ref="BE2219:BE2222"/>
    <mergeCell ref="BF2219:BF2222"/>
    <mergeCell ref="BG2219:BG2222"/>
    <mergeCell ref="BH2219:BH2222"/>
    <mergeCell ref="BC2223:BC2224"/>
    <mergeCell ref="BD2223:BD2224"/>
    <mergeCell ref="BE2223:BE2224"/>
    <mergeCell ref="BF2223:BF2224"/>
    <mergeCell ref="BG2223:BG2224"/>
    <mergeCell ref="BH2223:BH2224"/>
    <mergeCell ref="BC2225:BC2226"/>
    <mergeCell ref="BD2225:BD2226"/>
    <mergeCell ref="BE2225:BE2226"/>
    <mergeCell ref="BF2225:BF2226"/>
    <mergeCell ref="BG2225:BG2226"/>
    <mergeCell ref="BH2225:BH2226"/>
    <mergeCell ref="BC2228:BC2229"/>
    <mergeCell ref="BD2228:BD2229"/>
    <mergeCell ref="BE2228:BE2229"/>
    <mergeCell ref="BF2228:BF2229"/>
    <mergeCell ref="BG2228:BG2229"/>
    <mergeCell ref="BH2228:BH2229"/>
    <mergeCell ref="BC2230:BC2232"/>
    <mergeCell ref="BD2230:BD2232"/>
    <mergeCell ref="BE2230:BE2232"/>
    <mergeCell ref="BF2230:BF2232"/>
    <mergeCell ref="BG2230:BG2232"/>
    <mergeCell ref="BH2230:BH2232"/>
    <mergeCell ref="BC2234:BC2235"/>
    <mergeCell ref="BD2234:BD2235"/>
    <mergeCell ref="BE2234:BE2235"/>
    <mergeCell ref="BF2234:BF2235"/>
    <mergeCell ref="BG2234:BG2235"/>
    <mergeCell ref="BH2234:BH2235"/>
    <mergeCell ref="BC2240:BC2241"/>
    <mergeCell ref="BD2240:BD2241"/>
    <mergeCell ref="BE2240:BE2241"/>
    <mergeCell ref="BF2240:BF2241"/>
    <mergeCell ref="BG2240:BG2241"/>
    <mergeCell ref="BH2240:BH2241"/>
    <mergeCell ref="BC2242:BC2243"/>
    <mergeCell ref="BD2242:BD2243"/>
    <mergeCell ref="BE2242:BE2243"/>
    <mergeCell ref="BF2242:BF2243"/>
    <mergeCell ref="BG2242:BG2243"/>
    <mergeCell ref="BH2242:BH2243"/>
    <mergeCell ref="BC2246:BC2247"/>
    <mergeCell ref="BD2246:BD2247"/>
    <mergeCell ref="BE2246:BE2247"/>
    <mergeCell ref="BF2246:BF2247"/>
    <mergeCell ref="BG2246:BG2247"/>
    <mergeCell ref="BH2246:BH2247"/>
    <mergeCell ref="BC2248:BC2250"/>
    <mergeCell ref="BD2248:BD2250"/>
    <mergeCell ref="BE2248:BE2250"/>
    <mergeCell ref="BF2248:BF2250"/>
    <mergeCell ref="BG2248:BG2250"/>
    <mergeCell ref="BH2248:BH2250"/>
    <mergeCell ref="BC2253:BC2256"/>
    <mergeCell ref="BD2253:BD2256"/>
    <mergeCell ref="BE2253:BE2256"/>
    <mergeCell ref="BF2253:BF2256"/>
    <mergeCell ref="BG2253:BG2256"/>
    <mergeCell ref="BH2253:BH2256"/>
    <mergeCell ref="BC2257:BC2258"/>
    <mergeCell ref="BD2257:BD2258"/>
    <mergeCell ref="BE2257:BE2258"/>
    <mergeCell ref="BF2257:BF2258"/>
    <mergeCell ref="BG2257:BG2258"/>
    <mergeCell ref="BH2257:BH2258"/>
    <mergeCell ref="BC2259:BC2260"/>
    <mergeCell ref="BD2259:BD2260"/>
    <mergeCell ref="BE2259:BE2260"/>
    <mergeCell ref="BF2259:BF2260"/>
    <mergeCell ref="BG2259:BG2260"/>
    <mergeCell ref="BH2259:BH2260"/>
    <mergeCell ref="BC2261:BC2264"/>
    <mergeCell ref="BD2261:BD2264"/>
    <mergeCell ref="BE2261:BE2264"/>
    <mergeCell ref="BF2261:BF2264"/>
    <mergeCell ref="BG2261:BG2264"/>
    <mergeCell ref="BH2261:BH2264"/>
    <mergeCell ref="BC2265:BC2266"/>
    <mergeCell ref="BD2265:BD2266"/>
    <mergeCell ref="BE2265:BE2266"/>
    <mergeCell ref="BF2265:BF2266"/>
    <mergeCell ref="BG2265:BG2266"/>
    <mergeCell ref="BH2265:BH2266"/>
    <mergeCell ref="BC2274:BC2278"/>
    <mergeCell ref="BD2274:BD2278"/>
    <mergeCell ref="BE2274:BE2278"/>
    <mergeCell ref="BF2274:BF2278"/>
    <mergeCell ref="BG2274:BG2278"/>
    <mergeCell ref="BH2274:BH2278"/>
    <mergeCell ref="BC2279:BC2282"/>
    <mergeCell ref="BD2279:BD2282"/>
    <mergeCell ref="BE2279:BE2282"/>
    <mergeCell ref="BF2279:BF2282"/>
    <mergeCell ref="BG2279:BG2282"/>
    <mergeCell ref="BH2279:BH2282"/>
    <mergeCell ref="BC2283:BC2286"/>
    <mergeCell ref="BD2283:BD2286"/>
    <mergeCell ref="BE2283:BE2286"/>
    <mergeCell ref="BF2283:BF2286"/>
    <mergeCell ref="BG2283:BG2286"/>
    <mergeCell ref="BH2283:BH2286"/>
    <mergeCell ref="BC2287:BC2288"/>
    <mergeCell ref="BD2287:BD2288"/>
    <mergeCell ref="BE2287:BE2288"/>
    <mergeCell ref="BF2287:BF2288"/>
    <mergeCell ref="BG2287:BG2288"/>
    <mergeCell ref="BH2287:BH2288"/>
    <mergeCell ref="BC2290:BC2291"/>
    <mergeCell ref="BD2290:BD2291"/>
    <mergeCell ref="BE2290:BE2291"/>
    <mergeCell ref="BF2290:BF2291"/>
    <mergeCell ref="BG2290:BG2291"/>
    <mergeCell ref="BH2290:BH2291"/>
    <mergeCell ref="BC2292:BC2293"/>
    <mergeCell ref="BD2292:BD2293"/>
    <mergeCell ref="BE2292:BE2293"/>
    <mergeCell ref="BF2292:BF2293"/>
    <mergeCell ref="BG2292:BG2293"/>
    <mergeCell ref="BH2292:BH2293"/>
    <mergeCell ref="BC2295:BC2296"/>
    <mergeCell ref="BD2295:BD2296"/>
    <mergeCell ref="BE2295:BE2296"/>
    <mergeCell ref="BF2295:BF2296"/>
    <mergeCell ref="BG2295:BG2296"/>
    <mergeCell ref="BH2295:BH2296"/>
    <mergeCell ref="BC2297:BC2299"/>
    <mergeCell ref="BD2297:BD2299"/>
    <mergeCell ref="BE2297:BE2299"/>
    <mergeCell ref="BF2297:BF2299"/>
    <mergeCell ref="BG2297:BG2299"/>
    <mergeCell ref="BH2297:BH2299"/>
    <mergeCell ref="BC2306:BC2308"/>
    <mergeCell ref="BD2306:BD2308"/>
    <mergeCell ref="BE2306:BE2308"/>
    <mergeCell ref="BF2306:BF2308"/>
    <mergeCell ref="BG2306:BG2308"/>
    <mergeCell ref="BH2306:BH2308"/>
    <mergeCell ref="BC2310:BC2311"/>
    <mergeCell ref="BD2310:BD2311"/>
    <mergeCell ref="BE2310:BE2311"/>
    <mergeCell ref="BF2310:BF2311"/>
    <mergeCell ref="BG2310:BG2311"/>
    <mergeCell ref="BH2310:BH2311"/>
    <mergeCell ref="BC2321:BC2323"/>
    <mergeCell ref="BD2321:BD2323"/>
    <mergeCell ref="BE2321:BE2323"/>
    <mergeCell ref="BF2321:BF2323"/>
    <mergeCell ref="BG2321:BG2323"/>
    <mergeCell ref="BH2321:BH2323"/>
    <mergeCell ref="BC2326:BC2328"/>
    <mergeCell ref="BD2326:BD2328"/>
    <mergeCell ref="BE2326:BE2328"/>
    <mergeCell ref="BF2326:BF2328"/>
    <mergeCell ref="BG2326:BG2328"/>
    <mergeCell ref="BH2326:BH2328"/>
    <mergeCell ref="BC2330:BC2335"/>
    <mergeCell ref="BD2330:BD2335"/>
    <mergeCell ref="BE2330:BE2335"/>
    <mergeCell ref="BF2330:BF2335"/>
    <mergeCell ref="BG2330:BG2335"/>
    <mergeCell ref="BH2330:BH2335"/>
    <mergeCell ref="BC2336:BC2337"/>
    <mergeCell ref="BD2336:BD2337"/>
    <mergeCell ref="BE2336:BE2337"/>
    <mergeCell ref="BF2336:BF2337"/>
    <mergeCell ref="BG2336:BG2337"/>
    <mergeCell ref="BH2336:BH2337"/>
    <mergeCell ref="BC2338:BC2344"/>
    <mergeCell ref="BD2338:BD2344"/>
    <mergeCell ref="BE2338:BE2344"/>
    <mergeCell ref="BF2338:BF2344"/>
    <mergeCell ref="BG2338:BG2344"/>
    <mergeCell ref="BH2338:BH2344"/>
    <mergeCell ref="BC2348:BC2352"/>
    <mergeCell ref="BD2348:BD2352"/>
    <mergeCell ref="BE2348:BE2352"/>
    <mergeCell ref="BF2348:BF2352"/>
    <mergeCell ref="BG2348:BG2352"/>
    <mergeCell ref="BH2348:BH2352"/>
    <mergeCell ref="BC2356:BC2357"/>
    <mergeCell ref="BD2356:BD2357"/>
    <mergeCell ref="BE2356:BE2357"/>
    <mergeCell ref="BF2356:BF2357"/>
    <mergeCell ref="BG2356:BG2357"/>
    <mergeCell ref="BH2356:BH2357"/>
    <mergeCell ref="BC2362:BC2364"/>
    <mergeCell ref="BD2362:BD2364"/>
    <mergeCell ref="BE2362:BE2364"/>
    <mergeCell ref="BF2362:BF2364"/>
    <mergeCell ref="BG2362:BG2364"/>
    <mergeCell ref="BH2362:BH2364"/>
    <mergeCell ref="BC2373:BC2374"/>
    <mergeCell ref="BD2373:BD2374"/>
    <mergeCell ref="BE2373:BE2374"/>
    <mergeCell ref="BF2373:BF2374"/>
    <mergeCell ref="BG2373:BG2374"/>
    <mergeCell ref="BH2373:BH2374"/>
    <mergeCell ref="BC2379:BC2380"/>
    <mergeCell ref="BD2379:BD2380"/>
    <mergeCell ref="BE2379:BE2380"/>
    <mergeCell ref="BF2379:BF2380"/>
    <mergeCell ref="BG2379:BG2380"/>
    <mergeCell ref="BH2379:BH2380"/>
    <mergeCell ref="BC2385:BC2391"/>
    <mergeCell ref="BD2385:BD2391"/>
    <mergeCell ref="BE2385:BE2391"/>
    <mergeCell ref="BF2385:BF2391"/>
    <mergeCell ref="BG2385:BG2391"/>
    <mergeCell ref="BH2385:BH2391"/>
    <mergeCell ref="BC2392:BC2394"/>
    <mergeCell ref="BD2392:BD2394"/>
    <mergeCell ref="BE2392:BE2394"/>
    <mergeCell ref="BF2392:BF2394"/>
    <mergeCell ref="BG2392:BG2394"/>
    <mergeCell ref="BH2392:BH2394"/>
    <mergeCell ref="BC2395:BC2397"/>
    <mergeCell ref="BD2395:BD2397"/>
    <mergeCell ref="BE2395:BE2397"/>
    <mergeCell ref="BF2395:BF2397"/>
    <mergeCell ref="BG2395:BG2397"/>
    <mergeCell ref="BH2395:BH2397"/>
    <mergeCell ref="BC2398:BC2400"/>
    <mergeCell ref="BD2398:BD2400"/>
    <mergeCell ref="BE2398:BE2400"/>
    <mergeCell ref="BF2398:BF2400"/>
    <mergeCell ref="BG2398:BG2400"/>
    <mergeCell ref="BH2398:BH2400"/>
    <mergeCell ref="BC2401:BC2404"/>
    <mergeCell ref="BD2401:BD2404"/>
    <mergeCell ref="BE2401:BE2404"/>
    <mergeCell ref="BF2401:BF2404"/>
    <mergeCell ref="BG2401:BG2404"/>
    <mergeCell ref="BH2401:BH2404"/>
    <mergeCell ref="BC2405:BC2406"/>
    <mergeCell ref="BD2405:BD2406"/>
    <mergeCell ref="BE2405:BE2406"/>
    <mergeCell ref="BF2405:BF2406"/>
    <mergeCell ref="BG2405:BG2406"/>
    <mergeCell ref="BH2405:BH2406"/>
    <mergeCell ref="BC2407:BC2408"/>
    <mergeCell ref="BD2407:BD2408"/>
    <mergeCell ref="BE2407:BE2408"/>
    <mergeCell ref="BF2407:BF2408"/>
    <mergeCell ref="BG2407:BG2408"/>
    <mergeCell ref="BH2407:BH2408"/>
    <mergeCell ref="BC2411:BC2412"/>
    <mergeCell ref="BD2411:BD2412"/>
    <mergeCell ref="BE2411:BE2412"/>
    <mergeCell ref="BF2411:BF2412"/>
    <mergeCell ref="BG2411:BG2412"/>
    <mergeCell ref="BH2411:BH2412"/>
    <mergeCell ref="BC2413:BC2414"/>
    <mergeCell ref="BD2413:BD2414"/>
    <mergeCell ref="BE2413:BE2414"/>
    <mergeCell ref="BF2413:BF2414"/>
    <mergeCell ref="BG2413:BG2414"/>
    <mergeCell ref="BH2413:BH2414"/>
    <mergeCell ref="BC2417:BC2418"/>
    <mergeCell ref="BD2417:BD2418"/>
    <mergeCell ref="BE2417:BE2418"/>
    <mergeCell ref="BF2417:BF2418"/>
    <mergeCell ref="BG2417:BG2418"/>
    <mergeCell ref="BH2417:BH2418"/>
    <mergeCell ref="BC2419:BC2421"/>
    <mergeCell ref="BD2419:BD2421"/>
    <mergeCell ref="BE2419:BE2421"/>
    <mergeCell ref="BF2419:BF2421"/>
    <mergeCell ref="BG2419:BG2421"/>
    <mergeCell ref="BH2419:BH2421"/>
    <mergeCell ref="BC2427:BC2429"/>
    <mergeCell ref="BD2427:BD2429"/>
    <mergeCell ref="BE2427:BE2429"/>
    <mergeCell ref="BF2427:BF2429"/>
    <mergeCell ref="BG2427:BG2429"/>
    <mergeCell ref="BH2427:BH2429"/>
    <mergeCell ref="BC2430:BC2431"/>
    <mergeCell ref="BD2430:BD2431"/>
    <mergeCell ref="BE2430:BE2431"/>
    <mergeCell ref="BF2430:BF2431"/>
    <mergeCell ref="BG2430:BG2431"/>
    <mergeCell ref="BH2430:BH2431"/>
    <mergeCell ref="BC2434:BC2436"/>
    <mergeCell ref="BD2434:BD2436"/>
    <mergeCell ref="BE2434:BE2436"/>
    <mergeCell ref="BF2434:BF2436"/>
    <mergeCell ref="BG2434:BG2436"/>
    <mergeCell ref="BH2434:BH2436"/>
    <mergeCell ref="BC2437:BC2439"/>
    <mergeCell ref="BD2437:BD2439"/>
    <mergeCell ref="BE2437:BE2439"/>
    <mergeCell ref="BF2437:BF2439"/>
    <mergeCell ref="BG2437:BG2439"/>
    <mergeCell ref="BH2437:BH2439"/>
    <mergeCell ref="BC2442:BC2446"/>
    <mergeCell ref="BD2442:BD2446"/>
    <mergeCell ref="BE2442:BE2446"/>
    <mergeCell ref="BF2442:BF2446"/>
    <mergeCell ref="BG2442:BG2446"/>
    <mergeCell ref="BH2442:BH2446"/>
    <mergeCell ref="BC2458:BC2459"/>
    <mergeCell ref="BD2458:BD2459"/>
    <mergeCell ref="BE2458:BE2459"/>
    <mergeCell ref="BF2458:BF2459"/>
    <mergeCell ref="BG2458:BG2459"/>
    <mergeCell ref="BH2458:BH2459"/>
    <mergeCell ref="BC2472:BC2474"/>
    <mergeCell ref="BD2472:BD2474"/>
    <mergeCell ref="BE2472:BE2474"/>
    <mergeCell ref="BF2472:BF2474"/>
    <mergeCell ref="BG2472:BG2474"/>
    <mergeCell ref="BH2472:BH2474"/>
    <mergeCell ref="BC2480:BC2481"/>
    <mergeCell ref="BD2480:BD2481"/>
    <mergeCell ref="BE2480:BE2481"/>
    <mergeCell ref="BF2480:BF2481"/>
    <mergeCell ref="BG2480:BG2481"/>
    <mergeCell ref="BH2480:BH2481"/>
    <mergeCell ref="BC2487:BC2488"/>
    <mergeCell ref="BD2487:BD2488"/>
    <mergeCell ref="BE2487:BE2488"/>
    <mergeCell ref="BF2487:BF2488"/>
    <mergeCell ref="BG2487:BG2488"/>
    <mergeCell ref="BH2487:BH2488"/>
    <mergeCell ref="BC2497:BC2498"/>
    <mergeCell ref="BD2497:BD2498"/>
    <mergeCell ref="BE2497:BE2498"/>
    <mergeCell ref="BF2497:BF2498"/>
    <mergeCell ref="BG2497:BG2498"/>
    <mergeCell ref="BH2497:BH2498"/>
    <mergeCell ref="BC2509:BC2510"/>
    <mergeCell ref="BD2509:BD2510"/>
    <mergeCell ref="BE2509:BE2510"/>
    <mergeCell ref="BF2509:BF2510"/>
    <mergeCell ref="BG2509:BG2510"/>
    <mergeCell ref="BH2509:BH2510"/>
    <mergeCell ref="BC2512:BC2514"/>
    <mergeCell ref="BD2512:BD2514"/>
    <mergeCell ref="BE2512:BE2514"/>
    <mergeCell ref="BF2512:BF2514"/>
    <mergeCell ref="BG2512:BG2514"/>
    <mergeCell ref="BH2512:BH2514"/>
    <mergeCell ref="BC2516:BC2519"/>
    <mergeCell ref="BD2516:BD2519"/>
    <mergeCell ref="BE2516:BE2519"/>
    <mergeCell ref="BF2516:BF2519"/>
    <mergeCell ref="BG2516:BG2519"/>
    <mergeCell ref="BH2516:BH2519"/>
    <mergeCell ref="BC2520:BC2525"/>
    <mergeCell ref="BD2520:BD2525"/>
    <mergeCell ref="BE2520:BE2525"/>
    <mergeCell ref="BF2520:BF2525"/>
    <mergeCell ref="BG2520:BG2525"/>
    <mergeCell ref="BH2520:BH2525"/>
    <mergeCell ref="BC2526:BC2532"/>
    <mergeCell ref="BD2526:BD2532"/>
    <mergeCell ref="BE2526:BE2532"/>
    <mergeCell ref="BF2526:BF2532"/>
    <mergeCell ref="BG2526:BG2532"/>
    <mergeCell ref="BH2526:BH2532"/>
    <mergeCell ref="BC2533:BC2534"/>
    <mergeCell ref="BD2533:BD2534"/>
    <mergeCell ref="BE2533:BE2534"/>
    <mergeCell ref="BF2533:BF2534"/>
    <mergeCell ref="BG2533:BG2534"/>
    <mergeCell ref="BH2533:BH2534"/>
    <mergeCell ref="BC2535:BC2536"/>
    <mergeCell ref="BD2535:BD2536"/>
    <mergeCell ref="BE2535:BE2536"/>
    <mergeCell ref="BF2535:BF2536"/>
    <mergeCell ref="BG2535:BG2536"/>
    <mergeCell ref="BH2535:BH2536"/>
    <mergeCell ref="BC2537:BC2541"/>
    <mergeCell ref="BD2537:BD2541"/>
    <mergeCell ref="BE2537:BE2541"/>
    <mergeCell ref="BF2537:BF2541"/>
    <mergeCell ref="BG2537:BG2541"/>
    <mergeCell ref="BH2537:BH2541"/>
    <mergeCell ref="BC2542:BC2544"/>
    <mergeCell ref="BD2542:BD2544"/>
    <mergeCell ref="BE2542:BE2544"/>
    <mergeCell ref="BF2542:BF2544"/>
    <mergeCell ref="BG2542:BG2544"/>
    <mergeCell ref="BH2542:BH2544"/>
    <mergeCell ref="BC2547:BC2548"/>
    <mergeCell ref="BD2547:BD2548"/>
    <mergeCell ref="BE2547:BE2548"/>
    <mergeCell ref="BF2547:BF2548"/>
    <mergeCell ref="BG2547:BG2548"/>
    <mergeCell ref="BH2547:BH2548"/>
    <mergeCell ref="BC2550:BC2551"/>
    <mergeCell ref="BD2550:BD2551"/>
    <mergeCell ref="BE2550:BE2551"/>
    <mergeCell ref="BF2550:BF2551"/>
    <mergeCell ref="BG2550:BG2551"/>
    <mergeCell ref="BH2550:BH2551"/>
    <mergeCell ref="BC2552:BC2553"/>
    <mergeCell ref="BD2552:BD2553"/>
    <mergeCell ref="BE2552:BE2553"/>
    <mergeCell ref="BF2552:BF2553"/>
    <mergeCell ref="BG2552:BG2553"/>
    <mergeCell ref="BH2552:BH2553"/>
    <mergeCell ref="BC2554:BC2555"/>
    <mergeCell ref="BD2554:BD2555"/>
    <mergeCell ref="BE2554:BE2555"/>
    <mergeCell ref="BF2554:BF2555"/>
    <mergeCell ref="BG2554:BG2555"/>
    <mergeCell ref="BH2554:BH2555"/>
    <mergeCell ref="BC2567:BC2568"/>
    <mergeCell ref="BD2567:BD2568"/>
    <mergeCell ref="BE2567:BE2568"/>
    <mergeCell ref="BF2567:BF2568"/>
    <mergeCell ref="BG2567:BG2568"/>
    <mergeCell ref="BH2567:BH2568"/>
    <mergeCell ref="BC2573:BC2574"/>
    <mergeCell ref="BD2573:BD2574"/>
    <mergeCell ref="BE2573:BE2574"/>
    <mergeCell ref="BF2573:BF2574"/>
    <mergeCell ref="BG2573:BG2574"/>
    <mergeCell ref="BH2573:BH2574"/>
    <mergeCell ref="BC2579:BC2582"/>
    <mergeCell ref="BD2579:BD2582"/>
    <mergeCell ref="BE2579:BE2582"/>
    <mergeCell ref="BF2579:BF2582"/>
    <mergeCell ref="BG2579:BG2582"/>
    <mergeCell ref="BH2579:BH2582"/>
    <mergeCell ref="BC2585:BC2586"/>
    <mergeCell ref="BD2585:BD2586"/>
    <mergeCell ref="BE2585:BE2586"/>
    <mergeCell ref="BF2585:BF2586"/>
    <mergeCell ref="BG2585:BG2586"/>
    <mergeCell ref="BH2585:BH2586"/>
    <mergeCell ref="BC2592:BC2593"/>
    <mergeCell ref="BD2592:BD2593"/>
    <mergeCell ref="BE2592:BE2593"/>
    <mergeCell ref="BF2592:BF2593"/>
    <mergeCell ref="BG2592:BG2593"/>
    <mergeCell ref="BH2592:BH2593"/>
    <mergeCell ref="BC2594:BC2595"/>
    <mergeCell ref="BD2594:BD2595"/>
    <mergeCell ref="BE2594:BE2595"/>
    <mergeCell ref="BF2594:BF2595"/>
    <mergeCell ref="BG2594:BG2595"/>
    <mergeCell ref="BH2594:BH2595"/>
    <mergeCell ref="BC2596:BC2598"/>
    <mergeCell ref="BD2596:BD2598"/>
    <mergeCell ref="BE2596:BE2598"/>
    <mergeCell ref="BF2596:BF2598"/>
    <mergeCell ref="BG2596:BG2598"/>
    <mergeCell ref="BH2596:BH2598"/>
    <mergeCell ref="BC2605:BC2607"/>
    <mergeCell ref="BD2605:BD2607"/>
    <mergeCell ref="BE2605:BE2607"/>
    <mergeCell ref="BF2605:BF2607"/>
    <mergeCell ref="BG2605:BG2607"/>
    <mergeCell ref="BH2605:BH2607"/>
    <mergeCell ref="BC2608:BC2609"/>
    <mergeCell ref="BD2608:BD2609"/>
    <mergeCell ref="BE2608:BE2609"/>
    <mergeCell ref="BF2608:BF2609"/>
    <mergeCell ref="BG2608:BG2609"/>
    <mergeCell ref="BH2608:BH2609"/>
    <mergeCell ref="BC2611:BC2612"/>
    <mergeCell ref="BD2611:BD2612"/>
    <mergeCell ref="BE2611:BE2612"/>
    <mergeCell ref="BF2611:BF2612"/>
    <mergeCell ref="BG2611:BG2612"/>
    <mergeCell ref="BH2611:BH2612"/>
    <mergeCell ref="BC2614:BC2615"/>
    <mergeCell ref="BD2614:BD2615"/>
    <mergeCell ref="BE2614:BE2615"/>
    <mergeCell ref="BF2614:BF2615"/>
    <mergeCell ref="BG2614:BG2615"/>
    <mergeCell ref="BH2614:BH2615"/>
    <mergeCell ref="BC2616:BC2617"/>
    <mergeCell ref="BD2616:BD2617"/>
    <mergeCell ref="BE2616:BE2617"/>
    <mergeCell ref="BF2616:BF2617"/>
    <mergeCell ref="BG2616:BG2617"/>
    <mergeCell ref="BH2616:BH2617"/>
    <mergeCell ref="BC2625:BC2627"/>
    <mergeCell ref="BD2625:BD2627"/>
    <mergeCell ref="BE2625:BE2627"/>
    <mergeCell ref="BF2625:BF2627"/>
    <mergeCell ref="BG2625:BG2627"/>
    <mergeCell ref="BH2625:BH2627"/>
    <mergeCell ref="BC2631:BC2632"/>
    <mergeCell ref="BD2631:BD2632"/>
    <mergeCell ref="BE2631:BE2632"/>
    <mergeCell ref="BF2631:BF2632"/>
    <mergeCell ref="BG2631:BG2632"/>
    <mergeCell ref="BH2631:BH2632"/>
    <mergeCell ref="BC2636:BC2637"/>
    <mergeCell ref="BD2636:BD2637"/>
    <mergeCell ref="BE2636:BE2637"/>
    <mergeCell ref="BF2636:BF2637"/>
    <mergeCell ref="BG2636:BG2637"/>
    <mergeCell ref="BH2636:BH2637"/>
    <mergeCell ref="BC2644:BC2646"/>
    <mergeCell ref="BD2644:BD2646"/>
    <mergeCell ref="BE2644:BE2646"/>
    <mergeCell ref="BF2644:BF2646"/>
    <mergeCell ref="BG2644:BG2646"/>
    <mergeCell ref="BH2644:BH2646"/>
    <mergeCell ref="BC2649:BC2652"/>
    <mergeCell ref="BD2649:BD2652"/>
    <mergeCell ref="BE2649:BE2652"/>
    <mergeCell ref="BF2649:BF2652"/>
    <mergeCell ref="BG2649:BG2652"/>
    <mergeCell ref="BH2649:BH2652"/>
    <mergeCell ref="BC2663:BC2664"/>
    <mergeCell ref="BD2663:BD2664"/>
    <mergeCell ref="BE2663:BE2664"/>
    <mergeCell ref="BF2663:BF2664"/>
    <mergeCell ref="BG2663:BG2664"/>
    <mergeCell ref="BH2663:BH2664"/>
    <mergeCell ref="BC2675:BC2678"/>
    <mergeCell ref="BD2675:BD2678"/>
    <mergeCell ref="BE2675:BE2678"/>
    <mergeCell ref="BF2675:BF2678"/>
    <mergeCell ref="BG2675:BG2678"/>
    <mergeCell ref="BH2675:BH2678"/>
    <mergeCell ref="BC2679:BC2680"/>
    <mergeCell ref="BD2679:BD2680"/>
    <mergeCell ref="BE2679:BE2680"/>
    <mergeCell ref="BF2679:BF2680"/>
    <mergeCell ref="BG2679:BG2680"/>
    <mergeCell ref="BH2679:BH2680"/>
    <mergeCell ref="BC2682:BC2684"/>
    <mergeCell ref="BD2682:BD2684"/>
    <mergeCell ref="BE2682:BE2684"/>
    <mergeCell ref="BF2682:BF2684"/>
    <mergeCell ref="BG2682:BG2684"/>
    <mergeCell ref="BH2682:BH2684"/>
    <mergeCell ref="BC2686:BC2688"/>
    <mergeCell ref="BD2686:BD2688"/>
    <mergeCell ref="BE2686:BE2688"/>
    <mergeCell ref="BF2686:BF2688"/>
    <mergeCell ref="BG2686:BG2688"/>
    <mergeCell ref="BH2686:BH2688"/>
    <mergeCell ref="BC2692:BC2694"/>
    <mergeCell ref="BD2692:BD2694"/>
    <mergeCell ref="BE2692:BE2694"/>
    <mergeCell ref="BF2692:BF2694"/>
    <mergeCell ref="BG2692:BG2694"/>
    <mergeCell ref="BH2692:BH2694"/>
    <mergeCell ref="BC2695:BC2696"/>
    <mergeCell ref="BD2695:BD2696"/>
    <mergeCell ref="BE2695:BE2696"/>
    <mergeCell ref="BF2695:BF2696"/>
    <mergeCell ref="BG2695:BG2696"/>
    <mergeCell ref="BH2695:BH2696"/>
    <mergeCell ref="BC2697:BC2699"/>
    <mergeCell ref="BD2697:BD2699"/>
    <mergeCell ref="BE2697:BE2699"/>
    <mergeCell ref="BF2697:BF2699"/>
    <mergeCell ref="BG2697:BG2699"/>
    <mergeCell ref="BH2697:BH2699"/>
    <mergeCell ref="BC2700:BC2701"/>
    <mergeCell ref="BD2700:BD2701"/>
    <mergeCell ref="BE2700:BE2701"/>
    <mergeCell ref="BF2700:BF2701"/>
    <mergeCell ref="BG2700:BG2701"/>
    <mergeCell ref="BH2700:BH2701"/>
    <mergeCell ref="BC2704:BC2707"/>
    <mergeCell ref="BD2704:BD2707"/>
    <mergeCell ref="BE2704:BE2707"/>
    <mergeCell ref="BF2704:BF2707"/>
    <mergeCell ref="BG2704:BG2707"/>
    <mergeCell ref="BH2704:BH2707"/>
    <mergeCell ref="BC2708:BC2709"/>
    <mergeCell ref="BD2708:BD2709"/>
    <mergeCell ref="BE2708:BE2709"/>
    <mergeCell ref="BF2708:BF2709"/>
    <mergeCell ref="BG2708:BG2709"/>
    <mergeCell ref="BH2708:BH2709"/>
    <mergeCell ref="BC2716:BC2718"/>
    <mergeCell ref="BD2716:BD2718"/>
    <mergeCell ref="BE2716:BE2718"/>
    <mergeCell ref="BF2716:BF2718"/>
    <mergeCell ref="BG2716:BG2718"/>
    <mergeCell ref="BH2716:BH2718"/>
    <mergeCell ref="BC2719:BC2720"/>
    <mergeCell ref="BD2719:BD2720"/>
    <mergeCell ref="BE2719:BE2720"/>
    <mergeCell ref="BF2719:BF2720"/>
    <mergeCell ref="BG2719:BG2720"/>
    <mergeCell ref="BH2719:BH2720"/>
    <mergeCell ref="BC2723:BC2724"/>
    <mergeCell ref="BD2723:BD2724"/>
    <mergeCell ref="BE2723:BE2724"/>
    <mergeCell ref="BF2723:BF2724"/>
    <mergeCell ref="BG2723:BG2724"/>
    <mergeCell ref="BH2723:BH2724"/>
    <mergeCell ref="BC2727:BC2730"/>
    <mergeCell ref="BD2727:BD2730"/>
    <mergeCell ref="BE2727:BE2730"/>
    <mergeCell ref="BF2727:BF2730"/>
    <mergeCell ref="BG2727:BG2730"/>
    <mergeCell ref="BH2727:BH2730"/>
    <mergeCell ref="BC2735:BC2738"/>
    <mergeCell ref="BD2735:BD2738"/>
    <mergeCell ref="BE2735:BE2738"/>
    <mergeCell ref="BF2735:BF2738"/>
    <mergeCell ref="BG2735:BG2738"/>
    <mergeCell ref="BH2735:BH2738"/>
    <mergeCell ref="BC2741:BC2742"/>
    <mergeCell ref="BD2741:BD2742"/>
    <mergeCell ref="BE2741:BE2742"/>
    <mergeCell ref="BF2741:BF2742"/>
    <mergeCell ref="BG2741:BG2742"/>
    <mergeCell ref="BH2741:BH2742"/>
    <mergeCell ref="BC2743:BC2745"/>
    <mergeCell ref="BD2743:BD2745"/>
    <mergeCell ref="BE2743:BE2745"/>
    <mergeCell ref="BF2743:BF2745"/>
    <mergeCell ref="BG2743:BG2745"/>
    <mergeCell ref="BH2743:BH2745"/>
    <mergeCell ref="BC2746:BC2747"/>
    <mergeCell ref="BD2746:BD2747"/>
    <mergeCell ref="BE2746:BE2747"/>
    <mergeCell ref="BF2746:BF2747"/>
    <mergeCell ref="BG2746:BG2747"/>
    <mergeCell ref="BH2746:BH2747"/>
    <mergeCell ref="BC2749:BC2750"/>
    <mergeCell ref="BD2749:BD2750"/>
    <mergeCell ref="BE2749:BE2750"/>
    <mergeCell ref="BF2749:BF2750"/>
    <mergeCell ref="BG2749:BG2750"/>
    <mergeCell ref="BH2749:BH2750"/>
    <mergeCell ref="BC2752:BC2754"/>
    <mergeCell ref="BD2752:BD2754"/>
    <mergeCell ref="BE2752:BE2754"/>
    <mergeCell ref="BF2752:BF2754"/>
    <mergeCell ref="BG2752:BG2754"/>
    <mergeCell ref="BH2752:BH2754"/>
    <mergeCell ref="BC2755:BC2756"/>
    <mergeCell ref="BD2755:BD2756"/>
    <mergeCell ref="BE2755:BE2756"/>
    <mergeCell ref="BF2755:BF2756"/>
    <mergeCell ref="BG2755:BG2756"/>
    <mergeCell ref="BH2755:BH2756"/>
    <mergeCell ref="BC2760:BC2761"/>
    <mergeCell ref="BD2760:BD2761"/>
    <mergeCell ref="BE2760:BE2761"/>
    <mergeCell ref="BF2760:BF2761"/>
    <mergeCell ref="BG2760:BG2761"/>
    <mergeCell ref="BH2760:BH2761"/>
    <mergeCell ref="BC2777:BC2778"/>
    <mergeCell ref="BD2777:BD2778"/>
    <mergeCell ref="BE2777:BE2778"/>
    <mergeCell ref="BF2777:BF2778"/>
    <mergeCell ref="BG2777:BG2778"/>
    <mergeCell ref="BH2777:BH2778"/>
    <mergeCell ref="BC2790:BC2791"/>
    <mergeCell ref="BD2790:BD2791"/>
    <mergeCell ref="BE2790:BE2791"/>
    <mergeCell ref="BF2790:BF2791"/>
    <mergeCell ref="BG2790:BG2791"/>
    <mergeCell ref="BH2790:BH2791"/>
    <mergeCell ref="BC2802:BC2803"/>
    <mergeCell ref="BD2802:BD2803"/>
    <mergeCell ref="BE2802:BE2803"/>
    <mergeCell ref="BF2802:BF2803"/>
    <mergeCell ref="BG2802:BG2803"/>
    <mergeCell ref="BH2802:BH2803"/>
    <mergeCell ref="BC2809:BC2811"/>
    <mergeCell ref="BD2809:BD2811"/>
    <mergeCell ref="BE2809:BE2811"/>
    <mergeCell ref="BF2809:BF2811"/>
    <mergeCell ref="BG2809:BG2811"/>
    <mergeCell ref="BH2809:BH2811"/>
    <mergeCell ref="BC2814:BC2816"/>
    <mergeCell ref="BD2814:BD2816"/>
    <mergeCell ref="BE2814:BE2816"/>
    <mergeCell ref="BF2814:BF2816"/>
    <mergeCell ref="BG2814:BG2816"/>
    <mergeCell ref="BH2814:BH2816"/>
    <mergeCell ref="BC2821:BC2822"/>
    <mergeCell ref="BD2821:BD2822"/>
    <mergeCell ref="BE2821:BE2822"/>
    <mergeCell ref="BF2821:BF2822"/>
    <mergeCell ref="BG2821:BG2822"/>
    <mergeCell ref="BH2821:BH2822"/>
    <mergeCell ref="BC2824:BC2828"/>
    <mergeCell ref="BD2824:BD2828"/>
    <mergeCell ref="BE2824:BE2828"/>
    <mergeCell ref="BF2824:BF2828"/>
    <mergeCell ref="BG2824:BG2828"/>
    <mergeCell ref="BH2824:BH2828"/>
    <mergeCell ref="BC2834:BC2835"/>
    <mergeCell ref="BD2834:BD2835"/>
    <mergeCell ref="BE2834:BE2835"/>
    <mergeCell ref="BF2834:BF2835"/>
    <mergeCell ref="BG2834:BG2835"/>
    <mergeCell ref="BH2834:BH2835"/>
    <mergeCell ref="BC2836:BC2837"/>
    <mergeCell ref="BD2836:BD2837"/>
    <mergeCell ref="BE2836:BE2837"/>
    <mergeCell ref="BF2836:BF2837"/>
    <mergeCell ref="BG2836:BG2837"/>
    <mergeCell ref="BH2836:BH2837"/>
    <mergeCell ref="BC2839:BC2842"/>
    <mergeCell ref="BD2839:BD2842"/>
    <mergeCell ref="BE2839:BE2842"/>
    <mergeCell ref="BF2839:BF2842"/>
    <mergeCell ref="BG2839:BG2842"/>
    <mergeCell ref="BH2839:BH2842"/>
    <mergeCell ref="BC2845:BC2847"/>
    <mergeCell ref="BD2845:BD2847"/>
    <mergeCell ref="BE2845:BE2847"/>
    <mergeCell ref="BF2845:BF2847"/>
    <mergeCell ref="BG2845:BG2847"/>
    <mergeCell ref="BH2845:BH2847"/>
    <mergeCell ref="BC2848:BC2853"/>
    <mergeCell ref="BD2848:BD2853"/>
    <mergeCell ref="BE2848:BE2853"/>
    <mergeCell ref="BF2848:BF2853"/>
    <mergeCell ref="BG2848:BG2853"/>
    <mergeCell ref="BH2848:BH2853"/>
    <mergeCell ref="BC2854:BC2855"/>
    <mergeCell ref="BD2854:BD2855"/>
    <mergeCell ref="BE2854:BE2855"/>
    <mergeCell ref="BF2854:BF2855"/>
    <mergeCell ref="BG2854:BG2855"/>
    <mergeCell ref="BH2854:BH2855"/>
    <mergeCell ref="BC2856:BC2859"/>
    <mergeCell ref="BD2856:BD2859"/>
    <mergeCell ref="BE2856:BE2859"/>
    <mergeCell ref="BF2856:BF2859"/>
    <mergeCell ref="BG2856:BG2859"/>
    <mergeCell ref="BH2856:BH2859"/>
    <mergeCell ref="BC2860:BC2863"/>
    <mergeCell ref="BD2860:BD2863"/>
    <mergeCell ref="BE2860:BE2863"/>
    <mergeCell ref="BF2860:BF2863"/>
    <mergeCell ref="BG2860:BG2863"/>
    <mergeCell ref="BH2860:BH2863"/>
    <mergeCell ref="BC2864:BC2866"/>
    <mergeCell ref="BD2864:BD2866"/>
    <mergeCell ref="BE2864:BE2866"/>
    <mergeCell ref="BF2864:BF2866"/>
    <mergeCell ref="BG2864:BG2866"/>
    <mergeCell ref="BH2864:BH2866"/>
    <mergeCell ref="BC2871:BC2873"/>
    <mergeCell ref="BD2871:BD2873"/>
    <mergeCell ref="BE2871:BE2873"/>
    <mergeCell ref="BF2871:BF2873"/>
    <mergeCell ref="BG2871:BG2873"/>
    <mergeCell ref="BH2871:BH2873"/>
    <mergeCell ref="BC2874:BC2877"/>
    <mergeCell ref="BD2874:BD2877"/>
    <mergeCell ref="BE2874:BE2877"/>
    <mergeCell ref="BF2874:BF2877"/>
    <mergeCell ref="BG2874:BG2877"/>
    <mergeCell ref="BH2874:BH2877"/>
    <mergeCell ref="BC2880:BC2881"/>
    <mergeCell ref="BD2880:BD2881"/>
    <mergeCell ref="BE2880:BE2881"/>
    <mergeCell ref="BF2880:BF2881"/>
    <mergeCell ref="BG2880:BG2881"/>
    <mergeCell ref="BH2880:BH2881"/>
    <mergeCell ref="BC2882:BC2883"/>
    <mergeCell ref="BD2882:BD2883"/>
    <mergeCell ref="BE2882:BE2883"/>
    <mergeCell ref="BF2882:BF2883"/>
    <mergeCell ref="BG2882:BG2883"/>
    <mergeCell ref="BH2882:BH2883"/>
    <mergeCell ref="BC2884:BC2887"/>
    <mergeCell ref="BD2884:BD2887"/>
    <mergeCell ref="BE2884:BE2887"/>
    <mergeCell ref="BF2884:BF2887"/>
    <mergeCell ref="BG2884:BG2887"/>
    <mergeCell ref="BH2884:BH2887"/>
    <mergeCell ref="BC2893:BC2894"/>
    <mergeCell ref="BD2893:BD2894"/>
    <mergeCell ref="BE2893:BE2894"/>
    <mergeCell ref="BF2893:BF2894"/>
    <mergeCell ref="BG2893:BG2894"/>
    <mergeCell ref="BH2893:BH2894"/>
    <mergeCell ref="BC2900:BC2902"/>
    <mergeCell ref="BD2900:BD2902"/>
    <mergeCell ref="BE2900:BE2902"/>
    <mergeCell ref="BF2900:BF2902"/>
    <mergeCell ref="BG2900:BG2902"/>
    <mergeCell ref="BH2900:BH2902"/>
    <mergeCell ref="BC2904:BC2905"/>
    <mergeCell ref="BD2904:BD2905"/>
    <mergeCell ref="BE2904:BE2905"/>
    <mergeCell ref="BF2904:BF2905"/>
    <mergeCell ref="BG2904:BG2905"/>
    <mergeCell ref="BH2904:BH2905"/>
    <mergeCell ref="BC2909:BC2910"/>
    <mergeCell ref="BD2909:BD2910"/>
    <mergeCell ref="BE2909:BE2910"/>
    <mergeCell ref="BF2909:BF2910"/>
    <mergeCell ref="BG2909:BG2910"/>
    <mergeCell ref="BH2909:BH2910"/>
    <mergeCell ref="BC2919:BC2920"/>
    <mergeCell ref="BD2919:BD2920"/>
    <mergeCell ref="BE2919:BE2920"/>
    <mergeCell ref="BF2919:BF2920"/>
    <mergeCell ref="BG2919:BG2920"/>
    <mergeCell ref="BH2919:BH2920"/>
    <mergeCell ref="BC2924:BC2926"/>
    <mergeCell ref="BD2924:BD2926"/>
    <mergeCell ref="BE2924:BE2926"/>
    <mergeCell ref="BF2924:BF2926"/>
    <mergeCell ref="BG2924:BG2926"/>
    <mergeCell ref="BH2924:BH2926"/>
    <mergeCell ref="BC2927:BC2929"/>
    <mergeCell ref="BD2927:BD2929"/>
    <mergeCell ref="BE2927:BE2929"/>
    <mergeCell ref="BF2927:BF2929"/>
    <mergeCell ref="BG2927:BG2929"/>
    <mergeCell ref="BH2927:BH2929"/>
    <mergeCell ref="BC2930:BC2935"/>
    <mergeCell ref="BD2930:BD2935"/>
    <mergeCell ref="BE2930:BE2935"/>
    <mergeCell ref="BF2930:BF2935"/>
    <mergeCell ref="BG2930:BG2935"/>
    <mergeCell ref="BH2930:BH2935"/>
    <mergeCell ref="BC2937:BC2938"/>
    <mergeCell ref="BD2937:BD2938"/>
    <mergeCell ref="BE2937:BE2938"/>
    <mergeCell ref="BF2937:BF2938"/>
    <mergeCell ref="BG2937:BG2938"/>
    <mergeCell ref="BH2937:BH2938"/>
    <mergeCell ref="BC2943:BC2945"/>
    <mergeCell ref="BD2943:BD2945"/>
    <mergeCell ref="BE2943:BE2945"/>
    <mergeCell ref="BF2943:BF2945"/>
    <mergeCell ref="BG2943:BG2945"/>
    <mergeCell ref="BH2943:BH2945"/>
    <mergeCell ref="BC2984:BC2986"/>
    <mergeCell ref="BD2984:BD2986"/>
    <mergeCell ref="BE2984:BE2986"/>
    <mergeCell ref="BF2984:BF2986"/>
    <mergeCell ref="BG2984:BG2986"/>
    <mergeCell ref="BH2984:BH2986"/>
    <mergeCell ref="BC2991:BC2992"/>
    <mergeCell ref="BD2991:BD2992"/>
    <mergeCell ref="BE2991:BE2992"/>
    <mergeCell ref="BF2991:BF2992"/>
    <mergeCell ref="BG2991:BG2992"/>
    <mergeCell ref="BH2991:BH2992"/>
    <mergeCell ref="BC3000:BC3001"/>
    <mergeCell ref="BD3000:BD3001"/>
    <mergeCell ref="BE3000:BE3001"/>
    <mergeCell ref="BF3000:BF3001"/>
    <mergeCell ref="BG3000:BG3001"/>
    <mergeCell ref="BH3000:BH3001"/>
    <mergeCell ref="BC3021:BC3022"/>
    <mergeCell ref="BD3021:BD3022"/>
    <mergeCell ref="BE3021:BE3022"/>
    <mergeCell ref="BF3021:BF3022"/>
    <mergeCell ref="BG3021:BG3022"/>
    <mergeCell ref="BH3021:BH3022"/>
    <mergeCell ref="BC3032:BC3033"/>
    <mergeCell ref="BD3032:BD3033"/>
    <mergeCell ref="BE3032:BE3033"/>
    <mergeCell ref="BF3032:BF3033"/>
    <mergeCell ref="BG3032:BG3033"/>
    <mergeCell ref="BH3032:BH3033"/>
    <mergeCell ref="AV6:AV8"/>
    <mergeCell ref="AW6:AW8"/>
    <mergeCell ref="AX6:AX8"/>
    <mergeCell ref="AY6:AY8"/>
    <mergeCell ref="AZ6:AZ8"/>
    <mergeCell ref="BA6:BA8"/>
    <mergeCell ref="BI6:BI8"/>
    <mergeCell ref="AV9:AV12"/>
    <mergeCell ref="AW9:AW12"/>
    <mergeCell ref="AX9:AX12"/>
    <mergeCell ref="AY9:AY12"/>
    <mergeCell ref="AZ9:AZ12"/>
    <mergeCell ref="BA9:BA12"/>
    <mergeCell ref="BI9:BI12"/>
    <mergeCell ref="AV13:AV16"/>
    <mergeCell ref="AW13:AW16"/>
    <mergeCell ref="AX13:AX16"/>
    <mergeCell ref="AY13:AY16"/>
    <mergeCell ref="AZ13:AZ16"/>
    <mergeCell ref="BA13:BA16"/>
    <mergeCell ref="BI13:BI16"/>
    <mergeCell ref="AV17:AV19"/>
    <mergeCell ref="AW17:AW19"/>
    <mergeCell ref="AX17:AX19"/>
    <mergeCell ref="AY17:AY19"/>
    <mergeCell ref="AZ17:AZ19"/>
    <mergeCell ref="BA17:BA19"/>
    <mergeCell ref="BI17:BI19"/>
    <mergeCell ref="AV20:AV23"/>
    <mergeCell ref="AW20:AW23"/>
    <mergeCell ref="AX20:AX23"/>
    <mergeCell ref="AY20:AY23"/>
    <mergeCell ref="AZ20:AZ23"/>
    <mergeCell ref="BA20:BA23"/>
    <mergeCell ref="BI20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3"/>
    <mergeCell ref="AW30:AW33"/>
    <mergeCell ref="AX30:AX33"/>
    <mergeCell ref="AY30:AY33"/>
    <mergeCell ref="AZ30:AZ33"/>
    <mergeCell ref="BA30:BA33"/>
    <mergeCell ref="BI30:BI33"/>
    <mergeCell ref="AV34:AV37"/>
    <mergeCell ref="AW34:AW37"/>
    <mergeCell ref="AX34:AX37"/>
    <mergeCell ref="AY34:AY37"/>
    <mergeCell ref="AZ34:AZ37"/>
    <mergeCell ref="BA34:BA37"/>
    <mergeCell ref="BI34:BI37"/>
    <mergeCell ref="AV38:AV41"/>
    <mergeCell ref="AW38:AW41"/>
    <mergeCell ref="AX38:AX41"/>
    <mergeCell ref="AY38:AY41"/>
    <mergeCell ref="AZ38:AZ41"/>
    <mergeCell ref="BA38:BA41"/>
    <mergeCell ref="BI38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1"/>
    <mergeCell ref="AW108:AW111"/>
    <mergeCell ref="AX108:AX111"/>
    <mergeCell ref="AY108:AY111"/>
    <mergeCell ref="AZ108:AZ111"/>
    <mergeCell ref="BA108:BA111"/>
    <mergeCell ref="BI108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8"/>
    <mergeCell ref="AW115:AW118"/>
    <mergeCell ref="AX115:AX118"/>
    <mergeCell ref="AY115:AY118"/>
    <mergeCell ref="AZ115:AZ118"/>
    <mergeCell ref="BA115:BA118"/>
    <mergeCell ref="BI115:BI118"/>
    <mergeCell ref="AV119:AV122"/>
    <mergeCell ref="AW119:AW122"/>
    <mergeCell ref="AX119:AX122"/>
    <mergeCell ref="AY119:AY122"/>
    <mergeCell ref="AZ119:AZ122"/>
    <mergeCell ref="BA119:BA122"/>
    <mergeCell ref="BI119:BI122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3"/>
    <mergeCell ref="AW150:AW153"/>
    <mergeCell ref="AX150:AX153"/>
    <mergeCell ref="AY150:AY153"/>
    <mergeCell ref="AZ150:AZ153"/>
    <mergeCell ref="BA150:BA153"/>
    <mergeCell ref="BI150:BI153"/>
    <mergeCell ref="AV154:AV157"/>
    <mergeCell ref="AW154:AW157"/>
    <mergeCell ref="AX154:AX157"/>
    <mergeCell ref="AY154:AY157"/>
    <mergeCell ref="AZ154:AZ157"/>
    <mergeCell ref="BA154:BA157"/>
    <mergeCell ref="BI154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4"/>
    <mergeCell ref="AW161:AW164"/>
    <mergeCell ref="AX161:AX164"/>
    <mergeCell ref="AY161:AY164"/>
    <mergeCell ref="AZ161:AZ164"/>
    <mergeCell ref="BA161:BA164"/>
    <mergeCell ref="BI161:BI164"/>
    <mergeCell ref="AV165:AV167"/>
    <mergeCell ref="AW165:AW167"/>
    <mergeCell ref="AX165:AX167"/>
    <mergeCell ref="AY165:AY167"/>
    <mergeCell ref="AZ165:AZ167"/>
    <mergeCell ref="BA165:BA167"/>
    <mergeCell ref="BI165:BI167"/>
    <mergeCell ref="AV168:AV170"/>
    <mergeCell ref="AW168:AW170"/>
    <mergeCell ref="AX168:AX170"/>
    <mergeCell ref="AY168:AY170"/>
    <mergeCell ref="AZ168:AZ170"/>
    <mergeCell ref="BA168:BA170"/>
    <mergeCell ref="BI168:BI170"/>
    <mergeCell ref="AV171:AV173"/>
    <mergeCell ref="AW171:AW173"/>
    <mergeCell ref="AX171:AX173"/>
    <mergeCell ref="AY171:AY173"/>
    <mergeCell ref="AZ171:AZ173"/>
    <mergeCell ref="BA171:BA173"/>
    <mergeCell ref="BI171:BI173"/>
    <mergeCell ref="AV174:AV176"/>
    <mergeCell ref="AW174:AW176"/>
    <mergeCell ref="AX174:AX176"/>
    <mergeCell ref="AY174:AY176"/>
    <mergeCell ref="AZ174:AZ176"/>
    <mergeCell ref="BA174:BA176"/>
    <mergeCell ref="BI174:BI176"/>
    <mergeCell ref="AV177:AV179"/>
    <mergeCell ref="AW177:AW179"/>
    <mergeCell ref="AX177:AX179"/>
    <mergeCell ref="AY177:AY179"/>
    <mergeCell ref="AZ177:AZ179"/>
    <mergeCell ref="BA177:BA179"/>
    <mergeCell ref="BI177:BI179"/>
    <mergeCell ref="AV180:AV182"/>
    <mergeCell ref="AW180:AW182"/>
    <mergeCell ref="AX180:AX182"/>
    <mergeCell ref="AY180:AY182"/>
    <mergeCell ref="AZ180:AZ182"/>
    <mergeCell ref="BA180:BA182"/>
    <mergeCell ref="BI180:BI182"/>
    <mergeCell ref="AV183:AV185"/>
    <mergeCell ref="AW183:AW185"/>
    <mergeCell ref="AX183:AX185"/>
    <mergeCell ref="AY183:AY185"/>
    <mergeCell ref="AZ183:AZ185"/>
    <mergeCell ref="BA183:BA185"/>
    <mergeCell ref="BI183:BI185"/>
    <mergeCell ref="AV186:AV188"/>
    <mergeCell ref="AW186:AW188"/>
    <mergeCell ref="AX186:AX188"/>
    <mergeCell ref="AY186:AY188"/>
    <mergeCell ref="AZ186:AZ188"/>
    <mergeCell ref="BA186:BA188"/>
    <mergeCell ref="BI186:BI188"/>
    <mergeCell ref="AV189:AV191"/>
    <mergeCell ref="AW189:AW191"/>
    <mergeCell ref="AX189:AX191"/>
    <mergeCell ref="AY189:AY191"/>
    <mergeCell ref="AZ189:AZ191"/>
    <mergeCell ref="BA189:BA191"/>
    <mergeCell ref="BI189:BI191"/>
    <mergeCell ref="AV192:AV194"/>
    <mergeCell ref="AW192:AW194"/>
    <mergeCell ref="AX192:AX194"/>
    <mergeCell ref="AY192:AY194"/>
    <mergeCell ref="AZ192:AZ194"/>
    <mergeCell ref="BA192:BA194"/>
    <mergeCell ref="BI192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80:AV281"/>
    <mergeCell ref="AW280:AW281"/>
    <mergeCell ref="AX280:AX281"/>
    <mergeCell ref="AY280:AY281"/>
    <mergeCell ref="AZ280:AZ281"/>
    <mergeCell ref="BA280:BA281"/>
    <mergeCell ref="AV282:AV283"/>
    <mergeCell ref="AW282:AW283"/>
    <mergeCell ref="AX282:AX283"/>
    <mergeCell ref="AY282:AY283"/>
    <mergeCell ref="AZ282:AZ283"/>
    <mergeCell ref="BA282:BA283"/>
    <mergeCell ref="AV284:AV285"/>
    <mergeCell ref="AW284:AW285"/>
    <mergeCell ref="AX284:AX285"/>
    <mergeCell ref="AY284:AY285"/>
    <mergeCell ref="AZ284:AZ285"/>
    <mergeCell ref="BA284:BA285"/>
    <mergeCell ref="AV286:AV288"/>
    <mergeCell ref="AW286:AW288"/>
    <mergeCell ref="AX286:AX288"/>
    <mergeCell ref="AY286:AY288"/>
    <mergeCell ref="AZ286:AZ288"/>
    <mergeCell ref="BA286:BA288"/>
    <mergeCell ref="AV289:AV291"/>
    <mergeCell ref="AW289:AW291"/>
    <mergeCell ref="AX289:AX291"/>
    <mergeCell ref="AY289:AY291"/>
    <mergeCell ref="AZ289:AZ291"/>
    <mergeCell ref="BA289:BA291"/>
    <mergeCell ref="AV292:AV293"/>
    <mergeCell ref="AW292:AW293"/>
    <mergeCell ref="AX292:AX293"/>
    <mergeCell ref="AY292:AY293"/>
    <mergeCell ref="AZ292:AZ293"/>
    <mergeCell ref="BA292:BA293"/>
    <mergeCell ref="AV294:AV296"/>
    <mergeCell ref="AW294:AW296"/>
    <mergeCell ref="AX294:AX296"/>
    <mergeCell ref="AY294:AY296"/>
    <mergeCell ref="AZ294:AZ296"/>
    <mergeCell ref="BA294:BA296"/>
    <mergeCell ref="AV297:AV299"/>
    <mergeCell ref="AW297:AW299"/>
    <mergeCell ref="AX297:AX299"/>
    <mergeCell ref="AY297:AY299"/>
    <mergeCell ref="AZ297:AZ299"/>
    <mergeCell ref="BA297:BA299"/>
    <mergeCell ref="AV300:AV302"/>
    <mergeCell ref="AW300:AW302"/>
    <mergeCell ref="AX300:AX302"/>
    <mergeCell ref="AY300:AY302"/>
    <mergeCell ref="AZ300:AZ302"/>
    <mergeCell ref="BA300:BA302"/>
    <mergeCell ref="AV303:AV305"/>
    <mergeCell ref="AW303:AW305"/>
    <mergeCell ref="AX303:AX305"/>
    <mergeCell ref="AY303:AY305"/>
    <mergeCell ref="AZ303:AZ305"/>
    <mergeCell ref="BA303:BA305"/>
    <mergeCell ref="AV306:AV308"/>
    <mergeCell ref="AW306:AW308"/>
    <mergeCell ref="AX306:AX308"/>
    <mergeCell ref="AY306:AY308"/>
    <mergeCell ref="AZ306:AZ308"/>
    <mergeCell ref="BA306:BA308"/>
    <mergeCell ref="AV309:AV310"/>
    <mergeCell ref="AW309:AW310"/>
    <mergeCell ref="AX309:AX310"/>
    <mergeCell ref="AY309:AY310"/>
    <mergeCell ref="AZ309:AZ310"/>
    <mergeCell ref="BA309:BA310"/>
    <mergeCell ref="AV312:AV314"/>
    <mergeCell ref="AW312:AW314"/>
    <mergeCell ref="AX312:AX314"/>
    <mergeCell ref="AY312:AY314"/>
    <mergeCell ref="AZ312:AZ314"/>
    <mergeCell ref="BA312:BA314"/>
    <mergeCell ref="AV315:AV317"/>
    <mergeCell ref="AW315:AW317"/>
    <mergeCell ref="AX315:AX317"/>
    <mergeCell ref="AY315:AY317"/>
    <mergeCell ref="AZ315:AZ317"/>
    <mergeCell ref="BA315:BA317"/>
    <mergeCell ref="AV318:AV320"/>
    <mergeCell ref="AW318:AW320"/>
    <mergeCell ref="AX318:AX320"/>
    <mergeCell ref="AY318:AY320"/>
    <mergeCell ref="AZ318:AZ320"/>
    <mergeCell ref="BA318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6:AV328"/>
    <mergeCell ref="AW326:AW328"/>
    <mergeCell ref="AX326:AX328"/>
    <mergeCell ref="AY326:AY328"/>
    <mergeCell ref="AZ326:AZ328"/>
    <mergeCell ref="BA326:BA328"/>
    <mergeCell ref="AV329:AV331"/>
    <mergeCell ref="AW329:AW331"/>
    <mergeCell ref="AX329:AX331"/>
    <mergeCell ref="AY329:AY331"/>
    <mergeCell ref="AZ329:AZ331"/>
    <mergeCell ref="BA329:BA331"/>
    <mergeCell ref="AV332:AV334"/>
    <mergeCell ref="AW332:AW334"/>
    <mergeCell ref="AX332:AX334"/>
    <mergeCell ref="AY332:AY334"/>
    <mergeCell ref="AZ332:AZ334"/>
    <mergeCell ref="BA332:BA334"/>
    <mergeCell ref="AV336:AV338"/>
    <mergeCell ref="AW336:AW338"/>
    <mergeCell ref="AX336:AX338"/>
    <mergeCell ref="AY336:AY338"/>
    <mergeCell ref="AZ336:AZ338"/>
    <mergeCell ref="BA336:BA338"/>
    <mergeCell ref="AV339:AV340"/>
    <mergeCell ref="AW339:AW340"/>
    <mergeCell ref="AX339:AX340"/>
    <mergeCell ref="AY339:AY340"/>
    <mergeCell ref="AZ339:AZ340"/>
    <mergeCell ref="BA339:BA340"/>
    <mergeCell ref="AV341:AV344"/>
    <mergeCell ref="AW341:AW344"/>
    <mergeCell ref="AX341:AX344"/>
    <mergeCell ref="AY341:AY344"/>
    <mergeCell ref="AZ341:AZ344"/>
    <mergeCell ref="BA341:BA344"/>
    <mergeCell ref="AV346:AV349"/>
    <mergeCell ref="AW346:AW349"/>
    <mergeCell ref="AX346:AX349"/>
    <mergeCell ref="AY346:AY349"/>
    <mergeCell ref="AZ346:AZ349"/>
    <mergeCell ref="BA346:BA349"/>
    <mergeCell ref="AV350:AV351"/>
    <mergeCell ref="AW350:AW351"/>
    <mergeCell ref="AX350:AX351"/>
    <mergeCell ref="AY350:AY351"/>
    <mergeCell ref="AZ350:AZ351"/>
    <mergeCell ref="BA350:BA351"/>
    <mergeCell ref="AV353:AV354"/>
    <mergeCell ref="AW353:AW354"/>
    <mergeCell ref="AX353:AX354"/>
    <mergeCell ref="AY353:AY354"/>
    <mergeCell ref="AZ353:AZ354"/>
    <mergeCell ref="BA353:BA354"/>
    <mergeCell ref="AV355:AV356"/>
    <mergeCell ref="AW355:AW356"/>
    <mergeCell ref="AX355:AX356"/>
    <mergeCell ref="AY355:AY356"/>
    <mergeCell ref="AZ355:AZ356"/>
    <mergeCell ref="BA355:BA356"/>
    <mergeCell ref="AV357:AV359"/>
    <mergeCell ref="AW357:AW359"/>
    <mergeCell ref="AX357:AX359"/>
    <mergeCell ref="AY357:AY359"/>
    <mergeCell ref="AZ357:AZ359"/>
    <mergeCell ref="BA357:BA359"/>
    <mergeCell ref="AV360:AV361"/>
    <mergeCell ref="AW360:AW361"/>
    <mergeCell ref="AX360:AX361"/>
    <mergeCell ref="AY360:AY361"/>
    <mergeCell ref="AZ360:AZ361"/>
    <mergeCell ref="BA360:BA361"/>
    <mergeCell ref="AV362:AV364"/>
    <mergeCell ref="AW362:AW364"/>
    <mergeCell ref="AX362:AX364"/>
    <mergeCell ref="AY362:AY364"/>
    <mergeCell ref="AZ362:AZ364"/>
    <mergeCell ref="BA362:BA364"/>
    <mergeCell ref="AV365:AV367"/>
    <mergeCell ref="AW365:AW367"/>
    <mergeCell ref="AX365:AX367"/>
    <mergeCell ref="AY365:AY367"/>
    <mergeCell ref="AZ365:AZ367"/>
    <mergeCell ref="BA365:BA367"/>
    <mergeCell ref="AV368:AV370"/>
    <mergeCell ref="AW368:AW370"/>
    <mergeCell ref="AX368:AX370"/>
    <mergeCell ref="AY368:AY370"/>
    <mergeCell ref="AZ368:AZ370"/>
    <mergeCell ref="BA368:BA370"/>
    <mergeCell ref="AV371:AV373"/>
    <mergeCell ref="AW371:AW373"/>
    <mergeCell ref="AX371:AX373"/>
    <mergeCell ref="AY371:AY373"/>
    <mergeCell ref="AZ371:AZ373"/>
    <mergeCell ref="BA371:BA373"/>
    <mergeCell ref="AV374:AV375"/>
    <mergeCell ref="AW374:AW375"/>
    <mergeCell ref="AX374:AX375"/>
    <mergeCell ref="AY374:AY375"/>
    <mergeCell ref="AZ374:AZ375"/>
    <mergeCell ref="BA374:BA375"/>
    <mergeCell ref="AV376:AV378"/>
    <mergeCell ref="AW376:AW378"/>
    <mergeCell ref="AX376:AX378"/>
    <mergeCell ref="AY376:AY378"/>
    <mergeCell ref="AZ376:AZ378"/>
    <mergeCell ref="BA376:BA378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2"/>
    <mergeCell ref="AW391:AW392"/>
    <mergeCell ref="AX391:AX392"/>
    <mergeCell ref="AY391:AY392"/>
    <mergeCell ref="AZ391:AZ392"/>
    <mergeCell ref="BA391:BA392"/>
    <mergeCell ref="AV394:AV395"/>
    <mergeCell ref="AW394:AW395"/>
    <mergeCell ref="AX394:AX395"/>
    <mergeCell ref="AY394:AY395"/>
    <mergeCell ref="AZ394:AZ395"/>
    <mergeCell ref="BA394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5"/>
    <mergeCell ref="AW414:AW415"/>
    <mergeCell ref="AX414:AX415"/>
    <mergeCell ref="AY414:AY415"/>
    <mergeCell ref="AZ414:AZ415"/>
    <mergeCell ref="BA414:BA415"/>
    <mergeCell ref="AV416:AV418"/>
    <mergeCell ref="AW416:AW418"/>
    <mergeCell ref="AX416:AX418"/>
    <mergeCell ref="AY416:AY418"/>
    <mergeCell ref="AZ416:AZ418"/>
    <mergeCell ref="BA416:BA418"/>
    <mergeCell ref="AV419:AV420"/>
    <mergeCell ref="AW419:AW420"/>
    <mergeCell ref="AX419:AX420"/>
    <mergeCell ref="AY419:AY420"/>
    <mergeCell ref="AZ419:AZ420"/>
    <mergeCell ref="BA419:BA420"/>
    <mergeCell ref="AV421:AV422"/>
    <mergeCell ref="AW421:AW422"/>
    <mergeCell ref="AX421:AX422"/>
    <mergeCell ref="AY421:AY422"/>
    <mergeCell ref="AZ421:AZ422"/>
    <mergeCell ref="BA421:BA422"/>
    <mergeCell ref="AV423:AV425"/>
    <mergeCell ref="AW423:AW425"/>
    <mergeCell ref="AX423:AX425"/>
    <mergeCell ref="AY423:AY425"/>
    <mergeCell ref="AZ423:AZ425"/>
    <mergeCell ref="BA423:BA425"/>
    <mergeCell ref="AV426:AV428"/>
    <mergeCell ref="AW426:AW428"/>
    <mergeCell ref="AX426:AX428"/>
    <mergeCell ref="AY426:AY428"/>
    <mergeCell ref="AZ426:AZ428"/>
    <mergeCell ref="BA426:BA428"/>
    <mergeCell ref="AV429:AV430"/>
    <mergeCell ref="AW429:AW430"/>
    <mergeCell ref="AX429:AX430"/>
    <mergeCell ref="AY429:AY430"/>
    <mergeCell ref="AZ429:AZ430"/>
    <mergeCell ref="BA429:BA430"/>
    <mergeCell ref="AV431:AV433"/>
    <mergeCell ref="AW431:AW433"/>
    <mergeCell ref="AX431:AX433"/>
    <mergeCell ref="AY431:AY433"/>
    <mergeCell ref="AZ431:AZ433"/>
    <mergeCell ref="BA431:BA433"/>
    <mergeCell ref="AV435:AV436"/>
    <mergeCell ref="AW435:AW436"/>
    <mergeCell ref="AX435:AX436"/>
    <mergeCell ref="AY435:AY436"/>
    <mergeCell ref="AZ435:AZ436"/>
    <mergeCell ref="BA435:BA436"/>
    <mergeCell ref="AV437:AV439"/>
    <mergeCell ref="AW437:AW439"/>
    <mergeCell ref="AX437:AX439"/>
    <mergeCell ref="AY437:AY439"/>
    <mergeCell ref="AZ437:AZ439"/>
    <mergeCell ref="BA437:BA439"/>
    <mergeCell ref="AV440:AV441"/>
    <mergeCell ref="AW440:AW441"/>
    <mergeCell ref="AX440:AX441"/>
    <mergeCell ref="AY440:AY441"/>
    <mergeCell ref="AZ440:AZ441"/>
    <mergeCell ref="BA440:BA441"/>
    <mergeCell ref="AV442:AV444"/>
    <mergeCell ref="AW442:AW444"/>
    <mergeCell ref="AX442:AX444"/>
    <mergeCell ref="AY442:AY444"/>
    <mergeCell ref="AZ442:AZ444"/>
    <mergeCell ref="BA442:BA444"/>
    <mergeCell ref="AV448:AV450"/>
    <mergeCell ref="AW448:AW450"/>
    <mergeCell ref="AX448:AX450"/>
    <mergeCell ref="AY448:AY450"/>
    <mergeCell ref="AZ448:AZ450"/>
    <mergeCell ref="BA448:BA450"/>
    <mergeCell ref="AV451:AV452"/>
    <mergeCell ref="AW451:AW452"/>
    <mergeCell ref="AX451:AX452"/>
    <mergeCell ref="AY451:AY452"/>
    <mergeCell ref="AZ451:AZ452"/>
    <mergeCell ref="BA451:BA452"/>
    <mergeCell ref="AV454:AV456"/>
    <mergeCell ref="AW454:AW456"/>
    <mergeCell ref="AX454:AX456"/>
    <mergeCell ref="AY454:AY456"/>
    <mergeCell ref="AZ454:AZ456"/>
    <mergeCell ref="BA454:BA456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61:AV463"/>
    <mergeCell ref="AW461:AW463"/>
    <mergeCell ref="AX461:AX463"/>
    <mergeCell ref="AY461:AY463"/>
    <mergeCell ref="AZ461:AZ463"/>
    <mergeCell ref="BA461:BA463"/>
    <mergeCell ref="AV464:AV466"/>
    <mergeCell ref="AW464:AW466"/>
    <mergeCell ref="AX464:AX466"/>
    <mergeCell ref="AY464:AY466"/>
    <mergeCell ref="AZ464:AZ466"/>
    <mergeCell ref="BA464:BA466"/>
    <mergeCell ref="AV468:AV469"/>
    <mergeCell ref="AW468:AW469"/>
    <mergeCell ref="AX468:AX469"/>
    <mergeCell ref="AY468:AY469"/>
    <mergeCell ref="AZ468:AZ469"/>
    <mergeCell ref="BA468:BA469"/>
    <mergeCell ref="AV470:AV471"/>
    <mergeCell ref="AW470:AW471"/>
    <mergeCell ref="AX470:AX471"/>
    <mergeCell ref="AY470:AY471"/>
    <mergeCell ref="AZ470:AZ471"/>
    <mergeCell ref="BA470:BA471"/>
    <mergeCell ref="AV472:AV474"/>
    <mergeCell ref="AW472:AW474"/>
    <mergeCell ref="AX472:AX474"/>
    <mergeCell ref="AY472:AY474"/>
    <mergeCell ref="AZ472:AZ474"/>
    <mergeCell ref="BA472:BA474"/>
    <mergeCell ref="AV475:AV477"/>
    <mergeCell ref="AW475:AW477"/>
    <mergeCell ref="AX475:AX477"/>
    <mergeCell ref="AY475:AY477"/>
    <mergeCell ref="AZ475:AZ477"/>
    <mergeCell ref="BA475:BA477"/>
    <mergeCell ref="AV478:AV480"/>
    <mergeCell ref="AW478:AW480"/>
    <mergeCell ref="AX478:AX480"/>
    <mergeCell ref="AY478:AY480"/>
    <mergeCell ref="AZ478:AZ480"/>
    <mergeCell ref="BA478:BA480"/>
    <mergeCell ref="AV481:AV482"/>
    <mergeCell ref="AW481:AW482"/>
    <mergeCell ref="AX481:AX482"/>
    <mergeCell ref="AY481:AY482"/>
    <mergeCell ref="AZ481:AZ482"/>
    <mergeCell ref="BA481:BA482"/>
    <mergeCell ref="AV483:AV487"/>
    <mergeCell ref="AW483:AW487"/>
    <mergeCell ref="AX483:AX487"/>
    <mergeCell ref="AY483:AY487"/>
    <mergeCell ref="AZ483:AZ487"/>
    <mergeCell ref="BA483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4"/>
    <mergeCell ref="AW492:AW494"/>
    <mergeCell ref="AX492:AX494"/>
    <mergeCell ref="AY492:AY494"/>
    <mergeCell ref="AZ492:AZ494"/>
    <mergeCell ref="BA492:BA494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2"/>
    <mergeCell ref="AW500:AW502"/>
    <mergeCell ref="AX500:AX502"/>
    <mergeCell ref="AY500:AY502"/>
    <mergeCell ref="AZ500:AZ502"/>
    <mergeCell ref="BA500:BA502"/>
    <mergeCell ref="BI500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10"/>
    <mergeCell ref="AW507:AW510"/>
    <mergeCell ref="AX507:AX510"/>
    <mergeCell ref="AY507:AY510"/>
    <mergeCell ref="AZ507:AZ510"/>
    <mergeCell ref="BA507:BA510"/>
    <mergeCell ref="BI507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4"/>
    <mergeCell ref="AW522:AW524"/>
    <mergeCell ref="AX522:AX524"/>
    <mergeCell ref="AY522:AY524"/>
    <mergeCell ref="AZ522:AZ524"/>
    <mergeCell ref="BA522:BA524"/>
    <mergeCell ref="BI522:BI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0"/>
    <mergeCell ref="AW569:AW570"/>
    <mergeCell ref="AX569:AX570"/>
    <mergeCell ref="AY569:AY570"/>
    <mergeCell ref="AZ569:AZ570"/>
    <mergeCell ref="BA569:BA570"/>
    <mergeCell ref="AV571:AV572"/>
    <mergeCell ref="AW571:AW572"/>
    <mergeCell ref="AX571:AX572"/>
    <mergeCell ref="AY571:AY572"/>
    <mergeCell ref="AZ571:AZ572"/>
    <mergeCell ref="BA571:BA572"/>
    <mergeCell ref="AV573:AV574"/>
    <mergeCell ref="AW573:AW574"/>
    <mergeCell ref="AX573:AX574"/>
    <mergeCell ref="AY573:AY574"/>
    <mergeCell ref="AZ573:AZ574"/>
    <mergeCell ref="BA573:BA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9"/>
    <mergeCell ref="AW637:AW639"/>
    <mergeCell ref="AX637:AX639"/>
    <mergeCell ref="AY637:AY639"/>
    <mergeCell ref="AZ637:AZ639"/>
    <mergeCell ref="BA637:BA639"/>
    <mergeCell ref="BI637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AV655:AV656"/>
    <mergeCell ref="AW655:AW656"/>
    <mergeCell ref="AX655:AX656"/>
    <mergeCell ref="AY655:AY656"/>
    <mergeCell ref="AZ655:AZ656"/>
    <mergeCell ref="BA655:BA656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AV667:AV668"/>
    <mergeCell ref="AW667:AW668"/>
    <mergeCell ref="AX667:AX668"/>
    <mergeCell ref="AY667:AY668"/>
    <mergeCell ref="AZ667:AZ668"/>
    <mergeCell ref="BA667:BA668"/>
    <mergeCell ref="AV669:AV670"/>
    <mergeCell ref="AW669:AW670"/>
    <mergeCell ref="AX669:AX670"/>
    <mergeCell ref="AY669:AY670"/>
    <mergeCell ref="AZ669:AZ670"/>
    <mergeCell ref="BA669:BA670"/>
    <mergeCell ref="AV671:AV672"/>
    <mergeCell ref="AW671:AW672"/>
    <mergeCell ref="AX671:AX672"/>
    <mergeCell ref="AY671:AY672"/>
    <mergeCell ref="AZ671:AZ672"/>
    <mergeCell ref="BA671:BA672"/>
    <mergeCell ref="AV673:AV674"/>
    <mergeCell ref="AW673:AW674"/>
    <mergeCell ref="AX673:AX674"/>
    <mergeCell ref="AY673:AY674"/>
    <mergeCell ref="AZ673:AZ674"/>
    <mergeCell ref="BA673:BA674"/>
    <mergeCell ref="AV676:AV677"/>
    <mergeCell ref="AW676:AW677"/>
    <mergeCell ref="AX676:AX677"/>
    <mergeCell ref="AY676:AY677"/>
    <mergeCell ref="AZ676:AZ677"/>
    <mergeCell ref="BA676:BA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10"/>
    <mergeCell ref="AW708:AW710"/>
    <mergeCell ref="AX708:AX710"/>
    <mergeCell ref="AY708:AY710"/>
    <mergeCell ref="AZ708:AZ710"/>
    <mergeCell ref="BA708:BA710"/>
    <mergeCell ref="BI708:BI710"/>
    <mergeCell ref="AV712:AV714"/>
    <mergeCell ref="AW712:AW714"/>
    <mergeCell ref="AX712:AX714"/>
    <mergeCell ref="AY712:AY714"/>
    <mergeCell ref="AZ712:AZ714"/>
    <mergeCell ref="BA712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2"/>
    <mergeCell ref="AW799:AW802"/>
    <mergeCell ref="AX799:AX802"/>
    <mergeCell ref="AY799:AY802"/>
    <mergeCell ref="AZ799:AZ802"/>
    <mergeCell ref="BA799:BA802"/>
    <mergeCell ref="AV803:AV805"/>
    <mergeCell ref="AW803:AW805"/>
    <mergeCell ref="AX803:AX805"/>
    <mergeCell ref="AY803:AY805"/>
    <mergeCell ref="AZ803:AZ805"/>
    <mergeCell ref="BA803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5"/>
    <mergeCell ref="AW812:AW815"/>
    <mergeCell ref="AX812:AX815"/>
    <mergeCell ref="AY812:AY815"/>
    <mergeCell ref="AZ812:AZ815"/>
    <mergeCell ref="BA812:BA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3"/>
    <mergeCell ref="AW820:AW823"/>
    <mergeCell ref="AX820:AX823"/>
    <mergeCell ref="AY820:AY823"/>
    <mergeCell ref="AZ820:AZ823"/>
    <mergeCell ref="BA820:BA823"/>
    <mergeCell ref="AV824:AV827"/>
    <mergeCell ref="AW824:AW827"/>
    <mergeCell ref="AX824:AX827"/>
    <mergeCell ref="AY824:AY827"/>
    <mergeCell ref="AZ824:AZ827"/>
    <mergeCell ref="BA824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3"/>
    <mergeCell ref="AW911:AW913"/>
    <mergeCell ref="AX911:AX913"/>
    <mergeCell ref="AY911:AY913"/>
    <mergeCell ref="AZ911:AZ913"/>
    <mergeCell ref="BA911:BA913"/>
    <mergeCell ref="AV914:AV915"/>
    <mergeCell ref="AW914:AW915"/>
    <mergeCell ref="AX914:AX915"/>
    <mergeCell ref="AY914:AY915"/>
    <mergeCell ref="AZ914:AZ915"/>
    <mergeCell ref="BA914:BA915"/>
    <mergeCell ref="AV916:AV917"/>
    <mergeCell ref="AW916:AW917"/>
    <mergeCell ref="AX916:AX917"/>
    <mergeCell ref="AY916:AY917"/>
    <mergeCell ref="AZ916:AZ917"/>
    <mergeCell ref="BA916:BA917"/>
    <mergeCell ref="AV918:AV919"/>
    <mergeCell ref="AW918:AW919"/>
    <mergeCell ref="AX918:AX919"/>
    <mergeCell ref="AY918:AY919"/>
    <mergeCell ref="AZ918:AZ919"/>
    <mergeCell ref="BA918:BA919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1:AV992"/>
    <mergeCell ref="AW991:AW992"/>
    <mergeCell ref="AX991:AX992"/>
    <mergeCell ref="AY991:AY992"/>
    <mergeCell ref="AZ991:AZ992"/>
    <mergeCell ref="BA991:BA992"/>
    <mergeCell ref="AV1011:AV1012"/>
    <mergeCell ref="AW1011:AW1012"/>
    <mergeCell ref="AX1011:AX1012"/>
    <mergeCell ref="AY1011:AY1012"/>
    <mergeCell ref="AZ1011:AZ1012"/>
    <mergeCell ref="BA1011:BA1012"/>
    <mergeCell ref="AV1013:AV1015"/>
    <mergeCell ref="AW1013:AW1015"/>
    <mergeCell ref="AX1013:AX1015"/>
    <mergeCell ref="AY1013:AY1015"/>
    <mergeCell ref="AZ1013:AZ1015"/>
    <mergeCell ref="BA1013:BA1015"/>
    <mergeCell ref="BI1013:BI1015"/>
    <mergeCell ref="AV1016:AV1018"/>
    <mergeCell ref="AW1016:AW1018"/>
    <mergeCell ref="AX1016:AX1018"/>
    <mergeCell ref="AY1016:AY1018"/>
    <mergeCell ref="AZ1016:AZ1018"/>
    <mergeCell ref="BA1016:BA1018"/>
    <mergeCell ref="BI1016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4"/>
    <mergeCell ref="AW1022:AW1024"/>
    <mergeCell ref="AX1022:AX1024"/>
    <mergeCell ref="AY1022:AY1024"/>
    <mergeCell ref="AZ1022:AZ1024"/>
    <mergeCell ref="BA1022:BA1024"/>
    <mergeCell ref="BI1022:BI1024"/>
    <mergeCell ref="AV1025:AV1027"/>
    <mergeCell ref="AW1025:AW1027"/>
    <mergeCell ref="AX1025:AX1027"/>
    <mergeCell ref="AY1025:AY1027"/>
    <mergeCell ref="AZ1025:AZ1027"/>
    <mergeCell ref="BA1025:BA1027"/>
    <mergeCell ref="BI1025:BI1027"/>
    <mergeCell ref="AV1028:AV1030"/>
    <mergeCell ref="AW1028:AW1030"/>
    <mergeCell ref="AX1028:AX1030"/>
    <mergeCell ref="AY1028:AY1030"/>
    <mergeCell ref="AZ1028:AZ1030"/>
    <mergeCell ref="BA1028:BA1030"/>
    <mergeCell ref="BI1028:BI1030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6"/>
    <mergeCell ref="AW1034:AW1036"/>
    <mergeCell ref="AX1034:AX1036"/>
    <mergeCell ref="AY1034:AY1036"/>
    <mergeCell ref="AZ1034:AZ1036"/>
    <mergeCell ref="BA1034:BA1036"/>
    <mergeCell ref="BI1034:BI1036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0:AV1042"/>
    <mergeCell ref="AW1040:AW1042"/>
    <mergeCell ref="AX1040:AX1042"/>
    <mergeCell ref="AY1040:AY1042"/>
    <mergeCell ref="AZ1040:AZ1042"/>
    <mergeCell ref="BA1040:BA1042"/>
    <mergeCell ref="BI1040:BI1042"/>
    <mergeCell ref="AV1043:AV1045"/>
    <mergeCell ref="AW1043:AW1045"/>
    <mergeCell ref="AX1043:AX1045"/>
    <mergeCell ref="AY1043:AY1045"/>
    <mergeCell ref="AZ1043:AZ1045"/>
    <mergeCell ref="BA1043:BA1045"/>
    <mergeCell ref="BI1043:BI1045"/>
    <mergeCell ref="AV1046:AV1048"/>
    <mergeCell ref="AW1046:AW1048"/>
    <mergeCell ref="AX1046:AX1048"/>
    <mergeCell ref="AY1046:AY1048"/>
    <mergeCell ref="AZ1046:AZ1048"/>
    <mergeCell ref="BA1046:BA1048"/>
    <mergeCell ref="BI1046:BI1048"/>
    <mergeCell ref="AV1049:AV1051"/>
    <mergeCell ref="AW1049:AW1051"/>
    <mergeCell ref="AX1049:AX1051"/>
    <mergeCell ref="AY1049:AY1051"/>
    <mergeCell ref="AZ1049:AZ1051"/>
    <mergeCell ref="BA1049:BA1051"/>
    <mergeCell ref="BI1049:BI1051"/>
    <mergeCell ref="AV1052:AV1054"/>
    <mergeCell ref="AW1052:AW1054"/>
    <mergeCell ref="AX1052:AX1054"/>
    <mergeCell ref="AY1052:AY1054"/>
    <mergeCell ref="AZ1052:AZ1054"/>
    <mergeCell ref="BA1052:BA1054"/>
    <mergeCell ref="BI1052:BI1054"/>
    <mergeCell ref="AV1055:AV1057"/>
    <mergeCell ref="AW1055:AW1057"/>
    <mergeCell ref="AX1055:AX1057"/>
    <mergeCell ref="AY1055:AY1057"/>
    <mergeCell ref="AZ1055:AZ1057"/>
    <mergeCell ref="BA1055:BA1057"/>
    <mergeCell ref="AV1058:AV1060"/>
    <mergeCell ref="AW1058:AW1060"/>
    <mergeCell ref="AX1058:AX1060"/>
    <mergeCell ref="AY1058:AY1060"/>
    <mergeCell ref="AZ1058:AZ1060"/>
    <mergeCell ref="BA1058:BA1060"/>
    <mergeCell ref="AV1061:AV1063"/>
    <mergeCell ref="AW1061:AW1063"/>
    <mergeCell ref="AX1061:AX1063"/>
    <mergeCell ref="AY1061:AY1063"/>
    <mergeCell ref="AZ1061:AZ1063"/>
    <mergeCell ref="BA1061:BA1063"/>
    <mergeCell ref="AV1064:AV1066"/>
    <mergeCell ref="AW1064:AW1066"/>
    <mergeCell ref="AX1064:AX1066"/>
    <mergeCell ref="AY1064:AY1066"/>
    <mergeCell ref="AZ1064:AZ1066"/>
    <mergeCell ref="BA1064:BA1066"/>
    <mergeCell ref="AV1067:AV1072"/>
    <mergeCell ref="AW1067:AW1072"/>
    <mergeCell ref="AX1067:AX1072"/>
    <mergeCell ref="AY1067:AY1072"/>
    <mergeCell ref="AZ1067:AZ1072"/>
    <mergeCell ref="BA1067:BA1072"/>
    <mergeCell ref="BI1067:BI1072"/>
    <mergeCell ref="AV1073:AV1077"/>
    <mergeCell ref="AW1073:AW1077"/>
    <mergeCell ref="AX1073:AX1077"/>
    <mergeCell ref="AY1073:AY1077"/>
    <mergeCell ref="AZ1073:AZ1077"/>
    <mergeCell ref="BA1073:BA1077"/>
    <mergeCell ref="BI1073:BI1077"/>
    <mergeCell ref="AV1079:AV1083"/>
    <mergeCell ref="AW1079:AW1083"/>
    <mergeCell ref="AX1079:AX1083"/>
    <mergeCell ref="AY1079:AY1083"/>
    <mergeCell ref="AZ1079:AZ1083"/>
    <mergeCell ref="BA1079:BA1083"/>
    <mergeCell ref="BI1079:BI1083"/>
    <mergeCell ref="AV1084:AV1085"/>
    <mergeCell ref="AW1084:AW1085"/>
    <mergeCell ref="AX1084:AX1085"/>
    <mergeCell ref="AY1084:AY1085"/>
    <mergeCell ref="AZ1084:AZ1085"/>
    <mergeCell ref="BA1084:BA1085"/>
    <mergeCell ref="BI1084:BI1085"/>
    <mergeCell ref="AV1086:AV1091"/>
    <mergeCell ref="AW1086:AW1091"/>
    <mergeCell ref="AX1086:AX1091"/>
    <mergeCell ref="AY1086:AY1091"/>
    <mergeCell ref="AZ1086:AZ1091"/>
    <mergeCell ref="BA1086:BA1091"/>
    <mergeCell ref="BI1086:BI1091"/>
    <mergeCell ref="AV1092:AV1096"/>
    <mergeCell ref="AW1092:AW1096"/>
    <mergeCell ref="AX1092:AX1096"/>
    <mergeCell ref="AY1092:AY1096"/>
    <mergeCell ref="AZ1092:AZ1096"/>
    <mergeCell ref="BA1092:BA1096"/>
    <mergeCell ref="BI1092:BI1096"/>
    <mergeCell ref="AV1097:AV1101"/>
    <mergeCell ref="AW1097:AW1101"/>
    <mergeCell ref="AX1097:AX1101"/>
    <mergeCell ref="AY1097:AY1101"/>
    <mergeCell ref="AZ1097:AZ1101"/>
    <mergeCell ref="BA1097:BA1101"/>
    <mergeCell ref="BI1097:BI1101"/>
    <mergeCell ref="AV1102:AV1105"/>
    <mergeCell ref="AW1102:AW1105"/>
    <mergeCell ref="AX1102:AX1105"/>
    <mergeCell ref="AY1102:AY1105"/>
    <mergeCell ref="AZ1102:AZ1105"/>
    <mergeCell ref="BA1102:BA1105"/>
    <mergeCell ref="BI1102:BI1105"/>
    <mergeCell ref="AV1106:AV1110"/>
    <mergeCell ref="AW1106:AW1110"/>
    <mergeCell ref="AX1106:AX1110"/>
    <mergeCell ref="AY1106:AY1110"/>
    <mergeCell ref="AZ1106:AZ1110"/>
    <mergeCell ref="BA1106:BA1110"/>
    <mergeCell ref="BI1106:BI1110"/>
    <mergeCell ref="AV1111:AV1115"/>
    <mergeCell ref="AW1111:AW1115"/>
    <mergeCell ref="AX1111:AX1115"/>
    <mergeCell ref="AY1111:AY1115"/>
    <mergeCell ref="AZ1111:AZ1115"/>
    <mergeCell ref="BA1111:BA1115"/>
    <mergeCell ref="BI1111:BI1115"/>
    <mergeCell ref="AV1116:AV1120"/>
    <mergeCell ref="AW1116:AW1120"/>
    <mergeCell ref="AX1116:AX1120"/>
    <mergeCell ref="AY1116:AY1120"/>
    <mergeCell ref="AZ1116:AZ1120"/>
    <mergeCell ref="BA1116:BA1120"/>
    <mergeCell ref="BI1116:BI1120"/>
    <mergeCell ref="AV1121:AV1126"/>
    <mergeCell ref="AW1121:AW1126"/>
    <mergeCell ref="AX1121:AX1126"/>
    <mergeCell ref="AY1121:AY1126"/>
    <mergeCell ref="AZ1121:AZ1126"/>
    <mergeCell ref="BA1121:BA1126"/>
    <mergeCell ref="BI1121:BI1126"/>
    <mergeCell ref="AV1127:AV1130"/>
    <mergeCell ref="AW1127:AW1130"/>
    <mergeCell ref="AX1127:AX1130"/>
    <mergeCell ref="AY1127:AY1130"/>
    <mergeCell ref="AZ1127:AZ1130"/>
    <mergeCell ref="BA1127:BA1130"/>
    <mergeCell ref="BI1127:BI1130"/>
    <mergeCell ref="AV1132:AV1136"/>
    <mergeCell ref="AW1132:AW1136"/>
    <mergeCell ref="AX1132:AX1136"/>
    <mergeCell ref="AY1132:AY1136"/>
    <mergeCell ref="AZ1132:AZ1136"/>
    <mergeCell ref="BA1132:BA1136"/>
    <mergeCell ref="BI1132:BI1136"/>
    <mergeCell ref="AV1137:AV1141"/>
    <mergeCell ref="AW1137:AW1141"/>
    <mergeCell ref="AX1137:AX1141"/>
    <mergeCell ref="AY1137:AY1141"/>
    <mergeCell ref="AZ1137:AZ1141"/>
    <mergeCell ref="BA1137:BA1141"/>
    <mergeCell ref="AV1142:AV1146"/>
    <mergeCell ref="AW1142:AW1146"/>
    <mergeCell ref="AX1142:AX1146"/>
    <mergeCell ref="AY1142:AY1146"/>
    <mergeCell ref="AZ1142:AZ1146"/>
    <mergeCell ref="BA1142:BA1146"/>
    <mergeCell ref="AV1147:AV1151"/>
    <mergeCell ref="AW1147:AW1151"/>
    <mergeCell ref="AX1147:AX1151"/>
    <mergeCell ref="AY1147:AY1151"/>
    <mergeCell ref="AZ1147:AZ1151"/>
    <mergeCell ref="BA1147:BA1151"/>
    <mergeCell ref="AV1152:AV1156"/>
    <mergeCell ref="AW1152:AW1156"/>
    <mergeCell ref="AX1152:AX1156"/>
    <mergeCell ref="AY1152:AY1156"/>
    <mergeCell ref="AZ1152:AZ1156"/>
    <mergeCell ref="BA1152:BA1156"/>
    <mergeCell ref="AV1158:AV1162"/>
    <mergeCell ref="AW1158:AW1162"/>
    <mergeCell ref="AX1158:AX1162"/>
    <mergeCell ref="AY1158:AY1162"/>
    <mergeCell ref="AZ1158:AZ1162"/>
    <mergeCell ref="BA1158:BA1162"/>
    <mergeCell ref="AV1163:AV1167"/>
    <mergeCell ref="AW1163:AW1167"/>
    <mergeCell ref="AX1163:AX1167"/>
    <mergeCell ref="AY1163:AY1167"/>
    <mergeCell ref="AZ1163:AZ1167"/>
    <mergeCell ref="BA1163:BA1167"/>
    <mergeCell ref="AV1168:AV1172"/>
    <mergeCell ref="AW1168:AW1172"/>
    <mergeCell ref="AX1168:AX1172"/>
    <mergeCell ref="AY1168:AY1172"/>
    <mergeCell ref="AZ1168:AZ1172"/>
    <mergeCell ref="BA1168:BA1172"/>
    <mergeCell ref="AV1173:AV1177"/>
    <mergeCell ref="AW1173:AW1177"/>
    <mergeCell ref="AX1173:AX1177"/>
    <mergeCell ref="AY1173:AY1177"/>
    <mergeCell ref="AZ1173:AZ1177"/>
    <mergeCell ref="BA1173:BA1177"/>
    <mergeCell ref="AV1178:AV1182"/>
    <mergeCell ref="AW1178:AW1182"/>
    <mergeCell ref="AX1178:AX1182"/>
    <mergeCell ref="AY1178:AY1182"/>
    <mergeCell ref="AZ1178:AZ1182"/>
    <mergeCell ref="BA1178:BA1182"/>
    <mergeCell ref="AV1183:AV1187"/>
    <mergeCell ref="AW1183:AW1187"/>
    <mergeCell ref="AX1183:AX1187"/>
    <mergeCell ref="AY1183:AY1187"/>
    <mergeCell ref="AZ1183:AZ1187"/>
    <mergeCell ref="BA1183:BA1187"/>
    <mergeCell ref="AV1188:AV1192"/>
    <mergeCell ref="AW1188:AW1192"/>
    <mergeCell ref="AX1188:AX1192"/>
    <mergeCell ref="AY1188:AY1192"/>
    <mergeCell ref="AZ1188:AZ1192"/>
    <mergeCell ref="BA1188:BA1192"/>
    <mergeCell ref="AV1194:AV1198"/>
    <mergeCell ref="AW1194:AW1198"/>
    <mergeCell ref="AX1194:AX1198"/>
    <mergeCell ref="AY1194:AY1198"/>
    <mergeCell ref="AZ1194:AZ1198"/>
    <mergeCell ref="BA1194:BA1198"/>
    <mergeCell ref="AV1199:AV1203"/>
    <mergeCell ref="AW1199:AW1203"/>
    <mergeCell ref="AX1199:AX1203"/>
    <mergeCell ref="AY1199:AY1203"/>
    <mergeCell ref="AZ1199:AZ1203"/>
    <mergeCell ref="BA1199:BA1203"/>
    <mergeCell ref="AV1204:AV1208"/>
    <mergeCell ref="AW1204:AW1208"/>
    <mergeCell ref="AX1204:AX1208"/>
    <mergeCell ref="AY1204:AY1208"/>
    <mergeCell ref="AZ1204:AZ1208"/>
    <mergeCell ref="BA1204:BA1208"/>
    <mergeCell ref="AV1209:AV1213"/>
    <mergeCell ref="AW1209:AW1213"/>
    <mergeCell ref="AX1209:AX1213"/>
    <mergeCell ref="AY1209:AY1213"/>
    <mergeCell ref="AZ1209:AZ1213"/>
    <mergeCell ref="BA1209:BA1213"/>
    <mergeCell ref="AV1214:AV1215"/>
    <mergeCell ref="AW1214:AW1215"/>
    <mergeCell ref="AX1214:AX1215"/>
    <mergeCell ref="AY1214:AY1215"/>
    <mergeCell ref="AZ1214:AZ1215"/>
    <mergeCell ref="BA1214:BA1215"/>
    <mergeCell ref="AV1216:AV1220"/>
    <mergeCell ref="AW1216:AW1220"/>
    <mergeCell ref="AX1216:AX1220"/>
    <mergeCell ref="AY1216:AY1220"/>
    <mergeCell ref="AZ1216:AZ1220"/>
    <mergeCell ref="BA1216:BA1220"/>
    <mergeCell ref="AV1222:AV1224"/>
    <mergeCell ref="AW1222:AW1224"/>
    <mergeCell ref="AX1222:AX1224"/>
    <mergeCell ref="AY1222:AY1224"/>
    <mergeCell ref="AZ1222:AZ1224"/>
    <mergeCell ref="BA1222:BA1224"/>
    <mergeCell ref="AV1226:AV1228"/>
    <mergeCell ref="AW1226:AW1228"/>
    <mergeCell ref="AX1226:AX1228"/>
    <mergeCell ref="AY1226:AY1228"/>
    <mergeCell ref="AZ1226:AZ1228"/>
    <mergeCell ref="BA1226:BA1228"/>
    <mergeCell ref="AV1229:AV1231"/>
    <mergeCell ref="AW1229:AW1231"/>
    <mergeCell ref="AX1229:AX1231"/>
    <mergeCell ref="AY1229:AY1231"/>
    <mergeCell ref="AZ1229:AZ1231"/>
    <mergeCell ref="BA1229:BA1231"/>
    <mergeCell ref="AV1232:AV1236"/>
    <mergeCell ref="AW1232:AW1236"/>
    <mergeCell ref="AX1232:AX1236"/>
    <mergeCell ref="AY1232:AY1236"/>
    <mergeCell ref="AZ1232:AZ1236"/>
    <mergeCell ref="BA1232:BA1236"/>
    <mergeCell ref="BI1232:BI1236"/>
    <mergeCell ref="AV1241:AV1245"/>
    <mergeCell ref="AW1241:AW1245"/>
    <mergeCell ref="AX1241:AX1245"/>
    <mergeCell ref="AY1241:AY1245"/>
    <mergeCell ref="AZ1241:AZ1245"/>
    <mergeCell ref="BA1241:BA1245"/>
    <mergeCell ref="AV1246:AV1250"/>
    <mergeCell ref="AW1246:AW1250"/>
    <mergeCell ref="AX1246:AX1250"/>
    <mergeCell ref="AY1246:AY1250"/>
    <mergeCell ref="AZ1246:AZ1250"/>
    <mergeCell ref="BA1246:BA1250"/>
    <mergeCell ref="AV1251:AV1255"/>
    <mergeCell ref="AW1251:AW1255"/>
    <mergeCell ref="AX1251:AX1255"/>
    <mergeCell ref="AY1251:AY1255"/>
    <mergeCell ref="AZ1251:AZ1255"/>
    <mergeCell ref="BA1251:BA1255"/>
    <mergeCell ref="AV1256:AV1258"/>
    <mergeCell ref="AW1256:AW1258"/>
    <mergeCell ref="AX1256:AX1258"/>
    <mergeCell ref="AY1256:AY1258"/>
    <mergeCell ref="AZ1256:AZ1258"/>
    <mergeCell ref="BA1256:BA1258"/>
    <mergeCell ref="AV1260:AV1263"/>
    <mergeCell ref="AW1260:AW1263"/>
    <mergeCell ref="AX1260:AX1263"/>
    <mergeCell ref="AY1260:AY1263"/>
    <mergeCell ref="AZ1260:AZ1263"/>
    <mergeCell ref="BA1260:BA1263"/>
    <mergeCell ref="AV1264:AV1265"/>
    <mergeCell ref="AW1264:AW1265"/>
    <mergeCell ref="AX1264:AX1265"/>
    <mergeCell ref="AY1264:AY1265"/>
    <mergeCell ref="AZ1264:AZ1265"/>
    <mergeCell ref="BA1264:BA1265"/>
    <mergeCell ref="AV1268:AV1270"/>
    <mergeCell ref="AW1268:AW1270"/>
    <mergeCell ref="AX1268:AX1270"/>
    <mergeCell ref="AY1268:AY1270"/>
    <mergeCell ref="AZ1268:AZ1270"/>
    <mergeCell ref="BA1268:BA1270"/>
    <mergeCell ref="BI1268:BI1270"/>
    <mergeCell ref="AV1271:AV1273"/>
    <mergeCell ref="AW1271:AW1273"/>
    <mergeCell ref="AX1271:AX1273"/>
    <mergeCell ref="AY1271:AY1273"/>
    <mergeCell ref="AZ1271:AZ1273"/>
    <mergeCell ref="BA1271:BA1273"/>
    <mergeCell ref="BI1271:BI1273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8"/>
    <mergeCell ref="AW1277:AW1278"/>
    <mergeCell ref="AX1277:AX1278"/>
    <mergeCell ref="AY1277:AY1278"/>
    <mergeCell ref="AZ1277:AZ1278"/>
    <mergeCell ref="BA1277:BA1278"/>
    <mergeCell ref="BI1277:BI1278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5"/>
    <mergeCell ref="AW1283:AW1285"/>
    <mergeCell ref="AX1283:AX1285"/>
    <mergeCell ref="AY1283:AY1285"/>
    <mergeCell ref="AZ1283:AZ1285"/>
    <mergeCell ref="BA1283:BA1285"/>
    <mergeCell ref="BI1283:BI1285"/>
    <mergeCell ref="AV1286:AV1288"/>
    <mergeCell ref="AW1286:AW1288"/>
    <mergeCell ref="AX1286:AX1288"/>
    <mergeCell ref="AY1286:AY1288"/>
    <mergeCell ref="AZ1286:AZ1288"/>
    <mergeCell ref="BA1286:BA1288"/>
    <mergeCell ref="BI1286:BI1288"/>
    <mergeCell ref="AV1289:AV1291"/>
    <mergeCell ref="AW1289:AW1291"/>
    <mergeCell ref="AX1289:AX1291"/>
    <mergeCell ref="AY1289:AY1291"/>
    <mergeCell ref="AZ1289:AZ1291"/>
    <mergeCell ref="BA1289:BA1291"/>
    <mergeCell ref="BI1289:BI1291"/>
    <mergeCell ref="AV1292:AV1294"/>
    <mergeCell ref="AW1292:AW1294"/>
    <mergeCell ref="AX1292:AX1294"/>
    <mergeCell ref="AY1292:AY1294"/>
    <mergeCell ref="AZ1292:AZ1294"/>
    <mergeCell ref="BA1292:BA1294"/>
    <mergeCell ref="BI1292:BI1294"/>
    <mergeCell ref="AV1295:AV1297"/>
    <mergeCell ref="AW1295:AW1297"/>
    <mergeCell ref="AX1295:AX1297"/>
    <mergeCell ref="AY1295:AY1297"/>
    <mergeCell ref="AZ1295:AZ1297"/>
    <mergeCell ref="BA1295:BA1297"/>
    <mergeCell ref="BI1295:BI1297"/>
    <mergeCell ref="AV1298:AV1300"/>
    <mergeCell ref="AW1298:AW1300"/>
    <mergeCell ref="AX1298:AX1300"/>
    <mergeCell ref="AY1298:AY1300"/>
    <mergeCell ref="AZ1298:AZ1300"/>
    <mergeCell ref="BA1298:BA1300"/>
    <mergeCell ref="AV1301:AV1303"/>
    <mergeCell ref="AW1301:AW1303"/>
    <mergeCell ref="AX1301:AX1303"/>
    <mergeCell ref="AY1301:AY1303"/>
    <mergeCell ref="AZ1301:AZ1303"/>
    <mergeCell ref="BA1301:BA1303"/>
    <mergeCell ref="AV1304:AV1305"/>
    <mergeCell ref="AW1304:AW1305"/>
    <mergeCell ref="AX1304:AX1305"/>
    <mergeCell ref="AY1304:AY1305"/>
    <mergeCell ref="AZ1304:AZ1305"/>
    <mergeCell ref="BA1304:BA1305"/>
    <mergeCell ref="BI1304:BI1305"/>
    <mergeCell ref="AV1306:AV1307"/>
    <mergeCell ref="AW1306:AW1307"/>
    <mergeCell ref="AX1306:AX1307"/>
    <mergeCell ref="AY1306:AY1307"/>
    <mergeCell ref="AZ1306:AZ1307"/>
    <mergeCell ref="BA1306:BA1307"/>
    <mergeCell ref="BI1306:BI1307"/>
    <mergeCell ref="AV1308:AV1309"/>
    <mergeCell ref="AW1308:AW1309"/>
    <mergeCell ref="AX1308:AX1309"/>
    <mergeCell ref="AY1308:AY1309"/>
    <mergeCell ref="AZ1308:AZ1309"/>
    <mergeCell ref="BA1308:BA1309"/>
    <mergeCell ref="BI1308:BI1309"/>
    <mergeCell ref="AV1310:AV1311"/>
    <mergeCell ref="AW1310:AW1311"/>
    <mergeCell ref="AX1310:AX1311"/>
    <mergeCell ref="AY1310:AY1311"/>
    <mergeCell ref="AZ1310:AZ1311"/>
    <mergeCell ref="BA1310:BA1311"/>
    <mergeCell ref="BI1310:BI1311"/>
    <mergeCell ref="AV1312:AV1313"/>
    <mergeCell ref="AW1312:AW1313"/>
    <mergeCell ref="AX1312:AX1313"/>
    <mergeCell ref="AY1312:AY1313"/>
    <mergeCell ref="AZ1312:AZ1313"/>
    <mergeCell ref="BA1312:BA1313"/>
    <mergeCell ref="BI1312:BI1313"/>
    <mergeCell ref="AV1314:AV1315"/>
    <mergeCell ref="AW1314:AW1315"/>
    <mergeCell ref="AX1314:AX1315"/>
    <mergeCell ref="AY1314:AY1315"/>
    <mergeCell ref="AZ1314:AZ1315"/>
    <mergeCell ref="BA1314:BA1315"/>
    <mergeCell ref="BI1314:BI1315"/>
    <mergeCell ref="AV1316:AV1317"/>
    <mergeCell ref="AW1316:AW1317"/>
    <mergeCell ref="AX1316:AX1317"/>
    <mergeCell ref="AY1316:AY1317"/>
    <mergeCell ref="AZ1316:AZ1317"/>
    <mergeCell ref="BA1316:BA1317"/>
    <mergeCell ref="BI1316:BI1317"/>
    <mergeCell ref="AV1318:AV1319"/>
    <mergeCell ref="AW1318:AW1319"/>
    <mergeCell ref="AX1318:AX1319"/>
    <mergeCell ref="AY1318:AY1319"/>
    <mergeCell ref="AZ1318:AZ1319"/>
    <mergeCell ref="BA1318:BA1319"/>
    <mergeCell ref="BI1318:BI1319"/>
    <mergeCell ref="AV1320:AV1321"/>
    <mergeCell ref="AW1320:AW1321"/>
    <mergeCell ref="AX1320:AX1321"/>
    <mergeCell ref="AY1320:AY1321"/>
    <mergeCell ref="AZ1320:AZ1321"/>
    <mergeCell ref="BA1320:BA1321"/>
    <mergeCell ref="BI1320:BI1321"/>
    <mergeCell ref="AV1322:AV1323"/>
    <mergeCell ref="AW1322:AW1323"/>
    <mergeCell ref="AX1322:AX1323"/>
    <mergeCell ref="AY1322:AY1323"/>
    <mergeCell ref="AZ1322:AZ1323"/>
    <mergeCell ref="BA1322:BA1323"/>
    <mergeCell ref="BI1322:BI1323"/>
    <mergeCell ref="AV1324:AV1325"/>
    <mergeCell ref="AW1324:AW1325"/>
    <mergeCell ref="AX1324:AX1325"/>
    <mergeCell ref="AY1324:AY1325"/>
    <mergeCell ref="AZ1324:AZ1325"/>
    <mergeCell ref="BA1324:BA1325"/>
    <mergeCell ref="BI1324:BI1325"/>
    <mergeCell ref="AV1326:AV1327"/>
    <mergeCell ref="AW1326:AW1327"/>
    <mergeCell ref="AX1326:AX1327"/>
    <mergeCell ref="AY1326:AY1327"/>
    <mergeCell ref="AZ1326:AZ1327"/>
    <mergeCell ref="BA1326:BA1327"/>
    <mergeCell ref="BI1326:BI1327"/>
    <mergeCell ref="AV1328:AV1329"/>
    <mergeCell ref="AW1328:AW1329"/>
    <mergeCell ref="AX1328:AX1329"/>
    <mergeCell ref="AY1328:AY1329"/>
    <mergeCell ref="AZ1328:AZ1329"/>
    <mergeCell ref="BA1328:BA1329"/>
    <mergeCell ref="BI1328:BI1329"/>
    <mergeCell ref="AV1330:AV1331"/>
    <mergeCell ref="AW1330:AW1331"/>
    <mergeCell ref="AX1330:AX1331"/>
    <mergeCell ref="AY1330:AY1331"/>
    <mergeCell ref="AZ1330:AZ1331"/>
    <mergeCell ref="BA1330:BA1331"/>
    <mergeCell ref="BI1330:BI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0:AV1341"/>
    <mergeCell ref="AW1340:AW1341"/>
    <mergeCell ref="AX1340:AX1341"/>
    <mergeCell ref="AY1340:AY1341"/>
    <mergeCell ref="AZ1340:AZ1341"/>
    <mergeCell ref="BA1340:BA1341"/>
    <mergeCell ref="AV1342:AV1343"/>
    <mergeCell ref="AW1342:AW1343"/>
    <mergeCell ref="AX1342:AX1343"/>
    <mergeCell ref="AY1342:AY1343"/>
    <mergeCell ref="AZ1342:AZ1343"/>
    <mergeCell ref="BA1342:BA1343"/>
    <mergeCell ref="AV1344:AV1345"/>
    <mergeCell ref="AW1344:AW1345"/>
    <mergeCell ref="AX1344:AX1345"/>
    <mergeCell ref="AY1344:AY1345"/>
    <mergeCell ref="AZ1344:AZ1345"/>
    <mergeCell ref="BA1344:BA1345"/>
    <mergeCell ref="AV1347:AV1348"/>
    <mergeCell ref="AW1347:AW1348"/>
    <mergeCell ref="AX1347:AX1348"/>
    <mergeCell ref="AY1347:AY1348"/>
    <mergeCell ref="AZ1347:AZ1348"/>
    <mergeCell ref="BA1347:BA1348"/>
    <mergeCell ref="AV1349:AV1350"/>
    <mergeCell ref="AW1349:AW1350"/>
    <mergeCell ref="AX1349:AX1350"/>
    <mergeCell ref="AY1349:AY1350"/>
    <mergeCell ref="AZ1349:AZ1350"/>
    <mergeCell ref="BA1349:BA1350"/>
    <mergeCell ref="AV1351:AV1352"/>
    <mergeCell ref="AW1351:AW1352"/>
    <mergeCell ref="AX1351:AX1352"/>
    <mergeCell ref="AY1351:AY1352"/>
    <mergeCell ref="AZ1351:AZ1352"/>
    <mergeCell ref="BA1351:BA1352"/>
    <mergeCell ref="AV1353:AV1354"/>
    <mergeCell ref="AW1353:AW1354"/>
    <mergeCell ref="AX1353:AX1354"/>
    <mergeCell ref="AY1353:AY1354"/>
    <mergeCell ref="AZ1353:AZ1354"/>
    <mergeCell ref="BA1353:BA1354"/>
    <mergeCell ref="AV1355:AV1356"/>
    <mergeCell ref="AW1355:AW1356"/>
    <mergeCell ref="AX1355:AX1356"/>
    <mergeCell ref="AY1355:AY1356"/>
    <mergeCell ref="AZ1355:AZ1356"/>
    <mergeCell ref="BA1355:BA1356"/>
    <mergeCell ref="AV1357:AV1358"/>
    <mergeCell ref="AW1357:AW1358"/>
    <mergeCell ref="AX1357:AX1358"/>
    <mergeCell ref="AY1357:AY1358"/>
    <mergeCell ref="AZ1357:AZ1358"/>
    <mergeCell ref="BA1357:BA1358"/>
    <mergeCell ref="AV1360:AV1361"/>
    <mergeCell ref="AW1360:AW1361"/>
    <mergeCell ref="AX1360:AX1361"/>
    <mergeCell ref="AY1360:AY1361"/>
    <mergeCell ref="AZ1360:AZ1361"/>
    <mergeCell ref="BA1360:BA1361"/>
    <mergeCell ref="AV1362:AV1363"/>
    <mergeCell ref="AW1362:AW1363"/>
    <mergeCell ref="AX1362:AX1363"/>
    <mergeCell ref="AY1362:AY1363"/>
    <mergeCell ref="AZ1362:AZ1363"/>
    <mergeCell ref="BA1362:BA1363"/>
    <mergeCell ref="AV1364:AV1365"/>
    <mergeCell ref="AW1364:AW1365"/>
    <mergeCell ref="AX1364:AX1365"/>
    <mergeCell ref="AY1364:AY1365"/>
    <mergeCell ref="AZ1364:AZ1365"/>
    <mergeCell ref="BA1364:BA1365"/>
    <mergeCell ref="AV1366:AV1367"/>
    <mergeCell ref="AW1366:AW1367"/>
    <mergeCell ref="AX1366:AX1367"/>
    <mergeCell ref="AY1366:AY1367"/>
    <mergeCell ref="AZ1366:AZ1367"/>
    <mergeCell ref="BA1366:BA1367"/>
    <mergeCell ref="AV1368:AV1369"/>
    <mergeCell ref="AW1368:AW1369"/>
    <mergeCell ref="AX1368:AX1369"/>
    <mergeCell ref="AY1368:AY1369"/>
    <mergeCell ref="AZ1368:AZ1369"/>
    <mergeCell ref="BA1368:BA1369"/>
    <mergeCell ref="AV1370:AV1371"/>
    <mergeCell ref="AW1370:AW1371"/>
    <mergeCell ref="AX1370:AX1371"/>
    <mergeCell ref="AY1370:AY1371"/>
    <mergeCell ref="AZ1370:AZ1371"/>
    <mergeCell ref="BA1370:BA1371"/>
    <mergeCell ref="AV1372:AV1373"/>
    <mergeCell ref="AW1372:AW1373"/>
    <mergeCell ref="AX1372:AX1373"/>
    <mergeCell ref="AY1372:AY1373"/>
    <mergeCell ref="AZ1372:AZ1373"/>
    <mergeCell ref="BA1372:BA1373"/>
    <mergeCell ref="BI1372:BI1373"/>
    <mergeCell ref="AV1374:AV1375"/>
    <mergeCell ref="AW1374:AW1375"/>
    <mergeCell ref="AX1374:AX1375"/>
    <mergeCell ref="AY1374:AY1375"/>
    <mergeCell ref="AZ1374:AZ1375"/>
    <mergeCell ref="BA1374:BA1375"/>
    <mergeCell ref="BI1374:BI1375"/>
    <mergeCell ref="AV1376:AV1377"/>
    <mergeCell ref="AW1376:AW1377"/>
    <mergeCell ref="AX1376:AX1377"/>
    <mergeCell ref="AY1376:AY1377"/>
    <mergeCell ref="AZ1376:AZ1377"/>
    <mergeCell ref="BA1376:BA1377"/>
    <mergeCell ref="BI1376:BI1377"/>
    <mergeCell ref="AV1378:AV1379"/>
    <mergeCell ref="AW1378:AW1379"/>
    <mergeCell ref="AX1378:AX1379"/>
    <mergeCell ref="AY1378:AY1379"/>
    <mergeCell ref="AZ1378:AZ1379"/>
    <mergeCell ref="BA1378:BA1379"/>
    <mergeCell ref="BI1378:BI1379"/>
    <mergeCell ref="AV1380:AV1381"/>
    <mergeCell ref="AW1380:AW1381"/>
    <mergeCell ref="AX1380:AX1381"/>
    <mergeCell ref="AY1380:AY1381"/>
    <mergeCell ref="AZ1380:AZ1381"/>
    <mergeCell ref="BA1380:BA1381"/>
    <mergeCell ref="BI1380:BI1381"/>
    <mergeCell ref="AV1382:AV1383"/>
    <mergeCell ref="AW1382:AW1383"/>
    <mergeCell ref="AX1382:AX1383"/>
    <mergeCell ref="AY1382:AY1383"/>
    <mergeCell ref="AZ1382:AZ1383"/>
    <mergeCell ref="BA1382:BA1383"/>
    <mergeCell ref="BI1382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8:AV1389"/>
    <mergeCell ref="AW1388:AW1389"/>
    <mergeCell ref="AX1388:AX1389"/>
    <mergeCell ref="AY1388:AY1389"/>
    <mergeCell ref="AZ1388:AZ1389"/>
    <mergeCell ref="BA1388:BA1389"/>
    <mergeCell ref="BI1388:BI1389"/>
    <mergeCell ref="AV1390:AV1391"/>
    <mergeCell ref="AW1390:AW1391"/>
    <mergeCell ref="AX1390:AX1391"/>
    <mergeCell ref="AY1390:AY1391"/>
    <mergeCell ref="AZ1390:AZ1391"/>
    <mergeCell ref="BA1390:BA1391"/>
    <mergeCell ref="BI1390:BI1391"/>
    <mergeCell ref="AV1392:AV1393"/>
    <mergeCell ref="AW1392:AW1393"/>
    <mergeCell ref="AX1392:AX1393"/>
    <mergeCell ref="AY1392:AY1393"/>
    <mergeCell ref="AZ1392:AZ1393"/>
    <mergeCell ref="BA1392:BA1393"/>
    <mergeCell ref="BI1392:BI1393"/>
    <mergeCell ref="AV1394:AV1395"/>
    <mergeCell ref="AW1394:AW1395"/>
    <mergeCell ref="AX1394:AX1395"/>
    <mergeCell ref="AY1394:AY1395"/>
    <mergeCell ref="AZ1394:AZ1395"/>
    <mergeCell ref="BA1394:BA1395"/>
    <mergeCell ref="BI1394:BI1395"/>
    <mergeCell ref="AV1396:AV1397"/>
    <mergeCell ref="AW1396:AW1397"/>
    <mergeCell ref="AX1396:AX1397"/>
    <mergeCell ref="AY1396:AY1397"/>
    <mergeCell ref="AZ1396:AZ1397"/>
    <mergeCell ref="BA1396:BA1397"/>
    <mergeCell ref="BI1396:BI1397"/>
    <mergeCell ref="AV1398:AV1399"/>
    <mergeCell ref="AW1398:AW1399"/>
    <mergeCell ref="AX1398:AX1399"/>
    <mergeCell ref="AY1398:AY1399"/>
    <mergeCell ref="AZ1398:AZ1399"/>
    <mergeCell ref="BA1398:BA1399"/>
    <mergeCell ref="BI1398:BI1399"/>
    <mergeCell ref="AV1400:AV1401"/>
    <mergeCell ref="AW1400:AW1401"/>
    <mergeCell ref="AX1400:AX1401"/>
    <mergeCell ref="AY1400:AY1401"/>
    <mergeCell ref="AZ1400:AZ1401"/>
    <mergeCell ref="BA1400:BA1401"/>
    <mergeCell ref="BI1400:BI1401"/>
    <mergeCell ref="AV1402:AV1403"/>
    <mergeCell ref="AW1402:AW1403"/>
    <mergeCell ref="AX1402:AX1403"/>
    <mergeCell ref="AY1402:AY1403"/>
    <mergeCell ref="AZ1402:AZ1403"/>
    <mergeCell ref="BA1402:BA1403"/>
    <mergeCell ref="BI1402:BI1403"/>
    <mergeCell ref="AV1404:AV1405"/>
    <mergeCell ref="AW1404:AW1405"/>
    <mergeCell ref="AX1404:AX1405"/>
    <mergeCell ref="AY1404:AY1405"/>
    <mergeCell ref="AZ1404:AZ1405"/>
    <mergeCell ref="BA1404:BA1405"/>
    <mergeCell ref="BI1404:BI1405"/>
    <mergeCell ref="AV1406:AV1407"/>
    <mergeCell ref="AW1406:AW1407"/>
    <mergeCell ref="AX1406:AX1407"/>
    <mergeCell ref="AY1406:AY1407"/>
    <mergeCell ref="AZ1406:AZ1407"/>
    <mergeCell ref="BA1406:BA1407"/>
    <mergeCell ref="BI1406:BI1407"/>
    <mergeCell ref="AV1408:AV1409"/>
    <mergeCell ref="AW1408:AW1409"/>
    <mergeCell ref="AX1408:AX1409"/>
    <mergeCell ref="AY1408:AY1409"/>
    <mergeCell ref="AZ1408:AZ1409"/>
    <mergeCell ref="BA1408:BA1409"/>
    <mergeCell ref="BI1408:BI1409"/>
    <mergeCell ref="AV1410:AV1411"/>
    <mergeCell ref="AW1410:AW1411"/>
    <mergeCell ref="AX1410:AX1411"/>
    <mergeCell ref="AY1410:AY1411"/>
    <mergeCell ref="AZ1410:AZ1411"/>
    <mergeCell ref="BA1410:BA1411"/>
    <mergeCell ref="BI1410:BI1411"/>
    <mergeCell ref="AV1412:AV1413"/>
    <mergeCell ref="AW1412:AW1413"/>
    <mergeCell ref="AX1412:AX1413"/>
    <mergeCell ref="AY1412:AY1413"/>
    <mergeCell ref="AZ1412:AZ1413"/>
    <mergeCell ref="BA1412:BA1413"/>
    <mergeCell ref="BI1412:BI1413"/>
    <mergeCell ref="AV1414:AV1415"/>
    <mergeCell ref="AW1414:AW1415"/>
    <mergeCell ref="AX1414:AX1415"/>
    <mergeCell ref="AY1414:AY1415"/>
    <mergeCell ref="AZ1414:AZ1415"/>
    <mergeCell ref="BA1414:BA1415"/>
    <mergeCell ref="BI1414:BI1415"/>
    <mergeCell ref="AV1416:AV1417"/>
    <mergeCell ref="AW1416:AW1417"/>
    <mergeCell ref="AX1416:AX1417"/>
    <mergeCell ref="AY1416:AY1417"/>
    <mergeCell ref="AZ1416:AZ1417"/>
    <mergeCell ref="BA1416:BA1417"/>
    <mergeCell ref="AV1418:AV1419"/>
    <mergeCell ref="AW1418:AW1419"/>
    <mergeCell ref="AX1418:AX1419"/>
    <mergeCell ref="AY1418:AY1419"/>
    <mergeCell ref="AZ1418:AZ1419"/>
    <mergeCell ref="BA1418:BA1419"/>
    <mergeCell ref="AV1420:AV1421"/>
    <mergeCell ref="AW1420:AW1421"/>
    <mergeCell ref="AX1420:AX1421"/>
    <mergeCell ref="AY1420:AY1421"/>
    <mergeCell ref="AZ1420:AZ1421"/>
    <mergeCell ref="BA1420:BA1421"/>
    <mergeCell ref="AV1422:AV1423"/>
    <mergeCell ref="AW1422:AW1423"/>
    <mergeCell ref="AX1422:AX1423"/>
    <mergeCell ref="AY1422:AY1423"/>
    <mergeCell ref="AZ1422:AZ1423"/>
    <mergeCell ref="BA1422:BA1423"/>
    <mergeCell ref="AV1426:AV1427"/>
    <mergeCell ref="AW1426:AW1427"/>
    <mergeCell ref="AX1426:AX1427"/>
    <mergeCell ref="AY1426:AY1427"/>
    <mergeCell ref="AZ1426:AZ1427"/>
    <mergeCell ref="BA1426:BA1427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42:AV1443"/>
    <mergeCell ref="AW1442:AW1443"/>
    <mergeCell ref="AX1442:AX1443"/>
    <mergeCell ref="AY1442:AY1443"/>
    <mergeCell ref="AZ1442:AZ1443"/>
    <mergeCell ref="BA1442:BA1443"/>
    <mergeCell ref="AV1446:AV1448"/>
    <mergeCell ref="AW1446:AW1448"/>
    <mergeCell ref="AX1446:AX1448"/>
    <mergeCell ref="AY1446:AY1448"/>
    <mergeCell ref="AZ1446:AZ1448"/>
    <mergeCell ref="BA1446:BA1448"/>
    <mergeCell ref="AV1449:AV1450"/>
    <mergeCell ref="AW1449:AW1450"/>
    <mergeCell ref="AX1449:AX1450"/>
    <mergeCell ref="AY1449:AY1450"/>
    <mergeCell ref="AZ1449:AZ1450"/>
    <mergeCell ref="BA1449:BA1450"/>
    <mergeCell ref="BI1449:BI1450"/>
    <mergeCell ref="AV1451:AV1452"/>
    <mergeCell ref="AW1451:AW1452"/>
    <mergeCell ref="AX1451:AX1452"/>
    <mergeCell ref="AY1451:AY1452"/>
    <mergeCell ref="AZ1451:AZ1452"/>
    <mergeCell ref="BA1451:BA1452"/>
    <mergeCell ref="BI1451:BI1452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6"/>
    <mergeCell ref="AW1455:AW1456"/>
    <mergeCell ref="AX1455:AX1456"/>
    <mergeCell ref="AY1455:AY1456"/>
    <mergeCell ref="AZ1455:AZ1456"/>
    <mergeCell ref="BA1455:BA1456"/>
    <mergeCell ref="BI1455:BI1456"/>
    <mergeCell ref="AV1457:AV1458"/>
    <mergeCell ref="AW1457:AW1458"/>
    <mergeCell ref="AX1457:AX1458"/>
    <mergeCell ref="AY1457:AY1458"/>
    <mergeCell ref="AZ1457:AZ1458"/>
    <mergeCell ref="BA1457:BA1458"/>
    <mergeCell ref="BI1457:BI1458"/>
    <mergeCell ref="AV1459:AV1460"/>
    <mergeCell ref="AW1459:AW1460"/>
    <mergeCell ref="AX1459:AX1460"/>
    <mergeCell ref="AY1459:AY1460"/>
    <mergeCell ref="AZ1459:AZ1460"/>
    <mergeCell ref="BA1459:BA1460"/>
    <mergeCell ref="BI1459:BI1460"/>
    <mergeCell ref="AV1461:AV1462"/>
    <mergeCell ref="AW1461:AW1462"/>
    <mergeCell ref="AX1461:AX1462"/>
    <mergeCell ref="AY1461:AY1462"/>
    <mergeCell ref="AZ1461:AZ1462"/>
    <mergeCell ref="BA1461:BA1462"/>
    <mergeCell ref="AV1463:AV1464"/>
    <mergeCell ref="AW1463:AW1464"/>
    <mergeCell ref="AX1463:AX1464"/>
    <mergeCell ref="AY1463:AY1464"/>
    <mergeCell ref="AZ1463:AZ1464"/>
    <mergeCell ref="BA1463:BA1464"/>
    <mergeCell ref="AV1465:AV1466"/>
    <mergeCell ref="AW1465:AW1466"/>
    <mergeCell ref="AX1465:AX1466"/>
    <mergeCell ref="AY1465:AY1466"/>
    <mergeCell ref="AZ1465:AZ1466"/>
    <mergeCell ref="BA1465:BA1466"/>
    <mergeCell ref="AV1467:AV1468"/>
    <mergeCell ref="AW1467:AW1468"/>
    <mergeCell ref="AX1467:AX1468"/>
    <mergeCell ref="AY1467:AY1468"/>
    <mergeCell ref="AZ1467:AZ1468"/>
    <mergeCell ref="BA1467:BA1468"/>
    <mergeCell ref="AV1469:AV1470"/>
    <mergeCell ref="AW1469:AW1470"/>
    <mergeCell ref="AX1469:AX1470"/>
    <mergeCell ref="AY1469:AY1470"/>
    <mergeCell ref="AZ1469:AZ1470"/>
    <mergeCell ref="BA1469:BA1470"/>
    <mergeCell ref="AV1471:AV1472"/>
    <mergeCell ref="AW1471:AW1472"/>
    <mergeCell ref="AX1471:AX1472"/>
    <mergeCell ref="AY1471:AY1472"/>
    <mergeCell ref="AZ1471:AZ1472"/>
    <mergeCell ref="BA1471:BA1472"/>
    <mergeCell ref="AV1473:AV1474"/>
    <mergeCell ref="AW1473:AW1474"/>
    <mergeCell ref="AX1473:AX1474"/>
    <mergeCell ref="AY1473:AY1474"/>
    <mergeCell ref="AZ1473:AZ1474"/>
    <mergeCell ref="BA1473:BA1474"/>
    <mergeCell ref="AV1476:AV1477"/>
    <mergeCell ref="AW1476:AW1477"/>
    <mergeCell ref="AX1476:AX1477"/>
    <mergeCell ref="AY1476:AY1477"/>
    <mergeCell ref="AZ1476:AZ1477"/>
    <mergeCell ref="BA1476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89"/>
    <mergeCell ref="AW1488:AW1489"/>
    <mergeCell ref="AX1488:AX1489"/>
    <mergeCell ref="AY1488:AY1489"/>
    <mergeCell ref="AZ1488:AZ1489"/>
    <mergeCell ref="BA1488:BA1489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BI1515:BI1516"/>
    <mergeCell ref="AV1517:AV1518"/>
    <mergeCell ref="AW1517:AW1518"/>
    <mergeCell ref="AX1517:AX1518"/>
    <mergeCell ref="AY1517:AY1518"/>
    <mergeCell ref="AZ1517:AZ1518"/>
    <mergeCell ref="BA1517:BA1518"/>
    <mergeCell ref="BI1517:BI1518"/>
    <mergeCell ref="AV1520:AV1521"/>
    <mergeCell ref="AW1520:AW1521"/>
    <mergeCell ref="AX1520:AX1521"/>
    <mergeCell ref="AY1520:AY1521"/>
    <mergeCell ref="AZ1520:AZ1521"/>
    <mergeCell ref="BA1520:BA1521"/>
    <mergeCell ref="BI1520:BI1521"/>
    <mergeCell ref="AV1522:AV1523"/>
    <mergeCell ref="AW1522:AW1523"/>
    <mergeCell ref="AX1522:AX1523"/>
    <mergeCell ref="AY1522:AY1523"/>
    <mergeCell ref="AZ1522:AZ1523"/>
    <mergeCell ref="BA1522:BA1523"/>
    <mergeCell ref="AV1524:AV1525"/>
    <mergeCell ref="AW1524:AW1525"/>
    <mergeCell ref="AX1524:AX1525"/>
    <mergeCell ref="AY1524:AY1525"/>
    <mergeCell ref="AZ1524:AZ1525"/>
    <mergeCell ref="BA1524:BA1525"/>
    <mergeCell ref="AV1527:AV1529"/>
    <mergeCell ref="AW1527:AW1529"/>
    <mergeCell ref="AX1527:AX1529"/>
    <mergeCell ref="AY1527:AY1529"/>
    <mergeCell ref="AZ1527:AZ1529"/>
    <mergeCell ref="BA1527:BA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67:AV1570"/>
    <mergeCell ref="AW1567:AW1570"/>
    <mergeCell ref="AX1567:AX1570"/>
    <mergeCell ref="AY1567:AY1570"/>
    <mergeCell ref="AZ1567:AZ1570"/>
    <mergeCell ref="BA1567:BA1570"/>
    <mergeCell ref="BI1567:BI1570"/>
    <mergeCell ref="AV1571:AV1574"/>
    <mergeCell ref="AW1571:AW1574"/>
    <mergeCell ref="AX1571:AX1574"/>
    <mergeCell ref="AY1571:AY1574"/>
    <mergeCell ref="AZ1571:AZ1574"/>
    <mergeCell ref="BA1571:BA1574"/>
    <mergeCell ref="BI1571:BI1574"/>
    <mergeCell ref="AV1575:AV1579"/>
    <mergeCell ref="AW1575:AW1579"/>
    <mergeCell ref="AX1575:AX1579"/>
    <mergeCell ref="AY1575:AY1579"/>
    <mergeCell ref="AZ1575:AZ1579"/>
    <mergeCell ref="BA1575:BA1579"/>
    <mergeCell ref="BI1575:BI1579"/>
    <mergeCell ref="AV1580:AV1583"/>
    <mergeCell ref="AW1580:AW1583"/>
    <mergeCell ref="AX1580:AX1583"/>
    <mergeCell ref="AY1580:AY1583"/>
    <mergeCell ref="AZ1580:AZ1583"/>
    <mergeCell ref="BA1580:BA1583"/>
    <mergeCell ref="BI1580:BI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4"/>
    <mergeCell ref="AW1590:AW1594"/>
    <mergeCell ref="AX1590:AX1594"/>
    <mergeCell ref="AY1590:AY1594"/>
    <mergeCell ref="AZ1590:AZ1594"/>
    <mergeCell ref="BA1590:BA1594"/>
    <mergeCell ref="AV1595:AV1598"/>
    <mergeCell ref="AW1595:AW1598"/>
    <mergeCell ref="AX1595:AX1598"/>
    <mergeCell ref="AY1595:AY1598"/>
    <mergeCell ref="AZ1595:AZ1598"/>
    <mergeCell ref="BA1595:BA1598"/>
    <mergeCell ref="AV1599:AV1601"/>
    <mergeCell ref="AW1599:AW1601"/>
    <mergeCell ref="AX1599:AX1601"/>
    <mergeCell ref="AY1599:AY1601"/>
    <mergeCell ref="AZ1599:AZ1601"/>
    <mergeCell ref="BA1599:BA1601"/>
    <mergeCell ref="AV1602:AV1605"/>
    <mergeCell ref="AW1602:AW1605"/>
    <mergeCell ref="AX1602:AX1605"/>
    <mergeCell ref="AY1602:AY1605"/>
    <mergeCell ref="AZ1602:AZ1605"/>
    <mergeCell ref="BA1602:BA1605"/>
    <mergeCell ref="AV1606:AV1609"/>
    <mergeCell ref="AW1606:AW1609"/>
    <mergeCell ref="AX1606:AX1609"/>
    <mergeCell ref="AY1606:AY1609"/>
    <mergeCell ref="AZ1606:AZ1609"/>
    <mergeCell ref="BA1606:BA1609"/>
    <mergeCell ref="AV1610:AV1611"/>
    <mergeCell ref="AW1610:AW1611"/>
    <mergeCell ref="AX1610:AX1611"/>
    <mergeCell ref="AY1610:AY1611"/>
    <mergeCell ref="AZ1610:AZ1611"/>
    <mergeCell ref="BA1610:BA1611"/>
    <mergeCell ref="AV1612:AV1615"/>
    <mergeCell ref="AW1612:AW1615"/>
    <mergeCell ref="AX1612:AX1615"/>
    <mergeCell ref="AY1612:AY1615"/>
    <mergeCell ref="AZ1612:AZ1615"/>
    <mergeCell ref="BA1612:BA1615"/>
    <mergeCell ref="AV1616:AV1619"/>
    <mergeCell ref="AW1616:AW1619"/>
    <mergeCell ref="AX1616:AX1619"/>
    <mergeCell ref="AY1616:AY1619"/>
    <mergeCell ref="AZ1616:AZ1619"/>
    <mergeCell ref="BA1616:BA1619"/>
    <mergeCell ref="AV1620:AV1623"/>
    <mergeCell ref="AW1620:AW1623"/>
    <mergeCell ref="AX1620:AX1623"/>
    <mergeCell ref="AY1620:AY1623"/>
    <mergeCell ref="AZ1620:AZ1623"/>
    <mergeCell ref="BA1620:BA1623"/>
    <mergeCell ref="AV1624:AV1625"/>
    <mergeCell ref="AW1624:AW1625"/>
    <mergeCell ref="AX1624:AX1625"/>
    <mergeCell ref="AY1624:AY1625"/>
    <mergeCell ref="AZ1624:AZ1625"/>
    <mergeCell ref="BA1624:BA1625"/>
    <mergeCell ref="AV1626:AV1627"/>
    <mergeCell ref="AW1626:AW1627"/>
    <mergeCell ref="AX1626:AX1627"/>
    <mergeCell ref="AY1626:AY1627"/>
    <mergeCell ref="AZ1626:AZ1627"/>
    <mergeCell ref="BA1626:BA1627"/>
    <mergeCell ref="AV1628:AV1629"/>
    <mergeCell ref="AW1628:AW1629"/>
    <mergeCell ref="AX1628:AX1629"/>
    <mergeCell ref="AY1628:AY1629"/>
    <mergeCell ref="AZ1628:AZ1629"/>
    <mergeCell ref="BA1628:BA1629"/>
    <mergeCell ref="BI1628:BI1629"/>
    <mergeCell ref="AV1630:AV1631"/>
    <mergeCell ref="AW1630:AW1631"/>
    <mergeCell ref="AX1630:AX1631"/>
    <mergeCell ref="AY1630:AY1631"/>
    <mergeCell ref="AZ1630:AZ1631"/>
    <mergeCell ref="BA1630:BA1631"/>
    <mergeCell ref="BI1630:BI1631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6"/>
    <mergeCell ref="AW1634:AW1636"/>
    <mergeCell ref="AX1634:AX1636"/>
    <mergeCell ref="AY1634:AY1636"/>
    <mergeCell ref="AZ1634:AZ1636"/>
    <mergeCell ref="BA1634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BI1659:BI1660"/>
    <mergeCell ref="AV1661:AV1662"/>
    <mergeCell ref="AW1661:AW1662"/>
    <mergeCell ref="AX1661:AX1662"/>
    <mergeCell ref="AY1661:AY1662"/>
    <mergeCell ref="AZ1661:AZ1662"/>
    <mergeCell ref="BA1661:BA1662"/>
    <mergeCell ref="BI1661:BI1662"/>
    <mergeCell ref="AV1663:AV1664"/>
    <mergeCell ref="AW1663:AW1664"/>
    <mergeCell ref="AX1663:AX1664"/>
    <mergeCell ref="AY1663:AY1664"/>
    <mergeCell ref="AZ1663:AZ1664"/>
    <mergeCell ref="BA1663:BA1664"/>
    <mergeCell ref="BI1663:BI1664"/>
    <mergeCell ref="AV1667:AV1668"/>
    <mergeCell ref="AW1667:AW1668"/>
    <mergeCell ref="AX1667:AX1668"/>
    <mergeCell ref="AY1667:AY1668"/>
    <mergeCell ref="AZ1667:AZ1668"/>
    <mergeCell ref="BA1667:BA1668"/>
    <mergeCell ref="BI1667:BI1668"/>
    <mergeCell ref="AV1674:AV1675"/>
    <mergeCell ref="AW1674:AW1675"/>
    <mergeCell ref="AX1674:AX1675"/>
    <mergeCell ref="AY1674:AY1675"/>
    <mergeCell ref="AZ1674:AZ1675"/>
    <mergeCell ref="BA1674:BA1675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685:AV1686"/>
    <mergeCell ref="AW1685:AW1686"/>
    <mergeCell ref="AX1685:AX1686"/>
    <mergeCell ref="AY1685:AY1686"/>
    <mergeCell ref="AZ1685:AZ1686"/>
    <mergeCell ref="BA1685:BA1686"/>
    <mergeCell ref="AV1687:AV1688"/>
    <mergeCell ref="AW1687:AW1688"/>
    <mergeCell ref="AX1687:AX1688"/>
    <mergeCell ref="AY1687:AY1688"/>
    <mergeCell ref="AZ1687:AZ1688"/>
    <mergeCell ref="BA1687:BA1688"/>
    <mergeCell ref="AV1689:AV1691"/>
    <mergeCell ref="AW1689:AW1691"/>
    <mergeCell ref="AX1689:AX1691"/>
    <mergeCell ref="AY1689:AY1691"/>
    <mergeCell ref="AZ1689:AZ1691"/>
    <mergeCell ref="BA1689:BA1691"/>
    <mergeCell ref="AV1692:AV1693"/>
    <mergeCell ref="AW1692:AW1693"/>
    <mergeCell ref="AX1692:AX1693"/>
    <mergeCell ref="AY1692:AY1693"/>
    <mergeCell ref="AZ1692:AZ1693"/>
    <mergeCell ref="BA1692:BA1693"/>
    <mergeCell ref="AV1694:AV1695"/>
    <mergeCell ref="AW1694:AW1695"/>
    <mergeCell ref="AX1694:AX1695"/>
    <mergeCell ref="AY1694:AY1695"/>
    <mergeCell ref="AZ1694:AZ1695"/>
    <mergeCell ref="BA1694:BA1695"/>
    <mergeCell ref="AV1696:AV1697"/>
    <mergeCell ref="AW1696:AW1697"/>
    <mergeCell ref="AX1696:AX1697"/>
    <mergeCell ref="AY1696:AY1697"/>
    <mergeCell ref="AZ1696:AZ1697"/>
    <mergeCell ref="BA1696:BA1697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3:AV1704"/>
    <mergeCell ref="AW1703:AW1704"/>
    <mergeCell ref="AX1703:AX1704"/>
    <mergeCell ref="AY1703:AY1704"/>
    <mergeCell ref="AZ1703:AZ1704"/>
    <mergeCell ref="BA1703:BA1704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09:AV1710"/>
    <mergeCell ref="AW1709:AW1710"/>
    <mergeCell ref="AX1709:AX1710"/>
    <mergeCell ref="AY1709:AY1710"/>
    <mergeCell ref="AZ1709:AZ1710"/>
    <mergeCell ref="BA1709:BA1710"/>
    <mergeCell ref="AV1711:AV1713"/>
    <mergeCell ref="AW1711:AW1713"/>
    <mergeCell ref="AX1711:AX1713"/>
    <mergeCell ref="AY1711:AY1713"/>
    <mergeCell ref="AZ1711:AZ1713"/>
    <mergeCell ref="BA1711:BA1713"/>
    <mergeCell ref="AV1714:AV1715"/>
    <mergeCell ref="AW1714:AW1715"/>
    <mergeCell ref="AX1714:AX1715"/>
    <mergeCell ref="AY1714:AY1715"/>
    <mergeCell ref="AZ1714:AZ1715"/>
    <mergeCell ref="BA1714:BA1715"/>
    <mergeCell ref="AV1716:AV1717"/>
    <mergeCell ref="AW1716:AW1717"/>
    <mergeCell ref="AX1716:AX1717"/>
    <mergeCell ref="AY1716:AY1717"/>
    <mergeCell ref="AZ1716:AZ1717"/>
    <mergeCell ref="BA1716:BA1717"/>
    <mergeCell ref="AV1718:AV1719"/>
    <mergeCell ref="AW1718:AW1719"/>
    <mergeCell ref="AX1718:AX1719"/>
    <mergeCell ref="AY1718:AY1719"/>
    <mergeCell ref="AZ1718:AZ1719"/>
    <mergeCell ref="BA1718:BA1719"/>
    <mergeCell ref="AV1720:AV1721"/>
    <mergeCell ref="AW1720:AW1721"/>
    <mergeCell ref="AX1720:AX1721"/>
    <mergeCell ref="AY1720:AY1721"/>
    <mergeCell ref="AZ1720:AZ1721"/>
    <mergeCell ref="BA1720:BA1721"/>
    <mergeCell ref="AV1724:AV1727"/>
    <mergeCell ref="AW1724:AW1727"/>
    <mergeCell ref="AX1724:AX1727"/>
    <mergeCell ref="AY1724:AY1727"/>
    <mergeCell ref="AZ1724:AZ1727"/>
    <mergeCell ref="BA1724:BA1727"/>
    <mergeCell ref="BI1724:BI1727"/>
    <mergeCell ref="AV1728:AV1731"/>
    <mergeCell ref="AW1728:AW1731"/>
    <mergeCell ref="AX1728:AX1731"/>
    <mergeCell ref="AY1728:AY1731"/>
    <mergeCell ref="AZ1728:AZ1731"/>
    <mergeCell ref="BA1728:BA1731"/>
    <mergeCell ref="AV1732:AV1734"/>
    <mergeCell ref="AW1732:AW1734"/>
    <mergeCell ref="AX1732:AX1734"/>
    <mergeCell ref="AY1732:AY1734"/>
    <mergeCell ref="AZ1732:AZ1734"/>
    <mergeCell ref="BA1732:BA1734"/>
    <mergeCell ref="AV1735:AV1737"/>
    <mergeCell ref="AW1735:AW1737"/>
    <mergeCell ref="AX1735:AX1737"/>
    <mergeCell ref="AY1735:AY1737"/>
    <mergeCell ref="AZ1735:AZ1737"/>
    <mergeCell ref="BA1735:BA1737"/>
    <mergeCell ref="AV1748:AV1749"/>
    <mergeCell ref="AW1748:AW1749"/>
    <mergeCell ref="AX1748:AX1749"/>
    <mergeCell ref="AY1748:AY1749"/>
    <mergeCell ref="AZ1748:AZ1749"/>
    <mergeCell ref="BA1748:BA1749"/>
    <mergeCell ref="BI1748:BI1749"/>
    <mergeCell ref="AV1754:AV1755"/>
    <mergeCell ref="AW1754:AW1755"/>
    <mergeCell ref="AX1754:AX1755"/>
    <mergeCell ref="AY1754:AY1755"/>
    <mergeCell ref="AZ1754:AZ1755"/>
    <mergeCell ref="BA1754:BA1755"/>
    <mergeCell ref="AV1758:AV1759"/>
    <mergeCell ref="AW1758:AW1759"/>
    <mergeCell ref="AX1758:AX1759"/>
    <mergeCell ref="AY1758:AY1759"/>
    <mergeCell ref="AZ1758:AZ1759"/>
    <mergeCell ref="BA1758:BA1759"/>
    <mergeCell ref="AV1760:AV1761"/>
    <mergeCell ref="AW1760:AW1761"/>
    <mergeCell ref="AX1760:AX1761"/>
    <mergeCell ref="AY1760:AY1761"/>
    <mergeCell ref="AZ1760:AZ1761"/>
    <mergeCell ref="BA1760:BA1761"/>
    <mergeCell ref="AV1762:AV1763"/>
    <mergeCell ref="AW1762:AW1763"/>
    <mergeCell ref="AX1762:AX1763"/>
    <mergeCell ref="AY1762:AY1763"/>
    <mergeCell ref="AZ1762:AZ1763"/>
    <mergeCell ref="BA1762:BA1763"/>
    <mergeCell ref="AV1764:AV1765"/>
    <mergeCell ref="AW1764:AW1765"/>
    <mergeCell ref="AX1764:AX1765"/>
    <mergeCell ref="AY1764:AY1765"/>
    <mergeCell ref="AZ1764:AZ1765"/>
    <mergeCell ref="BA1764:BA1765"/>
    <mergeCell ref="AV1766:AV1767"/>
    <mergeCell ref="AW1766:AW1767"/>
    <mergeCell ref="AX1766:AX1767"/>
    <mergeCell ref="AY1766:AY1767"/>
    <mergeCell ref="AZ1766:AZ1767"/>
    <mergeCell ref="BA1766:BA1767"/>
    <mergeCell ref="AV1768:AV1769"/>
    <mergeCell ref="AW1768:AW1769"/>
    <mergeCell ref="AX1768:AX1769"/>
    <mergeCell ref="AY1768:AY1769"/>
    <mergeCell ref="AZ1768:AZ1769"/>
    <mergeCell ref="BA1768:BA1769"/>
    <mergeCell ref="AV1771:AV1772"/>
    <mergeCell ref="AW1771:AW1772"/>
    <mergeCell ref="AX1771:AX1772"/>
    <mergeCell ref="AY1771:AY1772"/>
    <mergeCell ref="AZ1771:AZ1772"/>
    <mergeCell ref="BA1771:BA1772"/>
    <mergeCell ref="AV1773:AV1774"/>
    <mergeCell ref="AW1773:AW1774"/>
    <mergeCell ref="AX1773:AX1774"/>
    <mergeCell ref="AY1773:AY1774"/>
    <mergeCell ref="AZ1773:AZ1774"/>
    <mergeCell ref="BA1773:BA1774"/>
    <mergeCell ref="AV1775:AV1776"/>
    <mergeCell ref="AW1775:AW1776"/>
    <mergeCell ref="AX1775:AX1776"/>
    <mergeCell ref="AY1775:AY1776"/>
    <mergeCell ref="AZ1775:AZ1776"/>
    <mergeCell ref="BA1775:BA1776"/>
    <mergeCell ref="AV1777:AV1778"/>
    <mergeCell ref="AW1777:AW1778"/>
    <mergeCell ref="AX1777:AX1778"/>
    <mergeCell ref="AY1777:AY1778"/>
    <mergeCell ref="AZ1777:AZ1778"/>
    <mergeCell ref="BA1777:BA1778"/>
    <mergeCell ref="AV1779:AV1780"/>
    <mergeCell ref="AW1779:AW1780"/>
    <mergeCell ref="AX1779:AX1780"/>
    <mergeCell ref="AY1779:AY1780"/>
    <mergeCell ref="AZ1779:AZ1780"/>
    <mergeCell ref="BA1779:BA1780"/>
    <mergeCell ref="AV1781:AV1782"/>
    <mergeCell ref="AW1781:AW1782"/>
    <mergeCell ref="AX1781:AX1782"/>
    <mergeCell ref="AY1781:AY1782"/>
    <mergeCell ref="AZ1781:AZ1782"/>
    <mergeCell ref="BA1781:BA1782"/>
    <mergeCell ref="AV1783:AV1784"/>
    <mergeCell ref="AW1783:AW1784"/>
    <mergeCell ref="AX1783:AX1784"/>
    <mergeCell ref="AY1783:AY1784"/>
    <mergeCell ref="AZ1783:AZ1784"/>
    <mergeCell ref="BA1783:BA1784"/>
    <mergeCell ref="AV1785:AV1786"/>
    <mergeCell ref="AW1785:AW1786"/>
    <mergeCell ref="AX1785:AX1786"/>
    <mergeCell ref="AY1785:AY1786"/>
    <mergeCell ref="AZ1785:AZ1786"/>
    <mergeCell ref="BA1785:BA1786"/>
    <mergeCell ref="AV1787:AV1788"/>
    <mergeCell ref="AW1787:AW1788"/>
    <mergeCell ref="AX1787:AX1788"/>
    <mergeCell ref="AY1787:AY1788"/>
    <mergeCell ref="AZ1787:AZ1788"/>
    <mergeCell ref="BA1787:BA1788"/>
    <mergeCell ref="AV1789:AV1790"/>
    <mergeCell ref="AW1789:AW1790"/>
    <mergeCell ref="AX1789:AX1790"/>
    <mergeCell ref="AY1789:AY1790"/>
    <mergeCell ref="AZ1789:AZ1790"/>
    <mergeCell ref="BA1789:BA1790"/>
    <mergeCell ref="AV1791:AV1792"/>
    <mergeCell ref="AW1791:AW1792"/>
    <mergeCell ref="AX1791:AX1792"/>
    <mergeCell ref="AY1791:AY1792"/>
    <mergeCell ref="AZ1791:AZ1792"/>
    <mergeCell ref="BA1791:BA1792"/>
    <mergeCell ref="AV1793:AV1794"/>
    <mergeCell ref="AW1793:AW1794"/>
    <mergeCell ref="AX1793:AX1794"/>
    <mergeCell ref="AY1793:AY1794"/>
    <mergeCell ref="AZ1793:AZ1794"/>
    <mergeCell ref="BA1793:BA1794"/>
    <mergeCell ref="AV1795:AV1796"/>
    <mergeCell ref="AW1795:AW1796"/>
    <mergeCell ref="AX1795:AX1796"/>
    <mergeCell ref="AY1795:AY1796"/>
    <mergeCell ref="AZ1795:AZ1796"/>
    <mergeCell ref="BA1795:BA1796"/>
    <mergeCell ref="AV1800:AV1801"/>
    <mergeCell ref="AW1800:AW1801"/>
    <mergeCell ref="AX1800:AX1801"/>
    <mergeCell ref="AY1800:AY1801"/>
    <mergeCell ref="AZ1800:AZ1801"/>
    <mergeCell ref="BA1800:BA1801"/>
    <mergeCell ref="AV1802:AV1803"/>
    <mergeCell ref="AW1802:AW1803"/>
    <mergeCell ref="AX1802:AX1803"/>
    <mergeCell ref="AY1802:AY1803"/>
    <mergeCell ref="AZ1802:AZ1803"/>
    <mergeCell ref="BA1802:BA1803"/>
    <mergeCell ref="AV1804:AV1805"/>
    <mergeCell ref="AW1804:AW1805"/>
    <mergeCell ref="AX1804:AX1805"/>
    <mergeCell ref="AY1804:AY1805"/>
    <mergeCell ref="AZ1804:AZ1805"/>
    <mergeCell ref="BA1804:BA1805"/>
    <mergeCell ref="AV1806:AV1807"/>
    <mergeCell ref="AW1806:AW1807"/>
    <mergeCell ref="AX1806:AX1807"/>
    <mergeCell ref="AY1806:AY1807"/>
    <mergeCell ref="AZ1806:AZ1807"/>
    <mergeCell ref="BA1806:BA1807"/>
    <mergeCell ref="AV1809:AV1810"/>
    <mergeCell ref="AW1809:AW1810"/>
    <mergeCell ref="AX1809:AX1810"/>
    <mergeCell ref="AY1809:AY1810"/>
    <mergeCell ref="AZ1809:AZ1810"/>
    <mergeCell ref="BA1809:BA1810"/>
    <mergeCell ref="AV1817:AV1818"/>
    <mergeCell ref="AW1817:AW1818"/>
    <mergeCell ref="AX1817:AX1818"/>
    <mergeCell ref="AY1817:AY1818"/>
    <mergeCell ref="AZ1817:AZ1818"/>
    <mergeCell ref="BA1817:BA1818"/>
    <mergeCell ref="AV1819:AV1820"/>
    <mergeCell ref="AW1819:AW1820"/>
    <mergeCell ref="AX1819:AX1820"/>
    <mergeCell ref="AY1819:AY1820"/>
    <mergeCell ref="AZ1819:AZ1820"/>
    <mergeCell ref="BA1819:BA1820"/>
    <mergeCell ref="AV1821:AV1822"/>
    <mergeCell ref="AW1821:AW1822"/>
    <mergeCell ref="AX1821:AX1822"/>
    <mergeCell ref="AY1821:AY1822"/>
    <mergeCell ref="AZ1821:AZ1822"/>
    <mergeCell ref="BA1821:BA1822"/>
    <mergeCell ref="AV1823:AV1824"/>
    <mergeCell ref="AW1823:AW1824"/>
    <mergeCell ref="AX1823:AX1824"/>
    <mergeCell ref="AY1823:AY1824"/>
    <mergeCell ref="AZ1823:AZ1824"/>
    <mergeCell ref="BA1823:BA1824"/>
    <mergeCell ref="AV1825:AV1826"/>
    <mergeCell ref="AW1825:AW1826"/>
    <mergeCell ref="AX1825:AX1826"/>
    <mergeCell ref="AY1825:AY1826"/>
    <mergeCell ref="AZ1825:AZ1826"/>
    <mergeCell ref="BA1825:BA1826"/>
    <mergeCell ref="AV1827:AV1828"/>
    <mergeCell ref="AW1827:AW1828"/>
    <mergeCell ref="AX1827:AX1828"/>
    <mergeCell ref="AY1827:AY1828"/>
    <mergeCell ref="AZ1827:AZ1828"/>
    <mergeCell ref="BA1827:BA1828"/>
    <mergeCell ref="AV1830:AV1831"/>
    <mergeCell ref="AW1830:AW1831"/>
    <mergeCell ref="AX1830:AX1831"/>
    <mergeCell ref="AY1830:AY1831"/>
    <mergeCell ref="AZ1830:AZ1831"/>
    <mergeCell ref="BA1830:BA1831"/>
    <mergeCell ref="AV1833:AV1834"/>
    <mergeCell ref="AW1833:AW1834"/>
    <mergeCell ref="AX1833:AX1834"/>
    <mergeCell ref="AY1833:AY1834"/>
    <mergeCell ref="AZ1833:AZ1834"/>
    <mergeCell ref="BA1833:BA1834"/>
    <mergeCell ref="AV1835:AV1836"/>
    <mergeCell ref="AW1835:AW1836"/>
    <mergeCell ref="AX1835:AX1836"/>
    <mergeCell ref="AY1835:AY1836"/>
    <mergeCell ref="AZ1835:AZ1836"/>
    <mergeCell ref="BA1835:BA1836"/>
    <mergeCell ref="AV1837:AV1838"/>
    <mergeCell ref="AW1837:AW1838"/>
    <mergeCell ref="AX1837:AX1838"/>
    <mergeCell ref="AY1837:AY1838"/>
    <mergeCell ref="AZ1837:AZ1838"/>
    <mergeCell ref="BA1837:BA1838"/>
    <mergeCell ref="AV1839:AV1840"/>
    <mergeCell ref="AW1839:AW1840"/>
    <mergeCell ref="AX1839:AX1840"/>
    <mergeCell ref="AY1839:AY1840"/>
    <mergeCell ref="AZ1839:AZ1840"/>
    <mergeCell ref="BA1839:BA1840"/>
    <mergeCell ref="AV1841:AV1842"/>
    <mergeCell ref="AW1841:AW1842"/>
    <mergeCell ref="AX1841:AX1842"/>
    <mergeCell ref="AY1841:AY1842"/>
    <mergeCell ref="AZ1841:AZ1842"/>
    <mergeCell ref="BA1841:BA1842"/>
    <mergeCell ref="AV1981:AV1982"/>
    <mergeCell ref="AW1981:AW1982"/>
    <mergeCell ref="AX1981:AX1982"/>
    <mergeCell ref="AY1981:AY1982"/>
    <mergeCell ref="AZ1981:AZ1982"/>
    <mergeCell ref="BA1981:BA1982"/>
    <mergeCell ref="BI1981:BI1982"/>
    <mergeCell ref="AV1985:AV1986"/>
    <mergeCell ref="AW1985:AW1986"/>
    <mergeCell ref="AX1985:AX1986"/>
    <mergeCell ref="AY1985:AY1986"/>
    <mergeCell ref="AZ1985:AZ1986"/>
    <mergeCell ref="BA1985:BA1986"/>
    <mergeCell ref="AV2063:AV2064"/>
    <mergeCell ref="AW2063:AW2064"/>
    <mergeCell ref="AX2063:AX2064"/>
    <mergeCell ref="AY2063:AY2064"/>
    <mergeCell ref="AZ2063:AZ2064"/>
    <mergeCell ref="BA2063:BA2064"/>
    <mergeCell ref="BI2063:BI2064"/>
    <mergeCell ref="AV2065:AV2066"/>
    <mergeCell ref="AW2065:AW2066"/>
    <mergeCell ref="AX2065:AX2066"/>
    <mergeCell ref="AY2065:AY2066"/>
    <mergeCell ref="AZ2065:AZ2066"/>
    <mergeCell ref="BA2065:BA2066"/>
    <mergeCell ref="BI2065:BI2066"/>
    <mergeCell ref="AV2067:AV2068"/>
    <mergeCell ref="AW2067:AW2068"/>
    <mergeCell ref="AX2067:AX2068"/>
    <mergeCell ref="AY2067:AY2068"/>
    <mergeCell ref="AZ2067:AZ2068"/>
    <mergeCell ref="BA2067:BA2068"/>
    <mergeCell ref="BI2067:BI2068"/>
    <mergeCell ref="AV2069:AV2070"/>
    <mergeCell ref="AW2069:AW2070"/>
    <mergeCell ref="AX2069:AX2070"/>
    <mergeCell ref="AY2069:AY2070"/>
    <mergeCell ref="AZ2069:AZ2070"/>
    <mergeCell ref="BA2069:BA2070"/>
    <mergeCell ref="BI2069:BI2070"/>
    <mergeCell ref="AV2201:AV2202"/>
    <mergeCell ref="AW2201:AW2202"/>
    <mergeCell ref="AX2201:AX2202"/>
    <mergeCell ref="AY2201:AY2202"/>
    <mergeCell ref="AZ2201:AZ2202"/>
    <mergeCell ref="BA2201:BA2202"/>
    <mergeCell ref="BI2201:BI2202"/>
    <mergeCell ref="AV2255:AV2256"/>
    <mergeCell ref="AW2255:AW2256"/>
    <mergeCell ref="AX2255:AX2256"/>
    <mergeCell ref="AY2255:AY2256"/>
    <mergeCell ref="AZ2255:AZ2256"/>
    <mergeCell ref="BA2255:BA2256"/>
    <mergeCell ref="BI2255:BI2256"/>
    <mergeCell ref="AV2518:AV2519"/>
    <mergeCell ref="AW2518:AW2519"/>
    <mergeCell ref="AX2518:AX2519"/>
    <mergeCell ref="AY2518:AY2519"/>
    <mergeCell ref="AZ2518:AZ2519"/>
    <mergeCell ref="BA2518:BA2519"/>
    <mergeCell ref="AV2579:AV2580"/>
    <mergeCell ref="AW2579:AW2580"/>
    <mergeCell ref="AX2579:AX2580"/>
    <mergeCell ref="AY2579:AY2580"/>
    <mergeCell ref="AZ2579:AZ2580"/>
    <mergeCell ref="BA2579:BA2580"/>
    <mergeCell ref="BI2579:BI2580"/>
    <mergeCell ref="AV2581:AV2582"/>
    <mergeCell ref="AW2581:AW2582"/>
    <mergeCell ref="AX2581:AX2582"/>
    <mergeCell ref="AY2581:AY2582"/>
    <mergeCell ref="AZ2581:AZ2582"/>
    <mergeCell ref="BA2581:BA2582"/>
    <mergeCell ref="BI2581:BI2582"/>
    <mergeCell ref="AV2625:AV2626"/>
    <mergeCell ref="AW2625:AW2626"/>
    <mergeCell ref="AX2625:AX2626"/>
    <mergeCell ref="AY2625:AY2626"/>
    <mergeCell ref="AZ2625:AZ2626"/>
    <mergeCell ref="BA2625:BA2626"/>
    <mergeCell ref="BI2625:BI2626"/>
    <mergeCell ref="AV2631:AV2632"/>
    <mergeCell ref="AW2631:AW2632"/>
    <mergeCell ref="AX2631:AX2632"/>
    <mergeCell ref="AY2631:AY2632"/>
    <mergeCell ref="AZ2631:AZ2632"/>
    <mergeCell ref="BA2631:BA2632"/>
    <mergeCell ref="AV2649:AV2650"/>
    <mergeCell ref="AW2649:AW2650"/>
    <mergeCell ref="AX2649:AX2650"/>
    <mergeCell ref="AY2649:AY2650"/>
    <mergeCell ref="AZ2649:AZ2650"/>
    <mergeCell ref="BA2649:BA2650"/>
    <mergeCell ref="AV2651:AV2652"/>
    <mergeCell ref="AW2651:AW2652"/>
    <mergeCell ref="AX2651:AX2652"/>
    <mergeCell ref="AY2651:AY2652"/>
    <mergeCell ref="AZ2651:AZ2652"/>
    <mergeCell ref="BA2651:BA2652"/>
    <mergeCell ref="AV2675:AV2676"/>
    <mergeCell ref="AW2675:AW2676"/>
    <mergeCell ref="AX2675:AX2676"/>
    <mergeCell ref="AY2675:AY2676"/>
    <mergeCell ref="AZ2675:AZ2676"/>
    <mergeCell ref="BA2675:BA2676"/>
    <mergeCell ref="AV2687:AV2688"/>
    <mergeCell ref="AW2687:AW2688"/>
    <mergeCell ref="AX2687:AX2688"/>
    <mergeCell ref="AY2687:AY2688"/>
    <mergeCell ref="AZ2687:AZ2688"/>
    <mergeCell ref="BA2687:BA2688"/>
    <mergeCell ref="AV2704:AV2705"/>
    <mergeCell ref="AW2704:AW2705"/>
    <mergeCell ref="AX2704:AX2705"/>
    <mergeCell ref="AY2704:AY2705"/>
    <mergeCell ref="AZ2704:AZ2705"/>
    <mergeCell ref="BA2704:BA2705"/>
    <mergeCell ref="AV2706:AV2707"/>
    <mergeCell ref="AW2706:AW2707"/>
    <mergeCell ref="AX2706:AX2707"/>
    <mergeCell ref="AY2706:AY2707"/>
    <mergeCell ref="AZ2706:AZ2707"/>
    <mergeCell ref="BA2706:BA2707"/>
    <mergeCell ref="AV2737:AV2738"/>
    <mergeCell ref="AW2737:AW2738"/>
    <mergeCell ref="AX2737:AX2738"/>
    <mergeCell ref="AY2737:AY2738"/>
    <mergeCell ref="AZ2737:AZ2738"/>
    <mergeCell ref="BA2737:BA2738"/>
    <mergeCell ref="AV2746:AV2747"/>
    <mergeCell ref="AW2746:AW2747"/>
    <mergeCell ref="AX2746:AX2747"/>
    <mergeCell ref="AY2746:AY2747"/>
    <mergeCell ref="AZ2746:AZ2747"/>
    <mergeCell ref="BA2746:BA2747"/>
    <mergeCell ref="AV2777:AV2778"/>
    <mergeCell ref="AW2777:AW2778"/>
    <mergeCell ref="AX2777:AX2778"/>
    <mergeCell ref="AY2777:AY2778"/>
    <mergeCell ref="AZ2777:AZ2778"/>
    <mergeCell ref="BA2777:BA2778"/>
    <mergeCell ref="AV2836:AV2837"/>
    <mergeCell ref="AW2836:AW2837"/>
    <mergeCell ref="AX2836:AX2837"/>
    <mergeCell ref="AY2836:AY2837"/>
    <mergeCell ref="AZ2836:AZ2837"/>
    <mergeCell ref="BA2836:BA2837"/>
    <mergeCell ref="AV2931:AV2932"/>
    <mergeCell ref="AW2931:AW2932"/>
    <mergeCell ref="AX2931:AX2932"/>
    <mergeCell ref="AY2931:AY2932"/>
    <mergeCell ref="AZ2931:AZ2932"/>
    <mergeCell ref="BA2931:BA2932"/>
    <mergeCell ref="BI2931:BI2932"/>
    <mergeCell ref="BB1088:BB1089"/>
    <mergeCell ref="BB2201:BB2202"/>
    <mergeCell ref="BB2255:BB2256"/>
    <mergeCell ref="BB2625:BB2626"/>
    <mergeCell ref="BB2631:BB2632"/>
    <mergeCell ref="BB2675:BB2676"/>
    <mergeCell ref="BB2746:BB2747"/>
    <mergeCell ref="BB2836:BB283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11200</v>
      </c>
      <c r="D2" s="0" t="s">
        <v>11201</v>
      </c>
      <c r="E2" s="0" t="s">
        <v>11202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11203</v>
      </c>
      <c r="J4" s="1" t="s">
        <v>11204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11205</v>
      </c>
      <c r="P4" s="1" t="s">
        <v>11206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11207</v>
      </c>
      <c r="F5" s="1" t="s">
        <v>11208</v>
      </c>
      <c r="G5" s="1" t="s">
        <v>11207</v>
      </c>
      <c r="H5" s="1" t="s">
        <v>11208</v>
      </c>
      <c r="I5" s="1" t="s">
        <v>11203</v>
      </c>
      <c r="J5" s="1" t="s">
        <v>11204</v>
      </c>
      <c r="K5" s="1" t="s">
        <v>11209</v>
      </c>
      <c r="L5" s="1" t="s">
        <v>11210</v>
      </c>
      <c r="M5" s="1" t="s">
        <v>11209</v>
      </c>
      <c r="N5" s="1" t="s">
        <v>11210</v>
      </c>
      <c r="O5" s="1" t="s">
        <v>11205</v>
      </c>
      <c r="P5" s="1" t="s">
        <v>11206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336</v>
      </c>
      <c r="F6" s="8">
        <v>25214.86</v>
      </c>
      <c r="G6" s="4">
        <v>753</v>
      </c>
      <c r="H6" s="8">
        <v>59446.8</v>
      </c>
      <c r="I6" s="7">
        <v>-0.5538</v>
      </c>
      <c r="J6" s="7">
        <v>-0.5758</v>
      </c>
      <c r="K6" s="4">
        <v>314</v>
      </c>
      <c r="L6" s="8">
        <v>23156.7</v>
      </c>
      <c r="M6" s="4">
        <v>717</v>
      </c>
      <c r="N6" s="8">
        <v>56065.95</v>
      </c>
      <c r="O6" s="7">
        <v>-0.5621</v>
      </c>
      <c r="P6" s="7">
        <v>-0.587</v>
      </c>
    </row>
    <row r="7">
      <c r="A7" s="2" t="s">
        <v>87</v>
      </c>
      <c r="B7" s="2" t="s">
        <v>88</v>
      </c>
      <c r="C7" s="2" t="s">
        <v>89</v>
      </c>
      <c r="D7" s="2" t="s">
        <v>2005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14</v>
      </c>
      <c r="L7" s="8">
        <v>1427.19</v>
      </c>
      <c r="M7" s="4">
        <v>21</v>
      </c>
      <c r="N7" s="8">
        <v>2181.05</v>
      </c>
      <c r="O7" s="7">
        <v>-0.3333</v>
      </c>
      <c r="P7" s="7">
        <v>-0.3456</v>
      </c>
    </row>
    <row r="8">
      <c r="A8" s="2" t="s">
        <v>87</v>
      </c>
      <c r="B8" s="2" t="s">
        <v>88</v>
      </c>
      <c r="C8" s="2" t="s">
        <v>89</v>
      </c>
      <c r="D8" s="2" t="s">
        <v>2098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>
        <v>8</v>
      </c>
      <c r="L8" s="8">
        <v>630.97</v>
      </c>
      <c r="M8" s="4">
        <v>15</v>
      </c>
      <c r="N8" s="8">
        <v>1199.8</v>
      </c>
      <c r="O8" s="7">
        <v>-0.4667</v>
      </c>
      <c r="P8" s="7">
        <v>-0.4741</v>
      </c>
    </row>
    <row r="9">
      <c r="A9" s="2" t="s">
        <v>87</v>
      </c>
      <c r="B9" s="2" t="s">
        <v>88</v>
      </c>
      <c r="C9" s="2" t="s">
        <v>2308</v>
      </c>
      <c r="D9" s="2" t="s">
        <v>2309</v>
      </c>
      <c r="E9" s="4">
        <v>140</v>
      </c>
      <c r="F9" s="8">
        <v>7514.32</v>
      </c>
      <c r="G9" s="4">
        <v>323</v>
      </c>
      <c r="H9" s="8">
        <v>17381.85</v>
      </c>
      <c r="I9" s="7">
        <v>-0.5666</v>
      </c>
      <c r="J9" s="7">
        <v>-0.5677</v>
      </c>
      <c r="K9" s="4">
        <v>72</v>
      </c>
      <c r="L9" s="8">
        <v>3279.7</v>
      </c>
      <c r="M9" s="4">
        <v>189</v>
      </c>
      <c r="N9" s="8">
        <v>8947.44</v>
      </c>
      <c r="O9" s="7">
        <v>-0.619</v>
      </c>
      <c r="P9" s="7">
        <v>-0.6334</v>
      </c>
    </row>
    <row r="10">
      <c r="A10" s="2" t="s">
        <v>87</v>
      </c>
      <c r="B10" s="2" t="s">
        <v>88</v>
      </c>
      <c r="C10" s="2" t="s">
        <v>2308</v>
      </c>
      <c r="D10" s="2" t="s">
        <v>2641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40</v>
      </c>
      <c r="L10" s="8">
        <v>2353.45</v>
      </c>
      <c r="M10" s="4">
        <v>83</v>
      </c>
      <c r="N10" s="8">
        <v>5018.3</v>
      </c>
      <c r="O10" s="7">
        <v>-0.5181</v>
      </c>
      <c r="P10" s="7">
        <v>-0.531</v>
      </c>
    </row>
    <row r="11">
      <c r="A11" s="2" t="s">
        <v>87</v>
      </c>
      <c r="B11" s="2" t="s">
        <v>88</v>
      </c>
      <c r="C11" s="2" t="s">
        <v>2308</v>
      </c>
      <c r="D11" s="2" t="s">
        <v>2927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28</v>
      </c>
      <c r="L11" s="8">
        <v>1881.17</v>
      </c>
      <c r="M11" s="4">
        <v>51</v>
      </c>
      <c r="N11" s="8">
        <v>3416.11</v>
      </c>
      <c r="O11" s="7">
        <v>-0.451</v>
      </c>
      <c r="P11" s="7">
        <v>-0.4493</v>
      </c>
    </row>
    <row r="12">
      <c r="A12" s="2" t="s">
        <v>87</v>
      </c>
      <c r="B12" s="2" t="s">
        <v>88</v>
      </c>
      <c r="C12" s="2" t="s">
        <v>2308</v>
      </c>
      <c r="D12" s="2" t="s">
        <v>3080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/>
      <c r="L12" s="8"/>
      <c r="M12" s="4"/>
      <c r="N12" s="8"/>
      <c r="O12" s="7"/>
      <c r="P12" s="7"/>
    </row>
    <row r="13">
      <c r="A13" s="2" t="s">
        <v>87</v>
      </c>
      <c r="B13" s="2" t="s">
        <v>88</v>
      </c>
      <c r="C13" s="2" t="s">
        <v>2308</v>
      </c>
      <c r="D13" s="2" t="s">
        <v>3101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/>
      <c r="L13" s="8"/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2308</v>
      </c>
      <c r="D14" s="2" t="s">
        <v>3206</v>
      </c>
      <c r="E14" s="4" t="s">
        <v>100</v>
      </c>
      <c r="F14" s="8" t="s">
        <v>100</v>
      </c>
      <c r="G14" s="4" t="s">
        <v>100</v>
      </c>
      <c r="H14" s="8" t="s">
        <v>100</v>
      </c>
      <c r="I14" s="7" t="s">
        <v>100</v>
      </c>
      <c r="J14" s="7" t="s">
        <v>100</v>
      </c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3234</v>
      </c>
      <c r="D15" s="2" t="s">
        <v>3235</v>
      </c>
      <c r="E15" s="4">
        <v>16</v>
      </c>
      <c r="F15" s="8">
        <v>1067.52</v>
      </c>
      <c r="G15" s="4">
        <v>45</v>
      </c>
      <c r="H15" s="8">
        <v>3023.67</v>
      </c>
      <c r="I15" s="7">
        <v>-0.6444</v>
      </c>
      <c r="J15" s="7">
        <v>-0.6469</v>
      </c>
      <c r="K15" s="4">
        <v>9</v>
      </c>
      <c r="L15" s="8">
        <v>636.39</v>
      </c>
      <c r="M15" s="4">
        <v>20</v>
      </c>
      <c r="N15" s="8">
        <v>1450.38</v>
      </c>
      <c r="O15" s="7">
        <v>-0.55</v>
      </c>
      <c r="P15" s="7">
        <v>-0.5612</v>
      </c>
    </row>
    <row r="16">
      <c r="A16" s="2" t="s">
        <v>87</v>
      </c>
      <c r="B16" s="2" t="s">
        <v>88</v>
      </c>
      <c r="C16" s="2" t="s">
        <v>3234</v>
      </c>
      <c r="D16" s="2" t="s">
        <v>3360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>
        <v>7</v>
      </c>
      <c r="L16" s="8">
        <v>431.13</v>
      </c>
      <c r="M16" s="4">
        <v>25</v>
      </c>
      <c r="N16" s="8">
        <v>1573.29</v>
      </c>
      <c r="O16" s="7">
        <v>-0.72</v>
      </c>
      <c r="P16" s="7">
        <v>-0.726</v>
      </c>
    </row>
    <row r="17">
      <c r="A17" s="2" t="s">
        <v>87</v>
      </c>
      <c r="B17" s="2" t="s">
        <v>88</v>
      </c>
      <c r="C17" s="2" t="s">
        <v>3527</v>
      </c>
      <c r="D17" s="2" t="s">
        <v>3528</v>
      </c>
      <c r="E17" s="4">
        <v>15</v>
      </c>
      <c r="F17" s="8">
        <v>287.26</v>
      </c>
      <c r="G17" s="4">
        <v>55</v>
      </c>
      <c r="H17" s="8">
        <v>1080.97</v>
      </c>
      <c r="I17" s="7">
        <v>-0.7273</v>
      </c>
      <c r="J17" s="7">
        <v>-0.7343</v>
      </c>
      <c r="K17" s="4">
        <v>15</v>
      </c>
      <c r="L17" s="8">
        <v>287.26</v>
      </c>
      <c r="M17" s="4">
        <v>55</v>
      </c>
      <c r="N17" s="8">
        <v>1080.97</v>
      </c>
      <c r="O17" s="7">
        <v>-0.7273</v>
      </c>
      <c r="P17" s="7">
        <v>-0.7343</v>
      </c>
    </row>
    <row r="18">
      <c r="A18" s="2" t="s">
        <v>87</v>
      </c>
      <c r="B18" s="2" t="s">
        <v>88</v>
      </c>
      <c r="C18" s="2" t="s">
        <v>3569</v>
      </c>
      <c r="D18" s="2" t="s">
        <v>3570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87</v>
      </c>
      <c r="B19" s="2" t="s">
        <v>88</v>
      </c>
      <c r="C19" s="2" t="s">
        <v>3582</v>
      </c>
      <c r="D19" s="2" t="s">
        <v>2309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87</v>
      </c>
      <c r="B20" s="2" t="s">
        <v>3586</v>
      </c>
      <c r="C20" s="2" t="s">
        <v>89</v>
      </c>
      <c r="D20" s="2" t="s">
        <v>3587</v>
      </c>
      <c r="E20" s="4">
        <v>171</v>
      </c>
      <c r="F20" s="8">
        <v>14929.64</v>
      </c>
      <c r="G20" s="4">
        <v>303</v>
      </c>
      <c r="H20" s="8">
        <v>29547.87</v>
      </c>
      <c r="I20" s="7">
        <v>-0.4356</v>
      </c>
      <c r="J20" s="7">
        <v>-0.4947</v>
      </c>
      <c r="K20" s="4">
        <v>102</v>
      </c>
      <c r="L20" s="8">
        <v>10638.8</v>
      </c>
      <c r="M20" s="4">
        <v>225</v>
      </c>
      <c r="N20" s="8">
        <v>24467.75</v>
      </c>
      <c r="O20" s="7">
        <v>-0.5467</v>
      </c>
      <c r="P20" s="7">
        <v>-0.5652</v>
      </c>
    </row>
    <row r="21">
      <c r="A21" s="2" t="s">
        <v>87</v>
      </c>
      <c r="B21" s="2" t="s">
        <v>3586</v>
      </c>
      <c r="C21" s="2" t="s">
        <v>89</v>
      </c>
      <c r="D21" s="2" t="s">
        <v>2005</v>
      </c>
      <c r="E21" s="4" t="s">
        <v>100</v>
      </c>
      <c r="F21" s="8" t="s">
        <v>100</v>
      </c>
      <c r="G21" s="4" t="s">
        <v>100</v>
      </c>
      <c r="H21" s="8" t="s">
        <v>100</v>
      </c>
      <c r="I21" s="7" t="s">
        <v>100</v>
      </c>
      <c r="J21" s="7" t="s">
        <v>100</v>
      </c>
      <c r="K21" s="4">
        <v>69</v>
      </c>
      <c r="L21" s="8">
        <v>4290.84</v>
      </c>
      <c r="M21" s="4">
        <v>78</v>
      </c>
      <c r="N21" s="8">
        <v>5080.12</v>
      </c>
      <c r="O21" s="7">
        <v>-0.1154</v>
      </c>
      <c r="P21" s="7">
        <v>-0.1554</v>
      </c>
    </row>
    <row r="22">
      <c r="A22" s="2" t="s">
        <v>87</v>
      </c>
      <c r="B22" s="2" t="s">
        <v>3586</v>
      </c>
      <c r="C22" s="2" t="s">
        <v>2308</v>
      </c>
      <c r="D22" s="2" t="s">
        <v>2005</v>
      </c>
      <c r="E22" s="4">
        <v>5</v>
      </c>
      <c r="F22" s="8">
        <v>313.93</v>
      </c>
      <c r="G22" s="4" t="s">
        <v>100</v>
      </c>
      <c r="H22" s="8" t="s">
        <v>100</v>
      </c>
      <c r="I22" s="7" t="s">
        <v>100</v>
      </c>
      <c r="J22" s="7" t="s">
        <v>100</v>
      </c>
      <c r="K22" s="4">
        <v>5</v>
      </c>
      <c r="L22" s="8">
        <v>313.93</v>
      </c>
      <c r="M22" s="4"/>
      <c r="N22" s="8"/>
      <c r="O22" s="7"/>
      <c r="P22" s="7"/>
    </row>
    <row r="23">
      <c r="A23" s="2" t="s">
        <v>87</v>
      </c>
      <c r="B23" s="2" t="s">
        <v>3586</v>
      </c>
      <c r="C23" s="2" t="s">
        <v>2308</v>
      </c>
      <c r="D23" s="2" t="s">
        <v>3101</v>
      </c>
      <c r="E23" s="4" t="s">
        <v>100</v>
      </c>
      <c r="F23" s="8" t="s">
        <v>100</v>
      </c>
      <c r="G23" s="4" t="s">
        <v>100</v>
      </c>
      <c r="H23" s="8" t="s">
        <v>100</v>
      </c>
      <c r="I23" s="7" t="s">
        <v>100</v>
      </c>
      <c r="J23" s="7" t="s">
        <v>100</v>
      </c>
      <c r="K23" s="4"/>
      <c r="L23" s="8"/>
      <c r="M23" s="4"/>
      <c r="N23" s="8"/>
      <c r="O23" s="7"/>
      <c r="P23" s="7"/>
    </row>
    <row r="24">
      <c r="A24" s="2" t="s">
        <v>87</v>
      </c>
      <c r="B24" s="2" t="s">
        <v>4305</v>
      </c>
      <c r="C24" s="2" t="s">
        <v>89</v>
      </c>
      <c r="D24" s="2" t="s">
        <v>90</v>
      </c>
      <c r="E24" s="4">
        <v>120</v>
      </c>
      <c r="F24" s="8">
        <v>6284.09</v>
      </c>
      <c r="G24" s="4">
        <v>391</v>
      </c>
      <c r="H24" s="8">
        <v>20136.88</v>
      </c>
      <c r="I24" s="7">
        <v>-0.6931</v>
      </c>
      <c r="J24" s="7">
        <v>-0.6879</v>
      </c>
      <c r="K24" s="4">
        <v>120</v>
      </c>
      <c r="L24" s="8">
        <v>6284.09</v>
      </c>
      <c r="M24" s="4">
        <v>391</v>
      </c>
      <c r="N24" s="8">
        <v>20136.88</v>
      </c>
      <c r="O24" s="7">
        <v>-0.6931</v>
      </c>
      <c r="P24" s="7">
        <v>-0.6879</v>
      </c>
    </row>
    <row r="25">
      <c r="A25" s="2" t="s">
        <v>87</v>
      </c>
      <c r="B25" s="2" t="s">
        <v>4305</v>
      </c>
      <c r="C25" s="2" t="s">
        <v>2308</v>
      </c>
      <c r="D25" s="2" t="s">
        <v>2641</v>
      </c>
      <c r="E25" s="4">
        <v>16</v>
      </c>
      <c r="F25" s="8">
        <v>500.85</v>
      </c>
      <c r="G25" s="4">
        <v>24</v>
      </c>
      <c r="H25" s="8">
        <v>862.05</v>
      </c>
      <c r="I25" s="7">
        <v>-0.3333</v>
      </c>
      <c r="J25" s="7">
        <v>-0.419</v>
      </c>
      <c r="K25" s="4">
        <v>10</v>
      </c>
      <c r="L25" s="8">
        <v>268.8</v>
      </c>
      <c r="M25" s="4">
        <v>2</v>
      </c>
      <c r="N25" s="8">
        <v>55.86</v>
      </c>
      <c r="O25" s="7">
        <v>4</v>
      </c>
      <c r="P25" s="7">
        <v>3.812</v>
      </c>
    </row>
    <row r="26">
      <c r="A26" s="2" t="s">
        <v>87</v>
      </c>
      <c r="B26" s="2" t="s">
        <v>4305</v>
      </c>
      <c r="C26" s="2" t="s">
        <v>2308</v>
      </c>
      <c r="D26" s="2" t="s">
        <v>2927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6</v>
      </c>
      <c r="L26" s="8">
        <v>232.05</v>
      </c>
      <c r="M26" s="4">
        <v>22</v>
      </c>
      <c r="N26" s="8">
        <v>806.19</v>
      </c>
      <c r="O26" s="7">
        <v>-0.7273</v>
      </c>
      <c r="P26" s="7">
        <v>-0.7122</v>
      </c>
    </row>
    <row r="27">
      <c r="A27" s="2" t="s">
        <v>87</v>
      </c>
      <c r="B27" s="2" t="s">
        <v>4479</v>
      </c>
      <c r="C27" s="2" t="s">
        <v>89</v>
      </c>
      <c r="D27" s="2" t="s">
        <v>90</v>
      </c>
      <c r="E27" s="4">
        <v>23</v>
      </c>
      <c r="F27" s="8">
        <v>4283.78</v>
      </c>
      <c r="G27" s="4">
        <v>63</v>
      </c>
      <c r="H27" s="8">
        <v>12236.03</v>
      </c>
      <c r="I27" s="7">
        <v>-0.6349</v>
      </c>
      <c r="J27" s="7">
        <v>-0.6499</v>
      </c>
      <c r="K27" s="4">
        <v>23</v>
      </c>
      <c r="L27" s="8">
        <v>4283.78</v>
      </c>
      <c r="M27" s="4">
        <v>63</v>
      </c>
      <c r="N27" s="8">
        <v>12236.03</v>
      </c>
      <c r="O27" s="7">
        <v>-0.6349</v>
      </c>
      <c r="P27" s="7">
        <v>-0.6499</v>
      </c>
    </row>
    <row r="28">
      <c r="A28" s="2" t="s">
        <v>87</v>
      </c>
      <c r="B28" s="2" t="s">
        <v>4479</v>
      </c>
      <c r="C28" s="2" t="s">
        <v>2308</v>
      </c>
      <c r="D28" s="2" t="s">
        <v>3080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4677</v>
      </c>
      <c r="C29" s="2" t="s">
        <v>89</v>
      </c>
      <c r="D29" s="2" t="s">
        <v>2098</v>
      </c>
      <c r="E29" s="4">
        <v>31</v>
      </c>
      <c r="F29" s="8">
        <v>2131.1</v>
      </c>
      <c r="G29" s="4">
        <v>72</v>
      </c>
      <c r="H29" s="8">
        <v>5091.92</v>
      </c>
      <c r="I29" s="7">
        <v>-0.5694</v>
      </c>
      <c r="J29" s="7">
        <v>-0.5815</v>
      </c>
      <c r="K29" s="4">
        <v>31</v>
      </c>
      <c r="L29" s="8">
        <v>2131.1</v>
      </c>
      <c r="M29" s="4">
        <v>72</v>
      </c>
      <c r="N29" s="8">
        <v>5091.92</v>
      </c>
      <c r="O29" s="7">
        <v>-0.5694</v>
      </c>
      <c r="P29" s="7">
        <v>-0.5815</v>
      </c>
    </row>
    <row r="30">
      <c r="A30" s="2" t="s">
        <v>87</v>
      </c>
      <c r="B30" s="2" t="s">
        <v>4677</v>
      </c>
      <c r="C30" s="2" t="s">
        <v>89</v>
      </c>
      <c r="D30" s="2" t="s">
        <v>90</v>
      </c>
      <c r="E30" s="4" t="s">
        <v>100</v>
      </c>
      <c r="F30" s="8" t="s">
        <v>100</v>
      </c>
      <c r="G30" s="4" t="s">
        <v>100</v>
      </c>
      <c r="H30" s="8" t="s">
        <v>100</v>
      </c>
      <c r="I30" s="7" t="s">
        <v>100</v>
      </c>
      <c r="J30" s="7" t="s">
        <v>100</v>
      </c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4677</v>
      </c>
      <c r="C31" s="2" t="s">
        <v>3234</v>
      </c>
      <c r="D31" s="2" t="s">
        <v>3360</v>
      </c>
      <c r="E31" s="4">
        <v>10</v>
      </c>
      <c r="F31" s="8">
        <v>546.33</v>
      </c>
      <c r="G31" s="4">
        <v>34</v>
      </c>
      <c r="H31" s="8">
        <v>1966.2</v>
      </c>
      <c r="I31" s="7">
        <v>-0.7059</v>
      </c>
      <c r="J31" s="7">
        <v>-0.7221</v>
      </c>
      <c r="K31" s="4">
        <v>7</v>
      </c>
      <c r="L31" s="8">
        <v>392.01</v>
      </c>
      <c r="M31" s="4">
        <v>26</v>
      </c>
      <c r="N31" s="8">
        <v>1470.68</v>
      </c>
      <c r="O31" s="7">
        <v>-0.7308</v>
      </c>
      <c r="P31" s="7">
        <v>-0.7334</v>
      </c>
    </row>
    <row r="32">
      <c r="A32" s="2" t="s">
        <v>87</v>
      </c>
      <c r="B32" s="2" t="s">
        <v>4677</v>
      </c>
      <c r="C32" s="2" t="s">
        <v>3234</v>
      </c>
      <c r="D32" s="2" t="s">
        <v>3235</v>
      </c>
      <c r="E32" s="4" t="s">
        <v>100</v>
      </c>
      <c r="F32" s="8" t="s">
        <v>100</v>
      </c>
      <c r="G32" s="4" t="s">
        <v>100</v>
      </c>
      <c r="H32" s="8" t="s">
        <v>100</v>
      </c>
      <c r="I32" s="7" t="s">
        <v>100</v>
      </c>
      <c r="J32" s="7" t="s">
        <v>100</v>
      </c>
      <c r="K32" s="4">
        <v>3</v>
      </c>
      <c r="L32" s="8">
        <v>154.32</v>
      </c>
      <c r="M32" s="4">
        <v>8</v>
      </c>
      <c r="N32" s="8">
        <v>495.52</v>
      </c>
      <c r="O32" s="7">
        <v>-0.625</v>
      </c>
      <c r="P32" s="7">
        <v>-0.6886</v>
      </c>
    </row>
    <row r="33">
      <c r="A33" s="2" t="s">
        <v>87</v>
      </c>
      <c r="B33" s="2" t="s">
        <v>4677</v>
      </c>
      <c r="C33" s="2" t="s">
        <v>2308</v>
      </c>
      <c r="D33" s="2" t="s">
        <v>3080</v>
      </c>
      <c r="E33" s="4">
        <v>2</v>
      </c>
      <c r="F33" s="8">
        <v>133.76</v>
      </c>
      <c r="G33" s="4">
        <v>1</v>
      </c>
      <c r="H33" s="8">
        <v>66.88</v>
      </c>
      <c r="I33" s="7">
        <v>1</v>
      </c>
      <c r="J33" s="7">
        <v>1</v>
      </c>
      <c r="K33" s="4">
        <v>2</v>
      </c>
      <c r="L33" s="8">
        <v>133.76</v>
      </c>
      <c r="M33" s="4">
        <v>1</v>
      </c>
      <c r="N33" s="8">
        <v>66.88</v>
      </c>
      <c r="O33" s="7">
        <v>1</v>
      </c>
      <c r="P33" s="7">
        <v>1</v>
      </c>
    </row>
    <row r="34">
      <c r="A34" s="2" t="s">
        <v>87</v>
      </c>
      <c r="B34" s="2" t="s">
        <v>4677</v>
      </c>
      <c r="C34" s="2" t="s">
        <v>2308</v>
      </c>
      <c r="D34" s="2" t="s">
        <v>2309</v>
      </c>
      <c r="E34" s="4" t="s">
        <v>100</v>
      </c>
      <c r="F34" s="8" t="s">
        <v>100</v>
      </c>
      <c r="G34" s="4" t="s">
        <v>100</v>
      </c>
      <c r="H34" s="8" t="s">
        <v>100</v>
      </c>
      <c r="I34" s="7" t="s">
        <v>100</v>
      </c>
      <c r="J34" s="7" t="s">
        <v>100</v>
      </c>
      <c r="K34" s="4"/>
      <c r="L34" s="8"/>
      <c r="M34" s="4"/>
      <c r="N34" s="8"/>
      <c r="O34" s="7"/>
      <c r="P34" s="7"/>
    </row>
    <row r="35">
      <c r="A35" s="2" t="s">
        <v>87</v>
      </c>
      <c r="B35" s="2" t="s">
        <v>4677</v>
      </c>
      <c r="C35" s="2" t="s">
        <v>3569</v>
      </c>
      <c r="D35" s="2" t="s">
        <v>5169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4677</v>
      </c>
      <c r="C36" s="2" t="s">
        <v>5203</v>
      </c>
      <c r="D36" s="2" t="s">
        <v>5204</v>
      </c>
      <c r="E36" s="4"/>
      <c r="F36" s="8"/>
      <c r="G36" s="4">
        <v>1</v>
      </c>
      <c r="H36" s="8">
        <v>15.12</v>
      </c>
      <c r="I36" s="7"/>
      <c r="J36" s="7"/>
      <c r="K36" s="4"/>
      <c r="L36" s="8"/>
      <c r="M36" s="4">
        <v>1</v>
      </c>
      <c r="N36" s="8">
        <v>15.12</v>
      </c>
      <c r="O36" s="7"/>
      <c r="P36" s="7"/>
    </row>
    <row r="37">
      <c r="A37" s="2" t="s">
        <v>87</v>
      </c>
      <c r="B37" s="2" t="s">
        <v>5275</v>
      </c>
      <c r="C37" s="2" t="s">
        <v>89</v>
      </c>
      <c r="D37" s="2" t="s">
        <v>90</v>
      </c>
      <c r="E37" s="4">
        <v>11</v>
      </c>
      <c r="F37" s="8">
        <v>1268.4</v>
      </c>
      <c r="G37" s="4">
        <v>44</v>
      </c>
      <c r="H37" s="8">
        <v>5037.95</v>
      </c>
      <c r="I37" s="7">
        <v>-0.75</v>
      </c>
      <c r="J37" s="7">
        <v>-0.7482</v>
      </c>
      <c r="K37" s="4">
        <v>11</v>
      </c>
      <c r="L37" s="8">
        <v>1268.4</v>
      </c>
      <c r="M37" s="4">
        <v>44</v>
      </c>
      <c r="N37" s="8">
        <v>5037.95</v>
      </c>
      <c r="O37" s="7">
        <v>-0.75</v>
      </c>
      <c r="P37" s="7">
        <v>-0.7482</v>
      </c>
    </row>
    <row r="38">
      <c r="A38" s="2" t="s">
        <v>87</v>
      </c>
      <c r="B38" s="2" t="s">
        <v>5275</v>
      </c>
      <c r="C38" s="2" t="s">
        <v>3234</v>
      </c>
      <c r="D38" s="2" t="s">
        <v>3235</v>
      </c>
      <c r="E38" s="4">
        <v>6</v>
      </c>
      <c r="F38" s="8">
        <v>535.5</v>
      </c>
      <c r="G38" s="4">
        <v>5</v>
      </c>
      <c r="H38" s="8">
        <v>492.65</v>
      </c>
      <c r="I38" s="7">
        <v>0.2</v>
      </c>
      <c r="J38" s="7">
        <v>0.087</v>
      </c>
      <c r="K38" s="4">
        <v>6</v>
      </c>
      <c r="L38" s="8">
        <v>535.5</v>
      </c>
      <c r="M38" s="4">
        <v>5</v>
      </c>
      <c r="N38" s="8">
        <v>492.65</v>
      </c>
      <c r="O38" s="7">
        <v>0.2</v>
      </c>
      <c r="P38" s="7">
        <v>0.087</v>
      </c>
    </row>
    <row r="39">
      <c r="A39" s="2" t="s">
        <v>87</v>
      </c>
      <c r="B39" s="2" t="s">
        <v>5275</v>
      </c>
      <c r="C39" s="2" t="s">
        <v>2308</v>
      </c>
      <c r="D39" s="2" t="s">
        <v>3080</v>
      </c>
      <c r="E39" s="4">
        <v>3</v>
      </c>
      <c r="F39" s="8">
        <v>246.75</v>
      </c>
      <c r="G39" s="4">
        <v>6</v>
      </c>
      <c r="H39" s="8">
        <v>525</v>
      </c>
      <c r="I39" s="7">
        <v>-0.5</v>
      </c>
      <c r="J39" s="7">
        <v>-0.53</v>
      </c>
      <c r="K39" s="4">
        <v>3</v>
      </c>
      <c r="L39" s="8">
        <v>246.75</v>
      </c>
      <c r="M39" s="4">
        <v>6</v>
      </c>
      <c r="N39" s="8">
        <v>525</v>
      </c>
      <c r="O39" s="7">
        <v>-0.5</v>
      </c>
      <c r="P39" s="7">
        <v>-0.53</v>
      </c>
    </row>
    <row r="40">
      <c r="A40" s="2" t="s">
        <v>87</v>
      </c>
      <c r="B40" s="2" t="s">
        <v>5275</v>
      </c>
      <c r="C40" s="2" t="s">
        <v>5203</v>
      </c>
      <c r="D40" s="2" t="s">
        <v>5204</v>
      </c>
      <c r="E40" s="4">
        <v>12</v>
      </c>
      <c r="F40" s="8">
        <v>229.64</v>
      </c>
      <c r="G40" s="4">
        <v>12</v>
      </c>
      <c r="H40" s="8">
        <v>217.99</v>
      </c>
      <c r="I40" s="7"/>
      <c r="J40" s="7">
        <v>0.0534</v>
      </c>
      <c r="K40" s="4">
        <v>12</v>
      </c>
      <c r="L40" s="8">
        <v>229.64</v>
      </c>
      <c r="M40" s="4">
        <v>12</v>
      </c>
      <c r="N40" s="8">
        <v>217.99</v>
      </c>
      <c r="O40" s="7"/>
      <c r="P40" s="7">
        <v>0.0534</v>
      </c>
    </row>
    <row r="41">
      <c r="A41" s="2" t="s">
        <v>87</v>
      </c>
      <c r="B41" s="2" t="s">
        <v>5275</v>
      </c>
      <c r="C41" s="2" t="s">
        <v>3569</v>
      </c>
      <c r="D41" s="2" t="s">
        <v>5169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5585</v>
      </c>
      <c r="C42" s="2" t="s">
        <v>2308</v>
      </c>
      <c r="D42" s="2" t="s">
        <v>5586</v>
      </c>
      <c r="E42" s="4">
        <v>3</v>
      </c>
      <c r="F42" s="8">
        <v>162.72</v>
      </c>
      <c r="G42" s="4">
        <v>17</v>
      </c>
      <c r="H42" s="8">
        <v>944.83</v>
      </c>
      <c r="I42" s="7">
        <v>-0.8235</v>
      </c>
      <c r="J42" s="7">
        <v>-0.8278</v>
      </c>
      <c r="K42" s="4">
        <v>3</v>
      </c>
      <c r="L42" s="8">
        <v>162.72</v>
      </c>
      <c r="M42" s="4">
        <v>17</v>
      </c>
      <c r="N42" s="8">
        <v>944.83</v>
      </c>
      <c r="O42" s="7">
        <v>-0.8235</v>
      </c>
      <c r="P42" s="7">
        <v>-0.8278</v>
      </c>
    </row>
    <row r="43">
      <c r="A43" s="2" t="s">
        <v>87</v>
      </c>
      <c r="B43" s="2" t="s">
        <v>5585</v>
      </c>
      <c r="C43" s="2" t="s">
        <v>2308</v>
      </c>
      <c r="D43" s="2" t="s">
        <v>3080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5585</v>
      </c>
      <c r="C44" s="2" t="s">
        <v>2308</v>
      </c>
      <c r="D44" s="2" t="s">
        <v>2309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5585</v>
      </c>
      <c r="C45" s="2" t="s">
        <v>2308</v>
      </c>
      <c r="D45" s="2" t="s">
        <v>3101</v>
      </c>
      <c r="E45" s="4" t="s">
        <v>100</v>
      </c>
      <c r="F45" s="8" t="s">
        <v>100</v>
      </c>
      <c r="G45" s="4" t="s">
        <v>100</v>
      </c>
      <c r="H45" s="8" t="s">
        <v>100</v>
      </c>
      <c r="I45" s="7" t="s">
        <v>100</v>
      </c>
      <c r="J45" s="7" t="s">
        <v>100</v>
      </c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5585</v>
      </c>
      <c r="C46" s="2" t="s">
        <v>89</v>
      </c>
      <c r="D46" s="2" t="s">
        <v>90</v>
      </c>
      <c r="E46" s="4">
        <v>1</v>
      </c>
      <c r="F46" s="8">
        <v>103.73</v>
      </c>
      <c r="G46" s="4">
        <v>1</v>
      </c>
      <c r="H46" s="8">
        <v>92.81</v>
      </c>
      <c r="I46" s="7" t="s">
        <v>100</v>
      </c>
      <c r="J46" s="7">
        <v>0.1177</v>
      </c>
      <c r="K46" s="4">
        <v>1</v>
      </c>
      <c r="L46" s="8">
        <v>103.73</v>
      </c>
      <c r="M46" s="4">
        <v>1</v>
      </c>
      <c r="N46" s="8">
        <v>92.81</v>
      </c>
      <c r="O46" s="7"/>
      <c r="P46" s="7">
        <v>0.1177</v>
      </c>
    </row>
    <row r="47">
      <c r="A47" s="2" t="s">
        <v>87</v>
      </c>
      <c r="B47" s="2" t="s">
        <v>5585</v>
      </c>
      <c r="C47" s="2" t="s">
        <v>89</v>
      </c>
      <c r="D47" s="2" t="s">
        <v>2098</v>
      </c>
      <c r="E47" s="4" t="s">
        <v>100</v>
      </c>
      <c r="F47" s="8" t="s">
        <v>100</v>
      </c>
      <c r="G47" s="4" t="s">
        <v>100</v>
      </c>
      <c r="H47" s="8" t="s">
        <v>100</v>
      </c>
      <c r="I47" s="7" t="s">
        <v>100</v>
      </c>
      <c r="J47" s="7" t="s">
        <v>100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5585</v>
      </c>
      <c r="C48" s="2" t="s">
        <v>3569</v>
      </c>
      <c r="D48" s="2" t="s">
        <v>5169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5585</v>
      </c>
      <c r="C49" s="2" t="s">
        <v>5203</v>
      </c>
      <c r="D49" s="2" t="s">
        <v>5204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5585</v>
      </c>
      <c r="C50" s="2" t="s">
        <v>3527</v>
      </c>
      <c r="D50" s="2" t="s">
        <v>3528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5790</v>
      </c>
      <c r="C51" s="2" t="s">
        <v>2308</v>
      </c>
      <c r="D51" s="2" t="s">
        <v>2641</v>
      </c>
      <c r="E51" s="4">
        <v>1</v>
      </c>
      <c r="F51" s="8">
        <v>63</v>
      </c>
      <c r="G51" s="4"/>
      <c r="H51" s="8"/>
      <c r="I51" s="7"/>
      <c r="J51" s="7"/>
      <c r="K51" s="4">
        <v>1</v>
      </c>
      <c r="L51" s="8">
        <v>63</v>
      </c>
      <c r="M51" s="4"/>
      <c r="N51" s="8"/>
      <c r="O51" s="7"/>
      <c r="P51" s="7"/>
    </row>
    <row r="52">
      <c r="A52" s="2" t="s">
        <v>87</v>
      </c>
      <c r="B52" s="2" t="s">
        <v>5790</v>
      </c>
      <c r="C52" s="2" t="s">
        <v>89</v>
      </c>
      <c r="D52" s="2" t="s">
        <v>90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5810</v>
      </c>
      <c r="C53" s="2" t="s">
        <v>89</v>
      </c>
      <c r="D53" s="2" t="s">
        <v>2098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5810</v>
      </c>
      <c r="C54" s="2" t="s">
        <v>2308</v>
      </c>
      <c r="D54" s="2" t="s">
        <v>2309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5810</v>
      </c>
      <c r="C55" s="2" t="s">
        <v>3234</v>
      </c>
      <c r="D55" s="2" t="s">
        <v>3360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5890</v>
      </c>
      <c r="C56" s="2" t="s">
        <v>89</v>
      </c>
      <c r="D56" s="2" t="s">
        <v>2098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5899</v>
      </c>
      <c r="C57" s="2" t="s">
        <v>89</v>
      </c>
      <c r="D57" s="2" t="s">
        <v>90</v>
      </c>
      <c r="E57" s="4" t="s">
        <v>100</v>
      </c>
      <c r="F57" s="8" t="s">
        <v>100</v>
      </c>
      <c r="G57" s="4" t="s">
        <v>100</v>
      </c>
      <c r="H57" s="8" t="s">
        <v>100</v>
      </c>
      <c r="I57" s="7" t="s">
        <v>100</v>
      </c>
      <c r="J57" s="7" t="s">
        <v>100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5899</v>
      </c>
      <c r="C58" s="2" t="s">
        <v>89</v>
      </c>
      <c r="D58" s="2" t="s">
        <v>2098</v>
      </c>
      <c r="E58" s="4" t="s">
        <v>100</v>
      </c>
      <c r="F58" s="8" t="s">
        <v>100</v>
      </c>
      <c r="G58" s="4" t="s">
        <v>100</v>
      </c>
      <c r="H58" s="8" t="s">
        <v>100</v>
      </c>
      <c r="I58" s="7" t="s">
        <v>100</v>
      </c>
      <c r="J58" s="7" t="s">
        <v>100</v>
      </c>
      <c r="K58" s="4"/>
      <c r="L58" s="8"/>
      <c r="M58" s="4"/>
      <c r="N58" s="8"/>
      <c r="O58" s="7"/>
      <c r="P58" s="7"/>
    </row>
    <row r="59">
      <c r="A59" s="2" t="s">
        <v>87</v>
      </c>
      <c r="B59" s="2" t="s">
        <v>5899</v>
      </c>
      <c r="C59" s="2" t="s">
        <v>3234</v>
      </c>
      <c r="D59" s="2" t="s">
        <v>3360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5926</v>
      </c>
      <c r="C60" s="2" t="s">
        <v>3234</v>
      </c>
      <c r="D60" s="2" t="s">
        <v>3235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5926</v>
      </c>
      <c r="C61" s="2" t="s">
        <v>5203</v>
      </c>
      <c r="D61" s="2" t="s">
        <v>5204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5938</v>
      </c>
      <c r="C62" s="2" t="s">
        <v>89</v>
      </c>
      <c r="D62" s="2" t="s">
        <v>90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5938</v>
      </c>
      <c r="C63" s="2" t="s">
        <v>2308</v>
      </c>
      <c r="D63" s="2" t="s">
        <v>3080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5938</v>
      </c>
      <c r="C64" s="2" t="s">
        <v>5967</v>
      </c>
      <c r="D64" s="2" t="s">
        <v>5968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5938</v>
      </c>
      <c r="C65" s="2" t="s">
        <v>5973</v>
      </c>
      <c r="D65" s="2" t="s">
        <v>5974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5982</v>
      </c>
      <c r="C66" s="2" t="s">
        <v>89</v>
      </c>
      <c r="D66" s="2" t="s">
        <v>90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5986</v>
      </c>
      <c r="C67" s="2" t="s">
        <v>3569</v>
      </c>
      <c r="D67" s="2" t="s">
        <v>5987</v>
      </c>
      <c r="E67" s="4" t="s">
        <v>100</v>
      </c>
      <c r="F67" s="8" t="s">
        <v>100</v>
      </c>
      <c r="G67" s="4" t="s">
        <v>100</v>
      </c>
      <c r="H67" s="8" t="s">
        <v>100</v>
      </c>
      <c r="I67" s="7" t="s">
        <v>100</v>
      </c>
      <c r="J67" s="7" t="s">
        <v>100</v>
      </c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5986</v>
      </c>
      <c r="C68" s="2" t="s">
        <v>3569</v>
      </c>
      <c r="D68" s="2" t="s">
        <v>5169</v>
      </c>
      <c r="E68" s="4" t="s">
        <v>100</v>
      </c>
      <c r="F68" s="8" t="s">
        <v>100</v>
      </c>
      <c r="G68" s="4" t="s">
        <v>100</v>
      </c>
      <c r="H68" s="8" t="s">
        <v>100</v>
      </c>
      <c r="I68" s="7" t="s">
        <v>100</v>
      </c>
      <c r="J68" s="7" t="s">
        <v>100</v>
      </c>
      <c r="K68" s="4"/>
      <c r="L68" s="8"/>
      <c r="M68" s="4"/>
      <c r="N68" s="8"/>
      <c r="O68" s="7"/>
      <c r="P68" s="7"/>
    </row>
    <row r="69">
      <c r="A69" s="2" t="s">
        <v>87</v>
      </c>
      <c r="B69" s="2" t="s">
        <v>5986</v>
      </c>
      <c r="C69" s="2" t="s">
        <v>89</v>
      </c>
      <c r="D69" s="2" t="s">
        <v>90</v>
      </c>
      <c r="E69" s="4" t="s">
        <v>100</v>
      </c>
      <c r="F69" s="8" t="s">
        <v>100</v>
      </c>
      <c r="G69" s="4" t="s">
        <v>100</v>
      </c>
      <c r="H69" s="8" t="s">
        <v>100</v>
      </c>
      <c r="I69" s="7" t="s">
        <v>100</v>
      </c>
      <c r="J69" s="7" t="s">
        <v>100</v>
      </c>
      <c r="K69" s="4"/>
      <c r="L69" s="8"/>
      <c r="M69" s="4"/>
      <c r="N69" s="8"/>
      <c r="O69" s="7"/>
      <c r="P69" s="7"/>
    </row>
    <row r="70">
      <c r="A70" s="2" t="s">
        <v>87</v>
      </c>
      <c r="B70" s="2" t="s">
        <v>5986</v>
      </c>
      <c r="C70" s="2" t="s">
        <v>89</v>
      </c>
      <c r="D70" s="2" t="s">
        <v>2098</v>
      </c>
      <c r="E70" s="4" t="s">
        <v>100</v>
      </c>
      <c r="F70" s="8" t="s">
        <v>100</v>
      </c>
      <c r="G70" s="4" t="s">
        <v>100</v>
      </c>
      <c r="H70" s="8" t="s">
        <v>100</v>
      </c>
      <c r="I70" s="7" t="s">
        <v>100</v>
      </c>
      <c r="J70" s="7" t="s">
        <v>100</v>
      </c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5986</v>
      </c>
      <c r="C71" s="2" t="s">
        <v>3234</v>
      </c>
      <c r="D71" s="2" t="s">
        <v>3360</v>
      </c>
      <c r="E71" s="4" t="s">
        <v>100</v>
      </c>
      <c r="F71" s="8" t="s">
        <v>100</v>
      </c>
      <c r="G71" s="4" t="s">
        <v>100</v>
      </c>
      <c r="H71" s="8" t="s">
        <v>100</v>
      </c>
      <c r="I71" s="7" t="s">
        <v>100</v>
      </c>
      <c r="J71" s="7" t="s">
        <v>100</v>
      </c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5986</v>
      </c>
      <c r="C72" s="2" t="s">
        <v>3234</v>
      </c>
      <c r="D72" s="2" t="s">
        <v>3235</v>
      </c>
      <c r="E72" s="4" t="s">
        <v>100</v>
      </c>
      <c r="F72" s="8" t="s">
        <v>100</v>
      </c>
      <c r="G72" s="4" t="s">
        <v>100</v>
      </c>
      <c r="H72" s="8" t="s">
        <v>100</v>
      </c>
      <c r="I72" s="7" t="s">
        <v>100</v>
      </c>
      <c r="J72" s="7" t="s">
        <v>100</v>
      </c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5986</v>
      </c>
      <c r="C73" s="2" t="s">
        <v>5203</v>
      </c>
      <c r="D73" s="2" t="s">
        <v>6077</v>
      </c>
      <c r="E73" s="4" t="s">
        <v>100</v>
      </c>
      <c r="F73" s="8" t="s">
        <v>100</v>
      </c>
      <c r="G73" s="4" t="s">
        <v>100</v>
      </c>
      <c r="H73" s="8" t="s">
        <v>100</v>
      </c>
      <c r="I73" s="7" t="s">
        <v>100</v>
      </c>
      <c r="J73" s="7" t="s">
        <v>100</v>
      </c>
      <c r="K73" s="4"/>
      <c r="L73" s="8"/>
      <c r="M73" s="4"/>
      <c r="N73" s="8"/>
      <c r="O73" s="7"/>
      <c r="P73" s="7"/>
    </row>
    <row r="74">
      <c r="A74" s="2" t="s">
        <v>87</v>
      </c>
      <c r="B74" s="2" t="s">
        <v>5986</v>
      </c>
      <c r="C74" s="2" t="s">
        <v>5203</v>
      </c>
      <c r="D74" s="2" t="s">
        <v>5204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/>
      <c r="L74" s="8"/>
      <c r="M74" s="4"/>
      <c r="N74" s="8"/>
      <c r="O74" s="7"/>
      <c r="P74" s="7"/>
    </row>
    <row r="75">
      <c r="A75" s="2" t="s">
        <v>6098</v>
      </c>
      <c r="B75" s="2" t="s">
        <v>88</v>
      </c>
      <c r="C75" s="2" t="s">
        <v>6099</v>
      </c>
      <c r="D75" s="2" t="s">
        <v>6100</v>
      </c>
      <c r="E75" s="4">
        <v>176</v>
      </c>
      <c r="F75" s="8">
        <v>9986.5</v>
      </c>
      <c r="G75" s="4">
        <v>411</v>
      </c>
      <c r="H75" s="8">
        <v>25457.95</v>
      </c>
      <c r="I75" s="7">
        <v>-0.5718</v>
      </c>
      <c r="J75" s="7">
        <v>-0.6077</v>
      </c>
      <c r="K75" s="4">
        <v>137</v>
      </c>
      <c r="L75" s="8">
        <v>7830.54</v>
      </c>
      <c r="M75" s="4">
        <v>336</v>
      </c>
      <c r="N75" s="8">
        <v>21150.04</v>
      </c>
      <c r="O75" s="7">
        <v>-0.5923</v>
      </c>
      <c r="P75" s="7">
        <v>-0.6298</v>
      </c>
    </row>
    <row r="76">
      <c r="A76" s="2" t="s">
        <v>6098</v>
      </c>
      <c r="B76" s="2" t="s">
        <v>88</v>
      </c>
      <c r="C76" s="2" t="s">
        <v>6099</v>
      </c>
      <c r="D76" s="2" t="s">
        <v>6377</v>
      </c>
      <c r="E76" s="4" t="s">
        <v>100</v>
      </c>
      <c r="F76" s="8" t="s">
        <v>100</v>
      </c>
      <c r="G76" s="4" t="s">
        <v>100</v>
      </c>
      <c r="H76" s="8" t="s">
        <v>100</v>
      </c>
      <c r="I76" s="7" t="s">
        <v>100</v>
      </c>
      <c r="J76" s="7" t="s">
        <v>100</v>
      </c>
      <c r="K76" s="4">
        <v>39</v>
      </c>
      <c r="L76" s="8">
        <v>2155.96</v>
      </c>
      <c r="M76" s="4">
        <v>75</v>
      </c>
      <c r="N76" s="8">
        <v>4307.91</v>
      </c>
      <c r="O76" s="7">
        <v>-0.48</v>
      </c>
      <c r="P76" s="7">
        <v>-0.4995</v>
      </c>
    </row>
    <row r="77">
      <c r="A77" s="2" t="s">
        <v>6098</v>
      </c>
      <c r="B77" s="2" t="s">
        <v>88</v>
      </c>
      <c r="C77" s="2" t="s">
        <v>6099</v>
      </c>
      <c r="D77" s="2" t="s">
        <v>6480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/>
      <c r="N77" s="8"/>
      <c r="O77" s="7"/>
      <c r="P77" s="7"/>
    </row>
    <row r="78">
      <c r="A78" s="2" t="s">
        <v>6098</v>
      </c>
      <c r="B78" s="2" t="s">
        <v>88</v>
      </c>
      <c r="C78" s="2" t="s">
        <v>6497</v>
      </c>
      <c r="D78" s="2" t="s">
        <v>6480</v>
      </c>
      <c r="E78" s="4">
        <v>70</v>
      </c>
      <c r="F78" s="8">
        <v>2915.98</v>
      </c>
      <c r="G78" s="4">
        <v>199</v>
      </c>
      <c r="H78" s="8">
        <v>9127.82</v>
      </c>
      <c r="I78" s="7">
        <v>-0.6482</v>
      </c>
      <c r="J78" s="7">
        <v>-0.6805</v>
      </c>
      <c r="K78" s="4">
        <v>56</v>
      </c>
      <c r="L78" s="8">
        <v>2656.57</v>
      </c>
      <c r="M78" s="4">
        <v>167</v>
      </c>
      <c r="N78" s="8">
        <v>8361.54</v>
      </c>
      <c r="O78" s="7">
        <v>-0.6647</v>
      </c>
      <c r="P78" s="7">
        <v>-0.6823</v>
      </c>
    </row>
    <row r="79">
      <c r="A79" s="2" t="s">
        <v>6098</v>
      </c>
      <c r="B79" s="2" t="s">
        <v>88</v>
      </c>
      <c r="C79" s="2" t="s">
        <v>6497</v>
      </c>
      <c r="D79" s="2" t="s">
        <v>6619</v>
      </c>
      <c r="E79" s="4" t="s">
        <v>100</v>
      </c>
      <c r="F79" s="8" t="s">
        <v>100</v>
      </c>
      <c r="G79" s="4" t="s">
        <v>100</v>
      </c>
      <c r="H79" s="8" t="s">
        <v>100</v>
      </c>
      <c r="I79" s="7" t="s">
        <v>100</v>
      </c>
      <c r="J79" s="7" t="s">
        <v>100</v>
      </c>
      <c r="K79" s="4">
        <v>9</v>
      </c>
      <c r="L79" s="8">
        <v>160.56</v>
      </c>
      <c r="M79" s="4">
        <v>13</v>
      </c>
      <c r="N79" s="8">
        <v>348.77</v>
      </c>
      <c r="O79" s="7">
        <v>-0.3077</v>
      </c>
      <c r="P79" s="7">
        <v>-0.5396</v>
      </c>
    </row>
    <row r="80">
      <c r="A80" s="2" t="s">
        <v>6098</v>
      </c>
      <c r="B80" s="2" t="s">
        <v>88</v>
      </c>
      <c r="C80" s="2" t="s">
        <v>6497</v>
      </c>
      <c r="D80" s="2" t="s">
        <v>6377</v>
      </c>
      <c r="E80" s="4" t="s">
        <v>100</v>
      </c>
      <c r="F80" s="8" t="s">
        <v>100</v>
      </c>
      <c r="G80" s="4" t="s">
        <v>100</v>
      </c>
      <c r="H80" s="8" t="s">
        <v>100</v>
      </c>
      <c r="I80" s="7" t="s">
        <v>100</v>
      </c>
      <c r="J80" s="7" t="s">
        <v>100</v>
      </c>
      <c r="K80" s="4">
        <v>5</v>
      </c>
      <c r="L80" s="8">
        <v>98.85</v>
      </c>
      <c r="M80" s="4">
        <v>19</v>
      </c>
      <c r="N80" s="8">
        <v>417.51</v>
      </c>
      <c r="O80" s="7">
        <v>-0.7368</v>
      </c>
      <c r="P80" s="7">
        <v>-0.7632</v>
      </c>
    </row>
    <row r="81">
      <c r="A81" s="2" t="s">
        <v>6098</v>
      </c>
      <c r="B81" s="2" t="s">
        <v>88</v>
      </c>
      <c r="C81" s="2" t="s">
        <v>6686</v>
      </c>
      <c r="D81" s="2" t="s">
        <v>6377</v>
      </c>
      <c r="E81" s="4">
        <v>27</v>
      </c>
      <c r="F81" s="8">
        <v>937.94</v>
      </c>
      <c r="G81" s="4">
        <v>38</v>
      </c>
      <c r="H81" s="8">
        <v>1355.64</v>
      </c>
      <c r="I81" s="7">
        <v>-0.2895</v>
      </c>
      <c r="J81" s="7">
        <v>-0.3081</v>
      </c>
      <c r="K81" s="4">
        <v>27</v>
      </c>
      <c r="L81" s="8">
        <v>937.94</v>
      </c>
      <c r="M81" s="4">
        <v>38</v>
      </c>
      <c r="N81" s="8">
        <v>1355.64</v>
      </c>
      <c r="O81" s="7">
        <v>-0.2895</v>
      </c>
      <c r="P81" s="7">
        <v>-0.3081</v>
      </c>
    </row>
    <row r="82">
      <c r="A82" s="2" t="s">
        <v>6098</v>
      </c>
      <c r="B82" s="2" t="s">
        <v>88</v>
      </c>
      <c r="C82" s="2" t="s">
        <v>6686</v>
      </c>
      <c r="D82" s="2" t="s">
        <v>6480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/>
      <c r="L82" s="8"/>
      <c r="M82" s="4"/>
      <c r="N82" s="8"/>
      <c r="O82" s="7"/>
      <c r="P82" s="7"/>
    </row>
    <row r="83">
      <c r="A83" s="2" t="s">
        <v>6098</v>
      </c>
      <c r="B83" s="2" t="s">
        <v>88</v>
      </c>
      <c r="C83" s="2" t="s">
        <v>6763</v>
      </c>
      <c r="D83" s="2" t="s">
        <v>6764</v>
      </c>
      <c r="E83" s="4">
        <v>7</v>
      </c>
      <c r="F83" s="8">
        <v>271.53</v>
      </c>
      <c r="G83" s="4">
        <v>29</v>
      </c>
      <c r="H83" s="8">
        <v>1595.38</v>
      </c>
      <c r="I83" s="7">
        <v>-0.7586</v>
      </c>
      <c r="J83" s="7">
        <v>-0.8298</v>
      </c>
      <c r="K83" s="4">
        <v>7</v>
      </c>
      <c r="L83" s="8">
        <v>271.53</v>
      </c>
      <c r="M83" s="4">
        <v>29</v>
      </c>
      <c r="N83" s="8">
        <v>1595.38</v>
      </c>
      <c r="O83" s="7">
        <v>-0.7586</v>
      </c>
      <c r="P83" s="7">
        <v>-0.8298</v>
      </c>
    </row>
    <row r="84">
      <c r="A84" s="2" t="s">
        <v>6098</v>
      </c>
      <c r="B84" s="2" t="s">
        <v>88</v>
      </c>
      <c r="C84" s="2" t="s">
        <v>6763</v>
      </c>
      <c r="D84" s="2" t="s">
        <v>6781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6098</v>
      </c>
      <c r="B85" s="2" t="s">
        <v>88</v>
      </c>
      <c r="C85" s="2" t="s">
        <v>6805</v>
      </c>
      <c r="D85" s="2" t="s">
        <v>6806</v>
      </c>
      <c r="E85" s="4">
        <v>2</v>
      </c>
      <c r="F85" s="8">
        <v>71.9</v>
      </c>
      <c r="G85" s="4">
        <v>9</v>
      </c>
      <c r="H85" s="8">
        <v>361.59</v>
      </c>
      <c r="I85" s="7">
        <v>-0.7778</v>
      </c>
      <c r="J85" s="7">
        <v>-0.8012</v>
      </c>
      <c r="K85" s="4">
        <v>2</v>
      </c>
      <c r="L85" s="8">
        <v>71.9</v>
      </c>
      <c r="M85" s="4">
        <v>9</v>
      </c>
      <c r="N85" s="8">
        <v>361.59</v>
      </c>
      <c r="O85" s="7">
        <v>-0.7778</v>
      </c>
      <c r="P85" s="7">
        <v>-0.8012</v>
      </c>
    </row>
    <row r="86">
      <c r="A86" s="2" t="s">
        <v>6098</v>
      </c>
      <c r="B86" s="2" t="s">
        <v>88</v>
      </c>
      <c r="C86" s="2" t="s">
        <v>6819</v>
      </c>
      <c r="D86" s="2" t="s">
        <v>6820</v>
      </c>
      <c r="E86" s="4">
        <v>1</v>
      </c>
      <c r="F86" s="8">
        <v>58.83</v>
      </c>
      <c r="G86" s="4">
        <v>10</v>
      </c>
      <c r="H86" s="8">
        <v>647.07</v>
      </c>
      <c r="I86" s="7">
        <v>-0.9</v>
      </c>
      <c r="J86" s="7">
        <v>-0.9091</v>
      </c>
      <c r="K86" s="4">
        <v>1</v>
      </c>
      <c r="L86" s="8">
        <v>58.83</v>
      </c>
      <c r="M86" s="4">
        <v>10</v>
      </c>
      <c r="N86" s="8">
        <v>647.07</v>
      </c>
      <c r="O86" s="7">
        <v>-0.9</v>
      </c>
      <c r="P86" s="7">
        <v>-0.9091</v>
      </c>
    </row>
    <row r="87">
      <c r="A87" s="2" t="s">
        <v>6098</v>
      </c>
      <c r="B87" s="2" t="s">
        <v>88</v>
      </c>
      <c r="C87" s="2" t="s">
        <v>6832</v>
      </c>
      <c r="D87" s="2" t="s">
        <v>6833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6098</v>
      </c>
      <c r="B88" s="2" t="s">
        <v>88</v>
      </c>
      <c r="C88" s="2" t="s">
        <v>6836</v>
      </c>
      <c r="D88" s="2" t="s">
        <v>6837</v>
      </c>
      <c r="E88" s="4"/>
      <c r="F88" s="8"/>
      <c r="G88" s="4"/>
      <c r="H88" s="8"/>
      <c r="I88" s="7"/>
      <c r="J88" s="7"/>
      <c r="K88" s="4"/>
      <c r="L88" s="8"/>
      <c r="M88" s="4"/>
      <c r="N88" s="8"/>
      <c r="O88" s="7"/>
      <c r="P88" s="7"/>
    </row>
    <row r="89">
      <c r="A89" s="2" t="s">
        <v>6098</v>
      </c>
      <c r="B89" s="2" t="s">
        <v>6851</v>
      </c>
      <c r="C89" s="2" t="s">
        <v>6099</v>
      </c>
      <c r="D89" s="2" t="s">
        <v>6377</v>
      </c>
      <c r="E89" s="4">
        <v>49</v>
      </c>
      <c r="F89" s="8">
        <v>3566.21</v>
      </c>
      <c r="G89" s="4">
        <v>65</v>
      </c>
      <c r="H89" s="8">
        <v>5232.09</v>
      </c>
      <c r="I89" s="7">
        <v>-0.2462</v>
      </c>
      <c r="J89" s="7">
        <v>-0.3184</v>
      </c>
      <c r="K89" s="4">
        <v>49</v>
      </c>
      <c r="L89" s="8">
        <v>3566.21</v>
      </c>
      <c r="M89" s="4">
        <v>65</v>
      </c>
      <c r="N89" s="8">
        <v>5232.09</v>
      </c>
      <c r="O89" s="7">
        <v>-0.2462</v>
      </c>
      <c r="P89" s="7">
        <v>-0.3184</v>
      </c>
    </row>
    <row r="90">
      <c r="A90" s="2" t="s">
        <v>6098</v>
      </c>
      <c r="B90" s="2" t="s">
        <v>6851</v>
      </c>
      <c r="C90" s="2" t="s">
        <v>6497</v>
      </c>
      <c r="D90" s="2" t="s">
        <v>6480</v>
      </c>
      <c r="E90" s="4">
        <v>11</v>
      </c>
      <c r="F90" s="8">
        <v>429.55</v>
      </c>
      <c r="G90" s="4">
        <v>13</v>
      </c>
      <c r="H90" s="8">
        <v>542.1</v>
      </c>
      <c r="I90" s="7">
        <v>-0.1538</v>
      </c>
      <c r="J90" s="7">
        <v>-0.2076</v>
      </c>
      <c r="K90" s="4">
        <v>11</v>
      </c>
      <c r="L90" s="8">
        <v>429.55</v>
      </c>
      <c r="M90" s="4">
        <v>13</v>
      </c>
      <c r="N90" s="8">
        <v>542.1</v>
      </c>
      <c r="O90" s="7">
        <v>-0.1538</v>
      </c>
      <c r="P90" s="7">
        <v>-0.2076</v>
      </c>
    </row>
    <row r="91">
      <c r="A91" s="2" t="s">
        <v>6098</v>
      </c>
      <c r="B91" s="2" t="s">
        <v>6851</v>
      </c>
      <c r="C91" s="2" t="s">
        <v>6497</v>
      </c>
      <c r="D91" s="2" t="s">
        <v>6619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6098</v>
      </c>
      <c r="B92" s="2" t="s">
        <v>6851</v>
      </c>
      <c r="C92" s="2" t="s">
        <v>6497</v>
      </c>
      <c r="D92" s="2" t="s">
        <v>6377</v>
      </c>
      <c r="E92" s="4" t="s">
        <v>100</v>
      </c>
      <c r="F92" s="8" t="s">
        <v>100</v>
      </c>
      <c r="G92" s="4" t="s">
        <v>100</v>
      </c>
      <c r="H92" s="8" t="s">
        <v>100</v>
      </c>
      <c r="I92" s="7" t="s">
        <v>100</v>
      </c>
      <c r="J92" s="7" t="s">
        <v>100</v>
      </c>
      <c r="K92" s="4"/>
      <c r="L92" s="8"/>
      <c r="M92" s="4"/>
      <c r="N92" s="8"/>
      <c r="O92" s="7"/>
      <c r="P92" s="7"/>
    </row>
    <row r="93">
      <c r="A93" s="2" t="s">
        <v>6098</v>
      </c>
      <c r="B93" s="2" t="s">
        <v>6851</v>
      </c>
      <c r="C93" s="2" t="s">
        <v>6763</v>
      </c>
      <c r="D93" s="2" t="s">
        <v>6781</v>
      </c>
      <c r="E93" s="4">
        <v>4</v>
      </c>
      <c r="F93" s="8">
        <v>325.51</v>
      </c>
      <c r="G93" s="4">
        <v>7</v>
      </c>
      <c r="H93" s="8">
        <v>643.06</v>
      </c>
      <c r="I93" s="7">
        <v>-0.4286</v>
      </c>
      <c r="J93" s="7">
        <v>-0.4938</v>
      </c>
      <c r="K93" s="4">
        <v>4</v>
      </c>
      <c r="L93" s="8">
        <v>325.51</v>
      </c>
      <c r="M93" s="4">
        <v>7</v>
      </c>
      <c r="N93" s="8">
        <v>643.06</v>
      </c>
      <c r="O93" s="7">
        <v>-0.4286</v>
      </c>
      <c r="P93" s="7">
        <v>-0.4938</v>
      </c>
    </row>
    <row r="94">
      <c r="A94" s="2" t="s">
        <v>6098</v>
      </c>
      <c r="B94" s="2" t="s">
        <v>6851</v>
      </c>
      <c r="C94" s="2" t="s">
        <v>6763</v>
      </c>
      <c r="D94" s="2" t="s">
        <v>6764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6098</v>
      </c>
      <c r="B95" s="2" t="s">
        <v>6851</v>
      </c>
      <c r="C95" s="2" t="s">
        <v>6686</v>
      </c>
      <c r="D95" s="2" t="s">
        <v>6377</v>
      </c>
      <c r="E95" s="4">
        <v>5</v>
      </c>
      <c r="F95" s="8">
        <v>196.02</v>
      </c>
      <c r="G95" s="4">
        <v>4</v>
      </c>
      <c r="H95" s="8">
        <v>183.76</v>
      </c>
      <c r="I95" s="7">
        <v>0.25</v>
      </c>
      <c r="J95" s="7">
        <v>0.0667</v>
      </c>
      <c r="K95" s="4">
        <v>5</v>
      </c>
      <c r="L95" s="8">
        <v>196.02</v>
      </c>
      <c r="M95" s="4">
        <v>4</v>
      </c>
      <c r="N95" s="8">
        <v>183.76</v>
      </c>
      <c r="O95" s="7">
        <v>0.25</v>
      </c>
      <c r="P95" s="7">
        <v>0.0667</v>
      </c>
    </row>
    <row r="96">
      <c r="A96" s="2" t="s">
        <v>6098</v>
      </c>
      <c r="B96" s="2" t="s">
        <v>6851</v>
      </c>
      <c r="C96" s="2" t="s">
        <v>6686</v>
      </c>
      <c r="D96" s="2" t="s">
        <v>6480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/>
      <c r="N96" s="8"/>
      <c r="O96" s="7"/>
      <c r="P96" s="7"/>
    </row>
    <row r="97">
      <c r="A97" s="2" t="s">
        <v>6098</v>
      </c>
      <c r="B97" s="2" t="s">
        <v>4677</v>
      </c>
      <c r="C97" s="2" t="s">
        <v>6497</v>
      </c>
      <c r="D97" s="2" t="s">
        <v>6480</v>
      </c>
      <c r="E97" s="4">
        <v>27</v>
      </c>
      <c r="F97" s="8">
        <v>1528.15</v>
      </c>
      <c r="G97" s="4">
        <v>25</v>
      </c>
      <c r="H97" s="8">
        <v>1107.93</v>
      </c>
      <c r="I97" s="7">
        <v>0.08</v>
      </c>
      <c r="J97" s="7">
        <v>0.3793</v>
      </c>
      <c r="K97" s="4">
        <v>27</v>
      </c>
      <c r="L97" s="8">
        <v>1528.15</v>
      </c>
      <c r="M97" s="4">
        <v>25</v>
      </c>
      <c r="N97" s="8">
        <v>1107.93</v>
      </c>
      <c r="O97" s="7">
        <v>0.08</v>
      </c>
      <c r="P97" s="7">
        <v>0.3793</v>
      </c>
    </row>
    <row r="98">
      <c r="A98" s="2" t="s">
        <v>6098</v>
      </c>
      <c r="B98" s="2" t="s">
        <v>4677</v>
      </c>
      <c r="C98" s="2" t="s">
        <v>6497</v>
      </c>
      <c r="D98" s="2" t="s">
        <v>6619</v>
      </c>
      <c r="E98" s="4" t="s">
        <v>100</v>
      </c>
      <c r="F98" s="8" t="s">
        <v>100</v>
      </c>
      <c r="G98" s="4" t="s">
        <v>100</v>
      </c>
      <c r="H98" s="8" t="s">
        <v>100</v>
      </c>
      <c r="I98" s="7" t="s">
        <v>100</v>
      </c>
      <c r="J98" s="7" t="s">
        <v>100</v>
      </c>
      <c r="K98" s="4"/>
      <c r="L98" s="8"/>
      <c r="M98" s="4"/>
      <c r="N98" s="8"/>
      <c r="O98" s="7"/>
      <c r="P98" s="7"/>
    </row>
    <row r="99">
      <c r="A99" s="2" t="s">
        <v>6098</v>
      </c>
      <c r="B99" s="2" t="s">
        <v>4677</v>
      </c>
      <c r="C99" s="2" t="s">
        <v>6099</v>
      </c>
      <c r="D99" s="2" t="s">
        <v>6100</v>
      </c>
      <c r="E99" s="4">
        <v>27</v>
      </c>
      <c r="F99" s="8">
        <v>1070.36</v>
      </c>
      <c r="G99" s="4">
        <v>73</v>
      </c>
      <c r="H99" s="8">
        <v>3029.61</v>
      </c>
      <c r="I99" s="7">
        <v>-0.6301</v>
      </c>
      <c r="J99" s="7">
        <v>-0.6467</v>
      </c>
      <c r="K99" s="4">
        <v>27</v>
      </c>
      <c r="L99" s="8">
        <v>1070.36</v>
      </c>
      <c r="M99" s="4">
        <v>73</v>
      </c>
      <c r="N99" s="8">
        <v>3029.61</v>
      </c>
      <c r="O99" s="7">
        <v>-0.6301</v>
      </c>
      <c r="P99" s="7">
        <v>-0.6467</v>
      </c>
    </row>
    <row r="100">
      <c r="A100" s="2" t="s">
        <v>6098</v>
      </c>
      <c r="B100" s="2" t="s">
        <v>4677</v>
      </c>
      <c r="C100" s="2" t="s">
        <v>6099</v>
      </c>
      <c r="D100" s="2" t="s">
        <v>6377</v>
      </c>
      <c r="E100" s="4" t="s">
        <v>100</v>
      </c>
      <c r="F100" s="8" t="s">
        <v>100</v>
      </c>
      <c r="G100" s="4" t="s">
        <v>100</v>
      </c>
      <c r="H100" s="8" t="s">
        <v>100</v>
      </c>
      <c r="I100" s="7" t="s">
        <v>100</v>
      </c>
      <c r="J100" s="7" t="s">
        <v>100</v>
      </c>
      <c r="K100" s="4"/>
      <c r="L100" s="8"/>
      <c r="M100" s="4"/>
      <c r="N100" s="8"/>
      <c r="O100" s="7"/>
      <c r="P100" s="7"/>
    </row>
    <row r="101">
      <c r="A101" s="2" t="s">
        <v>6098</v>
      </c>
      <c r="B101" s="2" t="s">
        <v>4677</v>
      </c>
      <c r="C101" s="2" t="s">
        <v>6763</v>
      </c>
      <c r="D101" s="2" t="s">
        <v>6781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6098</v>
      </c>
      <c r="B102" s="2" t="s">
        <v>4677</v>
      </c>
      <c r="C102" s="2" t="s">
        <v>6686</v>
      </c>
      <c r="D102" s="2" t="s">
        <v>6377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6098</v>
      </c>
      <c r="B103" s="2" t="s">
        <v>4677</v>
      </c>
      <c r="C103" s="2" t="s">
        <v>7093</v>
      </c>
      <c r="D103" s="2" t="s">
        <v>7094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6098</v>
      </c>
      <c r="B104" s="2" t="s">
        <v>4479</v>
      </c>
      <c r="C104" s="2" t="s">
        <v>6497</v>
      </c>
      <c r="D104" s="2" t="s">
        <v>6820</v>
      </c>
      <c r="E104" s="4">
        <v>15</v>
      </c>
      <c r="F104" s="8">
        <v>741.6</v>
      </c>
      <c r="G104" s="4">
        <v>16</v>
      </c>
      <c r="H104" s="8">
        <v>851.54</v>
      </c>
      <c r="I104" s="7">
        <v>-0.0625</v>
      </c>
      <c r="J104" s="7">
        <v>-0.1291</v>
      </c>
      <c r="K104" s="4">
        <v>15</v>
      </c>
      <c r="L104" s="8">
        <v>741.6</v>
      </c>
      <c r="M104" s="4">
        <v>16</v>
      </c>
      <c r="N104" s="8">
        <v>851.54</v>
      </c>
      <c r="O104" s="7">
        <v>-0.0625</v>
      </c>
      <c r="P104" s="7">
        <v>-0.1291</v>
      </c>
    </row>
    <row r="105">
      <c r="A105" s="2" t="s">
        <v>6098</v>
      </c>
      <c r="B105" s="2" t="s">
        <v>4479</v>
      </c>
      <c r="C105" s="2" t="s">
        <v>6497</v>
      </c>
      <c r="D105" s="2" t="s">
        <v>6619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/>
      <c r="L105" s="8"/>
      <c r="M105" s="4"/>
      <c r="N105" s="8"/>
      <c r="O105" s="7"/>
      <c r="P105" s="7"/>
    </row>
    <row r="106">
      <c r="A106" s="2" t="s">
        <v>6098</v>
      </c>
      <c r="B106" s="2" t="s">
        <v>4479</v>
      </c>
      <c r="C106" s="2" t="s">
        <v>7093</v>
      </c>
      <c r="D106" s="2" t="s">
        <v>7094</v>
      </c>
      <c r="E106" s="4">
        <v>18</v>
      </c>
      <c r="F106" s="8">
        <v>674.3</v>
      </c>
      <c r="G106" s="4">
        <v>32</v>
      </c>
      <c r="H106" s="8">
        <v>1919.29</v>
      </c>
      <c r="I106" s="7">
        <v>-0.4375</v>
      </c>
      <c r="J106" s="7">
        <v>-0.6487</v>
      </c>
      <c r="K106" s="4">
        <v>18</v>
      </c>
      <c r="L106" s="8">
        <v>674.3</v>
      </c>
      <c r="M106" s="4">
        <v>32</v>
      </c>
      <c r="N106" s="8">
        <v>1919.29</v>
      </c>
      <c r="O106" s="7">
        <v>-0.4375</v>
      </c>
      <c r="P106" s="7">
        <v>-0.6487</v>
      </c>
    </row>
    <row r="107">
      <c r="A107" s="2" t="s">
        <v>6098</v>
      </c>
      <c r="B107" s="2" t="s">
        <v>4479</v>
      </c>
      <c r="C107" s="2" t="s">
        <v>6763</v>
      </c>
      <c r="D107" s="2" t="s">
        <v>6764</v>
      </c>
      <c r="E107" s="4">
        <v>7</v>
      </c>
      <c r="F107" s="8">
        <v>622.72</v>
      </c>
      <c r="G107" s="4">
        <v>32</v>
      </c>
      <c r="H107" s="8">
        <v>3883.75</v>
      </c>
      <c r="I107" s="7">
        <v>-0.7812</v>
      </c>
      <c r="J107" s="7">
        <v>-0.8397</v>
      </c>
      <c r="K107" s="4">
        <v>7</v>
      </c>
      <c r="L107" s="8">
        <v>622.72</v>
      </c>
      <c r="M107" s="4">
        <v>32</v>
      </c>
      <c r="N107" s="8">
        <v>3883.75</v>
      </c>
      <c r="O107" s="7">
        <v>-0.7812</v>
      </c>
      <c r="P107" s="7">
        <v>-0.8397</v>
      </c>
    </row>
    <row r="108">
      <c r="A108" s="2" t="s">
        <v>6098</v>
      </c>
      <c r="B108" s="2" t="s">
        <v>4479</v>
      </c>
      <c r="C108" s="2" t="s">
        <v>6763</v>
      </c>
      <c r="D108" s="2" t="s">
        <v>6781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/>
      <c r="L108" s="8"/>
      <c r="M108" s="4"/>
      <c r="N108" s="8"/>
      <c r="O108" s="7"/>
      <c r="P108" s="7"/>
    </row>
    <row r="109">
      <c r="A109" s="2" t="s">
        <v>6098</v>
      </c>
      <c r="B109" s="2" t="s">
        <v>4479</v>
      </c>
      <c r="C109" s="2" t="s">
        <v>6099</v>
      </c>
      <c r="D109" s="2" t="s">
        <v>6377</v>
      </c>
      <c r="E109" s="4">
        <v>3</v>
      </c>
      <c r="F109" s="8">
        <v>131.37</v>
      </c>
      <c r="G109" s="4">
        <v>15</v>
      </c>
      <c r="H109" s="8">
        <v>681.15</v>
      </c>
      <c r="I109" s="7">
        <v>-0.8</v>
      </c>
      <c r="J109" s="7">
        <v>-0.8071</v>
      </c>
      <c r="K109" s="4">
        <v>3</v>
      </c>
      <c r="L109" s="8">
        <v>131.37</v>
      </c>
      <c r="M109" s="4">
        <v>15</v>
      </c>
      <c r="N109" s="8">
        <v>681.15</v>
      </c>
      <c r="O109" s="7">
        <v>-0.8</v>
      </c>
      <c r="P109" s="7">
        <v>-0.8071</v>
      </c>
    </row>
    <row r="110">
      <c r="A110" s="2" t="s">
        <v>6098</v>
      </c>
      <c r="B110" s="2" t="s">
        <v>7182</v>
      </c>
      <c r="C110" s="2" t="s">
        <v>6099</v>
      </c>
      <c r="D110" s="2" t="s">
        <v>6377</v>
      </c>
      <c r="E110" s="4">
        <v>18</v>
      </c>
      <c r="F110" s="8">
        <v>653.39</v>
      </c>
      <c r="G110" s="4">
        <v>29</v>
      </c>
      <c r="H110" s="8">
        <v>1144.53</v>
      </c>
      <c r="I110" s="7">
        <v>-0.3793</v>
      </c>
      <c r="J110" s="7">
        <v>-0.4291</v>
      </c>
      <c r="K110" s="4">
        <v>18</v>
      </c>
      <c r="L110" s="8">
        <v>653.39</v>
      </c>
      <c r="M110" s="4">
        <v>28</v>
      </c>
      <c r="N110" s="8">
        <v>1093.16</v>
      </c>
      <c r="O110" s="7">
        <v>-0.3571</v>
      </c>
      <c r="P110" s="7">
        <v>-0.4023</v>
      </c>
    </row>
    <row r="111">
      <c r="A111" s="2" t="s">
        <v>6098</v>
      </c>
      <c r="B111" s="2" t="s">
        <v>7182</v>
      </c>
      <c r="C111" s="2" t="s">
        <v>6099</v>
      </c>
      <c r="D111" s="2" t="s">
        <v>6100</v>
      </c>
      <c r="E111" s="4" t="s">
        <v>100</v>
      </c>
      <c r="F111" s="8" t="s">
        <v>100</v>
      </c>
      <c r="G111" s="4" t="s">
        <v>100</v>
      </c>
      <c r="H111" s="8" t="s">
        <v>100</v>
      </c>
      <c r="I111" s="7" t="s">
        <v>100</v>
      </c>
      <c r="J111" s="7" t="s">
        <v>100</v>
      </c>
      <c r="K111" s="4"/>
      <c r="L111" s="8"/>
      <c r="M111" s="4">
        <v>1</v>
      </c>
      <c r="N111" s="8">
        <v>51.37</v>
      </c>
      <c r="O111" s="7"/>
      <c r="P111" s="7"/>
    </row>
    <row r="112">
      <c r="A112" s="2" t="s">
        <v>6098</v>
      </c>
      <c r="B112" s="2" t="s">
        <v>7182</v>
      </c>
      <c r="C112" s="2" t="s">
        <v>6686</v>
      </c>
      <c r="D112" s="2" t="s">
        <v>6377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6098</v>
      </c>
      <c r="B113" s="2" t="s">
        <v>5982</v>
      </c>
      <c r="C113" s="2" t="s">
        <v>6819</v>
      </c>
      <c r="D113" s="2" t="s">
        <v>6820</v>
      </c>
      <c r="E113" s="4">
        <v>6</v>
      </c>
      <c r="F113" s="8">
        <v>130.8</v>
      </c>
      <c r="G113" s="4">
        <v>4</v>
      </c>
      <c r="H113" s="8">
        <v>87.2</v>
      </c>
      <c r="I113" s="7">
        <v>0.5</v>
      </c>
      <c r="J113" s="7">
        <v>0.5</v>
      </c>
      <c r="K113" s="4">
        <v>6</v>
      </c>
      <c r="L113" s="8">
        <v>130.8</v>
      </c>
      <c r="M113" s="4">
        <v>4</v>
      </c>
      <c r="N113" s="8">
        <v>87.2</v>
      </c>
      <c r="O113" s="7">
        <v>0.5</v>
      </c>
      <c r="P113" s="7">
        <v>0.5</v>
      </c>
    </row>
    <row r="114">
      <c r="A114" s="2" t="s">
        <v>6098</v>
      </c>
      <c r="B114" s="2" t="s">
        <v>5982</v>
      </c>
      <c r="C114" s="2" t="s">
        <v>6497</v>
      </c>
      <c r="D114" s="2" t="s">
        <v>6619</v>
      </c>
      <c r="E114" s="4">
        <v>3</v>
      </c>
      <c r="F114" s="8">
        <v>60.51</v>
      </c>
      <c r="G114" s="4">
        <v>18</v>
      </c>
      <c r="H114" s="8">
        <v>363.06</v>
      </c>
      <c r="I114" s="7">
        <v>-0.8333</v>
      </c>
      <c r="J114" s="7">
        <v>-0.8333</v>
      </c>
      <c r="K114" s="4">
        <v>3</v>
      </c>
      <c r="L114" s="8">
        <v>60.51</v>
      </c>
      <c r="M114" s="4">
        <v>18</v>
      </c>
      <c r="N114" s="8">
        <v>363.06</v>
      </c>
      <c r="O114" s="7">
        <v>-0.8333</v>
      </c>
      <c r="P114" s="7">
        <v>-0.8333</v>
      </c>
    </row>
    <row r="115">
      <c r="A115" s="2" t="s">
        <v>6098</v>
      </c>
      <c r="B115" s="2" t="s">
        <v>5982</v>
      </c>
      <c r="C115" s="2" t="s">
        <v>6099</v>
      </c>
      <c r="D115" s="2" t="s">
        <v>6100</v>
      </c>
      <c r="E115" s="4">
        <v>1</v>
      </c>
      <c r="F115" s="8">
        <v>41.24</v>
      </c>
      <c r="G115" s="4">
        <v>10</v>
      </c>
      <c r="H115" s="8">
        <v>297.78</v>
      </c>
      <c r="I115" s="7">
        <v>-0.9</v>
      </c>
      <c r="J115" s="7">
        <v>-0.8615</v>
      </c>
      <c r="K115" s="4">
        <v>1</v>
      </c>
      <c r="L115" s="8">
        <v>41.24</v>
      </c>
      <c r="M115" s="4">
        <v>10</v>
      </c>
      <c r="N115" s="8">
        <v>297.78</v>
      </c>
      <c r="O115" s="7">
        <v>-0.9</v>
      </c>
      <c r="P115" s="7">
        <v>-0.8615</v>
      </c>
    </row>
    <row r="116">
      <c r="A116" s="2" t="s">
        <v>7252</v>
      </c>
      <c r="B116" s="2" t="s">
        <v>88</v>
      </c>
      <c r="C116" s="2" t="s">
        <v>7253</v>
      </c>
      <c r="D116" s="2" t="s">
        <v>7254</v>
      </c>
      <c r="E116" s="4">
        <v>267</v>
      </c>
      <c r="F116" s="8">
        <v>45907.88</v>
      </c>
      <c r="G116" s="4">
        <v>599</v>
      </c>
      <c r="H116" s="8">
        <v>107898.53</v>
      </c>
      <c r="I116" s="7">
        <v>-0.5543</v>
      </c>
      <c r="J116" s="7">
        <v>-0.5745</v>
      </c>
      <c r="K116" s="4">
        <v>267</v>
      </c>
      <c r="L116" s="8">
        <v>45907.88</v>
      </c>
      <c r="M116" s="4">
        <v>599</v>
      </c>
      <c r="N116" s="8">
        <v>107898.53</v>
      </c>
      <c r="O116" s="7">
        <v>-0.5543</v>
      </c>
      <c r="P116" s="7">
        <v>-0.5745</v>
      </c>
    </row>
    <row r="117">
      <c r="A117" s="2" t="s">
        <v>7252</v>
      </c>
      <c r="B117" s="2" t="s">
        <v>88</v>
      </c>
      <c r="C117" s="2" t="s">
        <v>7253</v>
      </c>
      <c r="D117" s="2" t="s">
        <v>7738</v>
      </c>
      <c r="E117" s="4" t="s">
        <v>100</v>
      </c>
      <c r="F117" s="8" t="s">
        <v>100</v>
      </c>
      <c r="G117" s="4" t="s">
        <v>100</v>
      </c>
      <c r="H117" s="8" t="s">
        <v>100</v>
      </c>
      <c r="I117" s="7" t="s">
        <v>100</v>
      </c>
      <c r="J117" s="7" t="s">
        <v>100</v>
      </c>
      <c r="K117" s="4"/>
      <c r="L117" s="8"/>
      <c r="M117" s="4"/>
      <c r="N117" s="8"/>
      <c r="O117" s="7"/>
      <c r="P117" s="7"/>
    </row>
    <row r="118">
      <c r="A118" s="2" t="s">
        <v>7252</v>
      </c>
      <c r="B118" s="2" t="s">
        <v>88</v>
      </c>
      <c r="C118" s="2" t="s">
        <v>7253</v>
      </c>
      <c r="D118" s="2" t="s">
        <v>7744</v>
      </c>
      <c r="E118" s="4" t="s">
        <v>100</v>
      </c>
      <c r="F118" s="8" t="s">
        <v>100</v>
      </c>
      <c r="G118" s="4" t="s">
        <v>100</v>
      </c>
      <c r="H118" s="8" t="s">
        <v>100</v>
      </c>
      <c r="I118" s="7" t="s">
        <v>100</v>
      </c>
      <c r="J118" s="7" t="s">
        <v>100</v>
      </c>
      <c r="K118" s="4"/>
      <c r="L118" s="8"/>
      <c r="M118" s="4"/>
      <c r="N118" s="8"/>
      <c r="O118" s="7"/>
      <c r="P118" s="7"/>
    </row>
    <row r="119">
      <c r="A119" s="2" t="s">
        <v>7252</v>
      </c>
      <c r="B119" s="2" t="s">
        <v>88</v>
      </c>
      <c r="C119" s="2" t="s">
        <v>7253</v>
      </c>
      <c r="D119" s="2" t="s">
        <v>7776</v>
      </c>
      <c r="E119" s="4" t="s">
        <v>100</v>
      </c>
      <c r="F119" s="8" t="s">
        <v>100</v>
      </c>
      <c r="G119" s="4" t="s">
        <v>100</v>
      </c>
      <c r="H119" s="8" t="s">
        <v>100</v>
      </c>
      <c r="I119" s="7" t="s">
        <v>100</v>
      </c>
      <c r="J119" s="7" t="s">
        <v>100</v>
      </c>
      <c r="K119" s="4"/>
      <c r="L119" s="8"/>
      <c r="M119" s="4"/>
      <c r="N119" s="8"/>
      <c r="O119" s="7"/>
      <c r="P119" s="7"/>
    </row>
    <row r="120">
      <c r="A120" s="2" t="s">
        <v>7252</v>
      </c>
      <c r="B120" s="2" t="s">
        <v>88</v>
      </c>
      <c r="C120" s="2" t="s">
        <v>7253</v>
      </c>
      <c r="D120" s="2" t="s">
        <v>1608</v>
      </c>
      <c r="E120" s="4" t="s">
        <v>100</v>
      </c>
      <c r="F120" s="8" t="s">
        <v>100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/>
      <c r="L120" s="8"/>
      <c r="M120" s="4"/>
      <c r="N120" s="8"/>
      <c r="O120" s="7"/>
      <c r="P120" s="7"/>
    </row>
    <row r="121">
      <c r="A121" s="2" t="s">
        <v>7252</v>
      </c>
      <c r="B121" s="2" t="s">
        <v>88</v>
      </c>
      <c r="C121" s="2" t="s">
        <v>7786</v>
      </c>
      <c r="D121" s="2" t="s">
        <v>7787</v>
      </c>
      <c r="E121" s="4">
        <v>352</v>
      </c>
      <c r="F121" s="8">
        <v>37778.94</v>
      </c>
      <c r="G121" s="4">
        <v>1424</v>
      </c>
      <c r="H121" s="8">
        <v>149517.83</v>
      </c>
      <c r="I121" s="7">
        <v>-0.7528</v>
      </c>
      <c r="J121" s="7">
        <v>-0.7473</v>
      </c>
      <c r="K121" s="4">
        <v>317</v>
      </c>
      <c r="L121" s="8">
        <v>34239.49</v>
      </c>
      <c r="M121" s="4">
        <v>1021</v>
      </c>
      <c r="N121" s="8">
        <v>104817.94</v>
      </c>
      <c r="O121" s="7">
        <v>-0.6895</v>
      </c>
      <c r="P121" s="7">
        <v>-0.6733</v>
      </c>
    </row>
    <row r="122">
      <c r="A122" s="2" t="s">
        <v>7252</v>
      </c>
      <c r="B122" s="2" t="s">
        <v>88</v>
      </c>
      <c r="C122" s="2" t="s">
        <v>7786</v>
      </c>
      <c r="D122" s="2" t="s">
        <v>8071</v>
      </c>
      <c r="E122" s="4" t="s">
        <v>100</v>
      </c>
      <c r="F122" s="8" t="s">
        <v>100</v>
      </c>
      <c r="G122" s="4" t="s">
        <v>100</v>
      </c>
      <c r="H122" s="8" t="s">
        <v>100</v>
      </c>
      <c r="I122" s="7" t="s">
        <v>100</v>
      </c>
      <c r="J122" s="7" t="s">
        <v>100</v>
      </c>
      <c r="K122" s="4">
        <v>35</v>
      </c>
      <c r="L122" s="8">
        <v>3539.45</v>
      </c>
      <c r="M122" s="4">
        <v>403</v>
      </c>
      <c r="N122" s="8">
        <v>44699.89</v>
      </c>
      <c r="O122" s="7">
        <v>-0.9132</v>
      </c>
      <c r="P122" s="7">
        <v>-0.9208</v>
      </c>
    </row>
    <row r="123">
      <c r="A123" s="2" t="s">
        <v>7252</v>
      </c>
      <c r="B123" s="2" t="s">
        <v>88</v>
      </c>
      <c r="C123" s="2" t="s">
        <v>7786</v>
      </c>
      <c r="D123" s="2" t="s">
        <v>8155</v>
      </c>
      <c r="E123" s="4" t="s">
        <v>100</v>
      </c>
      <c r="F123" s="8" t="s">
        <v>100</v>
      </c>
      <c r="G123" s="4" t="s">
        <v>100</v>
      </c>
      <c r="H123" s="8" t="s">
        <v>100</v>
      </c>
      <c r="I123" s="7" t="s">
        <v>100</v>
      </c>
      <c r="J123" s="7" t="s">
        <v>100</v>
      </c>
      <c r="K123" s="4"/>
      <c r="L123" s="8"/>
      <c r="M123" s="4"/>
      <c r="N123" s="8"/>
      <c r="O123" s="7"/>
      <c r="P123" s="7"/>
    </row>
    <row r="124">
      <c r="A124" s="2" t="s">
        <v>7252</v>
      </c>
      <c r="B124" s="2" t="s">
        <v>88</v>
      </c>
      <c r="C124" s="2" t="s">
        <v>8158</v>
      </c>
      <c r="D124" s="2" t="s">
        <v>8159</v>
      </c>
      <c r="E124" s="4">
        <v>104</v>
      </c>
      <c r="F124" s="8">
        <v>22431.94</v>
      </c>
      <c r="G124" s="4">
        <v>245</v>
      </c>
      <c r="H124" s="8">
        <v>59483.14</v>
      </c>
      <c r="I124" s="7">
        <v>-0.5755</v>
      </c>
      <c r="J124" s="7">
        <v>-0.6229</v>
      </c>
      <c r="K124" s="4">
        <v>63</v>
      </c>
      <c r="L124" s="8">
        <v>12657.7</v>
      </c>
      <c r="M124" s="4">
        <v>95</v>
      </c>
      <c r="N124" s="8">
        <v>20030.23</v>
      </c>
      <c r="O124" s="7">
        <v>-0.3368</v>
      </c>
      <c r="P124" s="7">
        <v>-0.3681</v>
      </c>
    </row>
    <row r="125">
      <c r="A125" s="2" t="s">
        <v>7252</v>
      </c>
      <c r="B125" s="2" t="s">
        <v>88</v>
      </c>
      <c r="C125" s="2" t="s">
        <v>8158</v>
      </c>
      <c r="D125" s="2" t="s">
        <v>8297</v>
      </c>
      <c r="E125" s="4" t="s">
        <v>100</v>
      </c>
      <c r="F125" s="8" t="s">
        <v>100</v>
      </c>
      <c r="G125" s="4" t="s">
        <v>100</v>
      </c>
      <c r="H125" s="8" t="s">
        <v>100</v>
      </c>
      <c r="I125" s="7" t="s">
        <v>100</v>
      </c>
      <c r="J125" s="7" t="s">
        <v>100</v>
      </c>
      <c r="K125" s="4">
        <v>41</v>
      </c>
      <c r="L125" s="8">
        <v>9774.24</v>
      </c>
      <c r="M125" s="4">
        <v>150</v>
      </c>
      <c r="N125" s="8">
        <v>39452.91</v>
      </c>
      <c r="O125" s="7">
        <v>-0.7267</v>
      </c>
      <c r="P125" s="7">
        <v>-0.7523</v>
      </c>
    </row>
    <row r="126">
      <c r="A126" s="2" t="s">
        <v>7252</v>
      </c>
      <c r="B126" s="2" t="s">
        <v>88</v>
      </c>
      <c r="C126" s="2" t="s">
        <v>8158</v>
      </c>
      <c r="D126" s="2" t="s">
        <v>8374</v>
      </c>
      <c r="E126" s="4" t="s">
        <v>100</v>
      </c>
      <c r="F126" s="8" t="s">
        <v>100</v>
      </c>
      <c r="G126" s="4" t="s">
        <v>100</v>
      </c>
      <c r="H126" s="8" t="s">
        <v>100</v>
      </c>
      <c r="I126" s="7" t="s">
        <v>100</v>
      </c>
      <c r="J126" s="7" t="s">
        <v>100</v>
      </c>
      <c r="K126" s="4"/>
      <c r="L126" s="8"/>
      <c r="M126" s="4"/>
      <c r="N126" s="8"/>
      <c r="O126" s="7"/>
      <c r="P126" s="7"/>
    </row>
    <row r="127">
      <c r="A127" s="2" t="s">
        <v>7252</v>
      </c>
      <c r="B127" s="2" t="s">
        <v>88</v>
      </c>
      <c r="C127" s="2" t="s">
        <v>8424</v>
      </c>
      <c r="D127" s="2" t="s">
        <v>8425</v>
      </c>
      <c r="E127" s="4">
        <v>147</v>
      </c>
      <c r="F127" s="8">
        <v>17204.9</v>
      </c>
      <c r="G127" s="4">
        <v>500</v>
      </c>
      <c r="H127" s="8">
        <v>51233.26</v>
      </c>
      <c r="I127" s="7">
        <v>-0.706</v>
      </c>
      <c r="J127" s="7">
        <v>-0.6642</v>
      </c>
      <c r="K127" s="4">
        <v>147</v>
      </c>
      <c r="L127" s="8">
        <v>17204.9</v>
      </c>
      <c r="M127" s="4">
        <v>500</v>
      </c>
      <c r="N127" s="8">
        <v>51233.26</v>
      </c>
      <c r="O127" s="7">
        <v>-0.706</v>
      </c>
      <c r="P127" s="7">
        <v>-0.6642</v>
      </c>
    </row>
    <row r="128">
      <c r="A128" s="2" t="s">
        <v>7252</v>
      </c>
      <c r="B128" s="2" t="s">
        <v>88</v>
      </c>
      <c r="C128" s="2" t="s">
        <v>8424</v>
      </c>
      <c r="D128" s="2" t="s">
        <v>8548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/>
      <c r="L128" s="8"/>
      <c r="M128" s="4"/>
      <c r="N128" s="8"/>
      <c r="O128" s="7"/>
      <c r="P128" s="7"/>
    </row>
    <row r="129">
      <c r="A129" s="2" t="s">
        <v>7252</v>
      </c>
      <c r="B129" s="2" t="s">
        <v>88</v>
      </c>
      <c r="C129" s="2" t="s">
        <v>8575</v>
      </c>
      <c r="D129" s="2" t="s">
        <v>8576</v>
      </c>
      <c r="E129" s="4">
        <v>47</v>
      </c>
      <c r="F129" s="8">
        <v>5814.25</v>
      </c>
      <c r="G129" s="4">
        <v>134</v>
      </c>
      <c r="H129" s="8">
        <v>16656.71</v>
      </c>
      <c r="I129" s="7">
        <v>-0.6493</v>
      </c>
      <c r="J129" s="7">
        <v>-0.6509</v>
      </c>
      <c r="K129" s="4">
        <v>20</v>
      </c>
      <c r="L129" s="8">
        <v>2833.42</v>
      </c>
      <c r="M129" s="4">
        <v>60</v>
      </c>
      <c r="N129" s="8">
        <v>8438.95</v>
      </c>
      <c r="O129" s="7">
        <v>-0.6667</v>
      </c>
      <c r="P129" s="7">
        <v>-0.6642</v>
      </c>
    </row>
    <row r="130">
      <c r="A130" s="2" t="s">
        <v>7252</v>
      </c>
      <c r="B130" s="2" t="s">
        <v>88</v>
      </c>
      <c r="C130" s="2" t="s">
        <v>8575</v>
      </c>
      <c r="D130" s="2" t="s">
        <v>8637</v>
      </c>
      <c r="E130" s="4" t="s">
        <v>100</v>
      </c>
      <c r="F130" s="8" t="s">
        <v>100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>
        <v>16</v>
      </c>
      <c r="L130" s="8">
        <v>1521.46</v>
      </c>
      <c r="M130" s="4">
        <v>41</v>
      </c>
      <c r="N130" s="8">
        <v>3685.54</v>
      </c>
      <c r="O130" s="7">
        <v>-0.6098</v>
      </c>
      <c r="P130" s="7">
        <v>-0.5872</v>
      </c>
    </row>
    <row r="131">
      <c r="A131" s="2" t="s">
        <v>7252</v>
      </c>
      <c r="B131" s="2" t="s">
        <v>88</v>
      </c>
      <c r="C131" s="2" t="s">
        <v>8575</v>
      </c>
      <c r="D131" s="2" t="s">
        <v>8653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>
        <v>11</v>
      </c>
      <c r="L131" s="8">
        <v>1459.37</v>
      </c>
      <c r="M131" s="4">
        <v>30</v>
      </c>
      <c r="N131" s="8">
        <v>4160.52</v>
      </c>
      <c r="O131" s="7">
        <v>-0.6333</v>
      </c>
      <c r="P131" s="7">
        <v>-0.6492</v>
      </c>
    </row>
    <row r="132">
      <c r="A132" s="2" t="s">
        <v>7252</v>
      </c>
      <c r="B132" s="2" t="s">
        <v>88</v>
      </c>
      <c r="C132" s="2" t="s">
        <v>8575</v>
      </c>
      <c r="D132" s="2" t="s">
        <v>8667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>
        <v>3</v>
      </c>
      <c r="N132" s="8">
        <v>371.7</v>
      </c>
      <c r="O132" s="7"/>
      <c r="P132" s="7"/>
    </row>
    <row r="133">
      <c r="A133" s="2" t="s">
        <v>7252</v>
      </c>
      <c r="B133" s="2" t="s">
        <v>88</v>
      </c>
      <c r="C133" s="2" t="s">
        <v>8575</v>
      </c>
      <c r="D133" s="2" t="s">
        <v>8676</v>
      </c>
      <c r="E133" s="4" t="s">
        <v>100</v>
      </c>
      <c r="F133" s="8" t="s">
        <v>100</v>
      </c>
      <c r="G133" s="4" t="s">
        <v>100</v>
      </c>
      <c r="H133" s="8" t="s">
        <v>100</v>
      </c>
      <c r="I133" s="7" t="s">
        <v>100</v>
      </c>
      <c r="J133" s="7" t="s">
        <v>100</v>
      </c>
      <c r="K133" s="4"/>
      <c r="L133" s="8"/>
      <c r="M133" s="4"/>
      <c r="N133" s="8"/>
      <c r="O133" s="7"/>
      <c r="P133" s="7"/>
    </row>
    <row r="134">
      <c r="A134" s="2" t="s">
        <v>7252</v>
      </c>
      <c r="B134" s="2" t="s">
        <v>88</v>
      </c>
      <c r="C134" s="2" t="s">
        <v>8680</v>
      </c>
      <c r="D134" s="2" t="s">
        <v>8681</v>
      </c>
      <c r="E134" s="4">
        <v>35</v>
      </c>
      <c r="F134" s="8">
        <v>4370.16</v>
      </c>
      <c r="G134" s="4">
        <v>241</v>
      </c>
      <c r="H134" s="8">
        <v>26028.65</v>
      </c>
      <c r="I134" s="7">
        <v>-0.8548</v>
      </c>
      <c r="J134" s="7">
        <v>-0.8321</v>
      </c>
      <c r="K134" s="4">
        <v>35</v>
      </c>
      <c r="L134" s="8">
        <v>4370.16</v>
      </c>
      <c r="M134" s="4">
        <v>241</v>
      </c>
      <c r="N134" s="8">
        <v>26028.65</v>
      </c>
      <c r="O134" s="7">
        <v>-0.8548</v>
      </c>
      <c r="P134" s="7">
        <v>-0.8321</v>
      </c>
    </row>
    <row r="135">
      <c r="A135" s="2" t="s">
        <v>7252</v>
      </c>
      <c r="B135" s="2" t="s">
        <v>88</v>
      </c>
      <c r="C135" s="2" t="s">
        <v>8680</v>
      </c>
      <c r="D135" s="2" t="s">
        <v>8576</v>
      </c>
      <c r="E135" s="4" t="s">
        <v>100</v>
      </c>
      <c r="F135" s="8" t="s">
        <v>100</v>
      </c>
      <c r="G135" s="4" t="s">
        <v>100</v>
      </c>
      <c r="H135" s="8" t="s">
        <v>100</v>
      </c>
      <c r="I135" s="7" t="s">
        <v>100</v>
      </c>
      <c r="J135" s="7" t="s">
        <v>100</v>
      </c>
      <c r="K135" s="4"/>
      <c r="L135" s="8"/>
      <c r="M135" s="4"/>
      <c r="N135" s="8"/>
      <c r="O135" s="7"/>
      <c r="P135" s="7"/>
    </row>
    <row r="136">
      <c r="A136" s="2" t="s">
        <v>7252</v>
      </c>
      <c r="B136" s="2" t="s">
        <v>88</v>
      </c>
      <c r="C136" s="2" t="s">
        <v>8817</v>
      </c>
      <c r="D136" s="2" t="s">
        <v>8818</v>
      </c>
      <c r="E136" s="4">
        <v>22</v>
      </c>
      <c r="F136" s="8">
        <v>3442.81</v>
      </c>
      <c r="G136" s="4">
        <v>229</v>
      </c>
      <c r="H136" s="8">
        <v>31198.21</v>
      </c>
      <c r="I136" s="7">
        <v>-0.9039</v>
      </c>
      <c r="J136" s="7">
        <v>-0.8896</v>
      </c>
      <c r="K136" s="4">
        <v>22</v>
      </c>
      <c r="L136" s="8">
        <v>3442.81</v>
      </c>
      <c r="M136" s="4">
        <v>229</v>
      </c>
      <c r="N136" s="8">
        <v>31198.21</v>
      </c>
      <c r="O136" s="7">
        <v>-0.9039</v>
      </c>
      <c r="P136" s="7">
        <v>-0.8896</v>
      </c>
    </row>
    <row r="137">
      <c r="A137" s="2" t="s">
        <v>7252</v>
      </c>
      <c r="B137" s="2" t="s">
        <v>88</v>
      </c>
      <c r="C137" s="2" t="s">
        <v>8965</v>
      </c>
      <c r="D137" s="2" t="s">
        <v>8966</v>
      </c>
      <c r="E137" s="4">
        <v>13</v>
      </c>
      <c r="F137" s="8">
        <v>3356.85</v>
      </c>
      <c r="G137" s="4">
        <v>51</v>
      </c>
      <c r="H137" s="8">
        <v>12861.96</v>
      </c>
      <c r="I137" s="7">
        <v>-0.7451</v>
      </c>
      <c r="J137" s="7">
        <v>-0.739</v>
      </c>
      <c r="K137" s="4">
        <v>7</v>
      </c>
      <c r="L137" s="8">
        <v>1865.85</v>
      </c>
      <c r="M137" s="4">
        <v>28</v>
      </c>
      <c r="N137" s="8">
        <v>6662.32</v>
      </c>
      <c r="O137" s="7">
        <v>-0.75</v>
      </c>
      <c r="P137" s="7">
        <v>-0.7199</v>
      </c>
    </row>
    <row r="138">
      <c r="A138" s="2" t="s">
        <v>7252</v>
      </c>
      <c r="B138" s="2" t="s">
        <v>88</v>
      </c>
      <c r="C138" s="2" t="s">
        <v>8965</v>
      </c>
      <c r="D138" s="2" t="s">
        <v>9004</v>
      </c>
      <c r="E138" s="4" t="s">
        <v>100</v>
      </c>
      <c r="F138" s="8" t="s">
        <v>100</v>
      </c>
      <c r="G138" s="4" t="s">
        <v>100</v>
      </c>
      <c r="H138" s="8" t="s">
        <v>100</v>
      </c>
      <c r="I138" s="7" t="s">
        <v>100</v>
      </c>
      <c r="J138" s="7" t="s">
        <v>100</v>
      </c>
      <c r="K138" s="4">
        <v>5</v>
      </c>
      <c r="L138" s="8">
        <v>1241.1</v>
      </c>
      <c r="M138" s="4">
        <v>6</v>
      </c>
      <c r="N138" s="8">
        <v>1927.83</v>
      </c>
      <c r="O138" s="7">
        <v>-0.1667</v>
      </c>
      <c r="P138" s="7">
        <v>-0.3562</v>
      </c>
    </row>
    <row r="139">
      <c r="A139" s="2" t="s">
        <v>7252</v>
      </c>
      <c r="B139" s="2" t="s">
        <v>88</v>
      </c>
      <c r="C139" s="2" t="s">
        <v>8965</v>
      </c>
      <c r="D139" s="2" t="s">
        <v>1608</v>
      </c>
      <c r="E139" s="4" t="s">
        <v>100</v>
      </c>
      <c r="F139" s="8" t="s">
        <v>100</v>
      </c>
      <c r="G139" s="4" t="s">
        <v>100</v>
      </c>
      <c r="H139" s="8" t="s">
        <v>100</v>
      </c>
      <c r="I139" s="7" t="s">
        <v>100</v>
      </c>
      <c r="J139" s="7" t="s">
        <v>100</v>
      </c>
      <c r="K139" s="4">
        <v>1</v>
      </c>
      <c r="L139" s="8">
        <v>249.9</v>
      </c>
      <c r="M139" s="4">
        <v>17</v>
      </c>
      <c r="N139" s="8">
        <v>4271.81</v>
      </c>
      <c r="O139" s="7">
        <v>-0.9412</v>
      </c>
      <c r="P139" s="7">
        <v>-0.9415</v>
      </c>
    </row>
    <row r="140">
      <c r="A140" s="2" t="s">
        <v>7252</v>
      </c>
      <c r="B140" s="2" t="s">
        <v>88</v>
      </c>
      <c r="C140" s="2" t="s">
        <v>9095</v>
      </c>
      <c r="D140" s="2" t="s">
        <v>8637</v>
      </c>
      <c r="E140" s="4">
        <v>22</v>
      </c>
      <c r="F140" s="8">
        <v>1609.8</v>
      </c>
      <c r="G140" s="4">
        <v>51</v>
      </c>
      <c r="H140" s="8">
        <v>4342.7</v>
      </c>
      <c r="I140" s="7">
        <v>-0.5686</v>
      </c>
      <c r="J140" s="7">
        <v>-0.6293</v>
      </c>
      <c r="K140" s="4">
        <v>22</v>
      </c>
      <c r="L140" s="8">
        <v>1609.8</v>
      </c>
      <c r="M140" s="4">
        <v>51</v>
      </c>
      <c r="N140" s="8">
        <v>4342.7</v>
      </c>
      <c r="O140" s="7">
        <v>-0.5686</v>
      </c>
      <c r="P140" s="7">
        <v>-0.6293</v>
      </c>
    </row>
    <row r="141">
      <c r="A141" s="2" t="s">
        <v>7252</v>
      </c>
      <c r="B141" s="2" t="s">
        <v>88</v>
      </c>
      <c r="C141" s="2" t="s">
        <v>9095</v>
      </c>
      <c r="D141" s="2" t="s">
        <v>8667</v>
      </c>
      <c r="E141" s="4" t="s">
        <v>100</v>
      </c>
      <c r="F141" s="8" t="s">
        <v>100</v>
      </c>
      <c r="G141" s="4" t="s">
        <v>100</v>
      </c>
      <c r="H141" s="8" t="s">
        <v>100</v>
      </c>
      <c r="I141" s="7" t="s">
        <v>100</v>
      </c>
      <c r="J141" s="7" t="s">
        <v>100</v>
      </c>
      <c r="K141" s="4"/>
      <c r="L141" s="8"/>
      <c r="M141" s="4"/>
      <c r="N141" s="8"/>
      <c r="O141" s="7"/>
      <c r="P141" s="7"/>
    </row>
    <row r="142">
      <c r="A142" s="2" t="s">
        <v>7252</v>
      </c>
      <c r="B142" s="2" t="s">
        <v>88</v>
      </c>
      <c r="C142" s="2" t="s">
        <v>9184</v>
      </c>
      <c r="D142" s="2" t="s">
        <v>9185</v>
      </c>
      <c r="E142" s="4">
        <v>2</v>
      </c>
      <c r="F142" s="8">
        <v>378</v>
      </c>
      <c r="G142" s="4">
        <v>2</v>
      </c>
      <c r="H142" s="8">
        <v>283.5</v>
      </c>
      <c r="I142" s="7"/>
      <c r="J142" s="7">
        <v>0.3333</v>
      </c>
      <c r="K142" s="4">
        <v>2</v>
      </c>
      <c r="L142" s="8">
        <v>378</v>
      </c>
      <c r="M142" s="4">
        <v>2</v>
      </c>
      <c r="N142" s="8">
        <v>283.5</v>
      </c>
      <c r="O142" s="7"/>
      <c r="P142" s="7">
        <v>0.3333</v>
      </c>
    </row>
    <row r="143">
      <c r="A143" s="2" t="s">
        <v>7252</v>
      </c>
      <c r="B143" s="2" t="s">
        <v>88</v>
      </c>
      <c r="C143" s="2" t="s">
        <v>9205</v>
      </c>
      <c r="D143" s="2" t="s">
        <v>9206</v>
      </c>
      <c r="E143" s="4">
        <v>1</v>
      </c>
      <c r="F143" s="8">
        <v>336.54</v>
      </c>
      <c r="G143" s="4">
        <v>17</v>
      </c>
      <c r="H143" s="8">
        <v>4599.87</v>
      </c>
      <c r="I143" s="7">
        <v>-0.9412</v>
      </c>
      <c r="J143" s="7">
        <v>-0.9268</v>
      </c>
      <c r="K143" s="4">
        <v>1</v>
      </c>
      <c r="L143" s="8">
        <v>336.54</v>
      </c>
      <c r="M143" s="4">
        <v>17</v>
      </c>
      <c r="N143" s="8">
        <v>4599.87</v>
      </c>
      <c r="O143" s="7">
        <v>-0.9412</v>
      </c>
      <c r="P143" s="7">
        <v>-0.9268</v>
      </c>
    </row>
    <row r="144">
      <c r="A144" s="2" t="s">
        <v>7252</v>
      </c>
      <c r="B144" s="2" t="s">
        <v>88</v>
      </c>
      <c r="C144" s="2" t="s">
        <v>9247</v>
      </c>
      <c r="D144" s="2" t="s">
        <v>9248</v>
      </c>
      <c r="E144" s="4">
        <v>1</v>
      </c>
      <c r="F144" s="8">
        <v>325.5</v>
      </c>
      <c r="G144" s="4">
        <v>20</v>
      </c>
      <c r="H144" s="8">
        <v>5284.21</v>
      </c>
      <c r="I144" s="7">
        <v>-0.95</v>
      </c>
      <c r="J144" s="7">
        <v>-0.9384</v>
      </c>
      <c r="K144" s="4">
        <v>1</v>
      </c>
      <c r="L144" s="8">
        <v>325.5</v>
      </c>
      <c r="M144" s="4">
        <v>20</v>
      </c>
      <c r="N144" s="8">
        <v>5284.21</v>
      </c>
      <c r="O144" s="7">
        <v>-0.95</v>
      </c>
      <c r="P144" s="7">
        <v>-0.9384</v>
      </c>
    </row>
    <row r="145">
      <c r="A145" s="2" t="s">
        <v>7252</v>
      </c>
      <c r="B145" s="2" t="s">
        <v>88</v>
      </c>
      <c r="C145" s="2" t="s">
        <v>9266</v>
      </c>
      <c r="D145" s="2" t="s">
        <v>9267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7252</v>
      </c>
      <c r="B146" s="2" t="s">
        <v>88</v>
      </c>
      <c r="C146" s="2" t="s">
        <v>9274</v>
      </c>
      <c r="D146" s="2" t="s">
        <v>9275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7252</v>
      </c>
      <c r="B147" s="2" t="s">
        <v>88</v>
      </c>
      <c r="C147" s="2" t="s">
        <v>9291</v>
      </c>
      <c r="D147" s="2" t="s">
        <v>9292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7252</v>
      </c>
      <c r="B148" s="2" t="s">
        <v>88</v>
      </c>
      <c r="C148" s="2" t="s">
        <v>9299</v>
      </c>
      <c r="D148" s="2" t="s">
        <v>9300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7252</v>
      </c>
      <c r="B149" s="2" t="s">
        <v>88</v>
      </c>
      <c r="C149" s="2" t="s">
        <v>9318</v>
      </c>
      <c r="D149" s="2" t="s">
        <v>9319</v>
      </c>
      <c r="E149" s="4"/>
      <c r="F149" s="8"/>
      <c r="G149" s="4">
        <v>7</v>
      </c>
      <c r="H149" s="8">
        <v>955.5</v>
      </c>
      <c r="I149" s="7"/>
      <c r="J149" s="7"/>
      <c r="K149" s="4"/>
      <c r="L149" s="8"/>
      <c r="M149" s="4">
        <v>7</v>
      </c>
      <c r="N149" s="8">
        <v>955.5</v>
      </c>
      <c r="O149" s="7"/>
      <c r="P149" s="7"/>
    </row>
    <row r="150">
      <c r="A150" s="2" t="s">
        <v>7252</v>
      </c>
      <c r="B150" s="2" t="s">
        <v>4677</v>
      </c>
      <c r="C150" s="2" t="s">
        <v>7253</v>
      </c>
      <c r="D150" s="2" t="s">
        <v>7254</v>
      </c>
      <c r="E150" s="4">
        <v>120</v>
      </c>
      <c r="F150" s="8">
        <v>21083.57</v>
      </c>
      <c r="G150" s="4">
        <v>233</v>
      </c>
      <c r="H150" s="8">
        <v>43727.86</v>
      </c>
      <c r="I150" s="7">
        <v>-0.485</v>
      </c>
      <c r="J150" s="7">
        <v>-0.5178</v>
      </c>
      <c r="K150" s="4">
        <v>120</v>
      </c>
      <c r="L150" s="8">
        <v>21083.57</v>
      </c>
      <c r="M150" s="4">
        <v>231</v>
      </c>
      <c r="N150" s="8">
        <v>43228.06</v>
      </c>
      <c r="O150" s="7">
        <v>-0.4805</v>
      </c>
      <c r="P150" s="7">
        <v>-0.5123</v>
      </c>
    </row>
    <row r="151">
      <c r="A151" s="2" t="s">
        <v>7252</v>
      </c>
      <c r="B151" s="2" t="s">
        <v>4677</v>
      </c>
      <c r="C151" s="2" t="s">
        <v>7253</v>
      </c>
      <c r="D151" s="2" t="s">
        <v>7313</v>
      </c>
      <c r="E151" s="4" t="s">
        <v>100</v>
      </c>
      <c r="F151" s="8" t="s">
        <v>100</v>
      </c>
      <c r="G151" s="4" t="s">
        <v>100</v>
      </c>
      <c r="H151" s="8" t="s">
        <v>100</v>
      </c>
      <c r="I151" s="7" t="s">
        <v>100</v>
      </c>
      <c r="J151" s="7" t="s">
        <v>100</v>
      </c>
      <c r="K151" s="4"/>
      <c r="L151" s="8"/>
      <c r="M151" s="4"/>
      <c r="N151" s="8"/>
      <c r="O151" s="7"/>
      <c r="P151" s="7"/>
    </row>
    <row r="152">
      <c r="A152" s="2" t="s">
        <v>7252</v>
      </c>
      <c r="B152" s="2" t="s">
        <v>4677</v>
      </c>
      <c r="C152" s="2" t="s">
        <v>7253</v>
      </c>
      <c r="D152" s="2" t="s">
        <v>7744</v>
      </c>
      <c r="E152" s="4" t="s">
        <v>100</v>
      </c>
      <c r="F152" s="8" t="s">
        <v>100</v>
      </c>
      <c r="G152" s="4" t="s">
        <v>100</v>
      </c>
      <c r="H152" s="8" t="s">
        <v>100</v>
      </c>
      <c r="I152" s="7" t="s">
        <v>100</v>
      </c>
      <c r="J152" s="7" t="s">
        <v>100</v>
      </c>
      <c r="K152" s="4"/>
      <c r="L152" s="8"/>
      <c r="M152" s="4"/>
      <c r="N152" s="8"/>
      <c r="O152" s="7"/>
      <c r="P152" s="7"/>
    </row>
    <row r="153">
      <c r="A153" s="2" t="s">
        <v>7252</v>
      </c>
      <c r="B153" s="2" t="s">
        <v>4677</v>
      </c>
      <c r="C153" s="2" t="s">
        <v>7253</v>
      </c>
      <c r="D153" s="2" t="s">
        <v>1608</v>
      </c>
      <c r="E153" s="4" t="s">
        <v>100</v>
      </c>
      <c r="F153" s="8" t="s">
        <v>100</v>
      </c>
      <c r="G153" s="4" t="s">
        <v>100</v>
      </c>
      <c r="H153" s="8" t="s">
        <v>100</v>
      </c>
      <c r="I153" s="7" t="s">
        <v>100</v>
      </c>
      <c r="J153" s="7" t="s">
        <v>100</v>
      </c>
      <c r="K153" s="4"/>
      <c r="L153" s="8"/>
      <c r="M153" s="4">
        <v>2</v>
      </c>
      <c r="N153" s="8">
        <v>499.8</v>
      </c>
      <c r="O153" s="7"/>
      <c r="P153" s="7"/>
    </row>
    <row r="154">
      <c r="A154" s="2" t="s">
        <v>7252</v>
      </c>
      <c r="B154" s="2" t="s">
        <v>4677</v>
      </c>
      <c r="C154" s="2" t="s">
        <v>8575</v>
      </c>
      <c r="D154" s="2" t="s">
        <v>8576</v>
      </c>
      <c r="E154" s="4">
        <v>45</v>
      </c>
      <c r="F154" s="8">
        <v>5563.16</v>
      </c>
      <c r="G154" s="4">
        <v>122</v>
      </c>
      <c r="H154" s="8">
        <v>16390.78</v>
      </c>
      <c r="I154" s="7">
        <v>-0.6311</v>
      </c>
      <c r="J154" s="7">
        <v>-0.6606</v>
      </c>
      <c r="K154" s="4">
        <v>32</v>
      </c>
      <c r="L154" s="8">
        <v>4066.92</v>
      </c>
      <c r="M154" s="4">
        <v>63</v>
      </c>
      <c r="N154" s="8">
        <v>9214.83</v>
      </c>
      <c r="O154" s="7">
        <v>-0.4921</v>
      </c>
      <c r="P154" s="7">
        <v>-0.5587</v>
      </c>
    </row>
    <row r="155">
      <c r="A155" s="2" t="s">
        <v>7252</v>
      </c>
      <c r="B155" s="2" t="s">
        <v>4677</v>
      </c>
      <c r="C155" s="2" t="s">
        <v>8575</v>
      </c>
      <c r="D155" s="2" t="s">
        <v>8653</v>
      </c>
      <c r="E155" s="4" t="s">
        <v>100</v>
      </c>
      <c r="F155" s="8" t="s">
        <v>100</v>
      </c>
      <c r="G155" s="4" t="s">
        <v>100</v>
      </c>
      <c r="H155" s="8" t="s">
        <v>100</v>
      </c>
      <c r="I155" s="7" t="s">
        <v>100</v>
      </c>
      <c r="J155" s="7" t="s">
        <v>100</v>
      </c>
      <c r="K155" s="4">
        <v>3</v>
      </c>
      <c r="L155" s="8">
        <v>748.14</v>
      </c>
      <c r="M155" s="4">
        <v>17</v>
      </c>
      <c r="N155" s="8">
        <v>3166.58</v>
      </c>
      <c r="O155" s="7">
        <v>-0.8235</v>
      </c>
      <c r="P155" s="7">
        <v>-0.7637</v>
      </c>
    </row>
    <row r="156">
      <c r="A156" s="2" t="s">
        <v>7252</v>
      </c>
      <c r="B156" s="2" t="s">
        <v>4677</v>
      </c>
      <c r="C156" s="2" t="s">
        <v>8575</v>
      </c>
      <c r="D156" s="2" t="s">
        <v>8637</v>
      </c>
      <c r="E156" s="4" t="s">
        <v>100</v>
      </c>
      <c r="F156" s="8" t="s">
        <v>100</v>
      </c>
      <c r="G156" s="4" t="s">
        <v>100</v>
      </c>
      <c r="H156" s="8" t="s">
        <v>100</v>
      </c>
      <c r="I156" s="7" t="s">
        <v>100</v>
      </c>
      <c r="J156" s="7" t="s">
        <v>100</v>
      </c>
      <c r="K156" s="4">
        <v>10</v>
      </c>
      <c r="L156" s="8">
        <v>748.1</v>
      </c>
      <c r="M156" s="4">
        <v>33</v>
      </c>
      <c r="N156" s="8">
        <v>2213.87</v>
      </c>
      <c r="O156" s="7">
        <v>-0.697</v>
      </c>
      <c r="P156" s="7">
        <v>-0.6621</v>
      </c>
    </row>
    <row r="157">
      <c r="A157" s="2" t="s">
        <v>7252</v>
      </c>
      <c r="B157" s="2" t="s">
        <v>4677</v>
      </c>
      <c r="C157" s="2" t="s">
        <v>8575</v>
      </c>
      <c r="D157" s="2" t="s">
        <v>9605</v>
      </c>
      <c r="E157" s="4" t="s">
        <v>100</v>
      </c>
      <c r="F157" s="8" t="s">
        <v>100</v>
      </c>
      <c r="G157" s="4" t="s">
        <v>100</v>
      </c>
      <c r="H157" s="8" t="s">
        <v>100</v>
      </c>
      <c r="I157" s="7" t="s">
        <v>100</v>
      </c>
      <c r="J157" s="7" t="s">
        <v>100</v>
      </c>
      <c r="K157" s="4"/>
      <c r="L157" s="8"/>
      <c r="M157" s="4">
        <v>9</v>
      </c>
      <c r="N157" s="8">
        <v>1795.5</v>
      </c>
      <c r="O157" s="7"/>
      <c r="P157" s="7"/>
    </row>
    <row r="158">
      <c r="A158" s="2" t="s">
        <v>7252</v>
      </c>
      <c r="B158" s="2" t="s">
        <v>4677</v>
      </c>
      <c r="C158" s="2" t="s">
        <v>8575</v>
      </c>
      <c r="D158" s="2" t="s">
        <v>8676</v>
      </c>
      <c r="E158" s="4" t="s">
        <v>100</v>
      </c>
      <c r="F158" s="8" t="s">
        <v>100</v>
      </c>
      <c r="G158" s="4" t="s">
        <v>100</v>
      </c>
      <c r="H158" s="8" t="s">
        <v>100</v>
      </c>
      <c r="I158" s="7" t="s">
        <v>100</v>
      </c>
      <c r="J158" s="7" t="s">
        <v>100</v>
      </c>
      <c r="K158" s="4"/>
      <c r="L158" s="8"/>
      <c r="M158" s="4"/>
      <c r="N158" s="8"/>
      <c r="O158" s="7"/>
      <c r="P158" s="7"/>
    </row>
    <row r="159">
      <c r="A159" s="2" t="s">
        <v>7252</v>
      </c>
      <c r="B159" s="2" t="s">
        <v>4677</v>
      </c>
      <c r="C159" s="2" t="s">
        <v>8817</v>
      </c>
      <c r="D159" s="2" t="s">
        <v>8818</v>
      </c>
      <c r="E159" s="4">
        <v>18</v>
      </c>
      <c r="F159" s="8">
        <v>3636.43</v>
      </c>
      <c r="G159" s="4">
        <v>78</v>
      </c>
      <c r="H159" s="8">
        <v>12947.52</v>
      </c>
      <c r="I159" s="7">
        <v>-0.7692</v>
      </c>
      <c r="J159" s="7">
        <v>-0.7191</v>
      </c>
      <c r="K159" s="4">
        <v>18</v>
      </c>
      <c r="L159" s="8">
        <v>3636.43</v>
      </c>
      <c r="M159" s="4">
        <v>78</v>
      </c>
      <c r="N159" s="8">
        <v>12947.52</v>
      </c>
      <c r="O159" s="7">
        <v>-0.7692</v>
      </c>
      <c r="P159" s="7">
        <v>-0.7191</v>
      </c>
    </row>
    <row r="160">
      <c r="A160" s="2" t="s">
        <v>7252</v>
      </c>
      <c r="B160" s="2" t="s">
        <v>4677</v>
      </c>
      <c r="C160" s="2" t="s">
        <v>7786</v>
      </c>
      <c r="D160" s="2" t="s">
        <v>7787</v>
      </c>
      <c r="E160" s="4">
        <v>34</v>
      </c>
      <c r="F160" s="8">
        <v>3378.23</v>
      </c>
      <c r="G160" s="4">
        <v>124</v>
      </c>
      <c r="H160" s="8">
        <v>13929.49</v>
      </c>
      <c r="I160" s="7">
        <v>-0.7258</v>
      </c>
      <c r="J160" s="7">
        <v>-0.7575</v>
      </c>
      <c r="K160" s="4">
        <v>20</v>
      </c>
      <c r="L160" s="8">
        <v>2024.51</v>
      </c>
      <c r="M160" s="4">
        <v>87</v>
      </c>
      <c r="N160" s="8">
        <v>9911.45</v>
      </c>
      <c r="O160" s="7">
        <v>-0.7701</v>
      </c>
      <c r="P160" s="7">
        <v>-0.7957</v>
      </c>
    </row>
    <row r="161">
      <c r="A161" s="2" t="s">
        <v>7252</v>
      </c>
      <c r="B161" s="2" t="s">
        <v>4677</v>
      </c>
      <c r="C161" s="2" t="s">
        <v>7786</v>
      </c>
      <c r="D161" s="2" t="s">
        <v>8071</v>
      </c>
      <c r="E161" s="4" t="s">
        <v>100</v>
      </c>
      <c r="F161" s="8" t="s">
        <v>100</v>
      </c>
      <c r="G161" s="4" t="s">
        <v>100</v>
      </c>
      <c r="H161" s="8" t="s">
        <v>100</v>
      </c>
      <c r="I161" s="7" t="s">
        <v>100</v>
      </c>
      <c r="J161" s="7" t="s">
        <v>100</v>
      </c>
      <c r="K161" s="4">
        <v>10</v>
      </c>
      <c r="L161" s="8">
        <v>868.6</v>
      </c>
      <c r="M161" s="4">
        <v>34</v>
      </c>
      <c r="N161" s="8">
        <v>3592.79</v>
      </c>
      <c r="O161" s="7">
        <v>-0.7059</v>
      </c>
      <c r="P161" s="7">
        <v>-0.7582</v>
      </c>
    </row>
    <row r="162">
      <c r="A162" s="2" t="s">
        <v>7252</v>
      </c>
      <c r="B162" s="2" t="s">
        <v>4677</v>
      </c>
      <c r="C162" s="2" t="s">
        <v>7786</v>
      </c>
      <c r="D162" s="2" t="s">
        <v>8155</v>
      </c>
      <c r="E162" s="4" t="s">
        <v>100</v>
      </c>
      <c r="F162" s="8" t="s">
        <v>100</v>
      </c>
      <c r="G162" s="4" t="s">
        <v>100</v>
      </c>
      <c r="H162" s="8" t="s">
        <v>100</v>
      </c>
      <c r="I162" s="7" t="s">
        <v>100</v>
      </c>
      <c r="J162" s="7" t="s">
        <v>100</v>
      </c>
      <c r="K162" s="4">
        <v>4</v>
      </c>
      <c r="L162" s="8">
        <v>485.12</v>
      </c>
      <c r="M162" s="4">
        <v>3</v>
      </c>
      <c r="N162" s="8">
        <v>425.25</v>
      </c>
      <c r="O162" s="7">
        <v>0.3333</v>
      </c>
      <c r="P162" s="7">
        <v>0.1408</v>
      </c>
    </row>
    <row r="163">
      <c r="A163" s="2" t="s">
        <v>7252</v>
      </c>
      <c r="B163" s="2" t="s">
        <v>4677</v>
      </c>
      <c r="C163" s="2" t="s">
        <v>7786</v>
      </c>
      <c r="D163" s="2" t="s">
        <v>8159</v>
      </c>
      <c r="E163" s="4" t="s">
        <v>100</v>
      </c>
      <c r="F163" s="8" t="s">
        <v>100</v>
      </c>
      <c r="G163" s="4" t="s">
        <v>100</v>
      </c>
      <c r="H163" s="8" t="s">
        <v>100</v>
      </c>
      <c r="I163" s="7" t="s">
        <v>100</v>
      </c>
      <c r="J163" s="7" t="s">
        <v>100</v>
      </c>
      <c r="K163" s="4"/>
      <c r="L163" s="8"/>
      <c r="M163" s="4"/>
      <c r="N163" s="8"/>
      <c r="O163" s="7"/>
      <c r="P163" s="7"/>
    </row>
    <row r="164">
      <c r="A164" s="2" t="s">
        <v>7252</v>
      </c>
      <c r="B164" s="2" t="s">
        <v>4677</v>
      </c>
      <c r="C164" s="2" t="s">
        <v>9802</v>
      </c>
      <c r="D164" s="2" t="s">
        <v>9803</v>
      </c>
      <c r="E164" s="4">
        <v>11</v>
      </c>
      <c r="F164" s="8">
        <v>1268.8</v>
      </c>
      <c r="G164" s="4">
        <v>32</v>
      </c>
      <c r="H164" s="8">
        <v>3623.7</v>
      </c>
      <c r="I164" s="7">
        <v>-0.6562</v>
      </c>
      <c r="J164" s="7">
        <v>-0.6499</v>
      </c>
      <c r="K164" s="4">
        <v>11</v>
      </c>
      <c r="L164" s="8">
        <v>1268.8</v>
      </c>
      <c r="M164" s="4">
        <v>32</v>
      </c>
      <c r="N164" s="8">
        <v>3623.7</v>
      </c>
      <c r="O164" s="7">
        <v>-0.6562</v>
      </c>
      <c r="P164" s="7">
        <v>-0.6499</v>
      </c>
    </row>
    <row r="165">
      <c r="A165" s="2" t="s">
        <v>7252</v>
      </c>
      <c r="B165" s="2" t="s">
        <v>4677</v>
      </c>
      <c r="C165" s="2" t="s">
        <v>8424</v>
      </c>
      <c r="D165" s="2" t="s">
        <v>8425</v>
      </c>
      <c r="E165" s="4">
        <v>8</v>
      </c>
      <c r="F165" s="8">
        <v>882</v>
      </c>
      <c r="G165" s="4">
        <v>21</v>
      </c>
      <c r="H165" s="8">
        <v>3076.28</v>
      </c>
      <c r="I165" s="7">
        <v>-0.619</v>
      </c>
      <c r="J165" s="7">
        <v>-0.7133</v>
      </c>
      <c r="K165" s="4">
        <v>8</v>
      </c>
      <c r="L165" s="8">
        <v>882</v>
      </c>
      <c r="M165" s="4">
        <v>21</v>
      </c>
      <c r="N165" s="8">
        <v>3076.28</v>
      </c>
      <c r="O165" s="7">
        <v>-0.619</v>
      </c>
      <c r="P165" s="7">
        <v>-0.7133</v>
      </c>
    </row>
    <row r="166">
      <c r="A166" s="2" t="s">
        <v>7252</v>
      </c>
      <c r="B166" s="2" t="s">
        <v>4677</v>
      </c>
      <c r="C166" s="2" t="s">
        <v>8424</v>
      </c>
      <c r="D166" s="2" t="s">
        <v>8548</v>
      </c>
      <c r="E166" s="4" t="s">
        <v>100</v>
      </c>
      <c r="F166" s="8" t="s">
        <v>100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/>
      <c r="L166" s="8"/>
      <c r="M166" s="4"/>
      <c r="N166" s="8"/>
      <c r="O166" s="7"/>
      <c r="P166" s="7"/>
    </row>
    <row r="167">
      <c r="A167" s="2" t="s">
        <v>7252</v>
      </c>
      <c r="B167" s="2" t="s">
        <v>4677</v>
      </c>
      <c r="C167" s="2" t="s">
        <v>8965</v>
      </c>
      <c r="D167" s="2" t="s">
        <v>9004</v>
      </c>
      <c r="E167" s="4">
        <v>2</v>
      </c>
      <c r="F167" s="8">
        <v>480.48</v>
      </c>
      <c r="G167" s="4">
        <v>7</v>
      </c>
      <c r="H167" s="8">
        <v>1921.01</v>
      </c>
      <c r="I167" s="7">
        <v>-0.7143</v>
      </c>
      <c r="J167" s="7">
        <v>-0.7499</v>
      </c>
      <c r="K167" s="4">
        <v>2</v>
      </c>
      <c r="L167" s="8">
        <v>480.48</v>
      </c>
      <c r="M167" s="4">
        <v>7</v>
      </c>
      <c r="N167" s="8">
        <v>1921.01</v>
      </c>
      <c r="O167" s="7">
        <v>-0.7143</v>
      </c>
      <c r="P167" s="7">
        <v>-0.7499</v>
      </c>
    </row>
    <row r="168">
      <c r="A168" s="2" t="s">
        <v>7252</v>
      </c>
      <c r="B168" s="2" t="s">
        <v>4677</v>
      </c>
      <c r="C168" s="2" t="s">
        <v>8965</v>
      </c>
      <c r="D168" s="2" t="s">
        <v>7738</v>
      </c>
      <c r="E168" s="4" t="s">
        <v>100</v>
      </c>
      <c r="F168" s="8" t="s">
        <v>100</v>
      </c>
      <c r="G168" s="4" t="s">
        <v>100</v>
      </c>
      <c r="H168" s="8" t="s">
        <v>100</v>
      </c>
      <c r="I168" s="7" t="s">
        <v>100</v>
      </c>
      <c r="J168" s="7" t="s">
        <v>100</v>
      </c>
      <c r="K168" s="4"/>
      <c r="L168" s="8"/>
      <c r="M168" s="4"/>
      <c r="N168" s="8"/>
      <c r="O168" s="7"/>
      <c r="P168" s="7"/>
    </row>
    <row r="169">
      <c r="A169" s="2" t="s">
        <v>7252</v>
      </c>
      <c r="B169" s="2" t="s">
        <v>4677</v>
      </c>
      <c r="C169" s="2" t="s">
        <v>9095</v>
      </c>
      <c r="D169" s="2" t="s">
        <v>8637</v>
      </c>
      <c r="E169" s="4">
        <v>6</v>
      </c>
      <c r="F169" s="8">
        <v>429.96</v>
      </c>
      <c r="G169" s="4">
        <v>9</v>
      </c>
      <c r="H169" s="8">
        <v>655.71</v>
      </c>
      <c r="I169" s="7">
        <v>-0.3333</v>
      </c>
      <c r="J169" s="7">
        <v>-0.3443</v>
      </c>
      <c r="K169" s="4">
        <v>6</v>
      </c>
      <c r="L169" s="8">
        <v>429.96</v>
      </c>
      <c r="M169" s="4">
        <v>9</v>
      </c>
      <c r="N169" s="8">
        <v>655.71</v>
      </c>
      <c r="O169" s="7">
        <v>-0.3333</v>
      </c>
      <c r="P169" s="7">
        <v>-0.3443</v>
      </c>
    </row>
    <row r="170">
      <c r="A170" s="2" t="s">
        <v>7252</v>
      </c>
      <c r="B170" s="2" t="s">
        <v>4677</v>
      </c>
      <c r="C170" s="2" t="s">
        <v>9095</v>
      </c>
      <c r="D170" s="2" t="s">
        <v>8667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/>
      <c r="L170" s="8"/>
      <c r="M170" s="4"/>
      <c r="N170" s="8"/>
      <c r="O170" s="7"/>
      <c r="P170" s="7"/>
    </row>
    <row r="171">
      <c r="A171" s="2" t="s">
        <v>7252</v>
      </c>
      <c r="B171" s="2" t="s">
        <v>4677</v>
      </c>
      <c r="C171" s="2" t="s">
        <v>9095</v>
      </c>
      <c r="D171" s="2" t="s">
        <v>9890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/>
      <c r="L171" s="8"/>
      <c r="M171" s="4"/>
      <c r="N171" s="8"/>
      <c r="O171" s="7"/>
      <c r="P171" s="7"/>
    </row>
    <row r="172">
      <c r="A172" s="2" t="s">
        <v>7252</v>
      </c>
      <c r="B172" s="2" t="s">
        <v>4677</v>
      </c>
      <c r="C172" s="2" t="s">
        <v>9894</v>
      </c>
      <c r="D172" s="2" t="s">
        <v>9895</v>
      </c>
      <c r="E172" s="4">
        <v>1</v>
      </c>
      <c r="F172" s="8">
        <v>330.75</v>
      </c>
      <c r="G172" s="4">
        <v>3</v>
      </c>
      <c r="H172" s="8">
        <v>992.25</v>
      </c>
      <c r="I172" s="7">
        <v>-0.6667</v>
      </c>
      <c r="J172" s="7">
        <v>-0.6667</v>
      </c>
      <c r="K172" s="4">
        <v>1</v>
      </c>
      <c r="L172" s="8">
        <v>330.75</v>
      </c>
      <c r="M172" s="4">
        <v>3</v>
      </c>
      <c r="N172" s="8">
        <v>992.25</v>
      </c>
      <c r="O172" s="7">
        <v>-0.6667</v>
      </c>
      <c r="P172" s="7">
        <v>-0.6667</v>
      </c>
    </row>
    <row r="173">
      <c r="A173" s="2" t="s">
        <v>7252</v>
      </c>
      <c r="B173" s="2" t="s">
        <v>4677</v>
      </c>
      <c r="C173" s="2" t="s">
        <v>9900</v>
      </c>
      <c r="D173" s="2" t="s">
        <v>9901</v>
      </c>
      <c r="E173" s="4">
        <v>2</v>
      </c>
      <c r="F173" s="8">
        <v>255.16</v>
      </c>
      <c r="G173" s="4">
        <v>9</v>
      </c>
      <c r="H173" s="8">
        <v>1315.12</v>
      </c>
      <c r="I173" s="7">
        <v>-0.7778</v>
      </c>
      <c r="J173" s="7">
        <v>-0.806</v>
      </c>
      <c r="K173" s="4">
        <v>2</v>
      </c>
      <c r="L173" s="8">
        <v>255.16</v>
      </c>
      <c r="M173" s="4">
        <v>9</v>
      </c>
      <c r="N173" s="8">
        <v>1315.12</v>
      </c>
      <c r="O173" s="7">
        <v>-0.7778</v>
      </c>
      <c r="P173" s="7">
        <v>-0.806</v>
      </c>
    </row>
    <row r="174">
      <c r="A174" s="2" t="s">
        <v>7252</v>
      </c>
      <c r="B174" s="2" t="s">
        <v>4677</v>
      </c>
      <c r="C174" s="2" t="s">
        <v>9900</v>
      </c>
      <c r="D174" s="2" t="s">
        <v>8425</v>
      </c>
      <c r="E174" s="4" t="s">
        <v>100</v>
      </c>
      <c r="F174" s="8" t="s">
        <v>100</v>
      </c>
      <c r="G174" s="4" t="s">
        <v>100</v>
      </c>
      <c r="H174" s="8" t="s">
        <v>100</v>
      </c>
      <c r="I174" s="7" t="s">
        <v>100</v>
      </c>
      <c r="J174" s="7" t="s">
        <v>100</v>
      </c>
      <c r="K174" s="4"/>
      <c r="L174" s="8"/>
      <c r="M174" s="4"/>
      <c r="N174" s="8"/>
      <c r="O174" s="7"/>
      <c r="P174" s="7"/>
    </row>
    <row r="175">
      <c r="A175" s="2" t="s">
        <v>7252</v>
      </c>
      <c r="B175" s="2" t="s">
        <v>4677</v>
      </c>
      <c r="C175" s="2" t="s">
        <v>9318</v>
      </c>
      <c r="D175" s="2" t="s">
        <v>9319</v>
      </c>
      <c r="E175" s="4">
        <v>1</v>
      </c>
      <c r="F175" s="8">
        <v>199.5</v>
      </c>
      <c r="G175" s="4">
        <v>5</v>
      </c>
      <c r="H175" s="8">
        <v>997.5</v>
      </c>
      <c r="I175" s="7">
        <v>-0.8</v>
      </c>
      <c r="J175" s="7">
        <v>-0.8</v>
      </c>
      <c r="K175" s="4">
        <v>1</v>
      </c>
      <c r="L175" s="8">
        <v>199.5</v>
      </c>
      <c r="M175" s="4">
        <v>5</v>
      </c>
      <c r="N175" s="8">
        <v>997.5</v>
      </c>
      <c r="O175" s="7">
        <v>-0.8</v>
      </c>
      <c r="P175" s="7">
        <v>-0.8</v>
      </c>
    </row>
    <row r="176">
      <c r="A176" s="2" t="s">
        <v>7252</v>
      </c>
      <c r="B176" s="2" t="s">
        <v>4677</v>
      </c>
      <c r="C176" s="2" t="s">
        <v>9299</v>
      </c>
      <c r="D176" s="2" t="s">
        <v>9300</v>
      </c>
      <c r="E176" s="4">
        <v>1</v>
      </c>
      <c r="F176" s="8">
        <v>110.25</v>
      </c>
      <c r="G176" s="4">
        <v>3</v>
      </c>
      <c r="H176" s="8">
        <v>291.38</v>
      </c>
      <c r="I176" s="7">
        <v>-0.6667</v>
      </c>
      <c r="J176" s="7">
        <v>-0.6216</v>
      </c>
      <c r="K176" s="4">
        <v>1</v>
      </c>
      <c r="L176" s="8">
        <v>110.25</v>
      </c>
      <c r="M176" s="4">
        <v>3</v>
      </c>
      <c r="N176" s="8">
        <v>291.38</v>
      </c>
      <c r="O176" s="7">
        <v>-0.6667</v>
      </c>
      <c r="P176" s="7">
        <v>-0.6216</v>
      </c>
    </row>
    <row r="177">
      <c r="A177" s="2" t="s">
        <v>7252</v>
      </c>
      <c r="B177" s="2" t="s">
        <v>4677</v>
      </c>
      <c r="C177" s="2" t="s">
        <v>9266</v>
      </c>
      <c r="D177" s="2" t="s">
        <v>9267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7252</v>
      </c>
      <c r="B178" s="2" t="s">
        <v>4677</v>
      </c>
      <c r="C178" s="2" t="s">
        <v>9205</v>
      </c>
      <c r="D178" s="2" t="s">
        <v>9206</v>
      </c>
      <c r="E178" s="4"/>
      <c r="F178" s="8"/>
      <c r="G178" s="4">
        <v>10</v>
      </c>
      <c r="H178" s="8">
        <v>3465</v>
      </c>
      <c r="I178" s="7"/>
      <c r="J178" s="7"/>
      <c r="K178" s="4"/>
      <c r="L178" s="8"/>
      <c r="M178" s="4">
        <v>10</v>
      </c>
      <c r="N178" s="8">
        <v>3465</v>
      </c>
      <c r="O178" s="7"/>
      <c r="P178" s="7"/>
    </row>
    <row r="179">
      <c r="A179" s="2" t="s">
        <v>7252</v>
      </c>
      <c r="B179" s="2" t="s">
        <v>4677</v>
      </c>
      <c r="C179" s="2" t="s">
        <v>9247</v>
      </c>
      <c r="D179" s="2" t="s">
        <v>9248</v>
      </c>
      <c r="E179" s="4"/>
      <c r="F179" s="8"/>
      <c r="G179" s="4">
        <v>1</v>
      </c>
      <c r="H179" s="8">
        <v>299.25</v>
      </c>
      <c r="I179" s="7"/>
      <c r="J179" s="7"/>
      <c r="K179" s="4"/>
      <c r="L179" s="8"/>
      <c r="M179" s="4">
        <v>1</v>
      </c>
      <c r="N179" s="8">
        <v>299.25</v>
      </c>
      <c r="O179" s="7"/>
      <c r="P179" s="7"/>
    </row>
    <row r="180">
      <c r="A180" s="2" t="s">
        <v>7252</v>
      </c>
      <c r="B180" s="2" t="s">
        <v>4677</v>
      </c>
      <c r="C180" s="2" t="s">
        <v>8158</v>
      </c>
      <c r="D180" s="2" t="s">
        <v>8159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7252</v>
      </c>
      <c r="B181" s="2" t="s">
        <v>4677</v>
      </c>
      <c r="C181" s="2" t="s">
        <v>8680</v>
      </c>
      <c r="D181" s="2" t="s">
        <v>8681</v>
      </c>
      <c r="E181" s="4"/>
      <c r="F181" s="8"/>
      <c r="G181" s="4"/>
      <c r="H181" s="8"/>
      <c r="I181" s="7"/>
      <c r="J181" s="7"/>
      <c r="K181" s="4"/>
      <c r="L181" s="8"/>
      <c r="M181" s="4"/>
      <c r="N181" s="8"/>
      <c r="O181" s="7"/>
      <c r="P181" s="7"/>
    </row>
    <row r="182">
      <c r="A182" s="2" t="s">
        <v>7252</v>
      </c>
      <c r="B182" s="2" t="s">
        <v>4677</v>
      </c>
      <c r="C182" s="2" t="s">
        <v>10018</v>
      </c>
      <c r="D182" s="2" t="s">
        <v>7313</v>
      </c>
      <c r="E182" s="4" t="s">
        <v>100</v>
      </c>
      <c r="F182" s="8" t="s">
        <v>100</v>
      </c>
      <c r="G182" s="4" t="s">
        <v>100</v>
      </c>
      <c r="H182" s="8" t="s">
        <v>100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7252</v>
      </c>
      <c r="B183" s="2" t="s">
        <v>4677</v>
      </c>
      <c r="C183" s="2" t="s">
        <v>10018</v>
      </c>
      <c r="D183" s="2" t="s">
        <v>8681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/>
      <c r="N183" s="8"/>
      <c r="O183" s="7"/>
      <c r="P183" s="7"/>
    </row>
    <row r="184">
      <c r="A184" s="2" t="s">
        <v>7252</v>
      </c>
      <c r="B184" s="2" t="s">
        <v>4479</v>
      </c>
      <c r="C184" s="2" t="s">
        <v>8575</v>
      </c>
      <c r="D184" s="2" t="s">
        <v>8576</v>
      </c>
      <c r="E184" s="4">
        <v>34</v>
      </c>
      <c r="F184" s="8">
        <v>7721.4</v>
      </c>
      <c r="G184" s="4">
        <v>58</v>
      </c>
      <c r="H184" s="8">
        <v>11186.89</v>
      </c>
      <c r="I184" s="7">
        <v>-0.4138</v>
      </c>
      <c r="J184" s="7">
        <v>-0.3098</v>
      </c>
      <c r="K184" s="4">
        <v>26</v>
      </c>
      <c r="L184" s="8">
        <v>5862.9</v>
      </c>
      <c r="M184" s="4">
        <v>31</v>
      </c>
      <c r="N184" s="8">
        <v>6194.09</v>
      </c>
      <c r="O184" s="7">
        <v>-0.1613</v>
      </c>
      <c r="P184" s="7">
        <v>-0.0535</v>
      </c>
    </row>
    <row r="185">
      <c r="A185" s="2" t="s">
        <v>7252</v>
      </c>
      <c r="B185" s="2" t="s">
        <v>4479</v>
      </c>
      <c r="C185" s="2" t="s">
        <v>8575</v>
      </c>
      <c r="D185" s="2" t="s">
        <v>8653</v>
      </c>
      <c r="E185" s="4" t="s">
        <v>100</v>
      </c>
      <c r="F185" s="8" t="s">
        <v>100</v>
      </c>
      <c r="G185" s="4" t="s">
        <v>100</v>
      </c>
      <c r="H185" s="8" t="s">
        <v>100</v>
      </c>
      <c r="I185" s="7" t="s">
        <v>100</v>
      </c>
      <c r="J185" s="7" t="s">
        <v>100</v>
      </c>
      <c r="K185" s="4">
        <v>5</v>
      </c>
      <c r="L185" s="8">
        <v>1260</v>
      </c>
      <c r="M185" s="4">
        <v>8</v>
      </c>
      <c r="N185" s="8">
        <v>1701</v>
      </c>
      <c r="O185" s="7">
        <v>-0.375</v>
      </c>
      <c r="P185" s="7">
        <v>-0.2593</v>
      </c>
    </row>
    <row r="186">
      <c r="A186" s="2" t="s">
        <v>7252</v>
      </c>
      <c r="B186" s="2" t="s">
        <v>4479</v>
      </c>
      <c r="C186" s="2" t="s">
        <v>8575</v>
      </c>
      <c r="D186" s="2" t="s">
        <v>8637</v>
      </c>
      <c r="E186" s="4" t="s">
        <v>100</v>
      </c>
      <c r="F186" s="8" t="s">
        <v>100</v>
      </c>
      <c r="G186" s="4" t="s">
        <v>100</v>
      </c>
      <c r="H186" s="8" t="s">
        <v>100</v>
      </c>
      <c r="I186" s="7" t="s">
        <v>100</v>
      </c>
      <c r="J186" s="7" t="s">
        <v>100</v>
      </c>
      <c r="K186" s="4">
        <v>3</v>
      </c>
      <c r="L186" s="8">
        <v>598.5</v>
      </c>
      <c r="M186" s="4">
        <v>19</v>
      </c>
      <c r="N186" s="8">
        <v>3291.8</v>
      </c>
      <c r="O186" s="7">
        <v>-0.8421</v>
      </c>
      <c r="P186" s="7">
        <v>-0.8182</v>
      </c>
    </row>
    <row r="187">
      <c r="A187" s="2" t="s">
        <v>7252</v>
      </c>
      <c r="B187" s="2" t="s">
        <v>4479</v>
      </c>
      <c r="C187" s="2" t="s">
        <v>9894</v>
      </c>
      <c r="D187" s="2" t="s">
        <v>9895</v>
      </c>
      <c r="E187" s="4">
        <v>12</v>
      </c>
      <c r="F187" s="8">
        <v>4562.4</v>
      </c>
      <c r="G187" s="4">
        <v>5</v>
      </c>
      <c r="H187" s="8">
        <v>1425.75</v>
      </c>
      <c r="I187" s="7">
        <v>1.4</v>
      </c>
      <c r="J187" s="7">
        <v>2.2</v>
      </c>
      <c r="K187" s="4">
        <v>12</v>
      </c>
      <c r="L187" s="8">
        <v>4562.4</v>
      </c>
      <c r="M187" s="4">
        <v>5</v>
      </c>
      <c r="N187" s="8">
        <v>1425.75</v>
      </c>
      <c r="O187" s="7">
        <v>1.4</v>
      </c>
      <c r="P187" s="7">
        <v>2.2</v>
      </c>
    </row>
    <row r="188">
      <c r="A188" s="2" t="s">
        <v>7252</v>
      </c>
      <c r="B188" s="2" t="s">
        <v>4479</v>
      </c>
      <c r="C188" s="2" t="s">
        <v>8965</v>
      </c>
      <c r="D188" s="2" t="s">
        <v>8966</v>
      </c>
      <c r="E188" s="4">
        <v>2</v>
      </c>
      <c r="F188" s="8">
        <v>457.38</v>
      </c>
      <c r="G188" s="4"/>
      <c r="H188" s="8"/>
      <c r="I188" s="7"/>
      <c r="J188" s="7"/>
      <c r="K188" s="4">
        <v>2</v>
      </c>
      <c r="L188" s="8">
        <v>457.38</v>
      </c>
      <c r="M188" s="4"/>
      <c r="N188" s="8"/>
      <c r="O188" s="7"/>
      <c r="P188" s="7"/>
    </row>
    <row r="189">
      <c r="A189" s="2" t="s">
        <v>7252</v>
      </c>
      <c r="B189" s="2" t="s">
        <v>4479</v>
      </c>
      <c r="C189" s="2" t="s">
        <v>7253</v>
      </c>
      <c r="D189" s="2" t="s">
        <v>7254</v>
      </c>
      <c r="E189" s="4">
        <v>2</v>
      </c>
      <c r="F189" s="8">
        <v>399</v>
      </c>
      <c r="G189" s="4" t="s">
        <v>100</v>
      </c>
      <c r="H189" s="8" t="s">
        <v>100</v>
      </c>
      <c r="I189" s="7" t="s">
        <v>100</v>
      </c>
      <c r="J189" s="7" t="s">
        <v>100</v>
      </c>
      <c r="K189" s="4">
        <v>2</v>
      </c>
      <c r="L189" s="8">
        <v>399</v>
      </c>
      <c r="M189" s="4"/>
      <c r="N189" s="8"/>
      <c r="O189" s="7"/>
      <c r="P189" s="7"/>
    </row>
    <row r="190">
      <c r="A190" s="2" t="s">
        <v>7252</v>
      </c>
      <c r="B190" s="2" t="s">
        <v>4479</v>
      </c>
      <c r="C190" s="2" t="s">
        <v>7253</v>
      </c>
      <c r="D190" s="2" t="s">
        <v>7738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/>
      <c r="L190" s="8"/>
      <c r="M190" s="4"/>
      <c r="N190" s="8"/>
      <c r="O190" s="7"/>
      <c r="P190" s="7"/>
    </row>
    <row r="191">
      <c r="A191" s="2" t="s">
        <v>7252</v>
      </c>
      <c r="B191" s="2" t="s">
        <v>4479</v>
      </c>
      <c r="C191" s="2" t="s">
        <v>8817</v>
      </c>
      <c r="D191" s="2" t="s">
        <v>8818</v>
      </c>
      <c r="E191" s="4">
        <v>3</v>
      </c>
      <c r="F191" s="8">
        <v>355.59</v>
      </c>
      <c r="G191" s="4">
        <v>14</v>
      </c>
      <c r="H191" s="8">
        <v>1363.12</v>
      </c>
      <c r="I191" s="7">
        <v>-0.7857</v>
      </c>
      <c r="J191" s="7">
        <v>-0.7391</v>
      </c>
      <c r="K191" s="4">
        <v>3</v>
      </c>
      <c r="L191" s="8">
        <v>355.59</v>
      </c>
      <c r="M191" s="4">
        <v>14</v>
      </c>
      <c r="N191" s="8">
        <v>1363.12</v>
      </c>
      <c r="O191" s="7">
        <v>-0.7857</v>
      </c>
      <c r="P191" s="7">
        <v>-0.7391</v>
      </c>
    </row>
    <row r="192">
      <c r="A192" s="2" t="s">
        <v>7252</v>
      </c>
      <c r="B192" s="2" t="s">
        <v>4479</v>
      </c>
      <c r="C192" s="2" t="s">
        <v>8424</v>
      </c>
      <c r="D192" s="2" t="s">
        <v>8425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7252</v>
      </c>
      <c r="B193" s="2" t="s">
        <v>4479</v>
      </c>
      <c r="C193" s="2" t="s">
        <v>10121</v>
      </c>
      <c r="D193" s="2" t="s">
        <v>10122</v>
      </c>
      <c r="E193" s="4"/>
      <c r="F193" s="8"/>
      <c r="G193" s="4">
        <v>5</v>
      </c>
      <c r="H193" s="8">
        <v>874.54</v>
      </c>
      <c r="I193" s="7"/>
      <c r="J193" s="7"/>
      <c r="K193" s="4"/>
      <c r="L193" s="8"/>
      <c r="M193" s="4">
        <v>5</v>
      </c>
      <c r="N193" s="8">
        <v>874.54</v>
      </c>
      <c r="O193" s="7"/>
      <c r="P193" s="7"/>
    </row>
    <row r="194">
      <c r="A194" s="2" t="s">
        <v>7252</v>
      </c>
      <c r="B194" s="2" t="s">
        <v>4479</v>
      </c>
      <c r="C194" s="2" t="s">
        <v>7786</v>
      </c>
      <c r="D194" s="2" t="s">
        <v>8071</v>
      </c>
      <c r="E194" s="4" t="s">
        <v>100</v>
      </c>
      <c r="F194" s="8" t="s">
        <v>100</v>
      </c>
      <c r="G194" s="4" t="s">
        <v>100</v>
      </c>
      <c r="H194" s="8" t="s">
        <v>100</v>
      </c>
      <c r="I194" s="7" t="s">
        <v>100</v>
      </c>
      <c r="J194" s="7" t="s">
        <v>100</v>
      </c>
      <c r="K194" s="4"/>
      <c r="L194" s="8"/>
      <c r="M194" s="4"/>
      <c r="N194" s="8"/>
      <c r="O194" s="7"/>
      <c r="P194" s="7"/>
    </row>
    <row r="195">
      <c r="A195" s="2" t="s">
        <v>7252</v>
      </c>
      <c r="B195" s="2" t="s">
        <v>4479</v>
      </c>
      <c r="C195" s="2" t="s">
        <v>7786</v>
      </c>
      <c r="D195" s="2" t="s">
        <v>7787</v>
      </c>
      <c r="E195" s="4" t="s">
        <v>100</v>
      </c>
      <c r="F195" s="8" t="s">
        <v>100</v>
      </c>
      <c r="G195" s="4" t="s">
        <v>100</v>
      </c>
      <c r="H195" s="8" t="s">
        <v>100</v>
      </c>
      <c r="I195" s="7" t="s">
        <v>100</v>
      </c>
      <c r="J195" s="7" t="s">
        <v>100</v>
      </c>
      <c r="K195" s="4"/>
      <c r="L195" s="8"/>
      <c r="M195" s="4"/>
      <c r="N195" s="8"/>
      <c r="O195" s="7"/>
      <c r="P195" s="7"/>
    </row>
    <row r="196">
      <c r="A196" s="2" t="s">
        <v>7252</v>
      </c>
      <c r="B196" s="2" t="s">
        <v>4479</v>
      </c>
      <c r="C196" s="2" t="s">
        <v>9266</v>
      </c>
      <c r="D196" s="2" t="s">
        <v>9267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7252</v>
      </c>
      <c r="B197" s="2" t="s">
        <v>4479</v>
      </c>
      <c r="C197" s="2" t="s">
        <v>9266</v>
      </c>
      <c r="D197" s="2" t="s">
        <v>1608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/>
      <c r="L197" s="8"/>
      <c r="M197" s="4"/>
      <c r="N197" s="8"/>
      <c r="O197" s="7"/>
      <c r="P197" s="7"/>
    </row>
    <row r="198">
      <c r="A198" s="2" t="s">
        <v>7252</v>
      </c>
      <c r="B198" s="2" t="s">
        <v>4479</v>
      </c>
      <c r="C198" s="2" t="s">
        <v>9299</v>
      </c>
      <c r="D198" s="2" t="s">
        <v>9300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7252</v>
      </c>
      <c r="B199" s="2" t="s">
        <v>4479</v>
      </c>
      <c r="C199" s="2" t="s">
        <v>9802</v>
      </c>
      <c r="D199" s="2" t="s">
        <v>9803</v>
      </c>
      <c r="E199" s="4"/>
      <c r="F199" s="8"/>
      <c r="G199" s="4">
        <v>2</v>
      </c>
      <c r="H199" s="8">
        <v>229.42</v>
      </c>
      <c r="I199" s="7"/>
      <c r="J199" s="7"/>
      <c r="K199" s="4"/>
      <c r="L199" s="8"/>
      <c r="M199" s="4">
        <v>2</v>
      </c>
      <c r="N199" s="8">
        <v>229.42</v>
      </c>
      <c r="O199" s="7"/>
      <c r="P199" s="7"/>
    </row>
    <row r="200">
      <c r="A200" s="2" t="s">
        <v>7252</v>
      </c>
      <c r="B200" s="2" t="s">
        <v>4479</v>
      </c>
      <c r="C200" s="2" t="s">
        <v>10018</v>
      </c>
      <c r="D200" s="2" t="s">
        <v>10164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7252</v>
      </c>
      <c r="B201" s="2" t="s">
        <v>6851</v>
      </c>
      <c r="C201" s="2" t="s">
        <v>7253</v>
      </c>
      <c r="D201" s="2" t="s">
        <v>7254</v>
      </c>
      <c r="E201" s="4">
        <v>17</v>
      </c>
      <c r="F201" s="8">
        <v>4072.99</v>
      </c>
      <c r="G201" s="4">
        <v>44</v>
      </c>
      <c r="H201" s="8">
        <v>7477.16</v>
      </c>
      <c r="I201" s="7">
        <v>-0.6136</v>
      </c>
      <c r="J201" s="7">
        <v>-0.4553</v>
      </c>
      <c r="K201" s="4">
        <v>17</v>
      </c>
      <c r="L201" s="8">
        <v>4072.99</v>
      </c>
      <c r="M201" s="4">
        <v>44</v>
      </c>
      <c r="N201" s="8">
        <v>7477.16</v>
      </c>
      <c r="O201" s="7">
        <v>-0.6136</v>
      </c>
      <c r="P201" s="7">
        <v>-0.4553</v>
      </c>
    </row>
    <row r="202">
      <c r="A202" s="2" t="s">
        <v>7252</v>
      </c>
      <c r="B202" s="2" t="s">
        <v>6851</v>
      </c>
      <c r="C202" s="2" t="s">
        <v>7253</v>
      </c>
      <c r="D202" s="2" t="s">
        <v>7313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7252</v>
      </c>
      <c r="B203" s="2" t="s">
        <v>6851</v>
      </c>
      <c r="C203" s="2" t="s">
        <v>7253</v>
      </c>
      <c r="D203" s="2" t="s">
        <v>7744</v>
      </c>
      <c r="E203" s="4" t="s">
        <v>100</v>
      </c>
      <c r="F203" s="8" t="s">
        <v>100</v>
      </c>
      <c r="G203" s="4" t="s">
        <v>100</v>
      </c>
      <c r="H203" s="8" t="s">
        <v>100</v>
      </c>
      <c r="I203" s="7" t="s">
        <v>100</v>
      </c>
      <c r="J203" s="7" t="s">
        <v>100</v>
      </c>
      <c r="K203" s="4"/>
      <c r="L203" s="8"/>
      <c r="M203" s="4"/>
      <c r="N203" s="8"/>
      <c r="O203" s="7"/>
      <c r="P203" s="7"/>
    </row>
    <row r="204">
      <c r="A204" s="2" t="s">
        <v>7252</v>
      </c>
      <c r="B204" s="2" t="s">
        <v>6851</v>
      </c>
      <c r="C204" s="2" t="s">
        <v>7253</v>
      </c>
      <c r="D204" s="2" t="s">
        <v>1608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/>
      <c r="L204" s="8"/>
      <c r="M204" s="4"/>
      <c r="N204" s="8"/>
      <c r="O204" s="7"/>
      <c r="P204" s="7"/>
    </row>
    <row r="205">
      <c r="A205" s="2" t="s">
        <v>7252</v>
      </c>
      <c r="B205" s="2" t="s">
        <v>6851</v>
      </c>
      <c r="C205" s="2" t="s">
        <v>8575</v>
      </c>
      <c r="D205" s="2" t="s">
        <v>10242</v>
      </c>
      <c r="E205" s="4">
        <v>6</v>
      </c>
      <c r="F205" s="8">
        <v>670.34</v>
      </c>
      <c r="G205" s="4">
        <v>24</v>
      </c>
      <c r="H205" s="8">
        <v>2694.58</v>
      </c>
      <c r="I205" s="7">
        <v>-0.75</v>
      </c>
      <c r="J205" s="7">
        <v>-0.7512</v>
      </c>
      <c r="K205" s="4">
        <v>6</v>
      </c>
      <c r="L205" s="8">
        <v>670.34</v>
      </c>
      <c r="M205" s="4">
        <v>22</v>
      </c>
      <c r="N205" s="8">
        <v>2348.08</v>
      </c>
      <c r="O205" s="7">
        <v>-0.7273</v>
      </c>
      <c r="P205" s="7">
        <v>-0.7145</v>
      </c>
    </row>
    <row r="206">
      <c r="A206" s="2" t="s">
        <v>7252</v>
      </c>
      <c r="B206" s="2" t="s">
        <v>6851</v>
      </c>
      <c r="C206" s="2" t="s">
        <v>8575</v>
      </c>
      <c r="D206" s="2" t="s">
        <v>8576</v>
      </c>
      <c r="E206" s="4" t="s">
        <v>100</v>
      </c>
      <c r="F206" s="8" t="s">
        <v>100</v>
      </c>
      <c r="G206" s="4" t="s">
        <v>100</v>
      </c>
      <c r="H206" s="8" t="s">
        <v>100</v>
      </c>
      <c r="I206" s="7" t="s">
        <v>100</v>
      </c>
      <c r="J206" s="7" t="s">
        <v>100</v>
      </c>
      <c r="K206" s="4"/>
      <c r="L206" s="8"/>
      <c r="M206" s="4"/>
      <c r="N206" s="8"/>
      <c r="O206" s="7"/>
      <c r="P206" s="7"/>
    </row>
    <row r="207">
      <c r="A207" s="2" t="s">
        <v>7252</v>
      </c>
      <c r="B207" s="2" t="s">
        <v>6851</v>
      </c>
      <c r="C207" s="2" t="s">
        <v>8575</v>
      </c>
      <c r="D207" s="2" t="s">
        <v>8653</v>
      </c>
      <c r="E207" s="4" t="s">
        <v>100</v>
      </c>
      <c r="F207" s="8" t="s">
        <v>100</v>
      </c>
      <c r="G207" s="4" t="s">
        <v>100</v>
      </c>
      <c r="H207" s="8" t="s">
        <v>100</v>
      </c>
      <c r="I207" s="7" t="s">
        <v>100</v>
      </c>
      <c r="J207" s="7" t="s">
        <v>100</v>
      </c>
      <c r="K207" s="4"/>
      <c r="L207" s="8"/>
      <c r="M207" s="4"/>
      <c r="N207" s="8"/>
      <c r="O207" s="7"/>
      <c r="P207" s="7"/>
    </row>
    <row r="208">
      <c r="A208" s="2" t="s">
        <v>7252</v>
      </c>
      <c r="B208" s="2" t="s">
        <v>6851</v>
      </c>
      <c r="C208" s="2" t="s">
        <v>8575</v>
      </c>
      <c r="D208" s="2" t="s">
        <v>8637</v>
      </c>
      <c r="E208" s="4" t="s">
        <v>100</v>
      </c>
      <c r="F208" s="8" t="s">
        <v>100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/>
      <c r="L208" s="8"/>
      <c r="M208" s="4">
        <v>2</v>
      </c>
      <c r="N208" s="8">
        <v>346.5</v>
      </c>
      <c r="O208" s="7"/>
      <c r="P208" s="7"/>
    </row>
    <row r="209">
      <c r="A209" s="2" t="s">
        <v>7252</v>
      </c>
      <c r="B209" s="2" t="s">
        <v>6851</v>
      </c>
      <c r="C209" s="2" t="s">
        <v>8575</v>
      </c>
      <c r="D209" s="2" t="s">
        <v>8676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/>
      <c r="L209" s="8"/>
      <c r="M209" s="4"/>
      <c r="N209" s="8"/>
      <c r="O209" s="7"/>
      <c r="P209" s="7"/>
    </row>
    <row r="210">
      <c r="A210" s="2" t="s">
        <v>7252</v>
      </c>
      <c r="B210" s="2" t="s">
        <v>6851</v>
      </c>
      <c r="C210" s="2" t="s">
        <v>8424</v>
      </c>
      <c r="D210" s="2" t="s">
        <v>8548</v>
      </c>
      <c r="E210" s="4" t="s">
        <v>100</v>
      </c>
      <c r="F210" s="8" t="s">
        <v>100</v>
      </c>
      <c r="G210" s="4">
        <v>11</v>
      </c>
      <c r="H210" s="8">
        <v>1697.86</v>
      </c>
      <c r="I210" s="7" t="s">
        <v>100</v>
      </c>
      <c r="J210" s="7" t="s">
        <v>100</v>
      </c>
      <c r="K210" s="4"/>
      <c r="L210" s="8"/>
      <c r="M210" s="4">
        <v>8</v>
      </c>
      <c r="N210" s="8">
        <v>1234.41</v>
      </c>
      <c r="O210" s="7"/>
      <c r="P210" s="7"/>
    </row>
    <row r="211">
      <c r="A211" s="2" t="s">
        <v>7252</v>
      </c>
      <c r="B211" s="2" t="s">
        <v>6851</v>
      </c>
      <c r="C211" s="2" t="s">
        <v>8424</v>
      </c>
      <c r="D211" s="2" t="s">
        <v>8425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>
        <v>3</v>
      </c>
      <c r="N211" s="8">
        <v>463.45</v>
      </c>
      <c r="O211" s="7"/>
      <c r="P211" s="7"/>
    </row>
    <row r="212">
      <c r="A212" s="2" t="s">
        <v>7252</v>
      </c>
      <c r="B212" s="2" t="s">
        <v>6851</v>
      </c>
      <c r="C212" s="2" t="s">
        <v>8965</v>
      </c>
      <c r="D212" s="2" t="s">
        <v>7738</v>
      </c>
      <c r="E212" s="4" t="s">
        <v>100</v>
      </c>
      <c r="F212" s="8" t="s">
        <v>100</v>
      </c>
      <c r="G212" s="4">
        <v>2</v>
      </c>
      <c r="H212" s="8">
        <v>556.5</v>
      </c>
      <c r="I212" s="7" t="s">
        <v>100</v>
      </c>
      <c r="J212" s="7" t="s">
        <v>100</v>
      </c>
      <c r="K212" s="4"/>
      <c r="L212" s="8"/>
      <c r="M212" s="4"/>
      <c r="N212" s="8"/>
      <c r="O212" s="7"/>
      <c r="P212" s="7"/>
    </row>
    <row r="213">
      <c r="A213" s="2" t="s">
        <v>7252</v>
      </c>
      <c r="B213" s="2" t="s">
        <v>6851</v>
      </c>
      <c r="C213" s="2" t="s">
        <v>8965</v>
      </c>
      <c r="D213" s="2" t="s">
        <v>9004</v>
      </c>
      <c r="E213" s="4" t="s">
        <v>100</v>
      </c>
      <c r="F213" s="8" t="s">
        <v>100</v>
      </c>
      <c r="G213" s="4" t="s">
        <v>100</v>
      </c>
      <c r="H213" s="8" t="s">
        <v>100</v>
      </c>
      <c r="I213" s="7" t="s">
        <v>100</v>
      </c>
      <c r="J213" s="7" t="s">
        <v>100</v>
      </c>
      <c r="K213" s="4"/>
      <c r="L213" s="8"/>
      <c r="M213" s="4">
        <v>2</v>
      </c>
      <c r="N213" s="8">
        <v>556.5</v>
      </c>
      <c r="O213" s="7"/>
      <c r="P213" s="7"/>
    </row>
    <row r="214">
      <c r="A214" s="2" t="s">
        <v>7252</v>
      </c>
      <c r="B214" s="2" t="s">
        <v>6851</v>
      </c>
      <c r="C214" s="2" t="s">
        <v>8965</v>
      </c>
      <c r="D214" s="2" t="s">
        <v>8966</v>
      </c>
      <c r="E214" s="4" t="s">
        <v>100</v>
      </c>
      <c r="F214" s="8" t="s">
        <v>100</v>
      </c>
      <c r="G214" s="4" t="s">
        <v>100</v>
      </c>
      <c r="H214" s="8" t="s">
        <v>100</v>
      </c>
      <c r="I214" s="7" t="s">
        <v>100</v>
      </c>
      <c r="J214" s="7" t="s">
        <v>100</v>
      </c>
      <c r="K214" s="4"/>
      <c r="L214" s="8"/>
      <c r="M214" s="4"/>
      <c r="N214" s="8"/>
      <c r="O214" s="7"/>
      <c r="P214" s="7"/>
    </row>
    <row r="215">
      <c r="A215" s="2" t="s">
        <v>7252</v>
      </c>
      <c r="B215" s="2" t="s">
        <v>6851</v>
      </c>
      <c r="C215" s="2" t="s">
        <v>10121</v>
      </c>
      <c r="D215" s="2" t="s">
        <v>10122</v>
      </c>
      <c r="E215" s="4"/>
      <c r="F215" s="8"/>
      <c r="G215" s="4">
        <v>2</v>
      </c>
      <c r="H215" s="8">
        <v>303.19</v>
      </c>
      <c r="I215" s="7"/>
      <c r="J215" s="7"/>
      <c r="K215" s="4"/>
      <c r="L215" s="8"/>
      <c r="M215" s="4">
        <v>2</v>
      </c>
      <c r="N215" s="8">
        <v>303.19</v>
      </c>
      <c r="O215" s="7"/>
      <c r="P215" s="7"/>
    </row>
    <row r="216">
      <c r="A216" s="2" t="s">
        <v>7252</v>
      </c>
      <c r="B216" s="2" t="s">
        <v>6851</v>
      </c>
      <c r="C216" s="2" t="s">
        <v>7786</v>
      </c>
      <c r="D216" s="2" t="s">
        <v>7787</v>
      </c>
      <c r="E216" s="4"/>
      <c r="F216" s="8"/>
      <c r="G216" s="4">
        <v>6</v>
      </c>
      <c r="H216" s="8">
        <v>448.86</v>
      </c>
      <c r="I216" s="7"/>
      <c r="J216" s="7"/>
      <c r="K216" s="4"/>
      <c r="L216" s="8"/>
      <c r="M216" s="4">
        <v>6</v>
      </c>
      <c r="N216" s="8">
        <v>448.86</v>
      </c>
      <c r="O216" s="7"/>
      <c r="P216" s="7"/>
    </row>
    <row r="217">
      <c r="A217" s="2" t="s">
        <v>7252</v>
      </c>
      <c r="B217" s="2" t="s">
        <v>6851</v>
      </c>
      <c r="C217" s="2" t="s">
        <v>9266</v>
      </c>
      <c r="D217" s="2" t="s">
        <v>9267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7252</v>
      </c>
      <c r="B218" s="2" t="s">
        <v>6851</v>
      </c>
      <c r="C218" s="2" t="s">
        <v>9205</v>
      </c>
      <c r="D218" s="2" t="s">
        <v>9206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7252</v>
      </c>
      <c r="B219" s="2" t="s">
        <v>6851</v>
      </c>
      <c r="C219" s="2" t="s">
        <v>8817</v>
      </c>
      <c r="D219" s="2" t="s">
        <v>8818</v>
      </c>
      <c r="E219" s="4"/>
      <c r="F219" s="8"/>
      <c r="G219" s="4">
        <v>7</v>
      </c>
      <c r="H219" s="8">
        <v>1739.07</v>
      </c>
      <c r="I219" s="7"/>
      <c r="J219" s="7"/>
      <c r="K219" s="4"/>
      <c r="L219" s="8"/>
      <c r="M219" s="4">
        <v>7</v>
      </c>
      <c r="N219" s="8">
        <v>1739.07</v>
      </c>
      <c r="O219" s="7"/>
      <c r="P219" s="7"/>
    </row>
    <row r="220">
      <c r="A220" s="2" t="s">
        <v>7252</v>
      </c>
      <c r="B220" s="2" t="s">
        <v>6851</v>
      </c>
      <c r="C220" s="2" t="s">
        <v>9299</v>
      </c>
      <c r="D220" s="2" t="s">
        <v>9300</v>
      </c>
      <c r="E220" s="4"/>
      <c r="F220" s="8"/>
      <c r="G220" s="4">
        <v>6</v>
      </c>
      <c r="H220" s="8">
        <v>1688.39</v>
      </c>
      <c r="I220" s="7"/>
      <c r="J220" s="7"/>
      <c r="K220" s="4"/>
      <c r="L220" s="8"/>
      <c r="M220" s="4">
        <v>6</v>
      </c>
      <c r="N220" s="8">
        <v>1688.39</v>
      </c>
      <c r="O220" s="7"/>
      <c r="P220" s="7"/>
    </row>
    <row r="221">
      <c r="A221" s="2" t="s">
        <v>7252</v>
      </c>
      <c r="B221" s="2" t="s">
        <v>6851</v>
      </c>
      <c r="C221" s="2" t="s">
        <v>9247</v>
      </c>
      <c r="D221" s="2" t="s">
        <v>9248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7252</v>
      </c>
      <c r="B222" s="2" t="s">
        <v>6851</v>
      </c>
      <c r="C222" s="2" t="s">
        <v>8158</v>
      </c>
      <c r="D222" s="2" t="s">
        <v>8159</v>
      </c>
      <c r="E222" s="4"/>
      <c r="F222" s="8"/>
      <c r="G222" s="4">
        <v>15</v>
      </c>
      <c r="H222" s="8">
        <v>4091.08</v>
      </c>
      <c r="I222" s="7"/>
      <c r="J222" s="7"/>
      <c r="K222" s="4"/>
      <c r="L222" s="8"/>
      <c r="M222" s="4">
        <v>15</v>
      </c>
      <c r="N222" s="8">
        <v>4091.08</v>
      </c>
      <c r="O222" s="7"/>
      <c r="P222" s="7"/>
    </row>
    <row r="223">
      <c r="A223" s="2" t="s">
        <v>7252</v>
      </c>
      <c r="B223" s="2" t="s">
        <v>6851</v>
      </c>
      <c r="C223" s="2" t="s">
        <v>9802</v>
      </c>
      <c r="D223" s="2" t="s">
        <v>9803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7252</v>
      </c>
      <c r="B224" s="2" t="s">
        <v>6851</v>
      </c>
      <c r="C224" s="2" t="s">
        <v>8680</v>
      </c>
      <c r="D224" s="2" t="s">
        <v>8681</v>
      </c>
      <c r="E224" s="4"/>
      <c r="F224" s="8"/>
      <c r="G224" s="4">
        <v>17</v>
      </c>
      <c r="H224" s="8">
        <v>1647.66</v>
      </c>
      <c r="I224" s="7"/>
      <c r="J224" s="7"/>
      <c r="K224" s="4"/>
      <c r="L224" s="8"/>
      <c r="M224" s="4">
        <v>17</v>
      </c>
      <c r="N224" s="8">
        <v>1647.66</v>
      </c>
      <c r="O224" s="7"/>
      <c r="P224" s="7"/>
    </row>
    <row r="225">
      <c r="A225" s="2" t="s">
        <v>7252</v>
      </c>
      <c r="B225" s="2" t="s">
        <v>4305</v>
      </c>
      <c r="C225" s="2" t="s">
        <v>8424</v>
      </c>
      <c r="D225" s="2" t="s">
        <v>8548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/>
      <c r="L225" s="8"/>
      <c r="M225" s="4"/>
      <c r="N225" s="8"/>
      <c r="O225" s="7"/>
      <c r="P225" s="7"/>
    </row>
    <row r="226">
      <c r="A226" s="2" t="s">
        <v>7252</v>
      </c>
      <c r="B226" s="2" t="s">
        <v>4305</v>
      </c>
      <c r="C226" s="2" t="s">
        <v>8424</v>
      </c>
      <c r="D226" s="2" t="s">
        <v>8425</v>
      </c>
      <c r="E226" s="4" t="s">
        <v>100</v>
      </c>
      <c r="F226" s="8" t="s">
        <v>100</v>
      </c>
      <c r="G226" s="4" t="s">
        <v>100</v>
      </c>
      <c r="H226" s="8" t="s">
        <v>100</v>
      </c>
      <c r="I226" s="7" t="s">
        <v>100</v>
      </c>
      <c r="J226" s="7" t="s">
        <v>100</v>
      </c>
      <c r="K226" s="4"/>
      <c r="L226" s="8"/>
      <c r="M226" s="4"/>
      <c r="N226" s="8"/>
      <c r="O226" s="7"/>
      <c r="P226" s="7"/>
    </row>
    <row r="227">
      <c r="A227" s="2" t="s">
        <v>7252</v>
      </c>
      <c r="B227" s="2" t="s">
        <v>4305</v>
      </c>
      <c r="C227" s="2" t="s">
        <v>7253</v>
      </c>
      <c r="D227" s="2" t="s">
        <v>7744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7252</v>
      </c>
      <c r="B228" s="2" t="s">
        <v>4305</v>
      </c>
      <c r="C228" s="2" t="s">
        <v>7786</v>
      </c>
      <c r="D228" s="2" t="s">
        <v>7787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7252</v>
      </c>
      <c r="B229" s="2" t="s">
        <v>4305</v>
      </c>
      <c r="C229" s="2" t="s">
        <v>9266</v>
      </c>
      <c r="D229" s="2" t="s">
        <v>9267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7252</v>
      </c>
      <c r="B230" s="2" t="s">
        <v>4305</v>
      </c>
      <c r="C230" s="2" t="s">
        <v>9205</v>
      </c>
      <c r="D230" s="2" t="s">
        <v>9206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7252</v>
      </c>
      <c r="B231" s="2" t="s">
        <v>4305</v>
      </c>
      <c r="C231" s="2" t="s">
        <v>8817</v>
      </c>
      <c r="D231" s="2" t="s">
        <v>8818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7252</v>
      </c>
      <c r="B232" s="2" t="s">
        <v>4305</v>
      </c>
      <c r="C232" s="2" t="s">
        <v>8575</v>
      </c>
      <c r="D232" s="2" t="s">
        <v>8676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7252</v>
      </c>
      <c r="B233" s="2" t="s">
        <v>5275</v>
      </c>
      <c r="C233" s="2" t="s">
        <v>8575</v>
      </c>
      <c r="D233" s="2" t="s">
        <v>8637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10578</v>
      </c>
      <c r="B234" s="2" t="s">
        <v>4305</v>
      </c>
      <c r="C234" s="2" t="s">
        <v>10579</v>
      </c>
      <c r="D234" s="2" t="s">
        <v>10580</v>
      </c>
      <c r="E234" s="4">
        <v>128</v>
      </c>
      <c r="F234" s="8">
        <v>7097.04</v>
      </c>
      <c r="G234" s="4">
        <v>217</v>
      </c>
      <c r="H234" s="8">
        <v>11765.35</v>
      </c>
      <c r="I234" s="7">
        <v>-0.4101</v>
      </c>
      <c r="J234" s="7">
        <v>-0.3968</v>
      </c>
      <c r="K234" s="4">
        <v>128</v>
      </c>
      <c r="L234" s="8">
        <v>7097.04</v>
      </c>
      <c r="M234" s="4">
        <v>217</v>
      </c>
      <c r="N234" s="8">
        <v>11765.35</v>
      </c>
      <c r="O234" s="7">
        <v>-0.4101</v>
      </c>
      <c r="P234" s="7">
        <v>-0.3968</v>
      </c>
    </row>
    <row r="235">
      <c r="A235" s="2" t="s">
        <v>10578</v>
      </c>
      <c r="B235" s="2" t="s">
        <v>4305</v>
      </c>
      <c r="C235" s="2" t="s">
        <v>10686</v>
      </c>
      <c r="D235" s="2" t="s">
        <v>10687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10578</v>
      </c>
      <c r="B236" s="2" t="s">
        <v>5938</v>
      </c>
      <c r="C236" s="2" t="s">
        <v>10579</v>
      </c>
      <c r="D236" s="2" t="s">
        <v>10580</v>
      </c>
      <c r="E236" s="4">
        <v>21</v>
      </c>
      <c r="F236" s="8">
        <v>2039.69</v>
      </c>
      <c r="G236" s="4">
        <v>27</v>
      </c>
      <c r="H236" s="8">
        <v>2811.42</v>
      </c>
      <c r="I236" s="7">
        <v>-0.2222</v>
      </c>
      <c r="J236" s="7">
        <v>-0.2745</v>
      </c>
      <c r="K236" s="4">
        <v>21</v>
      </c>
      <c r="L236" s="8">
        <v>2039.69</v>
      </c>
      <c r="M236" s="4">
        <v>27</v>
      </c>
      <c r="N236" s="8">
        <v>2811.42</v>
      </c>
      <c r="O236" s="7">
        <v>-0.2222</v>
      </c>
      <c r="P236" s="7">
        <v>-0.2745</v>
      </c>
    </row>
    <row r="237">
      <c r="A237" s="2" t="s">
        <v>10578</v>
      </c>
      <c r="B237" s="2" t="s">
        <v>5938</v>
      </c>
      <c r="C237" s="2" t="s">
        <v>10775</v>
      </c>
      <c r="D237" s="2" t="s">
        <v>10776</v>
      </c>
      <c r="E237" s="4">
        <v>8</v>
      </c>
      <c r="F237" s="8">
        <v>399.2</v>
      </c>
      <c r="G237" s="4">
        <v>21</v>
      </c>
      <c r="H237" s="8">
        <v>1108.84</v>
      </c>
      <c r="I237" s="7">
        <v>-0.619</v>
      </c>
      <c r="J237" s="7">
        <v>-0.64</v>
      </c>
      <c r="K237" s="4">
        <v>8</v>
      </c>
      <c r="L237" s="8">
        <v>399.2</v>
      </c>
      <c r="M237" s="4">
        <v>21</v>
      </c>
      <c r="N237" s="8">
        <v>1108.84</v>
      </c>
      <c r="O237" s="7">
        <v>-0.619</v>
      </c>
      <c r="P237" s="7">
        <v>-0.64</v>
      </c>
    </row>
    <row r="238">
      <c r="A238" s="2" t="s">
        <v>10578</v>
      </c>
      <c r="B238" s="2" t="s">
        <v>5938</v>
      </c>
      <c r="C238" s="2" t="s">
        <v>10805</v>
      </c>
      <c r="D238" s="2" t="s">
        <v>10806</v>
      </c>
      <c r="E238" s="4">
        <v>5</v>
      </c>
      <c r="F238" s="8">
        <v>379.89</v>
      </c>
      <c r="G238" s="4">
        <v>4</v>
      </c>
      <c r="H238" s="8">
        <v>356.27</v>
      </c>
      <c r="I238" s="7">
        <v>0.25</v>
      </c>
      <c r="J238" s="7">
        <v>0.0663</v>
      </c>
      <c r="K238" s="4">
        <v>5</v>
      </c>
      <c r="L238" s="8">
        <v>379.89</v>
      </c>
      <c r="M238" s="4">
        <v>4</v>
      </c>
      <c r="N238" s="8">
        <v>356.27</v>
      </c>
      <c r="O238" s="7">
        <v>0.25</v>
      </c>
      <c r="P238" s="7">
        <v>0.0663</v>
      </c>
    </row>
    <row r="239">
      <c r="A239" s="2" t="s">
        <v>10578</v>
      </c>
      <c r="B239" s="2" t="s">
        <v>5938</v>
      </c>
      <c r="C239" s="2" t="s">
        <v>10686</v>
      </c>
      <c r="D239" s="2" t="s">
        <v>10687</v>
      </c>
      <c r="E239" s="4">
        <v>2</v>
      </c>
      <c r="F239" s="8">
        <v>259.04</v>
      </c>
      <c r="G239" s="4">
        <v>8</v>
      </c>
      <c r="H239" s="8">
        <v>1071.09</v>
      </c>
      <c r="I239" s="7">
        <v>-0.75</v>
      </c>
      <c r="J239" s="7">
        <v>-0.7582</v>
      </c>
      <c r="K239" s="4">
        <v>2</v>
      </c>
      <c r="L239" s="8">
        <v>259.04</v>
      </c>
      <c r="M239" s="4">
        <v>8</v>
      </c>
      <c r="N239" s="8">
        <v>1071.09</v>
      </c>
      <c r="O239" s="7">
        <v>-0.75</v>
      </c>
      <c r="P239" s="7">
        <v>-0.7582</v>
      </c>
    </row>
    <row r="240">
      <c r="A240" s="2" t="s">
        <v>10578</v>
      </c>
      <c r="B240" s="2" t="s">
        <v>5938</v>
      </c>
      <c r="C240" s="2" t="s">
        <v>10877</v>
      </c>
      <c r="D240" s="2" t="s">
        <v>10878</v>
      </c>
      <c r="E240" s="4">
        <v>2</v>
      </c>
      <c r="F240" s="8">
        <v>155.62</v>
      </c>
      <c r="G240" s="4"/>
      <c r="H240" s="8"/>
      <c r="I240" s="7"/>
      <c r="J240" s="7"/>
      <c r="K240" s="4">
        <v>2</v>
      </c>
      <c r="L240" s="8">
        <v>155.62</v>
      </c>
      <c r="M240" s="4"/>
      <c r="N240" s="8"/>
      <c r="O240" s="7"/>
      <c r="P240" s="7"/>
    </row>
    <row r="241">
      <c r="A241" s="2" t="s">
        <v>10578</v>
      </c>
      <c r="B241" s="2" t="s">
        <v>4677</v>
      </c>
      <c r="C241" s="2" t="s">
        <v>10579</v>
      </c>
      <c r="D241" s="2" t="s">
        <v>10580</v>
      </c>
      <c r="E241" s="4">
        <v>18</v>
      </c>
      <c r="F241" s="8">
        <v>859.11</v>
      </c>
      <c r="G241" s="4">
        <v>30</v>
      </c>
      <c r="H241" s="8">
        <v>1691.75</v>
      </c>
      <c r="I241" s="7">
        <v>-0.4</v>
      </c>
      <c r="J241" s="7">
        <v>-0.4922</v>
      </c>
      <c r="K241" s="4">
        <v>18</v>
      </c>
      <c r="L241" s="8">
        <v>859.11</v>
      </c>
      <c r="M241" s="4">
        <v>30</v>
      </c>
      <c r="N241" s="8">
        <v>1691.75</v>
      </c>
      <c r="O241" s="7">
        <v>-0.4</v>
      </c>
      <c r="P241" s="7">
        <v>-0.4922</v>
      </c>
    </row>
    <row r="242">
      <c r="A242" s="2" t="s">
        <v>10578</v>
      </c>
      <c r="B242" s="2" t="s">
        <v>4677</v>
      </c>
      <c r="C242" s="2" t="s">
        <v>10686</v>
      </c>
      <c r="D242" s="2" t="s">
        <v>10687</v>
      </c>
      <c r="E242" s="4">
        <v>2</v>
      </c>
      <c r="F242" s="8">
        <v>549.9</v>
      </c>
      <c r="G242" s="4">
        <v>4</v>
      </c>
      <c r="H242" s="8">
        <v>1099.8</v>
      </c>
      <c r="I242" s="7">
        <v>-0.5</v>
      </c>
      <c r="J242" s="7">
        <v>-0.5</v>
      </c>
      <c r="K242" s="4">
        <v>2</v>
      </c>
      <c r="L242" s="8">
        <v>549.9</v>
      </c>
      <c r="M242" s="4">
        <v>4</v>
      </c>
      <c r="N242" s="8">
        <v>1099.8</v>
      </c>
      <c r="O242" s="7">
        <v>-0.5</v>
      </c>
      <c r="P242" s="7">
        <v>-0.5</v>
      </c>
    </row>
    <row r="243">
      <c r="A243" s="2" t="s">
        <v>10578</v>
      </c>
      <c r="B243" s="2" t="s">
        <v>4677</v>
      </c>
      <c r="C243" s="2" t="s">
        <v>10805</v>
      </c>
      <c r="D243" s="2" t="s">
        <v>10806</v>
      </c>
      <c r="E243" s="4">
        <v>5</v>
      </c>
      <c r="F243" s="8">
        <v>510.79</v>
      </c>
      <c r="G243" s="4">
        <v>22</v>
      </c>
      <c r="H243" s="8">
        <v>2206.53</v>
      </c>
      <c r="I243" s="7">
        <v>-0.7727</v>
      </c>
      <c r="J243" s="7">
        <v>-0.7685</v>
      </c>
      <c r="K243" s="4">
        <v>5</v>
      </c>
      <c r="L243" s="8">
        <v>510.79</v>
      </c>
      <c r="M243" s="4">
        <v>22</v>
      </c>
      <c r="N243" s="8">
        <v>2206.53</v>
      </c>
      <c r="O243" s="7">
        <v>-0.7727</v>
      </c>
      <c r="P243" s="7">
        <v>-0.7685</v>
      </c>
    </row>
    <row r="244">
      <c r="A244" s="2" t="s">
        <v>10578</v>
      </c>
      <c r="B244" s="2" t="s">
        <v>4677</v>
      </c>
      <c r="C244" s="2" t="s">
        <v>10775</v>
      </c>
      <c r="D244" s="2" t="s">
        <v>10776</v>
      </c>
      <c r="E244" s="4">
        <v>3</v>
      </c>
      <c r="F244" s="8">
        <v>211.05</v>
      </c>
      <c r="G244" s="4"/>
      <c r="H244" s="8"/>
      <c r="I244" s="7"/>
      <c r="J244" s="7"/>
      <c r="K244" s="4">
        <v>3</v>
      </c>
      <c r="L244" s="8">
        <v>211.05</v>
      </c>
      <c r="M244" s="4"/>
      <c r="N244" s="8"/>
      <c r="O244" s="7"/>
      <c r="P244" s="7"/>
    </row>
    <row r="245">
      <c r="A245" s="2" t="s">
        <v>10578</v>
      </c>
      <c r="B245" s="2" t="s">
        <v>4677</v>
      </c>
      <c r="C245" s="2" t="s">
        <v>11107</v>
      </c>
      <c r="D245" s="2" t="s">
        <v>11108</v>
      </c>
      <c r="E245" s="4">
        <v>1</v>
      </c>
      <c r="F245" s="8">
        <v>71.82</v>
      </c>
      <c r="G245" s="4"/>
      <c r="H245" s="8"/>
      <c r="I245" s="7"/>
      <c r="J245" s="7"/>
      <c r="K245" s="4">
        <v>1</v>
      </c>
      <c r="L245" s="8">
        <v>71.82</v>
      </c>
      <c r="M245" s="4"/>
      <c r="N245" s="8"/>
      <c r="O245" s="7"/>
      <c r="P245" s="7"/>
    </row>
    <row r="246">
      <c r="A246" s="2" t="s">
        <v>10578</v>
      </c>
      <c r="B246" s="2" t="s">
        <v>4677</v>
      </c>
      <c r="C246" s="2" t="s">
        <v>10877</v>
      </c>
      <c r="D246" s="2" t="s">
        <v>10878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10578</v>
      </c>
      <c r="B247" s="2" t="s">
        <v>7182</v>
      </c>
      <c r="C247" s="2" t="s">
        <v>10686</v>
      </c>
      <c r="D247" s="2" t="s">
        <v>10687</v>
      </c>
      <c r="E247" s="4">
        <v>6</v>
      </c>
      <c r="F247" s="8">
        <v>788.46</v>
      </c>
      <c r="G247" s="4">
        <v>11</v>
      </c>
      <c r="H247" s="8">
        <v>1491.19</v>
      </c>
      <c r="I247" s="7">
        <v>-0.4545</v>
      </c>
      <c r="J247" s="7">
        <v>-0.4713</v>
      </c>
      <c r="K247" s="4">
        <v>6</v>
      </c>
      <c r="L247" s="8">
        <v>788.46</v>
      </c>
      <c r="M247" s="4">
        <v>11</v>
      </c>
      <c r="N247" s="8">
        <v>1491.19</v>
      </c>
      <c r="O247" s="7">
        <v>-0.4545</v>
      </c>
      <c r="P247" s="7">
        <v>-0.4713</v>
      </c>
    </row>
    <row r="248">
      <c r="A248" s="2" t="s">
        <v>10578</v>
      </c>
      <c r="B248" s="2" t="s">
        <v>7182</v>
      </c>
      <c r="C248" s="2" t="s">
        <v>10579</v>
      </c>
      <c r="D248" s="2" t="s">
        <v>10580</v>
      </c>
      <c r="E248" s="4">
        <v>6</v>
      </c>
      <c r="F248" s="8">
        <v>346.08</v>
      </c>
      <c r="G248" s="4">
        <v>29</v>
      </c>
      <c r="H248" s="8">
        <v>1715.28</v>
      </c>
      <c r="I248" s="7">
        <v>-0.7931</v>
      </c>
      <c r="J248" s="7">
        <v>-0.7982</v>
      </c>
      <c r="K248" s="4">
        <v>6</v>
      </c>
      <c r="L248" s="8">
        <v>346.08</v>
      </c>
      <c r="M248" s="4">
        <v>29</v>
      </c>
      <c r="N248" s="8">
        <v>1715.28</v>
      </c>
      <c r="O248" s="7">
        <v>-0.7931</v>
      </c>
      <c r="P248" s="7">
        <v>-0.7982</v>
      </c>
    </row>
    <row r="249">
      <c r="A249" s="2" t="s">
        <v>10578</v>
      </c>
      <c r="B249" s="2" t="s">
        <v>7182</v>
      </c>
      <c r="C249" s="2" t="s">
        <v>10805</v>
      </c>
      <c r="D249" s="2" t="s">
        <v>10806</v>
      </c>
      <c r="E249" s="4">
        <v>1</v>
      </c>
      <c r="F249" s="8">
        <v>133.6</v>
      </c>
      <c r="G249" s="4">
        <v>19</v>
      </c>
      <c r="H249" s="8">
        <v>2747.56</v>
      </c>
      <c r="I249" s="7">
        <v>-0.9474</v>
      </c>
      <c r="J249" s="7">
        <v>-0.9514</v>
      </c>
      <c r="K249" s="4">
        <v>1</v>
      </c>
      <c r="L249" s="8">
        <v>133.6</v>
      </c>
      <c r="M249" s="4">
        <v>19</v>
      </c>
      <c r="N249" s="8">
        <v>2747.56</v>
      </c>
      <c r="O249" s="7">
        <v>-0.9474</v>
      </c>
      <c r="P249" s="7">
        <v>-0.9514</v>
      </c>
    </row>
    <row r="250">
      <c r="A250" s="2" t="s">
        <v>10578</v>
      </c>
      <c r="B250" s="2" t="s">
        <v>6851</v>
      </c>
      <c r="C250" s="2" t="s">
        <v>10805</v>
      </c>
      <c r="D250" s="2" t="s">
        <v>10806</v>
      </c>
      <c r="E250" s="4">
        <v>6</v>
      </c>
      <c r="F250" s="8">
        <v>505.28</v>
      </c>
      <c r="G250" s="4">
        <v>6</v>
      </c>
      <c r="H250" s="8">
        <v>537.06</v>
      </c>
      <c r="I250" s="7"/>
      <c r="J250" s="7">
        <v>-0.0592</v>
      </c>
      <c r="K250" s="4">
        <v>6</v>
      </c>
      <c r="L250" s="8">
        <v>505.28</v>
      </c>
      <c r="M250" s="4">
        <v>6</v>
      </c>
      <c r="N250" s="8">
        <v>537.06</v>
      </c>
      <c r="O250" s="7"/>
      <c r="P250" s="7">
        <v>-0.0592</v>
      </c>
    </row>
    <row r="251">
      <c r="A251" s="2" t="s">
        <v>10578</v>
      </c>
      <c r="B251" s="2" t="s">
        <v>6851</v>
      </c>
      <c r="C251" s="2" t="s">
        <v>10686</v>
      </c>
      <c r="D251" s="2" t="s">
        <v>10687</v>
      </c>
      <c r="E251" s="4">
        <v>2</v>
      </c>
      <c r="F251" s="8">
        <v>187.12</v>
      </c>
      <c r="G251" s="4"/>
      <c r="H251" s="8"/>
      <c r="I251" s="7"/>
      <c r="J251" s="7"/>
      <c r="K251" s="4">
        <v>2</v>
      </c>
      <c r="L251" s="8">
        <v>187.12</v>
      </c>
      <c r="M251" s="4"/>
      <c r="N251" s="8"/>
      <c r="O251" s="7"/>
      <c r="P251" s="7"/>
    </row>
    <row r="252">
      <c r="A252" s="2" t="s">
        <v>10578</v>
      </c>
      <c r="B252" s="2" t="s">
        <v>6851</v>
      </c>
      <c r="C252" s="2" t="s">
        <v>10579</v>
      </c>
      <c r="D252" s="2" t="s">
        <v>10580</v>
      </c>
      <c r="E252" s="4">
        <v>3</v>
      </c>
      <c r="F252" s="8">
        <v>135.33</v>
      </c>
      <c r="G252" s="4"/>
      <c r="H252" s="8"/>
      <c r="I252" s="7"/>
      <c r="J252" s="7"/>
      <c r="K252" s="4">
        <v>3</v>
      </c>
      <c r="L252" s="8">
        <v>135.33</v>
      </c>
      <c r="M252" s="4"/>
      <c r="N252" s="8"/>
      <c r="O252" s="7"/>
      <c r="P25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4"/>
    <mergeCell ref="F9:F14"/>
    <mergeCell ref="G9:G14"/>
    <mergeCell ref="H9:H14"/>
    <mergeCell ref="I9:I14"/>
    <mergeCell ref="J9:J14"/>
    <mergeCell ref="E15:E16"/>
    <mergeCell ref="F15:F16"/>
    <mergeCell ref="G15:G16"/>
    <mergeCell ref="H15:H16"/>
    <mergeCell ref="I15:I16"/>
    <mergeCell ref="J15:J16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2:E45"/>
    <mergeCell ref="F42:F45"/>
    <mergeCell ref="G42:G45"/>
    <mergeCell ref="H42:H45"/>
    <mergeCell ref="I42:I45"/>
    <mergeCell ref="J42:J45"/>
    <mergeCell ref="E46:E47"/>
    <mergeCell ref="F46:F47"/>
    <mergeCell ref="G46:G47"/>
    <mergeCell ref="H46:H47"/>
    <mergeCell ref="I46:I47"/>
    <mergeCell ref="J46:J47"/>
    <mergeCell ref="E57:E58"/>
    <mergeCell ref="F57:F58"/>
    <mergeCell ref="G57:G58"/>
    <mergeCell ref="H57:H58"/>
    <mergeCell ref="I57:I58"/>
    <mergeCell ref="J57:J58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1:E72"/>
    <mergeCell ref="F71:F72"/>
    <mergeCell ref="G71:G72"/>
    <mergeCell ref="H71:H72"/>
    <mergeCell ref="I71:I72"/>
    <mergeCell ref="J71:J72"/>
    <mergeCell ref="E73:E74"/>
    <mergeCell ref="F73:F74"/>
    <mergeCell ref="G73:G74"/>
    <mergeCell ref="H73:H74"/>
    <mergeCell ref="I73:I74"/>
    <mergeCell ref="J73:J74"/>
    <mergeCell ref="E75:E77"/>
    <mergeCell ref="F75:F77"/>
    <mergeCell ref="G75:G77"/>
    <mergeCell ref="H75:H77"/>
    <mergeCell ref="I75:I77"/>
    <mergeCell ref="J75:J77"/>
    <mergeCell ref="E78:E80"/>
    <mergeCell ref="F78:F80"/>
    <mergeCell ref="G78:G80"/>
    <mergeCell ref="H78:H80"/>
    <mergeCell ref="I78:I80"/>
    <mergeCell ref="J78:J80"/>
    <mergeCell ref="E81:E82"/>
    <mergeCell ref="F81:F82"/>
    <mergeCell ref="G81:G82"/>
    <mergeCell ref="H81:H82"/>
    <mergeCell ref="I81:I82"/>
    <mergeCell ref="J81:J82"/>
    <mergeCell ref="E83:E84"/>
    <mergeCell ref="F83:F84"/>
    <mergeCell ref="G83:G84"/>
    <mergeCell ref="H83:H84"/>
    <mergeCell ref="I83:I84"/>
    <mergeCell ref="J83:J84"/>
    <mergeCell ref="E90:E92"/>
    <mergeCell ref="F90:F92"/>
    <mergeCell ref="G90:G92"/>
    <mergeCell ref="H90:H92"/>
    <mergeCell ref="I90:I92"/>
    <mergeCell ref="J90:J92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97:E98"/>
    <mergeCell ref="F97:F98"/>
    <mergeCell ref="G97:G98"/>
    <mergeCell ref="H97:H98"/>
    <mergeCell ref="I97:I98"/>
    <mergeCell ref="J97:J98"/>
    <mergeCell ref="E99:E100"/>
    <mergeCell ref="F99:F100"/>
    <mergeCell ref="G99:G100"/>
    <mergeCell ref="H99:H100"/>
    <mergeCell ref="I99:I100"/>
    <mergeCell ref="J99:J100"/>
    <mergeCell ref="E104:E105"/>
    <mergeCell ref="F104:F105"/>
    <mergeCell ref="G104:G105"/>
    <mergeCell ref="H104:H105"/>
    <mergeCell ref="I104:I105"/>
    <mergeCell ref="J104:J105"/>
    <mergeCell ref="E107:E108"/>
    <mergeCell ref="F107:F108"/>
    <mergeCell ref="G107:G108"/>
    <mergeCell ref="H107:H108"/>
    <mergeCell ref="I107:I108"/>
    <mergeCell ref="J107:J108"/>
    <mergeCell ref="E110:E111"/>
    <mergeCell ref="F110:F111"/>
    <mergeCell ref="G110:G111"/>
    <mergeCell ref="H110:H111"/>
    <mergeCell ref="I110:I111"/>
    <mergeCell ref="J110:J111"/>
    <mergeCell ref="E116:E120"/>
    <mergeCell ref="F116:F120"/>
    <mergeCell ref="G116:G120"/>
    <mergeCell ref="H116:H120"/>
    <mergeCell ref="I116:I120"/>
    <mergeCell ref="J116:J120"/>
    <mergeCell ref="E121:E123"/>
    <mergeCell ref="F121:F123"/>
    <mergeCell ref="G121:G123"/>
    <mergeCell ref="H121:H123"/>
    <mergeCell ref="I121:I123"/>
    <mergeCell ref="J121:J123"/>
    <mergeCell ref="E124:E126"/>
    <mergeCell ref="F124:F126"/>
    <mergeCell ref="G124:G126"/>
    <mergeCell ref="H124:H126"/>
    <mergeCell ref="I124:I126"/>
    <mergeCell ref="J124:J126"/>
    <mergeCell ref="E127:E128"/>
    <mergeCell ref="F127:F128"/>
    <mergeCell ref="G127:G128"/>
    <mergeCell ref="H127:H128"/>
    <mergeCell ref="I127:I128"/>
    <mergeCell ref="J127:J128"/>
    <mergeCell ref="E129:E133"/>
    <mergeCell ref="F129:F133"/>
    <mergeCell ref="G129:G133"/>
    <mergeCell ref="H129:H133"/>
    <mergeCell ref="I129:I133"/>
    <mergeCell ref="J129:J133"/>
    <mergeCell ref="E134:E135"/>
    <mergeCell ref="F134:F135"/>
    <mergeCell ref="G134:G135"/>
    <mergeCell ref="H134:H135"/>
    <mergeCell ref="I134:I135"/>
    <mergeCell ref="J134:J135"/>
    <mergeCell ref="E137:E139"/>
    <mergeCell ref="F137:F139"/>
    <mergeCell ref="G137:G139"/>
    <mergeCell ref="H137:H139"/>
    <mergeCell ref="I137:I139"/>
    <mergeCell ref="J137:J139"/>
    <mergeCell ref="E140:E141"/>
    <mergeCell ref="F140:F141"/>
    <mergeCell ref="G140:G141"/>
    <mergeCell ref="H140:H141"/>
    <mergeCell ref="I140:I141"/>
    <mergeCell ref="J140:J141"/>
    <mergeCell ref="E150:E153"/>
    <mergeCell ref="F150:F153"/>
    <mergeCell ref="G150:G153"/>
    <mergeCell ref="H150:H153"/>
    <mergeCell ref="I150:I153"/>
    <mergeCell ref="J150:J153"/>
    <mergeCell ref="E154:E158"/>
    <mergeCell ref="F154:F158"/>
    <mergeCell ref="G154:G158"/>
    <mergeCell ref="H154:H158"/>
    <mergeCell ref="I154:I158"/>
    <mergeCell ref="J154:J158"/>
    <mergeCell ref="E160:E163"/>
    <mergeCell ref="F160:F163"/>
    <mergeCell ref="G160:G163"/>
    <mergeCell ref="H160:H163"/>
    <mergeCell ref="I160:I163"/>
    <mergeCell ref="J160:J163"/>
    <mergeCell ref="E165:E166"/>
    <mergeCell ref="F165:F166"/>
    <mergeCell ref="G165:G166"/>
    <mergeCell ref="H165:H166"/>
    <mergeCell ref="I165:I166"/>
    <mergeCell ref="J165:J166"/>
    <mergeCell ref="E167:E168"/>
    <mergeCell ref="F167:F168"/>
    <mergeCell ref="G167:G168"/>
    <mergeCell ref="H167:H168"/>
    <mergeCell ref="I167:I168"/>
    <mergeCell ref="J167:J168"/>
    <mergeCell ref="E169:E171"/>
    <mergeCell ref="F169:F171"/>
    <mergeCell ref="G169:G171"/>
    <mergeCell ref="H169:H171"/>
    <mergeCell ref="I169:I171"/>
    <mergeCell ref="J169:J171"/>
    <mergeCell ref="E173:E174"/>
    <mergeCell ref="F173:F174"/>
    <mergeCell ref="G173:G174"/>
    <mergeCell ref="H173:H174"/>
    <mergeCell ref="I173:I174"/>
    <mergeCell ref="J173:J174"/>
    <mergeCell ref="E182:E183"/>
    <mergeCell ref="F182:F183"/>
    <mergeCell ref="G182:G183"/>
    <mergeCell ref="H182:H183"/>
    <mergeCell ref="I182:I183"/>
    <mergeCell ref="J182:J183"/>
    <mergeCell ref="E184:E186"/>
    <mergeCell ref="F184:F186"/>
    <mergeCell ref="G184:G186"/>
    <mergeCell ref="H184:H186"/>
    <mergeCell ref="I184:I186"/>
    <mergeCell ref="J184:J186"/>
    <mergeCell ref="E189:E190"/>
    <mergeCell ref="F189:F190"/>
    <mergeCell ref="G189:G190"/>
    <mergeCell ref="H189:H190"/>
    <mergeCell ref="I189:I190"/>
    <mergeCell ref="J189:J190"/>
    <mergeCell ref="E194:E195"/>
    <mergeCell ref="F194:F195"/>
    <mergeCell ref="G194:G195"/>
    <mergeCell ref="H194:H195"/>
    <mergeCell ref="I194:I195"/>
    <mergeCell ref="J194:J195"/>
    <mergeCell ref="E196:E197"/>
    <mergeCell ref="F196:F197"/>
    <mergeCell ref="G196:G197"/>
    <mergeCell ref="H196:H197"/>
    <mergeCell ref="I196:I197"/>
    <mergeCell ref="J196:J197"/>
    <mergeCell ref="E201:E204"/>
    <mergeCell ref="F201:F204"/>
    <mergeCell ref="G201:G204"/>
    <mergeCell ref="H201:H204"/>
    <mergeCell ref="I201:I204"/>
    <mergeCell ref="J201:J204"/>
    <mergeCell ref="E205:E209"/>
    <mergeCell ref="F205:F209"/>
    <mergeCell ref="G205:G209"/>
    <mergeCell ref="H205:H209"/>
    <mergeCell ref="I205:I209"/>
    <mergeCell ref="J205:J209"/>
    <mergeCell ref="E210:E211"/>
    <mergeCell ref="F210:F211"/>
    <mergeCell ref="G210:G211"/>
    <mergeCell ref="H210:H211"/>
    <mergeCell ref="I210:I211"/>
    <mergeCell ref="J210:J211"/>
    <mergeCell ref="E212:E214"/>
    <mergeCell ref="F212:F214"/>
    <mergeCell ref="G212:G214"/>
    <mergeCell ref="H212:H214"/>
    <mergeCell ref="I212:I214"/>
    <mergeCell ref="J212:J214"/>
    <mergeCell ref="E225:E226"/>
    <mergeCell ref="F225:F226"/>
    <mergeCell ref="G225:G226"/>
    <mergeCell ref="H225:H226"/>
    <mergeCell ref="I225:I226"/>
    <mergeCell ref="J225:J22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9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11200</v>
      </c>
      <c r="D2" s="0" t="s">
        <v>11201</v>
      </c>
      <c r="E2" s="0" t="s">
        <v>11202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11203</v>
      </c>
      <c r="I4" s="1" t="s">
        <v>11204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11205</v>
      </c>
      <c r="O4" s="1" t="s">
        <v>11206</v>
      </c>
    </row>
    <row r="5">
      <c r="A5" s="1" t="s">
        <v>52</v>
      </c>
      <c r="B5" s="1" t="s">
        <v>54</v>
      </c>
      <c r="C5" s="1" t="s">
        <v>55</v>
      </c>
      <c r="D5" s="1" t="s">
        <v>11207</v>
      </c>
      <c r="E5" s="1" t="s">
        <v>11208</v>
      </c>
      <c r="F5" s="1" t="s">
        <v>11207</v>
      </c>
      <c r="G5" s="1" t="s">
        <v>11208</v>
      </c>
      <c r="H5" s="1" t="s">
        <v>11203</v>
      </c>
      <c r="I5" s="1" t="s">
        <v>11204</v>
      </c>
      <c r="J5" s="1" t="s">
        <v>11209</v>
      </c>
      <c r="K5" s="1" t="s">
        <v>11210</v>
      </c>
      <c r="L5" s="1" t="s">
        <v>11209</v>
      </c>
      <c r="M5" s="1" t="s">
        <v>11210</v>
      </c>
      <c r="N5" s="1" t="s">
        <v>11205</v>
      </c>
      <c r="O5" s="1" t="s">
        <v>11206</v>
      </c>
    </row>
    <row r="6">
      <c r="A6" s="2" t="s">
        <v>87</v>
      </c>
      <c r="B6" s="2" t="s">
        <v>89</v>
      </c>
      <c r="C6" s="2" t="s">
        <v>90</v>
      </c>
      <c r="D6" s="4">
        <v>693</v>
      </c>
      <c r="E6" s="8">
        <v>54215.6</v>
      </c>
      <c r="F6" s="4">
        <v>1627</v>
      </c>
      <c r="G6" s="8">
        <v>131590.26</v>
      </c>
      <c r="H6" s="7">
        <v>-0.5741</v>
      </c>
      <c r="I6" s="7">
        <v>-0.588</v>
      </c>
      <c r="J6" s="4">
        <v>469</v>
      </c>
      <c r="K6" s="8">
        <v>35096.7</v>
      </c>
      <c r="L6" s="4">
        <v>1216</v>
      </c>
      <c r="M6" s="8">
        <v>93569.62</v>
      </c>
      <c r="N6" s="7">
        <v>-0.6143</v>
      </c>
      <c r="O6" s="7">
        <v>-0.6249</v>
      </c>
    </row>
    <row r="7">
      <c r="A7" s="2" t="s">
        <v>87</v>
      </c>
      <c r="B7" s="2" t="s">
        <v>89</v>
      </c>
      <c r="C7" s="2" t="s">
        <v>3587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102</v>
      </c>
      <c r="K7" s="8">
        <v>10638.8</v>
      </c>
      <c r="L7" s="4">
        <v>225</v>
      </c>
      <c r="M7" s="8">
        <v>24467.75</v>
      </c>
      <c r="N7" s="7">
        <v>-0.5467</v>
      </c>
      <c r="O7" s="7">
        <v>-0.5652</v>
      </c>
    </row>
    <row r="8">
      <c r="A8" s="2" t="s">
        <v>87</v>
      </c>
      <c r="B8" s="2" t="s">
        <v>89</v>
      </c>
      <c r="C8" s="2" t="s">
        <v>2005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83</v>
      </c>
      <c r="K8" s="8">
        <v>5718.03</v>
      </c>
      <c r="L8" s="4">
        <v>99</v>
      </c>
      <c r="M8" s="8">
        <v>7261.17</v>
      </c>
      <c r="N8" s="7">
        <v>-0.1616</v>
      </c>
      <c r="O8" s="7">
        <v>-0.2125</v>
      </c>
    </row>
    <row r="9">
      <c r="A9" s="2" t="s">
        <v>87</v>
      </c>
      <c r="B9" s="2" t="s">
        <v>89</v>
      </c>
      <c r="C9" s="2" t="s">
        <v>2098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>
        <v>39</v>
      </c>
      <c r="K9" s="8">
        <v>2762.07</v>
      </c>
      <c r="L9" s="4">
        <v>87</v>
      </c>
      <c r="M9" s="8">
        <v>6291.72</v>
      </c>
      <c r="N9" s="7">
        <v>-0.5517</v>
      </c>
      <c r="O9" s="7">
        <v>-0.561</v>
      </c>
    </row>
    <row r="10">
      <c r="A10" s="2" t="s">
        <v>87</v>
      </c>
      <c r="B10" s="2" t="s">
        <v>2308</v>
      </c>
      <c r="C10" s="2" t="s">
        <v>2309</v>
      </c>
      <c r="D10" s="4">
        <v>170</v>
      </c>
      <c r="E10" s="8">
        <v>8935.33</v>
      </c>
      <c r="F10" s="4">
        <v>371</v>
      </c>
      <c r="G10" s="8">
        <v>19780.61</v>
      </c>
      <c r="H10" s="7">
        <v>-0.5418</v>
      </c>
      <c r="I10" s="7">
        <v>-0.5483</v>
      </c>
      <c r="J10" s="4">
        <v>72</v>
      </c>
      <c r="K10" s="8">
        <v>3279.7</v>
      </c>
      <c r="L10" s="4">
        <v>189</v>
      </c>
      <c r="M10" s="8">
        <v>8947.44</v>
      </c>
      <c r="N10" s="7">
        <v>-0.619</v>
      </c>
      <c r="O10" s="7">
        <v>-0.6334</v>
      </c>
    </row>
    <row r="11">
      <c r="A11" s="2" t="s">
        <v>87</v>
      </c>
      <c r="B11" s="2" t="s">
        <v>2308</v>
      </c>
      <c r="C11" s="2" t="s">
        <v>2641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51</v>
      </c>
      <c r="K11" s="8">
        <v>2685.25</v>
      </c>
      <c r="L11" s="4">
        <v>85</v>
      </c>
      <c r="M11" s="8">
        <v>5074.16</v>
      </c>
      <c r="N11" s="7">
        <v>-0.4</v>
      </c>
      <c r="O11" s="7">
        <v>-0.4708</v>
      </c>
    </row>
    <row r="12">
      <c r="A12" s="2" t="s">
        <v>87</v>
      </c>
      <c r="B12" s="2" t="s">
        <v>2308</v>
      </c>
      <c r="C12" s="2" t="s">
        <v>2927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34</v>
      </c>
      <c r="K12" s="8">
        <v>2113.22</v>
      </c>
      <c r="L12" s="4">
        <v>73</v>
      </c>
      <c r="M12" s="8">
        <v>4222.3</v>
      </c>
      <c r="N12" s="7">
        <v>-0.5342</v>
      </c>
      <c r="O12" s="7">
        <v>-0.4995</v>
      </c>
    </row>
    <row r="13">
      <c r="A13" s="2" t="s">
        <v>87</v>
      </c>
      <c r="B13" s="2" t="s">
        <v>2308</v>
      </c>
      <c r="C13" s="2" t="s">
        <v>3080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>
        <v>5</v>
      </c>
      <c r="K13" s="8">
        <v>380.51</v>
      </c>
      <c r="L13" s="4">
        <v>7</v>
      </c>
      <c r="M13" s="8">
        <v>591.88</v>
      </c>
      <c r="N13" s="7">
        <v>-0.2857</v>
      </c>
      <c r="O13" s="7">
        <v>-0.3571</v>
      </c>
    </row>
    <row r="14">
      <c r="A14" s="2" t="s">
        <v>87</v>
      </c>
      <c r="B14" s="2" t="s">
        <v>2308</v>
      </c>
      <c r="C14" s="2" t="s">
        <v>2005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>
        <v>5</v>
      </c>
      <c r="K14" s="8">
        <v>313.93</v>
      </c>
      <c r="L14" s="4"/>
      <c r="M14" s="8"/>
      <c r="N14" s="7"/>
      <c r="O14" s="7"/>
    </row>
    <row r="15">
      <c r="A15" s="2" t="s">
        <v>87</v>
      </c>
      <c r="B15" s="2" t="s">
        <v>2308</v>
      </c>
      <c r="C15" s="2" t="s">
        <v>5586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>
        <v>3</v>
      </c>
      <c r="K15" s="8">
        <v>162.72</v>
      </c>
      <c r="L15" s="4">
        <v>17</v>
      </c>
      <c r="M15" s="8">
        <v>944.83</v>
      </c>
      <c r="N15" s="7">
        <v>-0.8235</v>
      </c>
      <c r="O15" s="7">
        <v>-0.8278</v>
      </c>
    </row>
    <row r="16">
      <c r="A16" s="2" t="s">
        <v>87</v>
      </c>
      <c r="B16" s="2" t="s">
        <v>2308</v>
      </c>
      <c r="C16" s="2" t="s">
        <v>3101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2308</v>
      </c>
      <c r="C17" s="2" t="s">
        <v>3206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3234</v>
      </c>
      <c r="C18" s="2" t="s">
        <v>3235</v>
      </c>
      <c r="D18" s="4">
        <v>32</v>
      </c>
      <c r="E18" s="8">
        <v>2149.35</v>
      </c>
      <c r="F18" s="4">
        <v>84</v>
      </c>
      <c r="G18" s="8">
        <v>5482.52</v>
      </c>
      <c r="H18" s="7">
        <v>-0.619</v>
      </c>
      <c r="I18" s="7">
        <v>-0.608</v>
      </c>
      <c r="J18" s="4">
        <v>18</v>
      </c>
      <c r="K18" s="8">
        <v>1326.21</v>
      </c>
      <c r="L18" s="4">
        <v>33</v>
      </c>
      <c r="M18" s="8">
        <v>2438.55</v>
      </c>
      <c r="N18" s="7">
        <v>-0.4545</v>
      </c>
      <c r="O18" s="7">
        <v>-0.4561</v>
      </c>
    </row>
    <row r="19">
      <c r="A19" s="2" t="s">
        <v>87</v>
      </c>
      <c r="B19" s="2" t="s">
        <v>3234</v>
      </c>
      <c r="C19" s="2" t="s">
        <v>3360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14</v>
      </c>
      <c r="K19" s="8">
        <v>823.14</v>
      </c>
      <c r="L19" s="4">
        <v>51</v>
      </c>
      <c r="M19" s="8">
        <v>3043.97</v>
      </c>
      <c r="N19" s="7">
        <v>-0.7255</v>
      </c>
      <c r="O19" s="7">
        <v>-0.7296</v>
      </c>
    </row>
    <row r="20">
      <c r="A20" s="2" t="s">
        <v>87</v>
      </c>
      <c r="B20" s="2" t="s">
        <v>3527</v>
      </c>
      <c r="C20" s="2" t="s">
        <v>3528</v>
      </c>
      <c r="D20" s="4">
        <v>15</v>
      </c>
      <c r="E20" s="8">
        <v>287.26</v>
      </c>
      <c r="F20" s="4">
        <v>55</v>
      </c>
      <c r="G20" s="8">
        <v>1080.97</v>
      </c>
      <c r="H20" s="7">
        <v>-0.7273</v>
      </c>
      <c r="I20" s="7">
        <v>-0.7343</v>
      </c>
      <c r="J20" s="4">
        <v>15</v>
      </c>
      <c r="K20" s="8">
        <v>287.26</v>
      </c>
      <c r="L20" s="4">
        <v>55</v>
      </c>
      <c r="M20" s="8">
        <v>1080.97</v>
      </c>
      <c r="N20" s="7">
        <v>-0.7273</v>
      </c>
      <c r="O20" s="7">
        <v>-0.7343</v>
      </c>
    </row>
    <row r="21">
      <c r="A21" s="2" t="s">
        <v>87</v>
      </c>
      <c r="B21" s="2" t="s">
        <v>5203</v>
      </c>
      <c r="C21" s="2" t="s">
        <v>5204</v>
      </c>
      <c r="D21" s="4">
        <v>12</v>
      </c>
      <c r="E21" s="8">
        <v>229.64</v>
      </c>
      <c r="F21" s="4">
        <v>13</v>
      </c>
      <c r="G21" s="8">
        <v>233.11</v>
      </c>
      <c r="H21" s="7">
        <v>-0.0769</v>
      </c>
      <c r="I21" s="7">
        <v>-0.0149</v>
      </c>
      <c r="J21" s="4">
        <v>12</v>
      </c>
      <c r="K21" s="8">
        <v>229.64</v>
      </c>
      <c r="L21" s="4">
        <v>13</v>
      </c>
      <c r="M21" s="8">
        <v>233.11</v>
      </c>
      <c r="N21" s="7">
        <v>-0.0769</v>
      </c>
      <c r="O21" s="7">
        <v>-0.0149</v>
      </c>
    </row>
    <row r="22">
      <c r="A22" s="2" t="s">
        <v>87</v>
      </c>
      <c r="B22" s="2" t="s">
        <v>5203</v>
      </c>
      <c r="C22" s="2" t="s">
        <v>6077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3569</v>
      </c>
      <c r="C23" s="2" t="s">
        <v>5987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3569</v>
      </c>
      <c r="C24" s="2" t="s">
        <v>3570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3569</v>
      </c>
      <c r="C25" s="2" t="s">
        <v>5169</v>
      </c>
      <c r="D25" s="4" t="s">
        <v>100</v>
      </c>
      <c r="E25" s="8" t="s">
        <v>100</v>
      </c>
      <c r="F25" s="4" t="s">
        <v>100</v>
      </c>
      <c r="G25" s="8" t="s">
        <v>100</v>
      </c>
      <c r="H25" s="7" t="s">
        <v>100</v>
      </c>
      <c r="I25" s="7" t="s">
        <v>100</v>
      </c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3582</v>
      </c>
      <c r="C26" s="2" t="s">
        <v>2309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5967</v>
      </c>
      <c r="C27" s="2" t="s">
        <v>5968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87</v>
      </c>
      <c r="B28" s="2" t="s">
        <v>5973</v>
      </c>
      <c r="C28" s="2" t="s">
        <v>5974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6098</v>
      </c>
      <c r="B29" s="2" t="s">
        <v>6099</v>
      </c>
      <c r="C29" s="2" t="s">
        <v>6100</v>
      </c>
      <c r="D29" s="4">
        <v>274</v>
      </c>
      <c r="E29" s="8">
        <v>15449.07</v>
      </c>
      <c r="F29" s="4">
        <v>603</v>
      </c>
      <c r="G29" s="8">
        <v>35843.11</v>
      </c>
      <c r="H29" s="7">
        <v>-0.5456</v>
      </c>
      <c r="I29" s="7">
        <v>-0.569</v>
      </c>
      <c r="J29" s="4">
        <v>165</v>
      </c>
      <c r="K29" s="8">
        <v>8942.14</v>
      </c>
      <c r="L29" s="4">
        <v>420</v>
      </c>
      <c r="M29" s="8">
        <v>24528.8</v>
      </c>
      <c r="N29" s="7">
        <v>-0.6071</v>
      </c>
      <c r="O29" s="7">
        <v>-0.6354</v>
      </c>
    </row>
    <row r="30">
      <c r="A30" s="2" t="s">
        <v>6098</v>
      </c>
      <c r="B30" s="2" t="s">
        <v>6099</v>
      </c>
      <c r="C30" s="2" t="s">
        <v>6377</v>
      </c>
      <c r="D30" s="4" t="s">
        <v>100</v>
      </c>
      <c r="E30" s="8" t="s">
        <v>100</v>
      </c>
      <c r="F30" s="4" t="s">
        <v>100</v>
      </c>
      <c r="G30" s="8" t="s">
        <v>100</v>
      </c>
      <c r="H30" s="7" t="s">
        <v>100</v>
      </c>
      <c r="I30" s="7" t="s">
        <v>100</v>
      </c>
      <c r="J30" s="4">
        <v>109</v>
      </c>
      <c r="K30" s="8">
        <v>6506.93</v>
      </c>
      <c r="L30" s="4">
        <v>183</v>
      </c>
      <c r="M30" s="8">
        <v>11314.31</v>
      </c>
      <c r="N30" s="7">
        <v>-0.4044</v>
      </c>
      <c r="O30" s="7">
        <v>-0.4249</v>
      </c>
    </row>
    <row r="31">
      <c r="A31" s="2" t="s">
        <v>6098</v>
      </c>
      <c r="B31" s="2" t="s">
        <v>6099</v>
      </c>
      <c r="C31" s="2" t="s">
        <v>6480</v>
      </c>
      <c r="D31" s="4" t="s">
        <v>100</v>
      </c>
      <c r="E31" s="8" t="s">
        <v>100</v>
      </c>
      <c r="F31" s="4" t="s">
        <v>100</v>
      </c>
      <c r="G31" s="8" t="s">
        <v>100</v>
      </c>
      <c r="H31" s="7" t="s">
        <v>100</v>
      </c>
      <c r="I31" s="7" t="s">
        <v>100</v>
      </c>
      <c r="J31" s="4"/>
      <c r="K31" s="8"/>
      <c r="L31" s="4"/>
      <c r="M31" s="8"/>
      <c r="N31" s="7"/>
      <c r="O31" s="7"/>
    </row>
    <row r="32">
      <c r="A32" s="2" t="s">
        <v>6098</v>
      </c>
      <c r="B32" s="2" t="s">
        <v>6497</v>
      </c>
      <c r="C32" s="2" t="s">
        <v>6480</v>
      </c>
      <c r="D32" s="4">
        <v>126</v>
      </c>
      <c r="E32" s="8">
        <v>5675.79</v>
      </c>
      <c r="F32" s="4">
        <v>271</v>
      </c>
      <c r="G32" s="8">
        <v>11992.45</v>
      </c>
      <c r="H32" s="7">
        <v>-0.5351</v>
      </c>
      <c r="I32" s="7">
        <v>-0.5267</v>
      </c>
      <c r="J32" s="4">
        <v>94</v>
      </c>
      <c r="K32" s="8">
        <v>4614.27</v>
      </c>
      <c r="L32" s="4">
        <v>205</v>
      </c>
      <c r="M32" s="8">
        <v>10011.57</v>
      </c>
      <c r="N32" s="7">
        <v>-0.5415</v>
      </c>
      <c r="O32" s="7">
        <v>-0.5391</v>
      </c>
    </row>
    <row r="33">
      <c r="A33" s="2" t="s">
        <v>6098</v>
      </c>
      <c r="B33" s="2" t="s">
        <v>6497</v>
      </c>
      <c r="C33" s="2" t="s">
        <v>6820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>
        <v>15</v>
      </c>
      <c r="K33" s="8">
        <v>741.6</v>
      </c>
      <c r="L33" s="4">
        <v>16</v>
      </c>
      <c r="M33" s="8">
        <v>851.54</v>
      </c>
      <c r="N33" s="7">
        <v>-0.0625</v>
      </c>
      <c r="O33" s="7">
        <v>-0.1291</v>
      </c>
    </row>
    <row r="34">
      <c r="A34" s="2" t="s">
        <v>6098</v>
      </c>
      <c r="B34" s="2" t="s">
        <v>6497</v>
      </c>
      <c r="C34" s="2" t="s">
        <v>6619</v>
      </c>
      <c r="D34" s="4" t="s">
        <v>100</v>
      </c>
      <c r="E34" s="8" t="s">
        <v>100</v>
      </c>
      <c r="F34" s="4" t="s">
        <v>100</v>
      </c>
      <c r="G34" s="8" t="s">
        <v>100</v>
      </c>
      <c r="H34" s="7" t="s">
        <v>100</v>
      </c>
      <c r="I34" s="7" t="s">
        <v>100</v>
      </c>
      <c r="J34" s="4">
        <v>12</v>
      </c>
      <c r="K34" s="8">
        <v>221.07</v>
      </c>
      <c r="L34" s="4">
        <v>31</v>
      </c>
      <c r="M34" s="8">
        <v>711.83</v>
      </c>
      <c r="N34" s="7">
        <v>-0.6129</v>
      </c>
      <c r="O34" s="7">
        <v>-0.6894</v>
      </c>
    </row>
    <row r="35">
      <c r="A35" s="2" t="s">
        <v>6098</v>
      </c>
      <c r="B35" s="2" t="s">
        <v>6497</v>
      </c>
      <c r="C35" s="2" t="s">
        <v>6377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>
        <v>5</v>
      </c>
      <c r="K35" s="8">
        <v>98.85</v>
      </c>
      <c r="L35" s="4">
        <v>19</v>
      </c>
      <c r="M35" s="8">
        <v>417.51</v>
      </c>
      <c r="N35" s="7">
        <v>-0.7368</v>
      </c>
      <c r="O35" s="7">
        <v>-0.7632</v>
      </c>
    </row>
    <row r="36">
      <c r="A36" s="2" t="s">
        <v>6098</v>
      </c>
      <c r="B36" s="2" t="s">
        <v>6763</v>
      </c>
      <c r="C36" s="2" t="s">
        <v>6764</v>
      </c>
      <c r="D36" s="4">
        <v>18</v>
      </c>
      <c r="E36" s="8">
        <v>1219.76</v>
      </c>
      <c r="F36" s="4">
        <v>68</v>
      </c>
      <c r="G36" s="8">
        <v>6122.19</v>
      </c>
      <c r="H36" s="7">
        <v>-0.7353</v>
      </c>
      <c r="I36" s="7">
        <v>-0.8008</v>
      </c>
      <c r="J36" s="4">
        <v>14</v>
      </c>
      <c r="K36" s="8">
        <v>894.25</v>
      </c>
      <c r="L36" s="4">
        <v>61</v>
      </c>
      <c r="M36" s="8">
        <v>5479.13</v>
      </c>
      <c r="N36" s="7">
        <v>-0.7705</v>
      </c>
      <c r="O36" s="7">
        <v>-0.8368</v>
      </c>
    </row>
    <row r="37">
      <c r="A37" s="2" t="s">
        <v>6098</v>
      </c>
      <c r="B37" s="2" t="s">
        <v>6763</v>
      </c>
      <c r="C37" s="2" t="s">
        <v>6781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>
        <v>4</v>
      </c>
      <c r="K37" s="8">
        <v>325.51</v>
      </c>
      <c r="L37" s="4">
        <v>7</v>
      </c>
      <c r="M37" s="8">
        <v>643.06</v>
      </c>
      <c r="N37" s="7">
        <v>-0.4286</v>
      </c>
      <c r="O37" s="7">
        <v>-0.4938</v>
      </c>
    </row>
    <row r="38">
      <c r="A38" s="2" t="s">
        <v>6098</v>
      </c>
      <c r="B38" s="2" t="s">
        <v>6686</v>
      </c>
      <c r="C38" s="2" t="s">
        <v>6377</v>
      </c>
      <c r="D38" s="4">
        <v>32</v>
      </c>
      <c r="E38" s="8">
        <v>1133.96</v>
      </c>
      <c r="F38" s="4">
        <v>42</v>
      </c>
      <c r="G38" s="8">
        <v>1539.4</v>
      </c>
      <c r="H38" s="7">
        <v>-0.2381</v>
      </c>
      <c r="I38" s="7">
        <v>-0.2634</v>
      </c>
      <c r="J38" s="4">
        <v>32</v>
      </c>
      <c r="K38" s="8">
        <v>1133.96</v>
      </c>
      <c r="L38" s="4">
        <v>42</v>
      </c>
      <c r="M38" s="8">
        <v>1539.4</v>
      </c>
      <c r="N38" s="7">
        <v>-0.2381</v>
      </c>
      <c r="O38" s="7">
        <v>-0.2634</v>
      </c>
    </row>
    <row r="39">
      <c r="A39" s="2" t="s">
        <v>6098</v>
      </c>
      <c r="B39" s="2" t="s">
        <v>6686</v>
      </c>
      <c r="C39" s="2" t="s">
        <v>6480</v>
      </c>
      <c r="D39" s="4" t="s">
        <v>100</v>
      </c>
      <c r="E39" s="8" t="s">
        <v>100</v>
      </c>
      <c r="F39" s="4" t="s">
        <v>100</v>
      </c>
      <c r="G39" s="8" t="s">
        <v>100</v>
      </c>
      <c r="H39" s="7" t="s">
        <v>100</v>
      </c>
      <c r="I39" s="7" t="s">
        <v>100</v>
      </c>
      <c r="J39" s="4"/>
      <c r="K39" s="8"/>
      <c r="L39" s="4"/>
      <c r="M39" s="8"/>
      <c r="N39" s="7"/>
      <c r="O39" s="7"/>
    </row>
    <row r="40">
      <c r="A40" s="2" t="s">
        <v>6098</v>
      </c>
      <c r="B40" s="2" t="s">
        <v>7093</v>
      </c>
      <c r="C40" s="2" t="s">
        <v>7094</v>
      </c>
      <c r="D40" s="4">
        <v>18</v>
      </c>
      <c r="E40" s="8">
        <v>674.3</v>
      </c>
      <c r="F40" s="4">
        <v>32</v>
      </c>
      <c r="G40" s="8">
        <v>1919.29</v>
      </c>
      <c r="H40" s="7">
        <v>-0.4375</v>
      </c>
      <c r="I40" s="7">
        <v>-0.6487</v>
      </c>
      <c r="J40" s="4">
        <v>18</v>
      </c>
      <c r="K40" s="8">
        <v>674.3</v>
      </c>
      <c r="L40" s="4">
        <v>32</v>
      </c>
      <c r="M40" s="8">
        <v>1919.29</v>
      </c>
      <c r="N40" s="7">
        <v>-0.4375</v>
      </c>
      <c r="O40" s="7">
        <v>-0.6487</v>
      </c>
    </row>
    <row r="41">
      <c r="A41" s="2" t="s">
        <v>6098</v>
      </c>
      <c r="B41" s="2" t="s">
        <v>6819</v>
      </c>
      <c r="C41" s="2" t="s">
        <v>6820</v>
      </c>
      <c r="D41" s="4">
        <v>7</v>
      </c>
      <c r="E41" s="8">
        <v>189.63</v>
      </c>
      <c r="F41" s="4">
        <v>14</v>
      </c>
      <c r="G41" s="8">
        <v>734.27</v>
      </c>
      <c r="H41" s="7">
        <v>-0.5</v>
      </c>
      <c r="I41" s="7">
        <v>-0.7417</v>
      </c>
      <c r="J41" s="4">
        <v>7</v>
      </c>
      <c r="K41" s="8">
        <v>189.63</v>
      </c>
      <c r="L41" s="4">
        <v>14</v>
      </c>
      <c r="M41" s="8">
        <v>734.27</v>
      </c>
      <c r="N41" s="7">
        <v>-0.5</v>
      </c>
      <c r="O41" s="7">
        <v>-0.7417</v>
      </c>
    </row>
    <row r="42">
      <c r="A42" s="2" t="s">
        <v>6098</v>
      </c>
      <c r="B42" s="2" t="s">
        <v>6805</v>
      </c>
      <c r="C42" s="2" t="s">
        <v>6806</v>
      </c>
      <c r="D42" s="4">
        <v>2</v>
      </c>
      <c r="E42" s="8">
        <v>71.9</v>
      </c>
      <c r="F42" s="4">
        <v>9</v>
      </c>
      <c r="G42" s="8">
        <v>361.59</v>
      </c>
      <c r="H42" s="7">
        <v>-0.7778</v>
      </c>
      <c r="I42" s="7">
        <v>-0.8012</v>
      </c>
      <c r="J42" s="4">
        <v>2</v>
      </c>
      <c r="K42" s="8">
        <v>71.9</v>
      </c>
      <c r="L42" s="4">
        <v>9</v>
      </c>
      <c r="M42" s="8">
        <v>361.59</v>
      </c>
      <c r="N42" s="7">
        <v>-0.7778</v>
      </c>
      <c r="O42" s="7">
        <v>-0.8012</v>
      </c>
    </row>
    <row r="43">
      <c r="A43" s="2" t="s">
        <v>6098</v>
      </c>
      <c r="B43" s="2" t="s">
        <v>6832</v>
      </c>
      <c r="C43" s="2" t="s">
        <v>6833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6098</v>
      </c>
      <c r="B44" s="2" t="s">
        <v>6836</v>
      </c>
      <c r="C44" s="2" t="s">
        <v>6837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7252</v>
      </c>
      <c r="B45" s="2" t="s">
        <v>7253</v>
      </c>
      <c r="C45" s="2" t="s">
        <v>7254</v>
      </c>
      <c r="D45" s="4">
        <v>406</v>
      </c>
      <c r="E45" s="8">
        <v>71463.44</v>
      </c>
      <c r="F45" s="4">
        <v>876</v>
      </c>
      <c r="G45" s="8">
        <v>159103.55</v>
      </c>
      <c r="H45" s="7">
        <v>-0.5365</v>
      </c>
      <c r="I45" s="7">
        <v>-0.5508</v>
      </c>
      <c r="J45" s="4">
        <v>406</v>
      </c>
      <c r="K45" s="8">
        <v>71463.44</v>
      </c>
      <c r="L45" s="4">
        <v>874</v>
      </c>
      <c r="M45" s="8">
        <v>158603.75</v>
      </c>
      <c r="N45" s="7">
        <v>-0.5355</v>
      </c>
      <c r="O45" s="7">
        <v>-0.5494</v>
      </c>
    </row>
    <row r="46">
      <c r="A46" s="2" t="s">
        <v>7252</v>
      </c>
      <c r="B46" s="2" t="s">
        <v>7253</v>
      </c>
      <c r="C46" s="2" t="s">
        <v>7313</v>
      </c>
      <c r="D46" s="4" t="s">
        <v>100</v>
      </c>
      <c r="E46" s="8" t="s">
        <v>100</v>
      </c>
      <c r="F46" s="4" t="s">
        <v>100</v>
      </c>
      <c r="G46" s="8" t="s">
        <v>100</v>
      </c>
      <c r="H46" s="7" t="s">
        <v>100</v>
      </c>
      <c r="I46" s="7" t="s">
        <v>100</v>
      </c>
      <c r="J46" s="4"/>
      <c r="K46" s="8"/>
      <c r="L46" s="4"/>
      <c r="M46" s="8"/>
      <c r="N46" s="7"/>
      <c r="O46" s="7"/>
    </row>
    <row r="47">
      <c r="A47" s="2" t="s">
        <v>7252</v>
      </c>
      <c r="B47" s="2" t="s">
        <v>7253</v>
      </c>
      <c r="C47" s="2" t="s">
        <v>7738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7252</v>
      </c>
      <c r="B48" s="2" t="s">
        <v>7253</v>
      </c>
      <c r="C48" s="2" t="s">
        <v>7744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7252</v>
      </c>
      <c r="B49" s="2" t="s">
        <v>7253</v>
      </c>
      <c r="C49" s="2" t="s">
        <v>7776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7252</v>
      </c>
      <c r="B50" s="2" t="s">
        <v>7253</v>
      </c>
      <c r="C50" s="2" t="s">
        <v>1608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>
        <v>2</v>
      </c>
      <c r="M50" s="8">
        <v>499.8</v>
      </c>
      <c r="N50" s="7"/>
      <c r="O50" s="7"/>
    </row>
    <row r="51">
      <c r="A51" s="2" t="s">
        <v>7252</v>
      </c>
      <c r="B51" s="2" t="s">
        <v>7786</v>
      </c>
      <c r="C51" s="2" t="s">
        <v>7787</v>
      </c>
      <c r="D51" s="4">
        <v>386</v>
      </c>
      <c r="E51" s="8">
        <v>41157.17</v>
      </c>
      <c r="F51" s="4">
        <v>1554</v>
      </c>
      <c r="G51" s="8">
        <v>163896.18</v>
      </c>
      <c r="H51" s="7">
        <v>-0.7516</v>
      </c>
      <c r="I51" s="7">
        <v>-0.7489</v>
      </c>
      <c r="J51" s="4">
        <v>337</v>
      </c>
      <c r="K51" s="8">
        <v>36264</v>
      </c>
      <c r="L51" s="4">
        <v>1114</v>
      </c>
      <c r="M51" s="8">
        <v>115178.25</v>
      </c>
      <c r="N51" s="7">
        <v>-0.6975</v>
      </c>
      <c r="O51" s="7">
        <v>-0.6851</v>
      </c>
    </row>
    <row r="52">
      <c r="A52" s="2" t="s">
        <v>7252</v>
      </c>
      <c r="B52" s="2" t="s">
        <v>7786</v>
      </c>
      <c r="C52" s="2" t="s">
        <v>8071</v>
      </c>
      <c r="D52" s="4" t="s">
        <v>100</v>
      </c>
      <c r="E52" s="8" t="s">
        <v>100</v>
      </c>
      <c r="F52" s="4" t="s">
        <v>100</v>
      </c>
      <c r="G52" s="8" t="s">
        <v>100</v>
      </c>
      <c r="H52" s="7" t="s">
        <v>100</v>
      </c>
      <c r="I52" s="7" t="s">
        <v>100</v>
      </c>
      <c r="J52" s="4">
        <v>45</v>
      </c>
      <c r="K52" s="8">
        <v>4408.05</v>
      </c>
      <c r="L52" s="4">
        <v>437</v>
      </c>
      <c r="M52" s="8">
        <v>48292.68</v>
      </c>
      <c r="N52" s="7">
        <v>-0.897</v>
      </c>
      <c r="O52" s="7">
        <v>-0.9087</v>
      </c>
    </row>
    <row r="53">
      <c r="A53" s="2" t="s">
        <v>7252</v>
      </c>
      <c r="B53" s="2" t="s">
        <v>7786</v>
      </c>
      <c r="C53" s="2" t="s">
        <v>8155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>
        <v>4</v>
      </c>
      <c r="K53" s="8">
        <v>485.12</v>
      </c>
      <c r="L53" s="4">
        <v>3</v>
      </c>
      <c r="M53" s="8">
        <v>425.25</v>
      </c>
      <c r="N53" s="7">
        <v>0.3333</v>
      </c>
      <c r="O53" s="7">
        <v>0.1408</v>
      </c>
    </row>
    <row r="54">
      <c r="A54" s="2" t="s">
        <v>7252</v>
      </c>
      <c r="B54" s="2" t="s">
        <v>7786</v>
      </c>
      <c r="C54" s="2" t="s">
        <v>8159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7252</v>
      </c>
      <c r="B55" s="2" t="s">
        <v>8158</v>
      </c>
      <c r="C55" s="2" t="s">
        <v>8159</v>
      </c>
      <c r="D55" s="4">
        <v>104</v>
      </c>
      <c r="E55" s="8">
        <v>22431.94</v>
      </c>
      <c r="F55" s="4">
        <v>260</v>
      </c>
      <c r="G55" s="8">
        <v>63574.22</v>
      </c>
      <c r="H55" s="7">
        <v>-0.6</v>
      </c>
      <c r="I55" s="7">
        <v>-0.6472</v>
      </c>
      <c r="J55" s="4">
        <v>63</v>
      </c>
      <c r="K55" s="8">
        <v>12657.7</v>
      </c>
      <c r="L55" s="4">
        <v>110</v>
      </c>
      <c r="M55" s="8">
        <v>24121.31</v>
      </c>
      <c r="N55" s="7">
        <v>-0.4273</v>
      </c>
      <c r="O55" s="7">
        <v>-0.4752</v>
      </c>
    </row>
    <row r="56">
      <c r="A56" s="2" t="s">
        <v>7252</v>
      </c>
      <c r="B56" s="2" t="s">
        <v>8158</v>
      </c>
      <c r="C56" s="2" t="s">
        <v>8297</v>
      </c>
      <c r="D56" s="4" t="s">
        <v>100</v>
      </c>
      <c r="E56" s="8" t="s">
        <v>100</v>
      </c>
      <c r="F56" s="4" t="s">
        <v>100</v>
      </c>
      <c r="G56" s="8" t="s">
        <v>100</v>
      </c>
      <c r="H56" s="7" t="s">
        <v>100</v>
      </c>
      <c r="I56" s="7" t="s">
        <v>100</v>
      </c>
      <c r="J56" s="4">
        <v>41</v>
      </c>
      <c r="K56" s="8">
        <v>9774.24</v>
      </c>
      <c r="L56" s="4">
        <v>150</v>
      </c>
      <c r="M56" s="8">
        <v>39452.91</v>
      </c>
      <c r="N56" s="7">
        <v>-0.7267</v>
      </c>
      <c r="O56" s="7">
        <v>-0.7523</v>
      </c>
    </row>
    <row r="57">
      <c r="A57" s="2" t="s">
        <v>7252</v>
      </c>
      <c r="B57" s="2" t="s">
        <v>8158</v>
      </c>
      <c r="C57" s="2" t="s">
        <v>8374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7252</v>
      </c>
      <c r="B58" s="2" t="s">
        <v>8575</v>
      </c>
      <c r="C58" s="2" t="s">
        <v>8576</v>
      </c>
      <c r="D58" s="4">
        <v>132</v>
      </c>
      <c r="E58" s="8">
        <v>19769.15</v>
      </c>
      <c r="F58" s="4">
        <v>338</v>
      </c>
      <c r="G58" s="8">
        <v>46928.96</v>
      </c>
      <c r="H58" s="7">
        <v>-0.6095</v>
      </c>
      <c r="I58" s="7">
        <v>-0.5787</v>
      </c>
      <c r="J58" s="4">
        <v>78</v>
      </c>
      <c r="K58" s="8">
        <v>12763.24</v>
      </c>
      <c r="L58" s="4">
        <v>154</v>
      </c>
      <c r="M58" s="8">
        <v>23847.87</v>
      </c>
      <c r="N58" s="7">
        <v>-0.4935</v>
      </c>
      <c r="O58" s="7">
        <v>-0.4648</v>
      </c>
    </row>
    <row r="59">
      <c r="A59" s="2" t="s">
        <v>7252</v>
      </c>
      <c r="B59" s="2" t="s">
        <v>8575</v>
      </c>
      <c r="C59" s="2" t="s">
        <v>8653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>
        <v>19</v>
      </c>
      <c r="K59" s="8">
        <v>3467.51</v>
      </c>
      <c r="L59" s="4">
        <v>55</v>
      </c>
      <c r="M59" s="8">
        <v>9028.1</v>
      </c>
      <c r="N59" s="7">
        <v>-0.6545</v>
      </c>
      <c r="O59" s="7">
        <v>-0.6159</v>
      </c>
    </row>
    <row r="60">
      <c r="A60" s="2" t="s">
        <v>7252</v>
      </c>
      <c r="B60" s="2" t="s">
        <v>8575</v>
      </c>
      <c r="C60" s="2" t="s">
        <v>8637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>
        <v>29</v>
      </c>
      <c r="K60" s="8">
        <v>2868.06</v>
      </c>
      <c r="L60" s="4">
        <v>95</v>
      </c>
      <c r="M60" s="8">
        <v>9537.71</v>
      </c>
      <c r="N60" s="7">
        <v>-0.6947</v>
      </c>
      <c r="O60" s="7">
        <v>-0.6993</v>
      </c>
    </row>
    <row r="61">
      <c r="A61" s="2" t="s">
        <v>7252</v>
      </c>
      <c r="B61" s="2" t="s">
        <v>8575</v>
      </c>
      <c r="C61" s="2" t="s">
        <v>10242</v>
      </c>
      <c r="D61" s="4" t="s">
        <v>100</v>
      </c>
      <c r="E61" s="8" t="s">
        <v>100</v>
      </c>
      <c r="F61" s="4" t="s">
        <v>100</v>
      </c>
      <c r="G61" s="8" t="s">
        <v>100</v>
      </c>
      <c r="H61" s="7" t="s">
        <v>100</v>
      </c>
      <c r="I61" s="7" t="s">
        <v>100</v>
      </c>
      <c r="J61" s="4">
        <v>6</v>
      </c>
      <c r="K61" s="8">
        <v>670.34</v>
      </c>
      <c r="L61" s="4">
        <v>22</v>
      </c>
      <c r="M61" s="8">
        <v>2348.08</v>
      </c>
      <c r="N61" s="7">
        <v>-0.7273</v>
      </c>
      <c r="O61" s="7">
        <v>-0.7145</v>
      </c>
    </row>
    <row r="62">
      <c r="A62" s="2" t="s">
        <v>7252</v>
      </c>
      <c r="B62" s="2" t="s">
        <v>8575</v>
      </c>
      <c r="C62" s="2" t="s">
        <v>8667</v>
      </c>
      <c r="D62" s="4" t="s">
        <v>100</v>
      </c>
      <c r="E62" s="8" t="s">
        <v>100</v>
      </c>
      <c r="F62" s="4" t="s">
        <v>100</v>
      </c>
      <c r="G62" s="8" t="s">
        <v>100</v>
      </c>
      <c r="H62" s="7" t="s">
        <v>100</v>
      </c>
      <c r="I62" s="7" t="s">
        <v>100</v>
      </c>
      <c r="J62" s="4"/>
      <c r="K62" s="8"/>
      <c r="L62" s="4">
        <v>3</v>
      </c>
      <c r="M62" s="8">
        <v>371.7</v>
      </c>
      <c r="N62" s="7"/>
      <c r="O62" s="7"/>
    </row>
    <row r="63">
      <c r="A63" s="2" t="s">
        <v>7252</v>
      </c>
      <c r="B63" s="2" t="s">
        <v>8575</v>
      </c>
      <c r="C63" s="2" t="s">
        <v>9605</v>
      </c>
      <c r="D63" s="4" t="s">
        <v>100</v>
      </c>
      <c r="E63" s="8" t="s">
        <v>100</v>
      </c>
      <c r="F63" s="4" t="s">
        <v>100</v>
      </c>
      <c r="G63" s="8" t="s">
        <v>100</v>
      </c>
      <c r="H63" s="7" t="s">
        <v>100</v>
      </c>
      <c r="I63" s="7" t="s">
        <v>100</v>
      </c>
      <c r="J63" s="4"/>
      <c r="K63" s="8"/>
      <c r="L63" s="4">
        <v>9</v>
      </c>
      <c r="M63" s="8">
        <v>1795.5</v>
      </c>
      <c r="N63" s="7"/>
      <c r="O63" s="7"/>
    </row>
    <row r="64">
      <c r="A64" s="2" t="s">
        <v>7252</v>
      </c>
      <c r="B64" s="2" t="s">
        <v>8575</v>
      </c>
      <c r="C64" s="2" t="s">
        <v>8676</v>
      </c>
      <c r="D64" s="4" t="s">
        <v>100</v>
      </c>
      <c r="E64" s="8" t="s">
        <v>100</v>
      </c>
      <c r="F64" s="4" t="s">
        <v>100</v>
      </c>
      <c r="G64" s="8" t="s">
        <v>100</v>
      </c>
      <c r="H64" s="7" t="s">
        <v>100</v>
      </c>
      <c r="I64" s="7" t="s">
        <v>100</v>
      </c>
      <c r="J64" s="4"/>
      <c r="K64" s="8"/>
      <c r="L64" s="4"/>
      <c r="M64" s="8"/>
      <c r="N64" s="7"/>
      <c r="O64" s="7"/>
    </row>
    <row r="65">
      <c r="A65" s="2" t="s">
        <v>7252</v>
      </c>
      <c r="B65" s="2" t="s">
        <v>8424</v>
      </c>
      <c r="C65" s="2" t="s">
        <v>8425</v>
      </c>
      <c r="D65" s="4">
        <v>155</v>
      </c>
      <c r="E65" s="8">
        <v>18086.9</v>
      </c>
      <c r="F65" s="4">
        <v>532</v>
      </c>
      <c r="G65" s="8">
        <v>56007.4</v>
      </c>
      <c r="H65" s="7">
        <v>-0.7086</v>
      </c>
      <c r="I65" s="7">
        <v>-0.6771</v>
      </c>
      <c r="J65" s="4">
        <v>155</v>
      </c>
      <c r="K65" s="8">
        <v>18086.9</v>
      </c>
      <c r="L65" s="4">
        <v>524</v>
      </c>
      <c r="M65" s="8">
        <v>54772.99</v>
      </c>
      <c r="N65" s="7">
        <v>-0.7042</v>
      </c>
      <c r="O65" s="7">
        <v>-0.6698</v>
      </c>
    </row>
    <row r="66">
      <c r="A66" s="2" t="s">
        <v>7252</v>
      </c>
      <c r="B66" s="2" t="s">
        <v>8424</v>
      </c>
      <c r="C66" s="2" t="s">
        <v>8548</v>
      </c>
      <c r="D66" s="4" t="s">
        <v>100</v>
      </c>
      <c r="E66" s="8" t="s">
        <v>100</v>
      </c>
      <c r="F66" s="4" t="s">
        <v>100</v>
      </c>
      <c r="G66" s="8" t="s">
        <v>100</v>
      </c>
      <c r="H66" s="7" t="s">
        <v>100</v>
      </c>
      <c r="I66" s="7" t="s">
        <v>100</v>
      </c>
      <c r="J66" s="4"/>
      <c r="K66" s="8"/>
      <c r="L66" s="4">
        <v>8</v>
      </c>
      <c r="M66" s="8">
        <v>1234.41</v>
      </c>
      <c r="N66" s="7"/>
      <c r="O66" s="7"/>
    </row>
    <row r="67">
      <c r="A67" s="2" t="s">
        <v>7252</v>
      </c>
      <c r="B67" s="2" t="s">
        <v>8817</v>
      </c>
      <c r="C67" s="2" t="s">
        <v>8818</v>
      </c>
      <c r="D67" s="4">
        <v>43</v>
      </c>
      <c r="E67" s="8">
        <v>7434.83</v>
      </c>
      <c r="F67" s="4">
        <v>328</v>
      </c>
      <c r="G67" s="8">
        <v>47247.92</v>
      </c>
      <c r="H67" s="7">
        <v>-0.8689</v>
      </c>
      <c r="I67" s="7">
        <v>-0.8426</v>
      </c>
      <c r="J67" s="4">
        <v>43</v>
      </c>
      <c r="K67" s="8">
        <v>7434.83</v>
      </c>
      <c r="L67" s="4">
        <v>328</v>
      </c>
      <c r="M67" s="8">
        <v>47247.92</v>
      </c>
      <c r="N67" s="7">
        <v>-0.8689</v>
      </c>
      <c r="O67" s="7">
        <v>-0.8426</v>
      </c>
    </row>
    <row r="68">
      <c r="A68" s="2" t="s">
        <v>7252</v>
      </c>
      <c r="B68" s="2" t="s">
        <v>9894</v>
      </c>
      <c r="C68" s="2" t="s">
        <v>9895</v>
      </c>
      <c r="D68" s="4">
        <v>13</v>
      </c>
      <c r="E68" s="8">
        <v>4893.15</v>
      </c>
      <c r="F68" s="4">
        <v>8</v>
      </c>
      <c r="G68" s="8">
        <v>2418</v>
      </c>
      <c r="H68" s="7">
        <v>0.625</v>
      </c>
      <c r="I68" s="7">
        <v>1.0236</v>
      </c>
      <c r="J68" s="4">
        <v>13</v>
      </c>
      <c r="K68" s="8">
        <v>4893.15</v>
      </c>
      <c r="L68" s="4">
        <v>8</v>
      </c>
      <c r="M68" s="8">
        <v>2418</v>
      </c>
      <c r="N68" s="7">
        <v>0.625</v>
      </c>
      <c r="O68" s="7">
        <v>1.0236</v>
      </c>
    </row>
    <row r="69">
      <c r="A69" s="2" t="s">
        <v>7252</v>
      </c>
      <c r="B69" s="2" t="s">
        <v>8680</v>
      </c>
      <c r="C69" s="2" t="s">
        <v>8681</v>
      </c>
      <c r="D69" s="4">
        <v>35</v>
      </c>
      <c r="E69" s="8">
        <v>4370.16</v>
      </c>
      <c r="F69" s="4">
        <v>258</v>
      </c>
      <c r="G69" s="8">
        <v>27676.31</v>
      </c>
      <c r="H69" s="7">
        <v>-0.8643</v>
      </c>
      <c r="I69" s="7">
        <v>-0.8421</v>
      </c>
      <c r="J69" s="4">
        <v>35</v>
      </c>
      <c r="K69" s="8">
        <v>4370.16</v>
      </c>
      <c r="L69" s="4">
        <v>258</v>
      </c>
      <c r="M69" s="8">
        <v>27676.31</v>
      </c>
      <c r="N69" s="7">
        <v>-0.8643</v>
      </c>
      <c r="O69" s="7">
        <v>-0.8421</v>
      </c>
    </row>
    <row r="70">
      <c r="A70" s="2" t="s">
        <v>7252</v>
      </c>
      <c r="B70" s="2" t="s">
        <v>8680</v>
      </c>
      <c r="C70" s="2" t="s">
        <v>8576</v>
      </c>
      <c r="D70" s="4" t="s">
        <v>100</v>
      </c>
      <c r="E70" s="8" t="s">
        <v>100</v>
      </c>
      <c r="F70" s="4" t="s">
        <v>100</v>
      </c>
      <c r="G70" s="8" t="s">
        <v>100</v>
      </c>
      <c r="H70" s="7" t="s">
        <v>100</v>
      </c>
      <c r="I70" s="7" t="s">
        <v>100</v>
      </c>
      <c r="J70" s="4"/>
      <c r="K70" s="8"/>
      <c r="L70" s="4"/>
      <c r="M70" s="8"/>
      <c r="N70" s="7"/>
      <c r="O70" s="7"/>
    </row>
    <row r="71">
      <c r="A71" s="2" t="s">
        <v>7252</v>
      </c>
      <c r="B71" s="2" t="s">
        <v>8965</v>
      </c>
      <c r="C71" s="2" t="s">
        <v>8966</v>
      </c>
      <c r="D71" s="4">
        <v>17</v>
      </c>
      <c r="E71" s="8">
        <v>4294.71</v>
      </c>
      <c r="F71" s="4">
        <v>60</v>
      </c>
      <c r="G71" s="8">
        <v>15339.47</v>
      </c>
      <c r="H71" s="7">
        <v>-0.7167</v>
      </c>
      <c r="I71" s="7">
        <v>-0.72</v>
      </c>
      <c r="J71" s="4">
        <v>9</v>
      </c>
      <c r="K71" s="8">
        <v>2323.23</v>
      </c>
      <c r="L71" s="4">
        <v>28</v>
      </c>
      <c r="M71" s="8">
        <v>6662.32</v>
      </c>
      <c r="N71" s="7">
        <v>-0.6786</v>
      </c>
      <c r="O71" s="7">
        <v>-0.6513</v>
      </c>
    </row>
    <row r="72">
      <c r="A72" s="2" t="s">
        <v>7252</v>
      </c>
      <c r="B72" s="2" t="s">
        <v>8965</v>
      </c>
      <c r="C72" s="2" t="s">
        <v>9004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>
        <v>7</v>
      </c>
      <c r="K72" s="8">
        <v>1721.58</v>
      </c>
      <c r="L72" s="4">
        <v>15</v>
      </c>
      <c r="M72" s="8">
        <v>4405.34</v>
      </c>
      <c r="N72" s="7">
        <v>-0.5333</v>
      </c>
      <c r="O72" s="7">
        <v>-0.6092</v>
      </c>
    </row>
    <row r="73">
      <c r="A73" s="2" t="s">
        <v>7252</v>
      </c>
      <c r="B73" s="2" t="s">
        <v>8965</v>
      </c>
      <c r="C73" s="2" t="s">
        <v>1608</v>
      </c>
      <c r="D73" s="4" t="s">
        <v>100</v>
      </c>
      <c r="E73" s="8" t="s">
        <v>100</v>
      </c>
      <c r="F73" s="4" t="s">
        <v>100</v>
      </c>
      <c r="G73" s="8" t="s">
        <v>100</v>
      </c>
      <c r="H73" s="7" t="s">
        <v>100</v>
      </c>
      <c r="I73" s="7" t="s">
        <v>100</v>
      </c>
      <c r="J73" s="4">
        <v>1</v>
      </c>
      <c r="K73" s="8">
        <v>249.9</v>
      </c>
      <c r="L73" s="4">
        <v>17</v>
      </c>
      <c r="M73" s="8">
        <v>4271.81</v>
      </c>
      <c r="N73" s="7">
        <v>-0.9412</v>
      </c>
      <c r="O73" s="7">
        <v>-0.9415</v>
      </c>
    </row>
    <row r="74">
      <c r="A74" s="2" t="s">
        <v>7252</v>
      </c>
      <c r="B74" s="2" t="s">
        <v>8965</v>
      </c>
      <c r="C74" s="2" t="s">
        <v>7738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/>
      <c r="K74" s="8"/>
      <c r="L74" s="4"/>
      <c r="M74" s="8"/>
      <c r="N74" s="7"/>
      <c r="O74" s="7"/>
    </row>
    <row r="75">
      <c r="A75" s="2" t="s">
        <v>7252</v>
      </c>
      <c r="B75" s="2" t="s">
        <v>9095</v>
      </c>
      <c r="C75" s="2" t="s">
        <v>8637</v>
      </c>
      <c r="D75" s="4">
        <v>28</v>
      </c>
      <c r="E75" s="8">
        <v>2039.76</v>
      </c>
      <c r="F75" s="4">
        <v>60</v>
      </c>
      <c r="G75" s="8">
        <v>4998.41</v>
      </c>
      <c r="H75" s="7">
        <v>-0.5333</v>
      </c>
      <c r="I75" s="7">
        <v>-0.5919</v>
      </c>
      <c r="J75" s="4">
        <v>28</v>
      </c>
      <c r="K75" s="8">
        <v>2039.76</v>
      </c>
      <c r="L75" s="4">
        <v>60</v>
      </c>
      <c r="M75" s="8">
        <v>4998.41</v>
      </c>
      <c r="N75" s="7">
        <v>-0.5333</v>
      </c>
      <c r="O75" s="7">
        <v>-0.5919</v>
      </c>
    </row>
    <row r="76">
      <c r="A76" s="2" t="s">
        <v>7252</v>
      </c>
      <c r="B76" s="2" t="s">
        <v>9095</v>
      </c>
      <c r="C76" s="2" t="s">
        <v>8667</v>
      </c>
      <c r="D76" s="4" t="s">
        <v>100</v>
      </c>
      <c r="E76" s="8" t="s">
        <v>100</v>
      </c>
      <c r="F76" s="4" t="s">
        <v>100</v>
      </c>
      <c r="G76" s="8" t="s">
        <v>100</v>
      </c>
      <c r="H76" s="7" t="s">
        <v>100</v>
      </c>
      <c r="I76" s="7" t="s">
        <v>100</v>
      </c>
      <c r="J76" s="4"/>
      <c r="K76" s="8"/>
      <c r="L76" s="4"/>
      <c r="M76" s="8"/>
      <c r="N76" s="7"/>
      <c r="O76" s="7"/>
    </row>
    <row r="77">
      <c r="A77" s="2" t="s">
        <v>7252</v>
      </c>
      <c r="B77" s="2" t="s">
        <v>9095</v>
      </c>
      <c r="C77" s="2" t="s">
        <v>9890</v>
      </c>
      <c r="D77" s="4" t="s">
        <v>100</v>
      </c>
      <c r="E77" s="8" t="s">
        <v>100</v>
      </c>
      <c r="F77" s="4" t="s">
        <v>100</v>
      </c>
      <c r="G77" s="8" t="s">
        <v>100</v>
      </c>
      <c r="H77" s="7" t="s">
        <v>100</v>
      </c>
      <c r="I77" s="7" t="s">
        <v>100</v>
      </c>
      <c r="J77" s="4"/>
      <c r="K77" s="8"/>
      <c r="L77" s="4"/>
      <c r="M77" s="8"/>
      <c r="N77" s="7"/>
      <c r="O77" s="7"/>
    </row>
    <row r="78">
      <c r="A78" s="2" t="s">
        <v>7252</v>
      </c>
      <c r="B78" s="2" t="s">
        <v>9802</v>
      </c>
      <c r="C78" s="2" t="s">
        <v>9803</v>
      </c>
      <c r="D78" s="4">
        <v>11</v>
      </c>
      <c r="E78" s="8">
        <v>1268.8</v>
      </c>
      <c r="F78" s="4">
        <v>34</v>
      </c>
      <c r="G78" s="8">
        <v>3853.12</v>
      </c>
      <c r="H78" s="7">
        <v>-0.6765</v>
      </c>
      <c r="I78" s="7">
        <v>-0.6707</v>
      </c>
      <c r="J78" s="4">
        <v>11</v>
      </c>
      <c r="K78" s="8">
        <v>1268.8</v>
      </c>
      <c r="L78" s="4">
        <v>34</v>
      </c>
      <c r="M78" s="8">
        <v>3853.12</v>
      </c>
      <c r="N78" s="7">
        <v>-0.6765</v>
      </c>
      <c r="O78" s="7">
        <v>-0.6707</v>
      </c>
    </row>
    <row r="79">
      <c r="A79" s="2" t="s">
        <v>7252</v>
      </c>
      <c r="B79" s="2" t="s">
        <v>9184</v>
      </c>
      <c r="C79" s="2" t="s">
        <v>9185</v>
      </c>
      <c r="D79" s="4">
        <v>2</v>
      </c>
      <c r="E79" s="8">
        <v>378</v>
      </c>
      <c r="F79" s="4">
        <v>2</v>
      </c>
      <c r="G79" s="8">
        <v>283.5</v>
      </c>
      <c r="H79" s="7"/>
      <c r="I79" s="7">
        <v>0.3333</v>
      </c>
      <c r="J79" s="4">
        <v>2</v>
      </c>
      <c r="K79" s="8">
        <v>378</v>
      </c>
      <c r="L79" s="4">
        <v>2</v>
      </c>
      <c r="M79" s="8">
        <v>283.5</v>
      </c>
      <c r="N79" s="7"/>
      <c r="O79" s="7">
        <v>0.3333</v>
      </c>
    </row>
    <row r="80">
      <c r="A80" s="2" t="s">
        <v>7252</v>
      </c>
      <c r="B80" s="2" t="s">
        <v>9205</v>
      </c>
      <c r="C80" s="2" t="s">
        <v>9206</v>
      </c>
      <c r="D80" s="4">
        <v>1</v>
      </c>
      <c r="E80" s="8">
        <v>336.54</v>
      </c>
      <c r="F80" s="4">
        <v>27</v>
      </c>
      <c r="G80" s="8">
        <v>8064.87</v>
      </c>
      <c r="H80" s="7">
        <v>-0.963</v>
      </c>
      <c r="I80" s="7">
        <v>-0.9583</v>
      </c>
      <c r="J80" s="4">
        <v>1</v>
      </c>
      <c r="K80" s="8">
        <v>336.54</v>
      </c>
      <c r="L80" s="4">
        <v>27</v>
      </c>
      <c r="M80" s="8">
        <v>8064.87</v>
      </c>
      <c r="N80" s="7">
        <v>-0.963</v>
      </c>
      <c r="O80" s="7">
        <v>-0.9583</v>
      </c>
    </row>
    <row r="81">
      <c r="A81" s="2" t="s">
        <v>7252</v>
      </c>
      <c r="B81" s="2" t="s">
        <v>9247</v>
      </c>
      <c r="C81" s="2" t="s">
        <v>9248</v>
      </c>
      <c r="D81" s="4">
        <v>1</v>
      </c>
      <c r="E81" s="8">
        <v>325.5</v>
      </c>
      <c r="F81" s="4">
        <v>21</v>
      </c>
      <c r="G81" s="8">
        <v>5583.46</v>
      </c>
      <c r="H81" s="7">
        <v>-0.9524</v>
      </c>
      <c r="I81" s="7">
        <v>-0.9417</v>
      </c>
      <c r="J81" s="4">
        <v>1</v>
      </c>
      <c r="K81" s="8">
        <v>325.5</v>
      </c>
      <c r="L81" s="4">
        <v>21</v>
      </c>
      <c r="M81" s="8">
        <v>5583.46</v>
      </c>
      <c r="N81" s="7">
        <v>-0.9524</v>
      </c>
      <c r="O81" s="7">
        <v>-0.9417</v>
      </c>
    </row>
    <row r="82">
      <c r="A82" s="2" t="s">
        <v>7252</v>
      </c>
      <c r="B82" s="2" t="s">
        <v>9900</v>
      </c>
      <c r="C82" s="2" t="s">
        <v>9901</v>
      </c>
      <c r="D82" s="4">
        <v>2</v>
      </c>
      <c r="E82" s="8">
        <v>255.16</v>
      </c>
      <c r="F82" s="4">
        <v>9</v>
      </c>
      <c r="G82" s="8">
        <v>1315.12</v>
      </c>
      <c r="H82" s="7">
        <v>-0.7778</v>
      </c>
      <c r="I82" s="7">
        <v>-0.806</v>
      </c>
      <c r="J82" s="4">
        <v>2</v>
      </c>
      <c r="K82" s="8">
        <v>255.16</v>
      </c>
      <c r="L82" s="4">
        <v>9</v>
      </c>
      <c r="M82" s="8">
        <v>1315.12</v>
      </c>
      <c r="N82" s="7">
        <v>-0.7778</v>
      </c>
      <c r="O82" s="7">
        <v>-0.806</v>
      </c>
    </row>
    <row r="83">
      <c r="A83" s="2" t="s">
        <v>7252</v>
      </c>
      <c r="B83" s="2" t="s">
        <v>9900</v>
      </c>
      <c r="C83" s="2" t="s">
        <v>8425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7252</v>
      </c>
      <c r="B84" s="2" t="s">
        <v>9318</v>
      </c>
      <c r="C84" s="2" t="s">
        <v>9319</v>
      </c>
      <c r="D84" s="4">
        <v>1</v>
      </c>
      <c r="E84" s="8">
        <v>199.5</v>
      </c>
      <c r="F84" s="4">
        <v>12</v>
      </c>
      <c r="G84" s="8">
        <v>1953</v>
      </c>
      <c r="H84" s="7">
        <v>-0.9167</v>
      </c>
      <c r="I84" s="7">
        <v>-0.8978</v>
      </c>
      <c r="J84" s="4">
        <v>1</v>
      </c>
      <c r="K84" s="8">
        <v>199.5</v>
      </c>
      <c r="L84" s="4">
        <v>12</v>
      </c>
      <c r="M84" s="8">
        <v>1953</v>
      </c>
      <c r="N84" s="7">
        <v>-0.9167</v>
      </c>
      <c r="O84" s="7">
        <v>-0.8978</v>
      </c>
    </row>
    <row r="85">
      <c r="A85" s="2" t="s">
        <v>7252</v>
      </c>
      <c r="B85" s="2" t="s">
        <v>9299</v>
      </c>
      <c r="C85" s="2" t="s">
        <v>9300</v>
      </c>
      <c r="D85" s="4">
        <v>1</v>
      </c>
      <c r="E85" s="8">
        <v>110.25</v>
      </c>
      <c r="F85" s="4">
        <v>9</v>
      </c>
      <c r="G85" s="8">
        <v>1979.77</v>
      </c>
      <c r="H85" s="7">
        <v>-0.8889</v>
      </c>
      <c r="I85" s="7">
        <v>-0.9443</v>
      </c>
      <c r="J85" s="4">
        <v>1</v>
      </c>
      <c r="K85" s="8">
        <v>110.25</v>
      </c>
      <c r="L85" s="4">
        <v>9</v>
      </c>
      <c r="M85" s="8">
        <v>1979.77</v>
      </c>
      <c r="N85" s="7">
        <v>-0.8889</v>
      </c>
      <c r="O85" s="7">
        <v>-0.9443</v>
      </c>
    </row>
    <row r="86">
      <c r="A86" s="2" t="s">
        <v>7252</v>
      </c>
      <c r="B86" s="2" t="s">
        <v>10121</v>
      </c>
      <c r="C86" s="2" t="s">
        <v>10122</v>
      </c>
      <c r="D86" s="4"/>
      <c r="E86" s="8"/>
      <c r="F86" s="4">
        <v>7</v>
      </c>
      <c r="G86" s="8">
        <v>1177.73</v>
      </c>
      <c r="H86" s="7"/>
      <c r="I86" s="7"/>
      <c r="J86" s="4"/>
      <c r="K86" s="8"/>
      <c r="L86" s="4">
        <v>7</v>
      </c>
      <c r="M86" s="8">
        <v>1177.73</v>
      </c>
      <c r="N86" s="7"/>
      <c r="O86" s="7"/>
    </row>
    <row r="87">
      <c r="A87" s="2" t="s">
        <v>7252</v>
      </c>
      <c r="B87" s="2" t="s">
        <v>9266</v>
      </c>
      <c r="C87" s="2" t="s">
        <v>9267</v>
      </c>
      <c r="D87" s="4" t="s">
        <v>100</v>
      </c>
      <c r="E87" s="8" t="s">
        <v>100</v>
      </c>
      <c r="F87" s="4" t="s">
        <v>100</v>
      </c>
      <c r="G87" s="8" t="s">
        <v>100</v>
      </c>
      <c r="H87" s="7" t="s">
        <v>100</v>
      </c>
      <c r="I87" s="7" t="s">
        <v>100</v>
      </c>
      <c r="J87" s="4"/>
      <c r="K87" s="8"/>
      <c r="L87" s="4"/>
      <c r="M87" s="8"/>
      <c r="N87" s="7"/>
      <c r="O87" s="7"/>
    </row>
    <row r="88">
      <c r="A88" s="2" t="s">
        <v>7252</v>
      </c>
      <c r="B88" s="2" t="s">
        <v>9266</v>
      </c>
      <c r="C88" s="2" t="s">
        <v>1608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/>
      <c r="K88" s="8"/>
      <c r="L88" s="4"/>
      <c r="M88" s="8"/>
      <c r="N88" s="7"/>
      <c r="O88" s="7"/>
    </row>
    <row r="89">
      <c r="A89" s="2" t="s">
        <v>7252</v>
      </c>
      <c r="B89" s="2" t="s">
        <v>9274</v>
      </c>
      <c r="C89" s="2" t="s">
        <v>9275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7252</v>
      </c>
      <c r="B90" s="2" t="s">
        <v>9291</v>
      </c>
      <c r="C90" s="2" t="s">
        <v>9292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7252</v>
      </c>
      <c r="B91" s="2" t="s">
        <v>10018</v>
      </c>
      <c r="C91" s="2" t="s">
        <v>7313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/>
      <c r="K91" s="8"/>
      <c r="L91" s="4"/>
      <c r="M91" s="8"/>
      <c r="N91" s="7"/>
      <c r="O91" s="7"/>
    </row>
    <row r="92">
      <c r="A92" s="2" t="s">
        <v>7252</v>
      </c>
      <c r="B92" s="2" t="s">
        <v>10018</v>
      </c>
      <c r="C92" s="2" t="s">
        <v>8681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/>
      <c r="K92" s="8"/>
      <c r="L92" s="4"/>
      <c r="M92" s="8"/>
      <c r="N92" s="7"/>
      <c r="O92" s="7"/>
    </row>
    <row r="93">
      <c r="A93" s="2" t="s">
        <v>7252</v>
      </c>
      <c r="B93" s="2" t="s">
        <v>10018</v>
      </c>
      <c r="C93" s="2" t="s">
        <v>10164</v>
      </c>
      <c r="D93" s="4" t="s">
        <v>100</v>
      </c>
      <c r="E93" s="8" t="s">
        <v>100</v>
      </c>
      <c r="F93" s="4" t="s">
        <v>100</v>
      </c>
      <c r="G93" s="8" t="s">
        <v>100</v>
      </c>
      <c r="H93" s="7" t="s">
        <v>100</v>
      </c>
      <c r="I93" s="7" t="s">
        <v>100</v>
      </c>
      <c r="J93" s="4"/>
      <c r="K93" s="8"/>
      <c r="L93" s="4"/>
      <c r="M93" s="8"/>
      <c r="N93" s="7"/>
      <c r="O93" s="7"/>
    </row>
    <row r="94">
      <c r="A94" s="2" t="s">
        <v>10578</v>
      </c>
      <c r="B94" s="2" t="s">
        <v>10579</v>
      </c>
      <c r="C94" s="2" t="s">
        <v>10580</v>
      </c>
      <c r="D94" s="4">
        <v>176</v>
      </c>
      <c r="E94" s="8">
        <v>10477.25</v>
      </c>
      <c r="F94" s="4">
        <v>303</v>
      </c>
      <c r="G94" s="8">
        <v>17983.8</v>
      </c>
      <c r="H94" s="7">
        <v>-0.4191</v>
      </c>
      <c r="I94" s="7">
        <v>-0.4174</v>
      </c>
      <c r="J94" s="4">
        <v>176</v>
      </c>
      <c r="K94" s="8">
        <v>10477.25</v>
      </c>
      <c r="L94" s="4">
        <v>303</v>
      </c>
      <c r="M94" s="8">
        <v>17983.8</v>
      </c>
      <c r="N94" s="7">
        <v>-0.4191</v>
      </c>
      <c r="O94" s="7">
        <v>-0.4174</v>
      </c>
    </row>
    <row r="95">
      <c r="A95" s="2" t="s">
        <v>10578</v>
      </c>
      <c r="B95" s="2" t="s">
        <v>10686</v>
      </c>
      <c r="C95" s="2" t="s">
        <v>10687</v>
      </c>
      <c r="D95" s="4">
        <v>12</v>
      </c>
      <c r="E95" s="8">
        <v>1784.52</v>
      </c>
      <c r="F95" s="4">
        <v>23</v>
      </c>
      <c r="G95" s="8">
        <v>3662.08</v>
      </c>
      <c r="H95" s="7">
        <v>-0.4783</v>
      </c>
      <c r="I95" s="7">
        <v>-0.5127</v>
      </c>
      <c r="J95" s="4">
        <v>12</v>
      </c>
      <c r="K95" s="8">
        <v>1784.52</v>
      </c>
      <c r="L95" s="4">
        <v>23</v>
      </c>
      <c r="M95" s="8">
        <v>3662.08</v>
      </c>
      <c r="N95" s="7">
        <v>-0.4783</v>
      </c>
      <c r="O95" s="7">
        <v>-0.5127</v>
      </c>
    </row>
    <row r="96">
      <c r="A96" s="2" t="s">
        <v>10578</v>
      </c>
      <c r="B96" s="2" t="s">
        <v>10805</v>
      </c>
      <c r="C96" s="2" t="s">
        <v>10806</v>
      </c>
      <c r="D96" s="4">
        <v>17</v>
      </c>
      <c r="E96" s="8">
        <v>1529.56</v>
      </c>
      <c r="F96" s="4">
        <v>51</v>
      </c>
      <c r="G96" s="8">
        <v>5847.42</v>
      </c>
      <c r="H96" s="7">
        <v>-0.6667</v>
      </c>
      <c r="I96" s="7">
        <v>-0.7384</v>
      </c>
      <c r="J96" s="4">
        <v>17</v>
      </c>
      <c r="K96" s="8">
        <v>1529.56</v>
      </c>
      <c r="L96" s="4">
        <v>51</v>
      </c>
      <c r="M96" s="8">
        <v>5847.42</v>
      </c>
      <c r="N96" s="7">
        <v>-0.6667</v>
      </c>
      <c r="O96" s="7">
        <v>-0.7384</v>
      </c>
    </row>
    <row r="97">
      <c r="A97" s="2" t="s">
        <v>10578</v>
      </c>
      <c r="B97" s="2" t="s">
        <v>10775</v>
      </c>
      <c r="C97" s="2" t="s">
        <v>10776</v>
      </c>
      <c r="D97" s="4">
        <v>11</v>
      </c>
      <c r="E97" s="8">
        <v>610.25</v>
      </c>
      <c r="F97" s="4">
        <v>21</v>
      </c>
      <c r="G97" s="8">
        <v>1108.84</v>
      </c>
      <c r="H97" s="7">
        <v>-0.4762</v>
      </c>
      <c r="I97" s="7">
        <v>-0.4497</v>
      </c>
      <c r="J97" s="4">
        <v>11</v>
      </c>
      <c r="K97" s="8">
        <v>610.25</v>
      </c>
      <c r="L97" s="4">
        <v>21</v>
      </c>
      <c r="M97" s="8">
        <v>1108.84</v>
      </c>
      <c r="N97" s="7">
        <v>-0.4762</v>
      </c>
      <c r="O97" s="7">
        <v>-0.4497</v>
      </c>
    </row>
    <row r="98">
      <c r="A98" s="2" t="s">
        <v>10578</v>
      </c>
      <c r="B98" s="2" t="s">
        <v>10877</v>
      </c>
      <c r="C98" s="2" t="s">
        <v>10878</v>
      </c>
      <c r="D98" s="4">
        <v>2</v>
      </c>
      <c r="E98" s="8">
        <v>155.62</v>
      </c>
      <c r="F98" s="4"/>
      <c r="G98" s="8"/>
      <c r="H98" s="7"/>
      <c r="I98" s="7"/>
      <c r="J98" s="4">
        <v>2</v>
      </c>
      <c r="K98" s="8">
        <v>155.62</v>
      </c>
      <c r="L98" s="4"/>
      <c r="M98" s="8"/>
      <c r="N98" s="7"/>
      <c r="O98" s="7"/>
    </row>
    <row r="99">
      <c r="A99" s="2" t="s">
        <v>10578</v>
      </c>
      <c r="B99" s="2" t="s">
        <v>11107</v>
      </c>
      <c r="C99" s="2" t="s">
        <v>11108</v>
      </c>
      <c r="D99" s="4">
        <v>1</v>
      </c>
      <c r="E99" s="8">
        <v>71.82</v>
      </c>
      <c r="F99" s="4"/>
      <c r="G99" s="8"/>
      <c r="H99" s="7"/>
      <c r="I99" s="7"/>
      <c r="J99" s="4">
        <v>1</v>
      </c>
      <c r="K99" s="8">
        <v>71.82</v>
      </c>
      <c r="L99" s="4"/>
      <c r="M99" s="8"/>
      <c r="N99" s="7"/>
      <c r="O9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1:D22"/>
    <mergeCell ref="E21:E22"/>
    <mergeCell ref="F21:F22"/>
    <mergeCell ref="G21:G22"/>
    <mergeCell ref="H21:H22"/>
    <mergeCell ref="I21:I22"/>
    <mergeCell ref="D23:D25"/>
    <mergeCell ref="E23:E25"/>
    <mergeCell ref="F23:F25"/>
    <mergeCell ref="G23:G25"/>
    <mergeCell ref="H23:H25"/>
    <mergeCell ref="I23:I25"/>
    <mergeCell ref="D29:D31"/>
    <mergeCell ref="E29:E31"/>
    <mergeCell ref="F29:F31"/>
    <mergeCell ref="G29:G31"/>
    <mergeCell ref="H29:H31"/>
    <mergeCell ref="I29:I31"/>
    <mergeCell ref="D32:D35"/>
    <mergeCell ref="E32:E35"/>
    <mergeCell ref="F32:F35"/>
    <mergeCell ref="G32:G35"/>
    <mergeCell ref="H32:H35"/>
    <mergeCell ref="I32:I35"/>
    <mergeCell ref="D36:D37"/>
    <mergeCell ref="E36:E37"/>
    <mergeCell ref="F36:F37"/>
    <mergeCell ref="G36:G37"/>
    <mergeCell ref="H36:H37"/>
    <mergeCell ref="I36:I37"/>
    <mergeCell ref="D38:D39"/>
    <mergeCell ref="E38:E39"/>
    <mergeCell ref="F38:F39"/>
    <mergeCell ref="G38:G39"/>
    <mergeCell ref="H38:H39"/>
    <mergeCell ref="I38:I39"/>
    <mergeCell ref="D45:D50"/>
    <mergeCell ref="E45:E50"/>
    <mergeCell ref="F45:F50"/>
    <mergeCell ref="G45:G50"/>
    <mergeCell ref="H45:H50"/>
    <mergeCell ref="I45:I50"/>
    <mergeCell ref="D51:D54"/>
    <mergeCell ref="E51:E54"/>
    <mergeCell ref="F51:F54"/>
    <mergeCell ref="G51:G54"/>
    <mergeCell ref="H51:H54"/>
    <mergeCell ref="I51:I54"/>
    <mergeCell ref="D55:D57"/>
    <mergeCell ref="E55:E57"/>
    <mergeCell ref="F55:F57"/>
    <mergeCell ref="G55:G57"/>
    <mergeCell ref="H55:H57"/>
    <mergeCell ref="I55:I57"/>
    <mergeCell ref="D58:D64"/>
    <mergeCell ref="E58:E64"/>
    <mergeCell ref="F58:F64"/>
    <mergeCell ref="G58:G64"/>
    <mergeCell ref="H58:H64"/>
    <mergeCell ref="I58:I64"/>
    <mergeCell ref="D65:D66"/>
    <mergeCell ref="E65:E66"/>
    <mergeCell ref="F65:F66"/>
    <mergeCell ref="G65:G66"/>
    <mergeCell ref="H65:H66"/>
    <mergeCell ref="I65:I66"/>
    <mergeCell ref="D69:D70"/>
    <mergeCell ref="E69:E70"/>
    <mergeCell ref="F69:F70"/>
    <mergeCell ref="G69:G70"/>
    <mergeCell ref="H69:H70"/>
    <mergeCell ref="I69:I70"/>
    <mergeCell ref="D71:D74"/>
    <mergeCell ref="E71:E74"/>
    <mergeCell ref="F71:F74"/>
    <mergeCell ref="G71:G74"/>
    <mergeCell ref="H71:H74"/>
    <mergeCell ref="I71:I74"/>
    <mergeCell ref="D75:D77"/>
    <mergeCell ref="E75:E77"/>
    <mergeCell ref="F75:F77"/>
    <mergeCell ref="G75:G77"/>
    <mergeCell ref="H75:H77"/>
    <mergeCell ref="I75:I77"/>
    <mergeCell ref="D82:D83"/>
    <mergeCell ref="E82:E83"/>
    <mergeCell ref="F82:F83"/>
    <mergeCell ref="G82:G83"/>
    <mergeCell ref="H82:H83"/>
    <mergeCell ref="I82:I83"/>
    <mergeCell ref="D87:D88"/>
    <mergeCell ref="E87:E88"/>
    <mergeCell ref="F87:F88"/>
    <mergeCell ref="G87:G88"/>
    <mergeCell ref="H87:H88"/>
    <mergeCell ref="I87:I88"/>
    <mergeCell ref="D91:D93"/>
    <mergeCell ref="E91:E93"/>
    <mergeCell ref="F91:F93"/>
    <mergeCell ref="G91:G93"/>
    <mergeCell ref="H91:H93"/>
    <mergeCell ref="I91:I93"/>
  </mergeCells>
  <headerFooter/>
</worksheet>
</file>